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0" yWindow="60" windowWidth="4710" windowHeight="7395" tabRatio="601" activeTab="2"/>
  </bookViews>
  <sheets>
    <sheet name="REKAP SKKI" sheetId="14" r:id="rId1"/>
    <sheet name="REKAP SKKO HAR " sheetId="16" r:id="rId2"/>
    <sheet name="SKKI DIST" sheetId="2" r:id="rId3"/>
    <sheet name="SKKO DIST" sheetId="1" r:id="rId4"/>
    <sheet name="SKKO KIT" sheetId="3" r:id="rId5"/>
    <sheet name="SKKO KIT HAR" sheetId="4" r:id="rId6"/>
    <sheet name="SKKO TU" sheetId="5" r:id="rId7"/>
    <sheet name="UTANG USAHA TUL " sheetId="17" r:id="rId8"/>
    <sheet name="SKKO TUL" sheetId="8" r:id="rId9"/>
    <sheet name="SKKO ADM" sheetId="6" r:id="rId10"/>
    <sheet name="SKKO TI" sheetId="18" r:id="rId11"/>
    <sheet name="SKKI GD. KRAYAN" sheetId="20" r:id="rId12"/>
    <sheet name="Sheet1" sheetId="19" r:id="rId13"/>
  </sheets>
  <externalReferences>
    <externalReference r:id="rId14"/>
  </externalReferences>
  <definedNames>
    <definedName name="_xlnm._FilterDatabase" localSheetId="4" hidden="1">'SKKO KIT'!$N$18:$W$33</definedName>
    <definedName name="_xlnm.Print_Area" localSheetId="0">'REKAP SKKI'!$A$1:$L$19</definedName>
    <definedName name="_xlnm.Print_Area" localSheetId="2">'SKKI DIST'!$A$1:$BB$259</definedName>
    <definedName name="_xlnm.Print_Area" localSheetId="11">'SKKI GD. KRAYAN'!$A$1:$AC$18</definedName>
    <definedName name="_xlnm.Print_Area" localSheetId="3">'SKKO DIST'!$A$1:$AX$306</definedName>
    <definedName name="_xlnm.Print_Area" localSheetId="4">'SKKO KIT'!$A:$AC</definedName>
    <definedName name="_xlnm.Print_Area" localSheetId="10">'SKKO TI'!$A$1:$AC$19</definedName>
    <definedName name="_xlnm.Print_Area" localSheetId="7">'UTANG USAHA TUL '!$A$1:$AA$22</definedName>
    <definedName name="_xlnm.Print_Titles" localSheetId="2">'SKKI DIST'!$1:$11</definedName>
    <definedName name="_xlnm.Print_Titles" localSheetId="3">'SKKO DIST'!$1:$11</definedName>
    <definedName name="_xlnm.Print_Titles" localSheetId="7">'UTANG USAHA TUL '!$1:$11</definedName>
  </definedNames>
  <calcPr calcId="124519"/>
  <fileRecoveryPr autoRecover="0"/>
</workbook>
</file>

<file path=xl/calcChain.xml><?xml version="1.0" encoding="utf-8"?>
<calcChain xmlns="http://schemas.openxmlformats.org/spreadsheetml/2006/main">
  <c r="O292" i="1"/>
  <c r="N292"/>
  <c r="O291"/>
  <c r="N291"/>
  <c r="O290"/>
  <c r="N290"/>
  <c r="O289"/>
  <c r="N289"/>
  <c r="O288"/>
  <c r="N288"/>
  <c r="O287"/>
  <c r="N287"/>
  <c r="F292"/>
  <c r="G291"/>
  <c r="F291"/>
  <c r="F290"/>
  <c r="G289"/>
  <c r="F289"/>
  <c r="G288"/>
  <c r="F288"/>
  <c r="F287"/>
  <c r="E292"/>
  <c r="E291"/>
  <c r="E290"/>
  <c r="E289"/>
  <c r="E288"/>
  <c r="E287"/>
  <c r="BN182" i="2"/>
  <c r="BN172"/>
  <c r="BN164"/>
  <c r="BN104"/>
  <c r="BN89"/>
  <c r="BN46"/>
  <c r="BM40"/>
  <c r="BM42"/>
  <c r="BN42"/>
  <c r="BN40"/>
  <c r="BI154"/>
  <c r="BG112"/>
  <c r="BH111"/>
  <c r="BI110"/>
  <c r="BG54"/>
  <c r="BG44"/>
  <c r="BG38"/>
  <c r="BG36"/>
  <c r="BG34"/>
  <c r="BG32"/>
  <c r="BG30"/>
  <c r="BG28"/>
  <c r="BD197"/>
  <c r="BD102"/>
  <c r="BD100"/>
  <c r="BD98"/>
  <c r="BD96"/>
  <c r="Q48" i="8"/>
  <c r="R48"/>
  <c r="S48"/>
  <c r="T48"/>
  <c r="U48"/>
  <c r="Q353" i="3"/>
  <c r="R353"/>
  <c r="S353"/>
  <c r="T353"/>
  <c r="U353"/>
  <c r="Q202" i="1"/>
  <c r="R202"/>
  <c r="S202"/>
  <c r="T202"/>
  <c r="U202"/>
  <c r="AB370" i="4"/>
  <c r="P364"/>
  <c r="P365"/>
  <c r="P366"/>
  <c r="V366" s="1"/>
  <c r="Z366"/>
  <c r="P367"/>
  <c r="P368"/>
  <c r="P369"/>
  <c r="P370"/>
  <c r="V370" s="1"/>
  <c r="Z370"/>
  <c r="P371"/>
  <c r="AB362"/>
  <c r="V363"/>
  <c r="Z363" s="1"/>
  <c r="P363"/>
  <c r="AB363" s="1"/>
  <c r="P362"/>
  <c r="V362" s="1"/>
  <c r="Z362" s="1"/>
  <c r="Z361"/>
  <c r="P361"/>
  <c r="V361" s="1"/>
  <c r="AB361"/>
  <c r="P360"/>
  <c r="AB360" s="1"/>
  <c r="V360"/>
  <c r="Z360" s="1"/>
  <c r="P359"/>
  <c r="P358"/>
  <c r="V358" s="1"/>
  <c r="Z358"/>
  <c r="P357"/>
  <c r="V357" s="1"/>
  <c r="Z357" s="1"/>
  <c r="AB357"/>
  <c r="P356"/>
  <c r="AB356" s="1"/>
  <c r="V356"/>
  <c r="Z356" s="1"/>
  <c r="V355"/>
  <c r="Z355" s="1"/>
  <c r="P355"/>
  <c r="AB355" s="1"/>
  <c r="AB353"/>
  <c r="P344"/>
  <c r="P345"/>
  <c r="V345" s="1"/>
  <c r="Z345" s="1"/>
  <c r="P346"/>
  <c r="P347"/>
  <c r="P348"/>
  <c r="P349"/>
  <c r="P350"/>
  <c r="P351"/>
  <c r="P352"/>
  <c r="P353"/>
  <c r="V353" s="1"/>
  <c r="Z353" s="1"/>
  <c r="P354"/>
  <c r="AB343"/>
  <c r="P343"/>
  <c r="V343"/>
  <c r="Z343" s="1"/>
  <c r="AB342"/>
  <c r="P342"/>
  <c r="V342"/>
  <c r="Z342" s="1"/>
  <c r="AB341"/>
  <c r="P341"/>
  <c r="V341"/>
  <c r="Z341" s="1"/>
  <c r="AB340"/>
  <c r="P340"/>
  <c r="V340"/>
  <c r="Z340" s="1"/>
  <c r="AB339"/>
  <c r="P339"/>
  <c r="V339"/>
  <c r="Z339" s="1"/>
  <c r="AB338"/>
  <c r="P338"/>
  <c r="V338"/>
  <c r="Z338" s="1"/>
  <c r="P337"/>
  <c r="P336"/>
  <c r="AB336"/>
  <c r="P335"/>
  <c r="AB335"/>
  <c r="V335"/>
  <c r="Z335"/>
  <c r="P334"/>
  <c r="AB334"/>
  <c r="P333"/>
  <c r="AB333"/>
  <c r="V333"/>
  <c r="Z333"/>
  <c r="P332"/>
  <c r="AB332"/>
  <c r="AB329"/>
  <c r="AB325"/>
  <c r="P322"/>
  <c r="P323"/>
  <c r="AB323" s="1"/>
  <c r="V323"/>
  <c r="Z323" s="1"/>
  <c r="P324"/>
  <c r="P325"/>
  <c r="V325"/>
  <c r="Z325" s="1"/>
  <c r="P326"/>
  <c r="V326" s="1"/>
  <c r="P327"/>
  <c r="AB327" s="1"/>
  <c r="V327"/>
  <c r="Z327" s="1"/>
  <c r="P328"/>
  <c r="P329"/>
  <c r="V329"/>
  <c r="Z329" s="1"/>
  <c r="P330"/>
  <c r="P331"/>
  <c r="AB331" s="1"/>
  <c r="V331"/>
  <c r="Z331" s="1"/>
  <c r="AB321"/>
  <c r="P321"/>
  <c r="V321"/>
  <c r="Z321" s="1"/>
  <c r="Z319"/>
  <c r="P318"/>
  <c r="AB318"/>
  <c r="V318"/>
  <c r="Z318"/>
  <c r="P319"/>
  <c r="AB319"/>
  <c r="V319"/>
  <c r="P320"/>
  <c r="P308"/>
  <c r="P309"/>
  <c r="V309" s="1"/>
  <c r="Z309" s="1"/>
  <c r="P310"/>
  <c r="P311"/>
  <c r="P312"/>
  <c r="P313"/>
  <c r="P314"/>
  <c r="P315"/>
  <c r="P316"/>
  <c r="P317"/>
  <c r="V317" s="1"/>
  <c r="Z317" s="1"/>
  <c r="P245" i="1"/>
  <c r="V245"/>
  <c r="Z245" s="1"/>
  <c r="AB303" i="4"/>
  <c r="P296"/>
  <c r="AB296" s="1"/>
  <c r="P297"/>
  <c r="P298"/>
  <c r="P299"/>
  <c r="P300"/>
  <c r="P301"/>
  <c r="P302"/>
  <c r="AB302"/>
  <c r="V302"/>
  <c r="Z302"/>
  <c r="P303"/>
  <c r="V303"/>
  <c r="Z303" s="1"/>
  <c r="P304"/>
  <c r="P305"/>
  <c r="P306"/>
  <c r="P307"/>
  <c r="P295"/>
  <c r="Z185" i="5"/>
  <c r="P272" i="3"/>
  <c r="V272" s="1"/>
  <c r="Z272" s="1"/>
  <c r="AB294" i="4"/>
  <c r="P293"/>
  <c r="V293"/>
  <c r="P294"/>
  <c r="V294"/>
  <c r="Z294" s="1"/>
  <c r="Z85" i="3"/>
  <c r="V85"/>
  <c r="Z166" i="1"/>
  <c r="P172" i="4"/>
  <c r="AB384"/>
  <c r="AB380"/>
  <c r="P379"/>
  <c r="V379"/>
  <c r="Z379" s="1"/>
  <c r="P380"/>
  <c r="V380" s="1"/>
  <c r="Z380" s="1"/>
  <c r="P381"/>
  <c r="AB381"/>
  <c r="P382"/>
  <c r="AB382" s="1"/>
  <c r="P383"/>
  <c r="V383" s="1"/>
  <c r="Z383"/>
  <c r="P384"/>
  <c r="V384" s="1"/>
  <c r="Z384" s="1"/>
  <c r="P385"/>
  <c r="AB385" s="1"/>
  <c r="P386"/>
  <c r="P378"/>
  <c r="V378"/>
  <c r="Z378" s="1"/>
  <c r="AB291"/>
  <c r="P291"/>
  <c r="V291"/>
  <c r="Z291" s="1"/>
  <c r="P292"/>
  <c r="V292" s="1"/>
  <c r="Z292"/>
  <c r="O33" i="3"/>
  <c r="P30"/>
  <c r="AB50" i="4"/>
  <c r="AB48"/>
  <c r="V51"/>
  <c r="Z51" s="1"/>
  <c r="P51"/>
  <c r="AB51" s="1"/>
  <c r="Z50"/>
  <c r="P50"/>
  <c r="V50" s="1"/>
  <c r="V49"/>
  <c r="Z49" s="1"/>
  <c r="P49"/>
  <c r="AB49" s="1"/>
  <c r="Z48"/>
  <c r="P48"/>
  <c r="V48" s="1"/>
  <c r="V47"/>
  <c r="Z47" s="1"/>
  <c r="P47"/>
  <c r="AB47" s="1"/>
  <c r="O164" i="3"/>
  <c r="Q164"/>
  <c r="R164"/>
  <c r="S164"/>
  <c r="T164"/>
  <c r="U164"/>
  <c r="O14" i="20"/>
  <c r="V92" i="2"/>
  <c r="Z92" s="1"/>
  <c r="Q94"/>
  <c r="R94"/>
  <c r="S94"/>
  <c r="T94"/>
  <c r="U94"/>
  <c r="Q176" i="3"/>
  <c r="R176"/>
  <c r="S176"/>
  <c r="T176"/>
  <c r="U176"/>
  <c r="P175"/>
  <c r="V175" s="1"/>
  <c r="P174"/>
  <c r="P173"/>
  <c r="P172"/>
  <c r="P171"/>
  <c r="V171"/>
  <c r="P244" i="1"/>
  <c r="V244"/>
  <c r="Z244" s="1"/>
  <c r="AB244"/>
  <c r="P243"/>
  <c r="V243"/>
  <c r="Z243" s="1"/>
  <c r="AB243"/>
  <c r="U27" i="8"/>
  <c r="T27"/>
  <c r="S27"/>
  <c r="R27"/>
  <c r="Q27"/>
  <c r="O27"/>
  <c r="P26"/>
  <c r="V26"/>
  <c r="Z26" s="1"/>
  <c r="AA26"/>
  <c r="AB26"/>
  <c r="N27"/>
  <c r="N56" s="1"/>
  <c r="P52"/>
  <c r="P51"/>
  <c r="V51" s="1"/>
  <c r="Z51" s="1"/>
  <c r="O54"/>
  <c r="Q54"/>
  <c r="R54"/>
  <c r="S54"/>
  <c r="T54"/>
  <c r="U54"/>
  <c r="N54"/>
  <c r="C54"/>
  <c r="P93" i="2"/>
  <c r="AB93"/>
  <c r="O94"/>
  <c r="P18" i="8"/>
  <c r="V18" s="1"/>
  <c r="Z18"/>
  <c r="O39"/>
  <c r="Q39"/>
  <c r="R39"/>
  <c r="S39"/>
  <c r="T39"/>
  <c r="U39"/>
  <c r="N39"/>
  <c r="C39"/>
  <c r="P38"/>
  <c r="AB38"/>
  <c r="U268" i="1"/>
  <c r="T268"/>
  <c r="S268"/>
  <c r="R268"/>
  <c r="Q268"/>
  <c r="O268"/>
  <c r="N268"/>
  <c r="P267"/>
  <c r="V267" s="1"/>
  <c r="Z267" s="1"/>
  <c r="U264"/>
  <c r="T264"/>
  <c r="S264"/>
  <c r="R264"/>
  <c r="Q264"/>
  <c r="O264"/>
  <c r="N264"/>
  <c r="P262"/>
  <c r="P17" i="8"/>
  <c r="V17"/>
  <c r="Z17" s="1"/>
  <c r="P217" i="3"/>
  <c r="AB217" s="1"/>
  <c r="U68" i="1"/>
  <c r="T68"/>
  <c r="S68"/>
  <c r="R68"/>
  <c r="Q68"/>
  <c r="O68"/>
  <c r="N68"/>
  <c r="P66"/>
  <c r="V66"/>
  <c r="Z66" s="1"/>
  <c r="P200"/>
  <c r="V200" s="1"/>
  <c r="Z200" s="1"/>
  <c r="P199"/>
  <c r="P198"/>
  <c r="AB198" s="1"/>
  <c r="P290" i="4"/>
  <c r="V290" s="1"/>
  <c r="Z290" s="1"/>
  <c r="P289"/>
  <c r="V289"/>
  <c r="Z289" s="1"/>
  <c r="P288"/>
  <c r="V288" s="1"/>
  <c r="Z288" s="1"/>
  <c r="P287"/>
  <c r="V287"/>
  <c r="Z287" s="1"/>
  <c r="P286"/>
  <c r="P285"/>
  <c r="AB285"/>
  <c r="P277"/>
  <c r="V277"/>
  <c r="Z277" s="1"/>
  <c r="P278"/>
  <c r="V278" s="1"/>
  <c r="P279"/>
  <c r="AB279" s="1"/>
  <c r="P280"/>
  <c r="V280" s="1"/>
  <c r="Z280"/>
  <c r="P281"/>
  <c r="AB281"/>
  <c r="P282"/>
  <c r="AB282"/>
  <c r="P283"/>
  <c r="V283"/>
  <c r="Z283" s="1"/>
  <c r="P284"/>
  <c r="V284" s="1"/>
  <c r="Z284"/>
  <c r="P37" i="8"/>
  <c r="V37"/>
  <c r="P276" i="4"/>
  <c r="V276"/>
  <c r="Z276" s="1"/>
  <c r="P398"/>
  <c r="V398" s="1"/>
  <c r="Z398"/>
  <c r="P399"/>
  <c r="AB399"/>
  <c r="O389"/>
  <c r="Q389"/>
  <c r="R389"/>
  <c r="S389"/>
  <c r="T389"/>
  <c r="U389"/>
  <c r="N389"/>
  <c r="D389"/>
  <c r="O401"/>
  <c r="Q401"/>
  <c r="R401"/>
  <c r="R404"/>
  <c r="S401"/>
  <c r="T401"/>
  <c r="U401"/>
  <c r="U404"/>
  <c r="N401"/>
  <c r="D401"/>
  <c r="P392"/>
  <c r="AB392"/>
  <c r="P393"/>
  <c r="P394"/>
  <c r="AB394" s="1"/>
  <c r="P395"/>
  <c r="AB395" s="1"/>
  <c r="P396"/>
  <c r="V396" s="1"/>
  <c r="Z396" s="1"/>
  <c r="P397"/>
  <c r="AB397"/>
  <c r="V109" i="3"/>
  <c r="P242" i="1"/>
  <c r="P210"/>
  <c r="V210"/>
  <c r="Z210" s="1"/>
  <c r="P211"/>
  <c r="V211" s="1"/>
  <c r="Z211" s="1"/>
  <c r="P212"/>
  <c r="V212"/>
  <c r="Z212" s="1"/>
  <c r="P273" i="4"/>
  <c r="AB273" s="1"/>
  <c r="P274"/>
  <c r="V274" s="1"/>
  <c r="Z274" s="1"/>
  <c r="P275"/>
  <c r="P269"/>
  <c r="AB269" s="1"/>
  <c r="P270"/>
  <c r="V270" s="1"/>
  <c r="Z270" s="1"/>
  <c r="P271"/>
  <c r="V271"/>
  <c r="Z271" s="1"/>
  <c r="P272"/>
  <c r="AB272" s="1"/>
  <c r="P65" i="1"/>
  <c r="V65" s="1"/>
  <c r="AB65"/>
  <c r="P56"/>
  <c r="AB56"/>
  <c r="AM36" i="5"/>
  <c r="AL36"/>
  <c r="AM34"/>
  <c r="P196" i="1"/>
  <c r="V196" s="1"/>
  <c r="Z196" s="1"/>
  <c r="P197"/>
  <c r="V197"/>
  <c r="Z197" s="1"/>
  <c r="AB197"/>
  <c r="P93"/>
  <c r="AB93"/>
  <c r="P94"/>
  <c r="AB94"/>
  <c r="P95"/>
  <c r="P351" i="3"/>
  <c r="P350"/>
  <c r="O353"/>
  <c r="N353"/>
  <c r="F353"/>
  <c r="E353"/>
  <c r="A353"/>
  <c r="P352"/>
  <c r="V352"/>
  <c r="AB352"/>
  <c r="P349"/>
  <c r="P348"/>
  <c r="V348"/>
  <c r="AB348"/>
  <c r="P347"/>
  <c r="V347" s="1"/>
  <c r="Z347"/>
  <c r="Z353" s="1"/>
  <c r="G347"/>
  <c r="G353" s="1"/>
  <c r="O315"/>
  <c r="Q315"/>
  <c r="R315"/>
  <c r="S315"/>
  <c r="T315"/>
  <c r="U315"/>
  <c r="N315"/>
  <c r="P314"/>
  <c r="V314"/>
  <c r="Z314" s="1"/>
  <c r="AB314"/>
  <c r="P269"/>
  <c r="V269"/>
  <c r="Z269" s="1"/>
  <c r="AB269"/>
  <c r="P248"/>
  <c r="AB248"/>
  <c r="O339"/>
  <c r="N339"/>
  <c r="P268" i="4"/>
  <c r="AB268"/>
  <c r="P267"/>
  <c r="V267"/>
  <c r="Z267" s="1"/>
  <c r="O202" i="5"/>
  <c r="P201"/>
  <c r="V201"/>
  <c r="Z201" s="1"/>
  <c r="AB201"/>
  <c r="P266" i="4"/>
  <c r="AB266"/>
  <c r="P92" i="2"/>
  <c r="AB92"/>
  <c r="N94"/>
  <c r="C94"/>
  <c r="Z266" i="4"/>
  <c r="U303" i="3"/>
  <c r="T303"/>
  <c r="S303"/>
  <c r="R303"/>
  <c r="Q303"/>
  <c r="O303"/>
  <c r="N303"/>
  <c r="P302"/>
  <c r="O51" i="1"/>
  <c r="P51" s="1"/>
  <c r="V51" s="1"/>
  <c r="AX282"/>
  <c r="AW282"/>
  <c r="AV282"/>
  <c r="AU282"/>
  <c r="AT282"/>
  <c r="AS282"/>
  <c r="AR282"/>
  <c r="AQ282"/>
  <c r="U282"/>
  <c r="T282"/>
  <c r="S282"/>
  <c r="R282"/>
  <c r="Q282"/>
  <c r="O282"/>
  <c r="N282"/>
  <c r="F282"/>
  <c r="E282"/>
  <c r="A282"/>
  <c r="G280"/>
  <c r="AB280" s="1"/>
  <c r="P279"/>
  <c r="G279"/>
  <c r="P278"/>
  <c r="V278"/>
  <c r="G278"/>
  <c r="G282"/>
  <c r="P92"/>
  <c r="V92"/>
  <c r="AB92"/>
  <c r="P268" i="3"/>
  <c r="V268" s="1"/>
  <c r="Z268"/>
  <c r="P195" i="1"/>
  <c r="AB195"/>
  <c r="P194"/>
  <c r="V194"/>
  <c r="Z194" s="1"/>
  <c r="N48" i="8"/>
  <c r="P47"/>
  <c r="V47"/>
  <c r="Z47" s="1"/>
  <c r="P338" i="3"/>
  <c r="P219" i="2"/>
  <c r="V219"/>
  <c r="AJ219" s="1"/>
  <c r="P337" i="3"/>
  <c r="AB337"/>
  <c r="P163"/>
  <c r="V163"/>
  <c r="Z163" s="1"/>
  <c r="AB163"/>
  <c r="N164"/>
  <c r="P247"/>
  <c r="V247" s="1"/>
  <c r="Z247"/>
  <c r="O346"/>
  <c r="N346"/>
  <c r="P264" i="4"/>
  <c r="V264"/>
  <c r="Z264" s="1"/>
  <c r="P265"/>
  <c r="V265" s="1"/>
  <c r="Z265"/>
  <c r="P263"/>
  <c r="AB263"/>
  <c r="P213" i="2"/>
  <c r="V213"/>
  <c r="Z213" s="1"/>
  <c r="Z215" s="1"/>
  <c r="AB213"/>
  <c r="U215"/>
  <c r="T215"/>
  <c r="S215"/>
  <c r="R215"/>
  <c r="Q215"/>
  <c r="O215"/>
  <c r="N215"/>
  <c r="O127" i="1"/>
  <c r="Q127"/>
  <c r="R127"/>
  <c r="S127"/>
  <c r="T127"/>
  <c r="U127"/>
  <c r="P301" i="3"/>
  <c r="V301" s="1"/>
  <c r="Z301"/>
  <c r="P300"/>
  <c r="V300"/>
  <c r="Z300" s="1"/>
  <c r="AB300"/>
  <c r="P299"/>
  <c r="V299"/>
  <c r="Z299" s="1"/>
  <c r="P162"/>
  <c r="P161"/>
  <c r="V161" s="1"/>
  <c r="Z161" s="1"/>
  <c r="C164"/>
  <c r="P260" i="4"/>
  <c r="AB260" s="1"/>
  <c r="P261"/>
  <c r="V261" s="1"/>
  <c r="Z261" s="1"/>
  <c r="P262"/>
  <c r="V262" s="1"/>
  <c r="Z262"/>
  <c r="P258"/>
  <c r="V258"/>
  <c r="Z258" s="1"/>
  <c r="P259"/>
  <c r="AB259" s="1"/>
  <c r="V86" i="3"/>
  <c r="Z86" s="1"/>
  <c r="P329"/>
  <c r="V329" s="1"/>
  <c r="Z329"/>
  <c r="U20" i="8"/>
  <c r="T20"/>
  <c r="T56" s="1"/>
  <c r="T57" s="1"/>
  <c r="S20"/>
  <c r="S56"/>
  <c r="S57" s="1"/>
  <c r="R20"/>
  <c r="Q20"/>
  <c r="O20"/>
  <c r="N20"/>
  <c r="P205" i="5"/>
  <c r="AB205" s="1"/>
  <c r="P246" i="3"/>
  <c r="AB246" s="1"/>
  <c r="P245"/>
  <c r="AB245" s="1"/>
  <c r="P336"/>
  <c r="V336" s="1"/>
  <c r="P335"/>
  <c r="V335" s="1"/>
  <c r="P167"/>
  <c r="V167" s="1"/>
  <c r="Z167"/>
  <c r="P225" i="2"/>
  <c r="G225"/>
  <c r="G219"/>
  <c r="G223"/>
  <c r="C339" i="3"/>
  <c r="U170" i="2"/>
  <c r="T170"/>
  <c r="S170"/>
  <c r="R170"/>
  <c r="Q170"/>
  <c r="O170"/>
  <c r="N170"/>
  <c r="P168"/>
  <c r="V168"/>
  <c r="BB229"/>
  <c r="BA229"/>
  <c r="AZ229"/>
  <c r="AY229"/>
  <c r="AX229"/>
  <c r="AW229"/>
  <c r="AV229"/>
  <c r="AU229"/>
  <c r="U229"/>
  <c r="T229"/>
  <c r="S229"/>
  <c r="R229"/>
  <c r="Q229"/>
  <c r="O229"/>
  <c r="N229"/>
  <c r="F229"/>
  <c r="E229"/>
  <c r="A229"/>
  <c r="P227"/>
  <c r="G227"/>
  <c r="AB226"/>
  <c r="P244" i="3"/>
  <c r="AB244" s="1"/>
  <c r="V87"/>
  <c r="V52"/>
  <c r="V90"/>
  <c r="Z90" s="1"/>
  <c r="O195" i="5"/>
  <c r="Q195"/>
  <c r="R195"/>
  <c r="S195"/>
  <c r="T195"/>
  <c r="U195"/>
  <c r="N195"/>
  <c r="P209" i="1"/>
  <c r="AB209"/>
  <c r="O214"/>
  <c r="Q214"/>
  <c r="R214"/>
  <c r="S214"/>
  <c r="T214"/>
  <c r="U214"/>
  <c r="P208"/>
  <c r="V208"/>
  <c r="Z208" s="1"/>
  <c r="P135"/>
  <c r="U136"/>
  <c r="T136"/>
  <c r="S136"/>
  <c r="R136"/>
  <c r="Q136"/>
  <c r="O136"/>
  <c r="N136"/>
  <c r="P134"/>
  <c r="AB134" s="1"/>
  <c r="O96"/>
  <c r="P15" i="18"/>
  <c r="O16"/>
  <c r="Q16"/>
  <c r="R16"/>
  <c r="S16"/>
  <c r="T16"/>
  <c r="U16"/>
  <c r="N16"/>
  <c r="F16"/>
  <c r="E16"/>
  <c r="A16"/>
  <c r="AS16"/>
  <c r="AR16"/>
  <c r="AQ16"/>
  <c r="AP16"/>
  <c r="AO16"/>
  <c r="AN16"/>
  <c r="AM16"/>
  <c r="AL16"/>
  <c r="P151" i="2"/>
  <c r="O152"/>
  <c r="N152"/>
  <c r="P150"/>
  <c r="V150" s="1"/>
  <c r="Z150" s="1"/>
  <c r="P14" i="20"/>
  <c r="G14"/>
  <c r="BB223" i="2"/>
  <c r="BA223"/>
  <c r="AZ223"/>
  <c r="AY223"/>
  <c r="AX223"/>
  <c r="AW223"/>
  <c r="AV223"/>
  <c r="AU223"/>
  <c r="Z223"/>
  <c r="U223"/>
  <c r="T223"/>
  <c r="S223"/>
  <c r="R223"/>
  <c r="Q223"/>
  <c r="O223"/>
  <c r="N223"/>
  <c r="F223"/>
  <c r="E223"/>
  <c r="A223"/>
  <c r="P221"/>
  <c r="G221"/>
  <c r="P220"/>
  <c r="Q346" i="3"/>
  <c r="R346"/>
  <c r="S346"/>
  <c r="T346"/>
  <c r="U346"/>
  <c r="F346"/>
  <c r="E346"/>
  <c r="A346"/>
  <c r="P345"/>
  <c r="AB345" s="1"/>
  <c r="P344"/>
  <c r="V344" s="1"/>
  <c r="P343"/>
  <c r="V343" s="1"/>
  <c r="Z343" s="1"/>
  <c r="P342"/>
  <c r="V342"/>
  <c r="G342"/>
  <c r="P46" i="4"/>
  <c r="V46" s="1"/>
  <c r="O143" i="2"/>
  <c r="Q143"/>
  <c r="R143"/>
  <c r="R156" s="1"/>
  <c r="S143"/>
  <c r="T143"/>
  <c r="U143"/>
  <c r="N143"/>
  <c r="P142"/>
  <c r="V142"/>
  <c r="Z142" s="1"/>
  <c r="P44" i="4"/>
  <c r="V44" s="1"/>
  <c r="Z44"/>
  <c r="P45"/>
  <c r="V45"/>
  <c r="Z45" s="1"/>
  <c r="O28" i="1"/>
  <c r="Q28"/>
  <c r="R28"/>
  <c r="S28"/>
  <c r="T28"/>
  <c r="U28"/>
  <c r="N28"/>
  <c r="P27"/>
  <c r="V27"/>
  <c r="Z27" s="1"/>
  <c r="C28"/>
  <c r="P46" i="8"/>
  <c r="P45"/>
  <c r="AB45" s="1"/>
  <c r="P91" i="2"/>
  <c r="V91"/>
  <c r="Z91" s="1"/>
  <c r="P94"/>
  <c r="O205"/>
  <c r="Q205"/>
  <c r="R205"/>
  <c r="S205"/>
  <c r="T205"/>
  <c r="U205"/>
  <c r="N205"/>
  <c r="P204"/>
  <c r="Z204" s="1"/>
  <c r="AB204"/>
  <c r="C205"/>
  <c r="P267" i="3"/>
  <c r="V267" s="1"/>
  <c r="Z267" s="1"/>
  <c r="P266"/>
  <c r="V266"/>
  <c r="Z266" s="1"/>
  <c r="P328"/>
  <c r="V328" s="1"/>
  <c r="Z328" s="1"/>
  <c r="P327"/>
  <c r="V327"/>
  <c r="Z327" s="1"/>
  <c r="P309"/>
  <c r="N310"/>
  <c r="N318"/>
  <c r="N150"/>
  <c r="O150"/>
  <c r="P148"/>
  <c r="V148"/>
  <c r="P60"/>
  <c r="AB60"/>
  <c r="U61"/>
  <c r="T61"/>
  <c r="S61"/>
  <c r="R61"/>
  <c r="Q61"/>
  <c r="O61"/>
  <c r="O128" s="1"/>
  <c r="O358" s="1"/>
  <c r="N61"/>
  <c r="C61"/>
  <c r="P212" i="2"/>
  <c r="C215"/>
  <c r="O184" i="1"/>
  <c r="Q184"/>
  <c r="R184"/>
  <c r="S184"/>
  <c r="T184"/>
  <c r="U184"/>
  <c r="N184"/>
  <c r="P183"/>
  <c r="V183" s="1"/>
  <c r="P182"/>
  <c r="C184"/>
  <c r="P333" i="3"/>
  <c r="V333" s="1"/>
  <c r="P326"/>
  <c r="V326" s="1"/>
  <c r="Z326" s="1"/>
  <c r="P325"/>
  <c r="V325"/>
  <c r="Z325" s="1"/>
  <c r="P324"/>
  <c r="V324" s="1"/>
  <c r="P323"/>
  <c r="V323" s="1"/>
  <c r="P322"/>
  <c r="V322" s="1"/>
  <c r="Z322" s="1"/>
  <c r="P321"/>
  <c r="V321"/>
  <c r="Z321" s="1"/>
  <c r="P320"/>
  <c r="V320" s="1"/>
  <c r="O331"/>
  <c r="Q331"/>
  <c r="R331"/>
  <c r="R333" s="1"/>
  <c r="R339"/>
  <c r="S331"/>
  <c r="S333"/>
  <c r="S339" s="1"/>
  <c r="S341" s="1"/>
  <c r="T331"/>
  <c r="U331"/>
  <c r="N331"/>
  <c r="C331"/>
  <c r="P298"/>
  <c r="V298"/>
  <c r="AB298"/>
  <c r="P91" i="1"/>
  <c r="V91" s="1"/>
  <c r="Z91" s="1"/>
  <c r="P100" i="5"/>
  <c r="V100"/>
  <c r="Z100" s="1"/>
  <c r="P44" i="8"/>
  <c r="V44" s="1"/>
  <c r="Z44" s="1"/>
  <c r="N110" i="3"/>
  <c r="AB109"/>
  <c r="O110"/>
  <c r="P110"/>
  <c r="Q110"/>
  <c r="R110"/>
  <c r="S110"/>
  <c r="T110"/>
  <c r="U110"/>
  <c r="C110"/>
  <c r="P194" i="5"/>
  <c r="P193"/>
  <c r="V193" s="1"/>
  <c r="Z193"/>
  <c r="P252" i="1"/>
  <c r="P251"/>
  <c r="V251" s="1"/>
  <c r="P193"/>
  <c r="AB193" s="1"/>
  <c r="P253" i="4"/>
  <c r="V253" s="1"/>
  <c r="Z253" s="1"/>
  <c r="P254"/>
  <c r="AB254"/>
  <c r="P255"/>
  <c r="AB255"/>
  <c r="P256"/>
  <c r="AB256"/>
  <c r="P257"/>
  <c r="V257"/>
  <c r="Z257" s="1"/>
  <c r="U88" i="3"/>
  <c r="T88"/>
  <c r="S88"/>
  <c r="R88"/>
  <c r="Q88"/>
  <c r="P88"/>
  <c r="O88"/>
  <c r="N88"/>
  <c r="AB87"/>
  <c r="AB90"/>
  <c r="U91"/>
  <c r="T91"/>
  <c r="S91"/>
  <c r="R91"/>
  <c r="Q91"/>
  <c r="P91"/>
  <c r="O91"/>
  <c r="N91"/>
  <c r="C91"/>
  <c r="AB52"/>
  <c r="U53"/>
  <c r="T53"/>
  <c r="S53"/>
  <c r="S128" s="1"/>
  <c r="S358" s="1"/>
  <c r="R53"/>
  <c r="Q53"/>
  <c r="Q128" s="1"/>
  <c r="P53"/>
  <c r="O53"/>
  <c r="N53"/>
  <c r="N128" s="1"/>
  <c r="N358" s="1"/>
  <c r="C53"/>
  <c r="P20" i="6"/>
  <c r="V20" s="1"/>
  <c r="P291" i="3"/>
  <c r="V291" s="1"/>
  <c r="Z291"/>
  <c r="O287"/>
  <c r="Q287"/>
  <c r="Q305" s="1"/>
  <c r="R287"/>
  <c r="S287"/>
  <c r="S305" s="1"/>
  <c r="T287"/>
  <c r="U287"/>
  <c r="U305" s="1"/>
  <c r="N287"/>
  <c r="P286"/>
  <c r="V286" s="1"/>
  <c r="Z286" s="1"/>
  <c r="P281"/>
  <c r="V281"/>
  <c r="Z281" s="1"/>
  <c r="U170"/>
  <c r="T170"/>
  <c r="S170"/>
  <c r="R170"/>
  <c r="Q170"/>
  <c r="O170"/>
  <c r="N170"/>
  <c r="P169"/>
  <c r="AB169"/>
  <c r="C170"/>
  <c r="AB86"/>
  <c r="X16" i="17"/>
  <c r="C303" i="3"/>
  <c r="P297"/>
  <c r="V297"/>
  <c r="AB297"/>
  <c r="C4" i="19"/>
  <c r="F404" i="4"/>
  <c r="E404"/>
  <c r="G391"/>
  <c r="P403"/>
  <c r="V403" s="1"/>
  <c r="P391"/>
  <c r="G378"/>
  <c r="G404" s="1"/>
  <c r="G333" i="3"/>
  <c r="G339" s="1"/>
  <c r="G319"/>
  <c r="G331" s="1"/>
  <c r="F341"/>
  <c r="E341"/>
  <c r="A341"/>
  <c r="Q333"/>
  <c r="Q339"/>
  <c r="Q341" s="1"/>
  <c r="P334"/>
  <c r="AB334" s="1"/>
  <c r="P340"/>
  <c r="V340" s="1"/>
  <c r="P332"/>
  <c r="V332" s="1"/>
  <c r="AH332"/>
  <c r="P319"/>
  <c r="P178" i="2"/>
  <c r="V178" s="1"/>
  <c r="Z178" s="1"/>
  <c r="O180"/>
  <c r="P115"/>
  <c r="P73" i="1"/>
  <c r="V73"/>
  <c r="Z73" s="1"/>
  <c r="P241"/>
  <c r="V241" s="1"/>
  <c r="Z241" s="1"/>
  <c r="U211" i="5"/>
  <c r="T211"/>
  <c r="S211"/>
  <c r="R211"/>
  <c r="Q211"/>
  <c r="U182"/>
  <c r="T182"/>
  <c r="S182"/>
  <c r="R182"/>
  <c r="Q182"/>
  <c r="O182"/>
  <c r="U173"/>
  <c r="T173"/>
  <c r="S173"/>
  <c r="R173"/>
  <c r="Q173"/>
  <c r="O173"/>
  <c r="U167"/>
  <c r="T167"/>
  <c r="S167"/>
  <c r="R167"/>
  <c r="Q167"/>
  <c r="O167"/>
  <c r="U102"/>
  <c r="T102"/>
  <c r="S102"/>
  <c r="R102"/>
  <c r="Q102"/>
  <c r="U50"/>
  <c r="T50"/>
  <c r="S50"/>
  <c r="R50"/>
  <c r="Q50"/>
  <c r="P252" i="4"/>
  <c r="V252" s="1"/>
  <c r="Z252"/>
  <c r="P250"/>
  <c r="AB250"/>
  <c r="P251"/>
  <c r="V251"/>
  <c r="Z251" s="1"/>
  <c r="P244"/>
  <c r="AB244" s="1"/>
  <c r="P245"/>
  <c r="V245" s="1"/>
  <c r="P246"/>
  <c r="V246" s="1"/>
  <c r="Z246"/>
  <c r="P247"/>
  <c r="AB247"/>
  <c r="P248"/>
  <c r="V248"/>
  <c r="Z248" s="1"/>
  <c r="P249"/>
  <c r="AB249" s="1"/>
  <c r="P243"/>
  <c r="AB243" s="1"/>
  <c r="P265" i="3"/>
  <c r="AB85"/>
  <c r="C88"/>
  <c r="P72" i="1"/>
  <c r="AB72"/>
  <c r="P264" i="3"/>
  <c r="V264"/>
  <c r="Z264" s="1"/>
  <c r="P263"/>
  <c r="O176"/>
  <c r="N176"/>
  <c r="E176"/>
  <c r="E184"/>
  <c r="F176"/>
  <c r="F184"/>
  <c r="P242" i="4"/>
  <c r="AB242"/>
  <c r="P241"/>
  <c r="AB241"/>
  <c r="P240"/>
  <c r="AB240"/>
  <c r="P239"/>
  <c r="AB239"/>
  <c r="Z239"/>
  <c r="P266" i="1"/>
  <c r="P268" s="1"/>
  <c r="P270" s="1"/>
  <c r="U176"/>
  <c r="U216"/>
  <c r="T176"/>
  <c r="T216"/>
  <c r="S176"/>
  <c r="S216"/>
  <c r="R176"/>
  <c r="R216"/>
  <c r="Q176"/>
  <c r="Q216"/>
  <c r="O176"/>
  <c r="N176"/>
  <c r="P175"/>
  <c r="V175"/>
  <c r="Z175" s="1"/>
  <c r="C176"/>
  <c r="P90"/>
  <c r="V90"/>
  <c r="Z90" s="1"/>
  <c r="P110" i="2"/>
  <c r="V110" s="1"/>
  <c r="Z110" s="1"/>
  <c r="P43" i="4"/>
  <c r="V43"/>
  <c r="U182" i="3"/>
  <c r="T182"/>
  <c r="S182"/>
  <c r="R182"/>
  <c r="Q182"/>
  <c r="O182"/>
  <c r="N182"/>
  <c r="P181"/>
  <c r="P131" i="2"/>
  <c r="U132"/>
  <c r="T132"/>
  <c r="S132"/>
  <c r="R132"/>
  <c r="Q132"/>
  <c r="O132"/>
  <c r="N132"/>
  <c r="P136"/>
  <c r="V136"/>
  <c r="Z136" s="1"/>
  <c r="N35" i="8"/>
  <c r="P34"/>
  <c r="V34"/>
  <c r="Z34" s="1"/>
  <c r="AB34"/>
  <c r="O35"/>
  <c r="Q35"/>
  <c r="Q56" s="1"/>
  <c r="Q57" s="1"/>
  <c r="R35"/>
  <c r="S35"/>
  <c r="T35"/>
  <c r="U35"/>
  <c r="U56" s="1"/>
  <c r="U57" s="1"/>
  <c r="P33"/>
  <c r="V33"/>
  <c r="Z33" s="1"/>
  <c r="P32"/>
  <c r="V32" s="1"/>
  <c r="Z32" s="1"/>
  <c r="P31"/>
  <c r="V31"/>
  <c r="P30"/>
  <c r="C35"/>
  <c r="P165" i="3"/>
  <c r="V165" s="1"/>
  <c r="Z165"/>
  <c r="P160"/>
  <c r="P159"/>
  <c r="V159" s="1"/>
  <c r="Z159" s="1"/>
  <c r="U158"/>
  <c r="T158"/>
  <c r="S158"/>
  <c r="S184" s="1"/>
  <c r="R158"/>
  <c r="Q158"/>
  <c r="Q184" s="1"/>
  <c r="O158"/>
  <c r="N158"/>
  <c r="P157"/>
  <c r="C158"/>
  <c r="O48" i="8"/>
  <c r="P43"/>
  <c r="P211" i="2"/>
  <c r="Z211"/>
  <c r="P140"/>
  <c r="V140"/>
  <c r="C143"/>
  <c r="U209"/>
  <c r="T209"/>
  <c r="S209"/>
  <c r="S217" s="1"/>
  <c r="R209"/>
  <c r="R217" s="1"/>
  <c r="Q209"/>
  <c r="O209"/>
  <c r="O217"/>
  <c r="N209"/>
  <c r="C209"/>
  <c r="P208"/>
  <c r="Z208"/>
  <c r="V208"/>
  <c r="P89" i="1"/>
  <c r="AH229" i="3"/>
  <c r="AY24" i="8"/>
  <c r="AT24"/>
  <c r="AW24" s="1"/>
  <c r="AW16"/>
  <c r="Q207" i="5"/>
  <c r="R207"/>
  <c r="S207"/>
  <c r="T207"/>
  <c r="U207"/>
  <c r="AG104"/>
  <c r="AG95"/>
  <c r="AG44"/>
  <c r="AD44"/>
  <c r="AG21"/>
  <c r="P238" i="4"/>
  <c r="AX238"/>
  <c r="P192" i="1"/>
  <c r="P191"/>
  <c r="V191" s="1"/>
  <c r="P231" i="4"/>
  <c r="AB231" s="1"/>
  <c r="P232"/>
  <c r="V232" s="1"/>
  <c r="Z232"/>
  <c r="P233"/>
  <c r="V233"/>
  <c r="Z233" s="1"/>
  <c r="P234"/>
  <c r="V234" s="1"/>
  <c r="Z234"/>
  <c r="P235"/>
  <c r="AB235"/>
  <c r="P236"/>
  <c r="V236"/>
  <c r="Z236" s="1"/>
  <c r="P237"/>
  <c r="V237" s="1"/>
  <c r="P225"/>
  <c r="AB225" s="1"/>
  <c r="P226"/>
  <c r="AB226"/>
  <c r="P227"/>
  <c r="V227"/>
  <c r="Z227" s="1"/>
  <c r="P228"/>
  <c r="V228" s="1"/>
  <c r="Z228"/>
  <c r="P229"/>
  <c r="AB229"/>
  <c r="P230"/>
  <c r="AB230"/>
  <c r="P222"/>
  <c r="V222"/>
  <c r="Z222" s="1"/>
  <c r="P223"/>
  <c r="V223" s="1"/>
  <c r="Z223"/>
  <c r="P224"/>
  <c r="AB224"/>
  <c r="P217"/>
  <c r="AB217"/>
  <c r="P218"/>
  <c r="V218"/>
  <c r="Z218" s="1"/>
  <c r="P219"/>
  <c r="V219" s="1"/>
  <c r="Z219"/>
  <c r="P220"/>
  <c r="AB220"/>
  <c r="P221"/>
  <c r="AB221"/>
  <c r="P216"/>
  <c r="V216"/>
  <c r="Z216" s="1"/>
  <c r="P180" i="3"/>
  <c r="P139" i="2"/>
  <c r="V139"/>
  <c r="Z139" s="1"/>
  <c r="Z143"/>
  <c r="AG76" i="1"/>
  <c r="P215" i="4"/>
  <c r="AB215" s="1"/>
  <c r="P214"/>
  <c r="V214" s="1"/>
  <c r="P290" i="3"/>
  <c r="V290" s="1"/>
  <c r="Z290" s="1"/>
  <c r="O292"/>
  <c r="Q292"/>
  <c r="R292"/>
  <c r="S292"/>
  <c r="T292"/>
  <c r="U292"/>
  <c r="N292"/>
  <c r="N305" s="1"/>
  <c r="P289"/>
  <c r="P292"/>
  <c r="V289"/>
  <c r="V292"/>
  <c r="C292"/>
  <c r="P262"/>
  <c r="AB262" s="1"/>
  <c r="P261"/>
  <c r="V261"/>
  <c r="Z261" s="1"/>
  <c r="P260"/>
  <c r="AB260" s="1"/>
  <c r="P259"/>
  <c r="AB259" s="1"/>
  <c r="P42" i="4"/>
  <c r="P41"/>
  <c r="V41"/>
  <c r="AW41" s="1"/>
  <c r="P243" i="3"/>
  <c r="V243" s="1"/>
  <c r="Z243" s="1"/>
  <c r="P242"/>
  <c r="V242"/>
  <c r="Z242" s="1"/>
  <c r="O250"/>
  <c r="O277" s="1"/>
  <c r="Q250"/>
  <c r="R250"/>
  <c r="R277" s="1"/>
  <c r="S250"/>
  <c r="T250"/>
  <c r="T277" s="1"/>
  <c r="U250"/>
  <c r="N250"/>
  <c r="N277" s="1"/>
  <c r="P241"/>
  <c r="P296"/>
  <c r="P303" s="1"/>
  <c r="AB303" s="1"/>
  <c r="P179"/>
  <c r="AB179"/>
  <c r="P250" i="1"/>
  <c r="V250"/>
  <c r="Z250" s="1"/>
  <c r="AE145" i="2"/>
  <c r="AE129"/>
  <c r="AI89"/>
  <c r="AJ48"/>
  <c r="AH40"/>
  <c r="AH36"/>
  <c r="AH34"/>
  <c r="AH30"/>
  <c r="AH28"/>
  <c r="AJ26"/>
  <c r="AJ22"/>
  <c r="O224" i="3"/>
  <c r="P223"/>
  <c r="V223"/>
  <c r="Z223" s="1"/>
  <c r="N224"/>
  <c r="O210"/>
  <c r="Q210"/>
  <c r="R210"/>
  <c r="S210"/>
  <c r="T210"/>
  <c r="U210"/>
  <c r="O219"/>
  <c r="O226" s="1"/>
  <c r="Q219"/>
  <c r="R219"/>
  <c r="S219"/>
  <c r="T219"/>
  <c r="U219"/>
  <c r="N219"/>
  <c r="P216"/>
  <c r="V216"/>
  <c r="Z216" s="1"/>
  <c r="P209"/>
  <c r="AB209" s="1"/>
  <c r="C182"/>
  <c r="P178"/>
  <c r="Z36"/>
  <c r="P42" i="8"/>
  <c r="C48"/>
  <c r="P240" i="3"/>
  <c r="AB240"/>
  <c r="O189" i="5"/>
  <c r="Q189"/>
  <c r="R189"/>
  <c r="S189"/>
  <c r="T189"/>
  <c r="U189"/>
  <c r="N189"/>
  <c r="P188"/>
  <c r="C189"/>
  <c r="C315" i="3"/>
  <c r="P313"/>
  <c r="V313"/>
  <c r="Z313" s="1"/>
  <c r="N211" i="5"/>
  <c r="O211"/>
  <c r="P210"/>
  <c r="V210" s="1"/>
  <c r="Z210" s="1"/>
  <c r="K25" i="16"/>
  <c r="I23"/>
  <c r="F23"/>
  <c r="E23" s="1"/>
  <c r="O145" i="3"/>
  <c r="Q145"/>
  <c r="R145"/>
  <c r="S145"/>
  <c r="T145"/>
  <c r="U145"/>
  <c r="N145"/>
  <c r="U138"/>
  <c r="T138"/>
  <c r="S138"/>
  <c r="R138"/>
  <c r="Q138"/>
  <c r="O138"/>
  <c r="P26" i="1"/>
  <c r="V26"/>
  <c r="Z26" s="1"/>
  <c r="P211" i="4"/>
  <c r="V211" s="1"/>
  <c r="Z211" s="1"/>
  <c r="P212"/>
  <c r="AB212"/>
  <c r="P213"/>
  <c r="V213"/>
  <c r="Z213" s="1"/>
  <c r="P210"/>
  <c r="V210" s="1"/>
  <c r="Z210" s="1"/>
  <c r="N173" i="5"/>
  <c r="Z222" i="1"/>
  <c r="Z223"/>
  <c r="Z224"/>
  <c r="Z225"/>
  <c r="Z226"/>
  <c r="Z227"/>
  <c r="Z213"/>
  <c r="P207" i="4"/>
  <c r="V207"/>
  <c r="Z207" s="1"/>
  <c r="P208"/>
  <c r="AB208" s="1"/>
  <c r="P209"/>
  <c r="AB209" s="1"/>
  <c r="P205"/>
  <c r="AB205" s="1"/>
  <c r="P206"/>
  <c r="N182" i="5"/>
  <c r="P181"/>
  <c r="P180"/>
  <c r="P14" i="18"/>
  <c r="P239" i="3"/>
  <c r="V239"/>
  <c r="Z239" s="1"/>
  <c r="P192" i="5"/>
  <c r="P195" s="1"/>
  <c r="C195"/>
  <c r="P238" i="3"/>
  <c r="AH238" s="1"/>
  <c r="AL134" i="5"/>
  <c r="AM134" s="1"/>
  <c r="P95"/>
  <c r="AB95" s="1"/>
  <c r="O50"/>
  <c r="P21"/>
  <c r="AB21" s="1"/>
  <c r="C137" i="2"/>
  <c r="O137"/>
  <c r="Q137"/>
  <c r="R137"/>
  <c r="S137"/>
  <c r="T137"/>
  <c r="U137"/>
  <c r="N137"/>
  <c r="P135"/>
  <c r="V135" s="1"/>
  <c r="Z135"/>
  <c r="P258" i="3"/>
  <c r="AB258"/>
  <c r="P257"/>
  <c r="AB257"/>
  <c r="P284"/>
  <c r="P285"/>
  <c r="V285" s="1"/>
  <c r="Z285" s="1"/>
  <c r="C287"/>
  <c r="P159" i="5"/>
  <c r="V159" s="1"/>
  <c r="Z159"/>
  <c r="P186" i="1"/>
  <c r="V186"/>
  <c r="Z186" s="1"/>
  <c r="P312" i="3"/>
  <c r="V312" s="1"/>
  <c r="O310"/>
  <c r="Q310"/>
  <c r="R310"/>
  <c r="R318" s="1"/>
  <c r="S310"/>
  <c r="T310"/>
  <c r="U310"/>
  <c r="P308"/>
  <c r="C310"/>
  <c r="F318"/>
  <c r="E318"/>
  <c r="A318"/>
  <c r="V317"/>
  <c r="P317"/>
  <c r="AB317"/>
  <c r="AB316"/>
  <c r="G312"/>
  <c r="G315" s="1"/>
  <c r="P311"/>
  <c r="AB311" s="1"/>
  <c r="P307"/>
  <c r="V307" s="1"/>
  <c r="Z307"/>
  <c r="G307"/>
  <c r="P130" i="2"/>
  <c r="AB130" s="1"/>
  <c r="P134"/>
  <c r="P146" i="1"/>
  <c r="P283" i="3"/>
  <c r="V283" s="1"/>
  <c r="Z283"/>
  <c r="Z287" s="1"/>
  <c r="P179" i="5"/>
  <c r="V179"/>
  <c r="AG179" s="1"/>
  <c r="P29" i="6"/>
  <c r="V29"/>
  <c r="V33" s="1"/>
  <c r="V34" s="1"/>
  <c r="P31"/>
  <c r="V31"/>
  <c r="P30"/>
  <c r="V30"/>
  <c r="AS33"/>
  <c r="AR33"/>
  <c r="AQ33"/>
  <c r="AP33"/>
  <c r="AO33"/>
  <c r="AN33"/>
  <c r="AM33"/>
  <c r="AL33"/>
  <c r="Z33"/>
  <c r="U33"/>
  <c r="T33"/>
  <c r="S33"/>
  <c r="R33"/>
  <c r="Q33"/>
  <c r="O33"/>
  <c r="O34"/>
  <c r="N33"/>
  <c r="F33"/>
  <c r="E33"/>
  <c r="A33"/>
  <c r="G31"/>
  <c r="G30"/>
  <c r="G29"/>
  <c r="AB29"/>
  <c r="AB32"/>
  <c r="P85" i="1"/>
  <c r="P86"/>
  <c r="V86" s="1"/>
  <c r="P87"/>
  <c r="AB87" s="1"/>
  <c r="P88"/>
  <c r="V88" s="1"/>
  <c r="O190" i="2"/>
  <c r="O194" s="1"/>
  <c r="N190"/>
  <c r="P189"/>
  <c r="AJ189" s="1"/>
  <c r="C190"/>
  <c r="F27" i="6"/>
  <c r="E27"/>
  <c r="O27"/>
  <c r="Q27"/>
  <c r="R27"/>
  <c r="S27"/>
  <c r="T27"/>
  <c r="T34" s="1"/>
  <c r="U27"/>
  <c r="N27"/>
  <c r="N34"/>
  <c r="P21"/>
  <c r="V21"/>
  <c r="P197" i="4"/>
  <c r="AB197"/>
  <c r="P198"/>
  <c r="V198"/>
  <c r="Z198" s="1"/>
  <c r="P199"/>
  <c r="V199" s="1"/>
  <c r="Z199" s="1"/>
  <c r="P200"/>
  <c r="AB200"/>
  <c r="P201"/>
  <c r="P202"/>
  <c r="P203"/>
  <c r="AB203"/>
  <c r="P204"/>
  <c r="AB204"/>
  <c r="P196"/>
  <c r="V196"/>
  <c r="Z196" s="1"/>
  <c r="P190"/>
  <c r="V190" s="1"/>
  <c r="Z190" s="1"/>
  <c r="P191"/>
  <c r="AB191"/>
  <c r="P192"/>
  <c r="V192"/>
  <c r="Z192" s="1"/>
  <c r="P193"/>
  <c r="AB193" s="1"/>
  <c r="P194"/>
  <c r="P195"/>
  <c r="V195"/>
  <c r="Z195" s="1"/>
  <c r="P185"/>
  <c r="V185" s="1"/>
  <c r="Z185" s="1"/>
  <c r="P186"/>
  <c r="V186"/>
  <c r="Z186" s="1"/>
  <c r="P187"/>
  <c r="V187" s="1"/>
  <c r="Z187" s="1"/>
  <c r="P188"/>
  <c r="AB188"/>
  <c r="P189"/>
  <c r="V189"/>
  <c r="Z189" s="1"/>
  <c r="P237" i="3"/>
  <c r="V237" s="1"/>
  <c r="Z237" s="1"/>
  <c r="O202" i="1"/>
  <c r="N202"/>
  <c r="P190"/>
  <c r="V190" s="1"/>
  <c r="AE190"/>
  <c r="O74"/>
  <c r="Q74"/>
  <c r="Q129" s="1"/>
  <c r="Q283" s="1"/>
  <c r="R74"/>
  <c r="S74"/>
  <c r="T74"/>
  <c r="U74"/>
  <c r="N74"/>
  <c r="P71"/>
  <c r="AB71" s="1"/>
  <c r="C74"/>
  <c r="P145"/>
  <c r="O148"/>
  <c r="Q148"/>
  <c r="R148"/>
  <c r="S148"/>
  <c r="T148"/>
  <c r="U148"/>
  <c r="N148"/>
  <c r="P125"/>
  <c r="AB125"/>
  <c r="F217" i="2"/>
  <c r="E217"/>
  <c r="G211"/>
  <c r="BB217"/>
  <c r="BA217"/>
  <c r="AZ217"/>
  <c r="AY217"/>
  <c r="AX217"/>
  <c r="AW217"/>
  <c r="AV217"/>
  <c r="AU217"/>
  <c r="P207"/>
  <c r="Z207" s="1"/>
  <c r="Z209"/>
  <c r="G207"/>
  <c r="P203"/>
  <c r="Z203" s="1"/>
  <c r="Z205" s="1"/>
  <c r="Z217" s="1"/>
  <c r="G203"/>
  <c r="P236" i="3"/>
  <c r="AB236" s="1"/>
  <c r="P215"/>
  <c r="V215" s="1"/>
  <c r="AH215" s="1"/>
  <c r="P64" i="1"/>
  <c r="AB64" s="1"/>
  <c r="P256" i="3"/>
  <c r="AB256" s="1"/>
  <c r="P255"/>
  <c r="V255" s="1"/>
  <c r="P254"/>
  <c r="AB254" s="1"/>
  <c r="P253"/>
  <c r="AB253" s="1"/>
  <c r="P252"/>
  <c r="V252" s="1"/>
  <c r="Z252" s="1"/>
  <c r="P251"/>
  <c r="V251"/>
  <c r="AH251" s="1"/>
  <c r="Q202" i="5"/>
  <c r="R202"/>
  <c r="S202"/>
  <c r="T202"/>
  <c r="U202"/>
  <c r="U223" s="1"/>
  <c r="U224" s="1"/>
  <c r="P200"/>
  <c r="P199"/>
  <c r="V199" s="1"/>
  <c r="Z199" s="1"/>
  <c r="P182" i="4"/>
  <c r="AB182"/>
  <c r="P183"/>
  <c r="AB183"/>
  <c r="P184"/>
  <c r="V184"/>
  <c r="Z184" s="1"/>
  <c r="P26"/>
  <c r="AB26" s="1"/>
  <c r="P180"/>
  <c r="AB180" s="1"/>
  <c r="P181"/>
  <c r="V181" s="1"/>
  <c r="Z181" s="1"/>
  <c r="P176"/>
  <c r="V176"/>
  <c r="Z176" s="1"/>
  <c r="P177"/>
  <c r="AB177" s="1"/>
  <c r="P178"/>
  <c r="V178" s="1"/>
  <c r="Z178"/>
  <c r="P179"/>
  <c r="P174"/>
  <c r="V174" s="1"/>
  <c r="Z174" s="1"/>
  <c r="P175"/>
  <c r="V175"/>
  <c r="Z175" s="1"/>
  <c r="AB161" i="1"/>
  <c r="P207"/>
  <c r="N214"/>
  <c r="P84"/>
  <c r="AB84"/>
  <c r="AB282" i="3"/>
  <c r="AB288"/>
  <c r="AB293"/>
  <c r="AB295"/>
  <c r="F305"/>
  <c r="H305"/>
  <c r="E305"/>
  <c r="G296"/>
  <c r="G303" s="1"/>
  <c r="G294"/>
  <c r="AB294" s="1"/>
  <c r="G289"/>
  <c r="AB289" s="1"/>
  <c r="G283"/>
  <c r="G287" s="1"/>
  <c r="G281"/>
  <c r="AB281" s="1"/>
  <c r="A305"/>
  <c r="V304"/>
  <c r="P304"/>
  <c r="AB304"/>
  <c r="P280"/>
  <c r="AB280"/>
  <c r="P279"/>
  <c r="V279"/>
  <c r="Z279" s="1"/>
  <c r="AB279"/>
  <c r="G279"/>
  <c r="P125"/>
  <c r="AB125" s="1"/>
  <c r="P168"/>
  <c r="V168" s="1"/>
  <c r="V170" s="1"/>
  <c r="P177"/>
  <c r="V177"/>
  <c r="P173" i="4"/>
  <c r="V173"/>
  <c r="Z173" s="1"/>
  <c r="AB173"/>
  <c r="P171"/>
  <c r="AB171"/>
  <c r="N102" i="5"/>
  <c r="F102"/>
  <c r="E102"/>
  <c r="AB94"/>
  <c r="AB93"/>
  <c r="AB92"/>
  <c r="AB91"/>
  <c r="AB90"/>
  <c r="AB89"/>
  <c r="P46" i="1"/>
  <c r="AB46" s="1"/>
  <c r="P45"/>
  <c r="AB45" s="1"/>
  <c r="P44"/>
  <c r="AB44" s="1"/>
  <c r="P43"/>
  <c r="V43" s="1"/>
  <c r="Z43" s="1"/>
  <c r="AB57"/>
  <c r="AB50"/>
  <c r="AB49"/>
  <c r="AB48"/>
  <c r="AB47"/>
  <c r="P29" i="3"/>
  <c r="V29" s="1"/>
  <c r="Z29"/>
  <c r="P28"/>
  <c r="AB28"/>
  <c r="P43" i="5"/>
  <c r="P42"/>
  <c r="AB42" s="1"/>
  <c r="P20"/>
  <c r="P83" i="1"/>
  <c r="AB83"/>
  <c r="P82"/>
  <c r="AB82"/>
  <c r="P81"/>
  <c r="V81"/>
  <c r="Z81" s="1"/>
  <c r="P80"/>
  <c r="V80" s="1"/>
  <c r="Z80" s="1"/>
  <c r="P79"/>
  <c r="P78"/>
  <c r="V78"/>
  <c r="Q96"/>
  <c r="R96"/>
  <c r="S96"/>
  <c r="T96"/>
  <c r="U96"/>
  <c r="N96"/>
  <c r="P77"/>
  <c r="AB77"/>
  <c r="C96"/>
  <c r="P76"/>
  <c r="V76" s="1"/>
  <c r="P63"/>
  <c r="V63" s="1"/>
  <c r="AF63" s="1"/>
  <c r="C68"/>
  <c r="P62"/>
  <c r="P70"/>
  <c r="P292" s="1"/>
  <c r="V70"/>
  <c r="P60"/>
  <c r="V60"/>
  <c r="U118" i="2"/>
  <c r="T118"/>
  <c r="S118"/>
  <c r="R118"/>
  <c r="Q118"/>
  <c r="N118"/>
  <c r="O118"/>
  <c r="P114"/>
  <c r="G14" i="18"/>
  <c r="AB14"/>
  <c r="G32" i="1"/>
  <c r="G76"/>
  <c r="AB76" s="1"/>
  <c r="G70"/>
  <c r="G74" s="1"/>
  <c r="G62"/>
  <c r="G68" s="1"/>
  <c r="G60"/>
  <c r="G287" s="1"/>
  <c r="F30"/>
  <c r="O25"/>
  <c r="O30" s="1"/>
  <c r="Q25"/>
  <c r="Q30" s="1"/>
  <c r="R25"/>
  <c r="R30" s="1"/>
  <c r="S25"/>
  <c r="S30" s="1"/>
  <c r="T25"/>
  <c r="T30" s="1"/>
  <c r="U25"/>
  <c r="N25"/>
  <c r="N30"/>
  <c r="C25"/>
  <c r="G26"/>
  <c r="P209" i="5"/>
  <c r="P24" i="4"/>
  <c r="V24" s="1"/>
  <c r="Z24"/>
  <c r="P25"/>
  <c r="V25"/>
  <c r="Z25" s="1"/>
  <c r="Z50" i="1"/>
  <c r="Z49"/>
  <c r="P23" i="4"/>
  <c r="AB23" s="1"/>
  <c r="P22"/>
  <c r="AB22" s="1"/>
  <c r="P222" i="3"/>
  <c r="AB222" s="1"/>
  <c r="Q224"/>
  <c r="R224"/>
  <c r="S224"/>
  <c r="S226" s="1"/>
  <c r="T224"/>
  <c r="T226"/>
  <c r="U224"/>
  <c r="P208" i="5"/>
  <c r="AH208" s="1"/>
  <c r="P40" i="4"/>
  <c r="AB40" s="1"/>
  <c r="P39"/>
  <c r="AB39" s="1"/>
  <c r="P36"/>
  <c r="AB36" s="1"/>
  <c r="P35"/>
  <c r="AB35" s="1"/>
  <c r="P235" i="3"/>
  <c r="V235" s="1"/>
  <c r="P170" i="4"/>
  <c r="AB170" s="1"/>
  <c r="P169"/>
  <c r="AB169" s="1"/>
  <c r="P168"/>
  <c r="AB168" s="1"/>
  <c r="P167"/>
  <c r="AB167" s="1"/>
  <c r="P166"/>
  <c r="AB166" s="1"/>
  <c r="P165"/>
  <c r="AB165" s="1"/>
  <c r="P164"/>
  <c r="AB164" s="1"/>
  <c r="P163"/>
  <c r="AB163" s="1"/>
  <c r="P162"/>
  <c r="AB162" s="1"/>
  <c r="P161"/>
  <c r="V161" s="1"/>
  <c r="Z161"/>
  <c r="N167" i="5"/>
  <c r="P166"/>
  <c r="AB166" s="1"/>
  <c r="N207"/>
  <c r="O207"/>
  <c r="P206"/>
  <c r="AB206"/>
  <c r="C207"/>
  <c r="P171"/>
  <c r="AB171" s="1"/>
  <c r="C270" i="3"/>
  <c r="O270"/>
  <c r="Q270"/>
  <c r="R270"/>
  <c r="S270"/>
  <c r="S277"/>
  <c r="T270"/>
  <c r="U270"/>
  <c r="N270"/>
  <c r="P234"/>
  <c r="C20" i="8"/>
  <c r="P16"/>
  <c r="V16"/>
  <c r="Z16" s="1"/>
  <c r="P156" i="1"/>
  <c r="AB156" s="1"/>
  <c r="P192" i="2"/>
  <c r="V192" s="1"/>
  <c r="Z192"/>
  <c r="O170" i="1"/>
  <c r="Q170"/>
  <c r="R170"/>
  <c r="S170"/>
  <c r="S172" s="1"/>
  <c r="T170"/>
  <c r="U170"/>
  <c r="U172" s="1"/>
  <c r="P169"/>
  <c r="AB169"/>
  <c r="N170"/>
  <c r="N158"/>
  <c r="N172" s="1"/>
  <c r="N210" i="3"/>
  <c r="P208"/>
  <c r="V208" s="1"/>
  <c r="Z208" s="1"/>
  <c r="P233"/>
  <c r="V233" s="1"/>
  <c r="C180" i="1"/>
  <c r="F180"/>
  <c r="O180"/>
  <c r="O216" s="1"/>
  <c r="N180"/>
  <c r="P179"/>
  <c r="AB179" s="1"/>
  <c r="P166" i="3"/>
  <c r="V166" s="1"/>
  <c r="Z166"/>
  <c r="AL151" i="5"/>
  <c r="P65"/>
  <c r="V65" s="1"/>
  <c r="Z65" s="1"/>
  <c r="P66"/>
  <c r="P160" i="4"/>
  <c r="V160" s="1"/>
  <c r="Z160"/>
  <c r="P157"/>
  <c r="V157"/>
  <c r="Z157" s="1"/>
  <c r="P158"/>
  <c r="P159"/>
  <c r="V159"/>
  <c r="Z159" s="1"/>
  <c r="O376"/>
  <c r="O405" s="1"/>
  <c r="Q376"/>
  <c r="R376"/>
  <c r="R405" s="1"/>
  <c r="S376"/>
  <c r="T376"/>
  <c r="U376"/>
  <c r="N376"/>
  <c r="P152"/>
  <c r="AB152"/>
  <c r="P153"/>
  <c r="V153"/>
  <c r="Z153" s="1"/>
  <c r="P154"/>
  <c r="AB154" s="1"/>
  <c r="P155"/>
  <c r="V155" s="1"/>
  <c r="Z155" s="1"/>
  <c r="P156"/>
  <c r="V156"/>
  <c r="Z156" s="1"/>
  <c r="P151"/>
  <c r="AB151" s="1"/>
  <c r="P150"/>
  <c r="AB150" s="1"/>
  <c r="V89" i="3"/>
  <c r="Z89" s="1"/>
  <c r="Z84"/>
  <c r="Z88" s="1"/>
  <c r="P149" i="4"/>
  <c r="AB149"/>
  <c r="Z149"/>
  <c r="P231" i="3"/>
  <c r="V231" s="1"/>
  <c r="P230"/>
  <c r="P229"/>
  <c r="AB229" s="1"/>
  <c r="P228"/>
  <c r="V228" s="1"/>
  <c r="P232"/>
  <c r="AB232" s="1"/>
  <c r="E224"/>
  <c r="C224"/>
  <c r="P221"/>
  <c r="V221"/>
  <c r="Z221" s="1"/>
  <c r="P273" i="1"/>
  <c r="V273" s="1"/>
  <c r="P129" i="2"/>
  <c r="V129" s="1"/>
  <c r="AJ129" s="1"/>
  <c r="P184"/>
  <c r="AB184"/>
  <c r="O186"/>
  <c r="Q186"/>
  <c r="Q194" s="1"/>
  <c r="R186"/>
  <c r="R194" s="1"/>
  <c r="S186"/>
  <c r="S194" s="1"/>
  <c r="T186"/>
  <c r="T194" s="1"/>
  <c r="U186"/>
  <c r="U194" s="1"/>
  <c r="N186"/>
  <c r="N194" s="1"/>
  <c r="P183"/>
  <c r="V183"/>
  <c r="Z183" s="1"/>
  <c r="C186"/>
  <c r="P214" i="3"/>
  <c r="V214" s="1"/>
  <c r="P213"/>
  <c r="AB213"/>
  <c r="C250"/>
  <c r="F277"/>
  <c r="E277"/>
  <c r="G272"/>
  <c r="AB272" s="1"/>
  <c r="G251"/>
  <c r="G270" s="1"/>
  <c r="A277"/>
  <c r="G228"/>
  <c r="G250"/>
  <c r="P128" i="2"/>
  <c r="V128"/>
  <c r="Z128" s="1"/>
  <c r="F85"/>
  <c r="A194"/>
  <c r="F194"/>
  <c r="E194"/>
  <c r="G192"/>
  <c r="BB194"/>
  <c r="BA194"/>
  <c r="AZ194"/>
  <c r="AY194"/>
  <c r="AX194"/>
  <c r="AW194"/>
  <c r="AV194"/>
  <c r="AU194"/>
  <c r="BB201"/>
  <c r="BA201"/>
  <c r="AZ201"/>
  <c r="AY201"/>
  <c r="AX201"/>
  <c r="AW201"/>
  <c r="AV201"/>
  <c r="AU201"/>
  <c r="U201"/>
  <c r="T201"/>
  <c r="S201"/>
  <c r="R201"/>
  <c r="Q201"/>
  <c r="O201"/>
  <c r="N201"/>
  <c r="F201"/>
  <c r="E201"/>
  <c r="A201"/>
  <c r="P199"/>
  <c r="G199"/>
  <c r="P198"/>
  <c r="P197"/>
  <c r="V197" s="1"/>
  <c r="Z197"/>
  <c r="G197"/>
  <c r="G201"/>
  <c r="P188"/>
  <c r="G188"/>
  <c r="G190" s="1"/>
  <c r="AB190" s="1"/>
  <c r="P187"/>
  <c r="AB187"/>
  <c r="P182"/>
  <c r="V182"/>
  <c r="Z182" s="1"/>
  <c r="G182"/>
  <c r="AX276" i="1"/>
  <c r="AW276"/>
  <c r="AV276"/>
  <c r="AU276"/>
  <c r="AT276"/>
  <c r="AS276"/>
  <c r="AR276"/>
  <c r="AQ276"/>
  <c r="U276"/>
  <c r="T276"/>
  <c r="S276"/>
  <c r="R276"/>
  <c r="Q276"/>
  <c r="O276"/>
  <c r="N276"/>
  <c r="F276"/>
  <c r="E276"/>
  <c r="A276"/>
  <c r="G274"/>
  <c r="AB274" s="1"/>
  <c r="G273"/>
  <c r="AB273" s="1"/>
  <c r="P272"/>
  <c r="V272" s="1"/>
  <c r="AF272" s="1"/>
  <c r="G272"/>
  <c r="P124"/>
  <c r="V124"/>
  <c r="AA124" s="1"/>
  <c r="P123"/>
  <c r="V123" s="1"/>
  <c r="P151" i="5"/>
  <c r="V151"/>
  <c r="O157"/>
  <c r="P104"/>
  <c r="V104" s="1"/>
  <c r="P191"/>
  <c r="P165"/>
  <c r="C264" i="1"/>
  <c r="P261"/>
  <c r="AB261"/>
  <c r="P260"/>
  <c r="V260"/>
  <c r="P259"/>
  <c r="V259"/>
  <c r="AF259" s="1"/>
  <c r="F56" i="8"/>
  <c r="F57" s="1"/>
  <c r="E56"/>
  <c r="E57" s="1"/>
  <c r="V13"/>
  <c r="Z13" s="1"/>
  <c r="P148" i="4"/>
  <c r="V148" s="1"/>
  <c r="Z148"/>
  <c r="P147"/>
  <c r="P146"/>
  <c r="V146" s="1"/>
  <c r="Z146" s="1"/>
  <c r="AB47" i="2"/>
  <c r="AB73"/>
  <c r="AB55"/>
  <c r="AB51"/>
  <c r="AB39"/>
  <c r="V102"/>
  <c r="AJ102" s="1"/>
  <c r="G13" i="6"/>
  <c r="G14"/>
  <c r="AB14"/>
  <c r="G15"/>
  <c r="P15"/>
  <c r="V15" s="1"/>
  <c r="G16"/>
  <c r="AB16" s="1"/>
  <c r="G17"/>
  <c r="P17"/>
  <c r="V17"/>
  <c r="G18"/>
  <c r="P18"/>
  <c r="G19"/>
  <c r="P19"/>
  <c r="V19" s="1"/>
  <c r="G20"/>
  <c r="G21"/>
  <c r="G22"/>
  <c r="P22"/>
  <c r="V22"/>
  <c r="G23"/>
  <c r="P23"/>
  <c r="V23" s="1"/>
  <c r="G24"/>
  <c r="AB24" s="1"/>
  <c r="P24"/>
  <c r="G25"/>
  <c r="P25"/>
  <c r="V25" s="1"/>
  <c r="G26"/>
  <c r="P26"/>
  <c r="V26"/>
  <c r="A27"/>
  <c r="AL27"/>
  <c r="AM27"/>
  <c r="AN27"/>
  <c r="AO27"/>
  <c r="AP27"/>
  <c r="AQ27"/>
  <c r="AR27"/>
  <c r="AS27"/>
  <c r="AL34"/>
  <c r="AM34"/>
  <c r="AN34"/>
  <c r="AO34"/>
  <c r="AP34"/>
  <c r="AQ34"/>
  <c r="AR34"/>
  <c r="AS34"/>
  <c r="G13" i="8"/>
  <c r="AB13" s="1"/>
  <c r="G15"/>
  <c r="P15"/>
  <c r="G22"/>
  <c r="P22"/>
  <c r="P23"/>
  <c r="V23"/>
  <c r="Z23" s="1"/>
  <c r="P24"/>
  <c r="P27" s="1"/>
  <c r="G30"/>
  <c r="AB30"/>
  <c r="G37"/>
  <c r="G39"/>
  <c r="G41"/>
  <c r="AB41"/>
  <c r="P41"/>
  <c r="P48"/>
  <c r="G50"/>
  <c r="G54"/>
  <c r="P50"/>
  <c r="AB55"/>
  <c r="A56"/>
  <c r="AL56"/>
  <c r="AM56"/>
  <c r="AN56"/>
  <c r="AO56"/>
  <c r="AP56"/>
  <c r="AQ56"/>
  <c r="AR56"/>
  <c r="AS56"/>
  <c r="AL57"/>
  <c r="AM57"/>
  <c r="AN57"/>
  <c r="AO57"/>
  <c r="AP57"/>
  <c r="AQ57"/>
  <c r="AR57"/>
  <c r="AS57"/>
  <c r="N12" i="17"/>
  <c r="N20" s="1"/>
  <c r="X12"/>
  <c r="Z12"/>
  <c r="X13"/>
  <c r="Z13"/>
  <c r="X14"/>
  <c r="Z14"/>
  <c r="X15"/>
  <c r="Z15"/>
  <c r="Z16"/>
  <c r="X17"/>
  <c r="Z17"/>
  <c r="X18"/>
  <c r="X20" s="1"/>
  <c r="I19" i="16" s="1"/>
  <c r="Z18" i="17"/>
  <c r="X19"/>
  <c r="Z19"/>
  <c r="E20"/>
  <c r="C19" i="16" s="1"/>
  <c r="L20" i="17"/>
  <c r="M20"/>
  <c r="O20"/>
  <c r="P20"/>
  <c r="Q20"/>
  <c r="R20"/>
  <c r="S20"/>
  <c r="T20"/>
  <c r="F19" i="16"/>
  <c r="AA20" i="17"/>
  <c r="AB20"/>
  <c r="AC20"/>
  <c r="AD20"/>
  <c r="AE20"/>
  <c r="AF20"/>
  <c r="AG20"/>
  <c r="AH20"/>
  <c r="AI20"/>
  <c r="AJ20"/>
  <c r="AK20"/>
  <c r="AL20"/>
  <c r="AM20"/>
  <c r="AN20"/>
  <c r="AO20"/>
  <c r="AP20"/>
  <c r="AQ20"/>
  <c r="G13" i="5"/>
  <c r="AB13" s="1"/>
  <c r="P13"/>
  <c r="V13" s="1"/>
  <c r="Z13"/>
  <c r="P14"/>
  <c r="V14"/>
  <c r="Z14" s="1"/>
  <c r="P15"/>
  <c r="V15" s="1"/>
  <c r="Z15"/>
  <c r="P16"/>
  <c r="AB16"/>
  <c r="P17"/>
  <c r="P18"/>
  <c r="AB18" s="1"/>
  <c r="P19"/>
  <c r="E27"/>
  <c r="F27"/>
  <c r="O27"/>
  <c r="Q27"/>
  <c r="R27"/>
  <c r="S27"/>
  <c r="S223" s="1"/>
  <c r="T27"/>
  <c r="T223"/>
  <c r="T224" s="1"/>
  <c r="T226" s="1"/>
  <c r="U27"/>
  <c r="G28"/>
  <c r="G50"/>
  <c r="P28"/>
  <c r="P29"/>
  <c r="AB29" s="1"/>
  <c r="P30"/>
  <c r="V30" s="1"/>
  <c r="Z30" s="1"/>
  <c r="P31"/>
  <c r="AB31"/>
  <c r="P32"/>
  <c r="P33"/>
  <c r="V33" s="1"/>
  <c r="Z33" s="1"/>
  <c r="P34"/>
  <c r="AB34"/>
  <c r="P35"/>
  <c r="P36"/>
  <c r="AB36" s="1"/>
  <c r="P37"/>
  <c r="AB37" s="1"/>
  <c r="P38"/>
  <c r="V38" s="1"/>
  <c r="Z38" s="1"/>
  <c r="P39"/>
  <c r="AB39"/>
  <c r="P40"/>
  <c r="V40"/>
  <c r="Z40" s="1"/>
  <c r="P41"/>
  <c r="V41" s="1"/>
  <c r="Z41" s="1"/>
  <c r="E50"/>
  <c r="F50"/>
  <c r="N50"/>
  <c r="G51"/>
  <c r="P51"/>
  <c r="V51"/>
  <c r="Z51" s="1"/>
  <c r="P52"/>
  <c r="V52" s="1"/>
  <c r="P53"/>
  <c r="P54"/>
  <c r="AB54" s="1"/>
  <c r="P55"/>
  <c r="P56"/>
  <c r="AB56" s="1"/>
  <c r="P57"/>
  <c r="V57" s="1"/>
  <c r="Z57"/>
  <c r="P58"/>
  <c r="V58"/>
  <c r="Z58" s="1"/>
  <c r="P63"/>
  <c r="AB63" s="1"/>
  <c r="P64"/>
  <c r="AB64" s="1"/>
  <c r="O67"/>
  <c r="AB68"/>
  <c r="AB69"/>
  <c r="AB70"/>
  <c r="AB71"/>
  <c r="AB72"/>
  <c r="O75"/>
  <c r="P75" s="1"/>
  <c r="AB75"/>
  <c r="AB76"/>
  <c r="AB77"/>
  <c r="AB78"/>
  <c r="AB79"/>
  <c r="AB81"/>
  <c r="O87"/>
  <c r="P87" s="1"/>
  <c r="AB87" s="1"/>
  <c r="AB88"/>
  <c r="G104"/>
  <c r="G110"/>
  <c r="G157"/>
  <c r="P110"/>
  <c r="P118"/>
  <c r="P126"/>
  <c r="AB126"/>
  <c r="P134"/>
  <c r="P142"/>
  <c r="AB142" s="1"/>
  <c r="P150"/>
  <c r="AB150" s="1"/>
  <c r="E157"/>
  <c r="E223" s="1"/>
  <c r="E224"/>
  <c r="F157"/>
  <c r="G159"/>
  <c r="G161"/>
  <c r="P161"/>
  <c r="V161" s="1"/>
  <c r="P162"/>
  <c r="V162"/>
  <c r="Z162" s="1"/>
  <c r="P163"/>
  <c r="V163" s="1"/>
  <c r="Z163"/>
  <c r="P164"/>
  <c r="C167"/>
  <c r="G168"/>
  <c r="G173"/>
  <c r="P168"/>
  <c r="P169"/>
  <c r="V169" s="1"/>
  <c r="Z169" s="1"/>
  <c r="P170"/>
  <c r="C173"/>
  <c r="E173"/>
  <c r="G175"/>
  <c r="G182" s="1"/>
  <c r="P175"/>
  <c r="V175" s="1"/>
  <c r="Z175" s="1"/>
  <c r="P176"/>
  <c r="AB176"/>
  <c r="P177"/>
  <c r="V177"/>
  <c r="Z177" s="1"/>
  <c r="P178"/>
  <c r="AB178" s="1"/>
  <c r="E182"/>
  <c r="F182"/>
  <c r="G183"/>
  <c r="P183"/>
  <c r="V183" s="1"/>
  <c r="AA184" s="1"/>
  <c r="G187"/>
  <c r="G189" s="1"/>
  <c r="P187"/>
  <c r="V187" s="1"/>
  <c r="Z187" s="1"/>
  <c r="Z189" s="1"/>
  <c r="G191"/>
  <c r="AB191"/>
  <c r="G197"/>
  <c r="P197"/>
  <c r="V197" s="1"/>
  <c r="Z197"/>
  <c r="P198"/>
  <c r="AG198"/>
  <c r="C202"/>
  <c r="N202"/>
  <c r="G204"/>
  <c r="P204"/>
  <c r="AH204" s="1"/>
  <c r="G208"/>
  <c r="G213"/>
  <c r="AB213" s="1"/>
  <c r="V213"/>
  <c r="G215"/>
  <c r="P215"/>
  <c r="AB215" s="1"/>
  <c r="G217"/>
  <c r="AB217" s="1"/>
  <c r="P217"/>
  <c r="G219"/>
  <c r="AB219" s="1"/>
  <c r="V219"/>
  <c r="Z219" s="1"/>
  <c r="G221"/>
  <c r="AB221" s="1"/>
  <c r="V221"/>
  <c r="Z221" s="1"/>
  <c r="P222"/>
  <c r="V222" s="1"/>
  <c r="A223"/>
  <c r="G13" i="4"/>
  <c r="P13"/>
  <c r="V13" s="1"/>
  <c r="Z13"/>
  <c r="P14"/>
  <c r="V14"/>
  <c r="Z14" s="1"/>
  <c r="P15"/>
  <c r="V15" s="1"/>
  <c r="Z15"/>
  <c r="P16"/>
  <c r="V16"/>
  <c r="Z16" s="1"/>
  <c r="P17"/>
  <c r="AB17"/>
  <c r="P18"/>
  <c r="AB18"/>
  <c r="P19"/>
  <c r="AB19"/>
  <c r="P20"/>
  <c r="AB21"/>
  <c r="P27"/>
  <c r="V27"/>
  <c r="P28"/>
  <c r="P29"/>
  <c r="V29" s="1"/>
  <c r="Z29" s="1"/>
  <c r="P30"/>
  <c r="AB30"/>
  <c r="P31"/>
  <c r="AB31"/>
  <c r="P32"/>
  <c r="P33"/>
  <c r="V33" s="1"/>
  <c r="Z33"/>
  <c r="P34"/>
  <c r="AB34"/>
  <c r="P37"/>
  <c r="AB37"/>
  <c r="P38"/>
  <c r="AB38"/>
  <c r="P55"/>
  <c r="AB55"/>
  <c r="A56"/>
  <c r="E56"/>
  <c r="E405" s="1"/>
  <c r="F56"/>
  <c r="N56"/>
  <c r="O56"/>
  <c r="Q56"/>
  <c r="R56"/>
  <c r="S56"/>
  <c r="T56"/>
  <c r="U56"/>
  <c r="U405"/>
  <c r="AL56"/>
  <c r="AM56"/>
  <c r="AN56"/>
  <c r="AO56"/>
  <c r="AP56"/>
  <c r="AQ56"/>
  <c r="AR56"/>
  <c r="AS56"/>
  <c r="G58"/>
  <c r="P58"/>
  <c r="AB58" s="1"/>
  <c r="V58"/>
  <c r="P59"/>
  <c r="V59"/>
  <c r="Z59" s="1"/>
  <c r="P60"/>
  <c r="V60" s="1"/>
  <c r="Z60"/>
  <c r="P61"/>
  <c r="V61"/>
  <c r="Z61" s="1"/>
  <c r="P62"/>
  <c r="AB62" s="1"/>
  <c r="P63"/>
  <c r="AB63" s="1"/>
  <c r="P64"/>
  <c r="P65"/>
  <c r="V65"/>
  <c r="Z65" s="1"/>
  <c r="P66"/>
  <c r="AB66" s="1"/>
  <c r="P67"/>
  <c r="AB67" s="1"/>
  <c r="P68"/>
  <c r="AB68" s="1"/>
  <c r="P69"/>
  <c r="V69" s="1"/>
  <c r="Z69"/>
  <c r="P70"/>
  <c r="AB70"/>
  <c r="P71"/>
  <c r="AB71"/>
  <c r="P72"/>
  <c r="V72"/>
  <c r="Z72" s="1"/>
  <c r="P73"/>
  <c r="V73" s="1"/>
  <c r="Z73"/>
  <c r="P74"/>
  <c r="AB74"/>
  <c r="P75"/>
  <c r="AB75"/>
  <c r="P76"/>
  <c r="V76"/>
  <c r="Z76" s="1"/>
  <c r="P77"/>
  <c r="AB77"/>
  <c r="P78"/>
  <c r="V78"/>
  <c r="Z78" s="1"/>
  <c r="P79"/>
  <c r="V79" s="1"/>
  <c r="Z79"/>
  <c r="P80"/>
  <c r="AB80"/>
  <c r="P81"/>
  <c r="V81"/>
  <c r="Z81" s="1"/>
  <c r="P82"/>
  <c r="V82" s="1"/>
  <c r="Z82"/>
  <c r="P83"/>
  <c r="V83"/>
  <c r="Z83" s="1"/>
  <c r="P84"/>
  <c r="V84" s="1"/>
  <c r="Z84"/>
  <c r="P85"/>
  <c r="AB85"/>
  <c r="P86"/>
  <c r="V86"/>
  <c r="Z86" s="1"/>
  <c r="P87"/>
  <c r="P88"/>
  <c r="V88"/>
  <c r="Z88" s="1"/>
  <c r="P89"/>
  <c r="V89" s="1"/>
  <c r="Z89" s="1"/>
  <c r="P90"/>
  <c r="V90"/>
  <c r="Z90" s="1"/>
  <c r="P91"/>
  <c r="AB91" s="1"/>
  <c r="P92"/>
  <c r="AB92" s="1"/>
  <c r="P93"/>
  <c r="V93" s="1"/>
  <c r="Z93" s="1"/>
  <c r="P94"/>
  <c r="P95"/>
  <c r="AB95" s="1"/>
  <c r="P96"/>
  <c r="V96" s="1"/>
  <c r="Z96" s="1"/>
  <c r="P97"/>
  <c r="V97"/>
  <c r="Z97" s="1"/>
  <c r="P98"/>
  <c r="V98" s="1"/>
  <c r="Z98" s="1"/>
  <c r="P99"/>
  <c r="AB99"/>
  <c r="P100"/>
  <c r="P101"/>
  <c r="V101" s="1"/>
  <c r="Z101"/>
  <c r="P102"/>
  <c r="AB102"/>
  <c r="P103"/>
  <c r="AB103"/>
  <c r="P104"/>
  <c r="AB104"/>
  <c r="P105"/>
  <c r="AB105"/>
  <c r="P106"/>
  <c r="AB106"/>
  <c r="P107"/>
  <c r="V107"/>
  <c r="Z107" s="1"/>
  <c r="P108"/>
  <c r="V108" s="1"/>
  <c r="Z108"/>
  <c r="P109"/>
  <c r="V109"/>
  <c r="Z109" s="1"/>
  <c r="P110"/>
  <c r="V110" s="1"/>
  <c r="Z110"/>
  <c r="P111"/>
  <c r="V111"/>
  <c r="Z111" s="1"/>
  <c r="P112"/>
  <c r="V112" s="1"/>
  <c r="Z112"/>
  <c r="P113"/>
  <c r="AB113"/>
  <c r="P114"/>
  <c r="V114"/>
  <c r="Z114" s="1"/>
  <c r="P115"/>
  <c r="V115" s="1"/>
  <c r="Z115"/>
  <c r="P116"/>
  <c r="V116"/>
  <c r="Z116" s="1"/>
  <c r="P117"/>
  <c r="AB117" s="1"/>
  <c r="P118"/>
  <c r="V118" s="1"/>
  <c r="Z118" s="1"/>
  <c r="P119"/>
  <c r="AB119"/>
  <c r="P120"/>
  <c r="AB120"/>
  <c r="P121"/>
  <c r="V121"/>
  <c r="Z121" s="1"/>
  <c r="P122"/>
  <c r="V122" s="1"/>
  <c r="Z122" s="1"/>
  <c r="P123"/>
  <c r="AB123"/>
  <c r="P124"/>
  <c r="V124"/>
  <c r="Z124" s="1"/>
  <c r="P125"/>
  <c r="V125" s="1"/>
  <c r="Z125" s="1"/>
  <c r="P126"/>
  <c r="V126"/>
  <c r="P127"/>
  <c r="V127"/>
  <c r="Z127" s="1"/>
  <c r="P128"/>
  <c r="V128" s="1"/>
  <c r="Z128" s="1"/>
  <c r="P129"/>
  <c r="AB129"/>
  <c r="P130"/>
  <c r="P131"/>
  <c r="V131" s="1"/>
  <c r="Z131"/>
  <c r="P132"/>
  <c r="V132"/>
  <c r="Z132" s="1"/>
  <c r="P133"/>
  <c r="AB133" s="1"/>
  <c r="P134"/>
  <c r="AB134" s="1"/>
  <c r="P135"/>
  <c r="V135" s="1"/>
  <c r="Z135"/>
  <c r="P136"/>
  <c r="V136"/>
  <c r="Z136" s="1"/>
  <c r="P137"/>
  <c r="V137" s="1"/>
  <c r="Z137"/>
  <c r="P138"/>
  <c r="AB138"/>
  <c r="P139"/>
  <c r="V139"/>
  <c r="Z139" s="1"/>
  <c r="P140"/>
  <c r="V140" s="1"/>
  <c r="Z140"/>
  <c r="P141"/>
  <c r="AB141"/>
  <c r="P142"/>
  <c r="AB142"/>
  <c r="P143"/>
  <c r="V143"/>
  <c r="Z143" s="1"/>
  <c r="P144"/>
  <c r="P145"/>
  <c r="AB145"/>
  <c r="E376"/>
  <c r="F376"/>
  <c r="AL405"/>
  <c r="AM405"/>
  <c r="AN405"/>
  <c r="AO405"/>
  <c r="AP405"/>
  <c r="AQ405"/>
  <c r="AR405"/>
  <c r="AS405"/>
  <c r="G13" i="3"/>
  <c r="P13"/>
  <c r="V13" s="1"/>
  <c r="Z13"/>
  <c r="P14"/>
  <c r="P15"/>
  <c r="V15" s="1"/>
  <c r="Z15" s="1"/>
  <c r="P16"/>
  <c r="AB16"/>
  <c r="P17"/>
  <c r="P18"/>
  <c r="AB18" s="1"/>
  <c r="P19"/>
  <c r="AB19" s="1"/>
  <c r="P20"/>
  <c r="AB20" s="1"/>
  <c r="P21"/>
  <c r="Z21"/>
  <c r="P22"/>
  <c r="AB22" s="1"/>
  <c r="P23"/>
  <c r="P24"/>
  <c r="P25"/>
  <c r="V25" s="1"/>
  <c r="Z25"/>
  <c r="P26"/>
  <c r="P27"/>
  <c r="AB27" s="1"/>
  <c r="E33"/>
  <c r="F33"/>
  <c r="N33"/>
  <c r="Q33"/>
  <c r="R33"/>
  <c r="S33"/>
  <c r="T33"/>
  <c r="U33"/>
  <c r="G35"/>
  <c r="AB35" s="1"/>
  <c r="G36"/>
  <c r="AB36" s="1"/>
  <c r="G37"/>
  <c r="AB37" s="1"/>
  <c r="G38"/>
  <c r="AB38" s="1"/>
  <c r="G39"/>
  <c r="AB39" s="1"/>
  <c r="G40"/>
  <c r="AB40" s="1"/>
  <c r="G41"/>
  <c r="AB41" s="1"/>
  <c r="G42"/>
  <c r="AB42" s="1"/>
  <c r="G43"/>
  <c r="AB43" s="1"/>
  <c r="G44"/>
  <c r="AB44" s="1"/>
  <c r="G45"/>
  <c r="AB45" s="1"/>
  <c r="G46"/>
  <c r="AB46" s="1"/>
  <c r="G47"/>
  <c r="AB47" s="1"/>
  <c r="G48"/>
  <c r="AB48" s="1"/>
  <c r="G49"/>
  <c r="AB49" s="1"/>
  <c r="G50"/>
  <c r="AB50" s="1"/>
  <c r="G51"/>
  <c r="G54"/>
  <c r="AB54"/>
  <c r="G55"/>
  <c r="AB55"/>
  <c r="G56"/>
  <c r="P56"/>
  <c r="G57"/>
  <c r="AB57"/>
  <c r="Z57"/>
  <c r="G58"/>
  <c r="P58"/>
  <c r="V58" s="1"/>
  <c r="Z58" s="1"/>
  <c r="G59"/>
  <c r="G61"/>
  <c r="P59"/>
  <c r="P61"/>
  <c r="G62"/>
  <c r="AB62"/>
  <c r="G63"/>
  <c r="AB63"/>
  <c r="Z63"/>
  <c r="G64"/>
  <c r="AB64" s="1"/>
  <c r="G65"/>
  <c r="AB65" s="1"/>
  <c r="G66"/>
  <c r="AB66" s="1"/>
  <c r="G67"/>
  <c r="AB67" s="1"/>
  <c r="G68"/>
  <c r="AB68" s="1"/>
  <c r="G69"/>
  <c r="AB69" s="1"/>
  <c r="Z69"/>
  <c r="G70"/>
  <c r="AB70"/>
  <c r="G71"/>
  <c r="AB71"/>
  <c r="G72"/>
  <c r="AB72"/>
  <c r="G73"/>
  <c r="AB73"/>
  <c r="G74"/>
  <c r="AB74"/>
  <c r="G75"/>
  <c r="AB75"/>
  <c r="G76"/>
  <c r="AB76"/>
  <c r="G77"/>
  <c r="AB77"/>
  <c r="Z77"/>
  <c r="G78"/>
  <c r="AB78" s="1"/>
  <c r="Z78"/>
  <c r="G79"/>
  <c r="AB79"/>
  <c r="Z79"/>
  <c r="G80"/>
  <c r="AB80" s="1"/>
  <c r="Z80"/>
  <c r="G81"/>
  <c r="AB81"/>
  <c r="G82"/>
  <c r="AB82"/>
  <c r="G83"/>
  <c r="AB83"/>
  <c r="G84"/>
  <c r="G88"/>
  <c r="G89"/>
  <c r="G91"/>
  <c r="AB91" s="1"/>
  <c r="G92"/>
  <c r="AB92" s="1"/>
  <c r="Z92"/>
  <c r="G93"/>
  <c r="AB93"/>
  <c r="G94"/>
  <c r="AB94"/>
  <c r="G95"/>
  <c r="AB95"/>
  <c r="G96"/>
  <c r="AB96"/>
  <c r="G97"/>
  <c r="AB97"/>
  <c r="G98"/>
  <c r="AB98"/>
  <c r="G99"/>
  <c r="AB99"/>
  <c r="G100"/>
  <c r="AB100"/>
  <c r="G101"/>
  <c r="AB101"/>
  <c r="G102"/>
  <c r="AB102"/>
  <c r="G103"/>
  <c r="AB103"/>
  <c r="G104"/>
  <c r="P104"/>
  <c r="G105"/>
  <c r="AB105"/>
  <c r="G106"/>
  <c r="AB106"/>
  <c r="Z106"/>
  <c r="G107"/>
  <c r="AB107" s="1"/>
  <c r="G108"/>
  <c r="AB108" s="1"/>
  <c r="Z108"/>
  <c r="G111"/>
  <c r="AB111"/>
  <c r="G112"/>
  <c r="AB112"/>
  <c r="Z112"/>
  <c r="G113"/>
  <c r="AB113" s="1"/>
  <c r="Z113"/>
  <c r="G114"/>
  <c r="AB114"/>
  <c r="G115"/>
  <c r="AB115"/>
  <c r="G116"/>
  <c r="AB116"/>
  <c r="G117"/>
  <c r="AB117"/>
  <c r="G118"/>
  <c r="AB118"/>
  <c r="G119"/>
  <c r="AB119"/>
  <c r="G120"/>
  <c r="AB120"/>
  <c r="P120"/>
  <c r="V120"/>
  <c r="Z120" s="1"/>
  <c r="G121"/>
  <c r="P121"/>
  <c r="V121"/>
  <c r="Z121" s="1"/>
  <c r="G122"/>
  <c r="P122"/>
  <c r="G123"/>
  <c r="AB123" s="1"/>
  <c r="P123"/>
  <c r="V123" s="1"/>
  <c r="Z123"/>
  <c r="G124"/>
  <c r="P124"/>
  <c r="V124" s="1"/>
  <c r="Z124" s="1"/>
  <c r="E128"/>
  <c r="F128"/>
  <c r="G130"/>
  <c r="G138"/>
  <c r="P130"/>
  <c r="AB130" s="1"/>
  <c r="AB138" s="1"/>
  <c r="P131"/>
  <c r="V131"/>
  <c r="Z131" s="1"/>
  <c r="P132"/>
  <c r="AB132" s="1"/>
  <c r="P133"/>
  <c r="V133" s="1"/>
  <c r="Z133"/>
  <c r="P134"/>
  <c r="AB134"/>
  <c r="P135"/>
  <c r="V135"/>
  <c r="Z135" s="1"/>
  <c r="P136"/>
  <c r="P137"/>
  <c r="V137"/>
  <c r="E138"/>
  <c r="F138"/>
  <c r="N138"/>
  <c r="G140"/>
  <c r="G145" s="1"/>
  <c r="P140"/>
  <c r="AB140" s="1"/>
  <c r="AB145" s="1"/>
  <c r="P141"/>
  <c r="AB141"/>
  <c r="P142"/>
  <c r="AB142"/>
  <c r="E145"/>
  <c r="F145"/>
  <c r="F354" s="1"/>
  <c r="G147"/>
  <c r="P147"/>
  <c r="V147" s="1"/>
  <c r="A150"/>
  <c r="E150"/>
  <c r="F150"/>
  <c r="Q150"/>
  <c r="R150"/>
  <c r="S150"/>
  <c r="T150"/>
  <c r="U150"/>
  <c r="G151"/>
  <c r="P151"/>
  <c r="AB151" s="1"/>
  <c r="G152"/>
  <c r="P152"/>
  <c r="V152" s="1"/>
  <c r="Z152" s="1"/>
  <c r="G153"/>
  <c r="P153"/>
  <c r="V153" s="1"/>
  <c r="Z153"/>
  <c r="G154"/>
  <c r="AB154"/>
  <c r="P154"/>
  <c r="V154"/>
  <c r="Z154" s="1"/>
  <c r="G155"/>
  <c r="P155"/>
  <c r="G156"/>
  <c r="P156"/>
  <c r="AB156"/>
  <c r="G159"/>
  <c r="G160"/>
  <c r="G165"/>
  <c r="G166"/>
  <c r="G167"/>
  <c r="G168"/>
  <c r="G170" s="1"/>
  <c r="G171"/>
  <c r="G172"/>
  <c r="G176" s="1"/>
  <c r="G184" s="1"/>
  <c r="G173"/>
  <c r="G174"/>
  <c r="G175"/>
  <c r="G177"/>
  <c r="A184"/>
  <c r="G186"/>
  <c r="G210"/>
  <c r="P186"/>
  <c r="V186"/>
  <c r="Z186" s="1"/>
  <c r="P187"/>
  <c r="V187" s="1"/>
  <c r="P188"/>
  <c r="AB188"/>
  <c r="P189"/>
  <c r="AB189"/>
  <c r="P190"/>
  <c r="V190"/>
  <c r="AG190" s="1"/>
  <c r="P191"/>
  <c r="AB191"/>
  <c r="P192"/>
  <c r="AB192"/>
  <c r="P193"/>
  <c r="AB193"/>
  <c r="P194"/>
  <c r="P195"/>
  <c r="V195" s="1"/>
  <c r="Z195" s="1"/>
  <c r="P196"/>
  <c r="AB196" s="1"/>
  <c r="P197"/>
  <c r="V197" s="1"/>
  <c r="Z197" s="1"/>
  <c r="P198"/>
  <c r="AB198"/>
  <c r="P199"/>
  <c r="AB199"/>
  <c r="P200"/>
  <c r="AB200"/>
  <c r="P201"/>
  <c r="V201"/>
  <c r="Z201" s="1"/>
  <c r="P202"/>
  <c r="P203"/>
  <c r="AB203" s="1"/>
  <c r="P204"/>
  <c r="AB204" s="1"/>
  <c r="P205"/>
  <c r="V205" s="1"/>
  <c r="Z205" s="1"/>
  <c r="P206"/>
  <c r="P207"/>
  <c r="G211"/>
  <c r="G219"/>
  <c r="P211"/>
  <c r="V211"/>
  <c r="Z211" s="1"/>
  <c r="P212"/>
  <c r="C219"/>
  <c r="G220"/>
  <c r="P220"/>
  <c r="A226"/>
  <c r="E226"/>
  <c r="F226"/>
  <c r="G13" i="1"/>
  <c r="G25"/>
  <c r="P13"/>
  <c r="V13"/>
  <c r="P14"/>
  <c r="AB14"/>
  <c r="P15"/>
  <c r="V15"/>
  <c r="Z15" s="1"/>
  <c r="P16"/>
  <c r="P17"/>
  <c r="P18"/>
  <c r="AB18" s="1"/>
  <c r="P19"/>
  <c r="AB19" s="1"/>
  <c r="P20"/>
  <c r="AB20" s="1"/>
  <c r="AY20"/>
  <c r="P21"/>
  <c r="V21"/>
  <c r="Z21" s="1"/>
  <c r="P22"/>
  <c r="AB22" s="1"/>
  <c r="P23"/>
  <c r="P24"/>
  <c r="V24"/>
  <c r="Z24" s="1"/>
  <c r="P29"/>
  <c r="V29" s="1"/>
  <c r="Z29" s="1"/>
  <c r="E30"/>
  <c r="AQ30"/>
  <c r="AR30"/>
  <c r="AS30"/>
  <c r="AT30"/>
  <c r="AU30"/>
  <c r="AV30"/>
  <c r="AW30"/>
  <c r="AX30"/>
  <c r="P32"/>
  <c r="AB32" s="1"/>
  <c r="Z32"/>
  <c r="V33"/>
  <c r="Z33" s="1"/>
  <c r="AB33"/>
  <c r="V34"/>
  <c r="Z34"/>
  <c r="AB34"/>
  <c r="P35"/>
  <c r="V35" s="1"/>
  <c r="P36"/>
  <c r="P37"/>
  <c r="P38"/>
  <c r="V38" s="1"/>
  <c r="Z38" s="1"/>
  <c r="AB39"/>
  <c r="AB40"/>
  <c r="AB41"/>
  <c r="AB42"/>
  <c r="Z57"/>
  <c r="E58"/>
  <c r="F58"/>
  <c r="N58"/>
  <c r="Q58"/>
  <c r="R58"/>
  <c r="S58"/>
  <c r="T58"/>
  <c r="U58"/>
  <c r="U129"/>
  <c r="P98"/>
  <c r="AB98"/>
  <c r="P99"/>
  <c r="P100"/>
  <c r="V100" s="1"/>
  <c r="Z100" s="1"/>
  <c r="P101"/>
  <c r="P102"/>
  <c r="V102"/>
  <c r="Z102" s="1"/>
  <c r="P103"/>
  <c r="V103" s="1"/>
  <c r="Z103" s="1"/>
  <c r="P104"/>
  <c r="AB104"/>
  <c r="P105"/>
  <c r="V105"/>
  <c r="Z105" s="1"/>
  <c r="P106"/>
  <c r="AB106" s="1"/>
  <c r="P107"/>
  <c r="P108"/>
  <c r="V108"/>
  <c r="Z108" s="1"/>
  <c r="P109"/>
  <c r="AB109" s="1"/>
  <c r="P110"/>
  <c r="V110"/>
  <c r="AF110" s="1"/>
  <c r="P111"/>
  <c r="V111"/>
  <c r="Z111" s="1"/>
  <c r="E112"/>
  <c r="E129"/>
  <c r="E283" s="1"/>
  <c r="E293" s="1"/>
  <c r="F112"/>
  <c r="G112"/>
  <c r="N112"/>
  <c r="O112"/>
  <c r="Q112"/>
  <c r="R112"/>
  <c r="S112"/>
  <c r="T112"/>
  <c r="T129" s="1"/>
  <c r="U112"/>
  <c r="P114"/>
  <c r="AB114" s="1"/>
  <c r="P115"/>
  <c r="AB115" s="1"/>
  <c r="P116"/>
  <c r="AB116" s="1"/>
  <c r="C117"/>
  <c r="F117"/>
  <c r="G117"/>
  <c r="N117"/>
  <c r="O117"/>
  <c r="Q117"/>
  <c r="R117"/>
  <c r="S117"/>
  <c r="T117"/>
  <c r="U117"/>
  <c r="G119"/>
  <c r="P119"/>
  <c r="P120"/>
  <c r="P121"/>
  <c r="AB121"/>
  <c r="E127"/>
  <c r="F127"/>
  <c r="F129" s="1"/>
  <c r="G131"/>
  <c r="P131"/>
  <c r="P132"/>
  <c r="AB132"/>
  <c r="P133"/>
  <c r="AB133"/>
  <c r="F136"/>
  <c r="G138"/>
  <c r="P138"/>
  <c r="AB138"/>
  <c r="P139"/>
  <c r="AB139"/>
  <c r="N140"/>
  <c r="O140"/>
  <c r="Q140"/>
  <c r="Q150"/>
  <c r="R140"/>
  <c r="R150"/>
  <c r="S140"/>
  <c r="S150"/>
  <c r="T140"/>
  <c r="U140"/>
  <c r="U150" s="1"/>
  <c r="G142"/>
  <c r="AB142" s="1"/>
  <c r="P142"/>
  <c r="P143"/>
  <c r="AB143"/>
  <c r="P144"/>
  <c r="P148"/>
  <c r="F148"/>
  <c r="F150"/>
  <c r="E150"/>
  <c r="P152"/>
  <c r="AB152" s="1"/>
  <c r="P153"/>
  <c r="AB153" s="1"/>
  <c r="P154"/>
  <c r="V154" s="1"/>
  <c r="Z154"/>
  <c r="P155"/>
  <c r="V155"/>
  <c r="Z155" s="1"/>
  <c r="P157"/>
  <c r="AB157"/>
  <c r="E158"/>
  <c r="E172"/>
  <c r="G158"/>
  <c r="O158"/>
  <c r="O172" s="1"/>
  <c r="Q158"/>
  <c r="R158"/>
  <c r="R172"/>
  <c r="S158"/>
  <c r="T158"/>
  <c r="T172"/>
  <c r="U158"/>
  <c r="G160"/>
  <c r="P160"/>
  <c r="V160" s="1"/>
  <c r="G167"/>
  <c r="G170" s="1"/>
  <c r="P167"/>
  <c r="P170" s="1"/>
  <c r="AB170" s="1"/>
  <c r="P168"/>
  <c r="E170"/>
  <c r="F170"/>
  <c r="F172"/>
  <c r="AQ172"/>
  <c r="AR172"/>
  <c r="AS172"/>
  <c r="AT172"/>
  <c r="AU172"/>
  <c r="AV172"/>
  <c r="AW172"/>
  <c r="AX172"/>
  <c r="G174"/>
  <c r="P174"/>
  <c r="P176"/>
  <c r="G178"/>
  <c r="P178"/>
  <c r="V178" s="1"/>
  <c r="G182"/>
  <c r="G216" s="1"/>
  <c r="G185"/>
  <c r="G186"/>
  <c r="AB186"/>
  <c r="G187"/>
  <c r="G188"/>
  <c r="G202" s="1"/>
  <c r="P188"/>
  <c r="P202"/>
  <c r="P189"/>
  <c r="C202"/>
  <c r="G203"/>
  <c r="G204"/>
  <c r="AB204" s="1"/>
  <c r="P204"/>
  <c r="V204" s="1"/>
  <c r="P205"/>
  <c r="AB205" s="1"/>
  <c r="P206"/>
  <c r="V206" s="1"/>
  <c r="Z206" s="1"/>
  <c r="C214"/>
  <c r="G215"/>
  <c r="E216"/>
  <c r="F216"/>
  <c r="AQ216"/>
  <c r="AR216"/>
  <c r="AS216"/>
  <c r="AT216"/>
  <c r="AU216"/>
  <c r="AV216"/>
  <c r="AW216"/>
  <c r="AX216"/>
  <c r="G218"/>
  <c r="AB218"/>
  <c r="G219"/>
  <c r="AB219"/>
  <c r="G220"/>
  <c r="AB220"/>
  <c r="G221"/>
  <c r="P221"/>
  <c r="AB221" s="1"/>
  <c r="AB238" s="1"/>
  <c r="G222"/>
  <c r="AB222"/>
  <c r="G223"/>
  <c r="AB223"/>
  <c r="G224"/>
  <c r="AB224"/>
  <c r="G225"/>
  <c r="AB225"/>
  <c r="G226"/>
  <c r="AB226"/>
  <c r="G227"/>
  <c r="AB227"/>
  <c r="G228"/>
  <c r="AB228"/>
  <c r="G229"/>
  <c r="AB229"/>
  <c r="G230"/>
  <c r="AB230"/>
  <c r="G231"/>
  <c r="AB231"/>
  <c r="G232"/>
  <c r="AB232"/>
  <c r="G233"/>
  <c r="AB233"/>
  <c r="G234"/>
  <c r="AB234"/>
  <c r="Z234"/>
  <c r="G235"/>
  <c r="AB235" s="1"/>
  <c r="P235"/>
  <c r="P238"/>
  <c r="P286" s="1"/>
  <c r="Z235"/>
  <c r="G236"/>
  <c r="AB236"/>
  <c r="G237"/>
  <c r="AB237"/>
  <c r="A238"/>
  <c r="E238"/>
  <c r="F238"/>
  <c r="N238"/>
  <c r="N286" s="1"/>
  <c r="O238"/>
  <c r="O286" s="1"/>
  <c r="Q238"/>
  <c r="Q286" s="1"/>
  <c r="R238"/>
  <c r="R286" s="1"/>
  <c r="S238"/>
  <c r="S286" s="1"/>
  <c r="T238"/>
  <c r="T286" s="1"/>
  <c r="U238"/>
  <c r="U286" s="1"/>
  <c r="AQ238"/>
  <c r="AR238"/>
  <c r="AS238"/>
  <c r="AT238"/>
  <c r="AU238"/>
  <c r="AV238"/>
  <c r="AW238"/>
  <c r="AX238"/>
  <c r="G240"/>
  <c r="P240"/>
  <c r="V240"/>
  <c r="Z240" s="1"/>
  <c r="Z247" s="1"/>
  <c r="G241"/>
  <c r="G242"/>
  <c r="A247"/>
  <c r="E247"/>
  <c r="F247"/>
  <c r="N247"/>
  <c r="O247"/>
  <c r="Q247"/>
  <c r="R247"/>
  <c r="S247"/>
  <c r="T247"/>
  <c r="U247"/>
  <c r="AQ247"/>
  <c r="AR247"/>
  <c r="AS247"/>
  <c r="AT247"/>
  <c r="AU247"/>
  <c r="AV247"/>
  <c r="AW247"/>
  <c r="AX247"/>
  <c r="G249"/>
  <c r="P249"/>
  <c r="V249" s="1"/>
  <c r="Z249" s="1"/>
  <c r="Z253" s="1"/>
  <c r="G250"/>
  <c r="AB250"/>
  <c r="G251"/>
  <c r="AB251"/>
  <c r="A253"/>
  <c r="E253"/>
  <c r="F253"/>
  <c r="N253"/>
  <c r="O253"/>
  <c r="Q253"/>
  <c r="R253"/>
  <c r="S253"/>
  <c r="T253"/>
  <c r="U253"/>
  <c r="AQ253"/>
  <c r="AR253"/>
  <c r="AS253"/>
  <c r="AT253"/>
  <c r="AU253"/>
  <c r="AV253"/>
  <c r="AW253"/>
  <c r="AX253"/>
  <c r="G254"/>
  <c r="AB254"/>
  <c r="P254"/>
  <c r="V254"/>
  <c r="P255"/>
  <c r="AB255"/>
  <c r="P256"/>
  <c r="C257"/>
  <c r="N257"/>
  <c r="N270"/>
  <c r="O257"/>
  <c r="O270"/>
  <c r="Q257"/>
  <c r="Q270"/>
  <c r="R257"/>
  <c r="R270"/>
  <c r="S257"/>
  <c r="T257"/>
  <c r="T270" s="1"/>
  <c r="U257"/>
  <c r="U270" s="1"/>
  <c r="G258"/>
  <c r="G264" s="1"/>
  <c r="P258"/>
  <c r="P264"/>
  <c r="G266"/>
  <c r="G268"/>
  <c r="AB268" s="1"/>
  <c r="A270"/>
  <c r="E270"/>
  <c r="F270"/>
  <c r="AQ270"/>
  <c r="AR270"/>
  <c r="AS270"/>
  <c r="AT270"/>
  <c r="AU270"/>
  <c r="AV270"/>
  <c r="AW270"/>
  <c r="AX270"/>
  <c r="AQ283"/>
  <c r="AR283"/>
  <c r="AS283"/>
  <c r="AT283"/>
  <c r="AU283"/>
  <c r="AV283"/>
  <c r="AW283"/>
  <c r="AX283"/>
  <c r="C289"/>
  <c r="C290"/>
  <c r="G13" i="2"/>
  <c r="AB13" s="1"/>
  <c r="P13"/>
  <c r="V13" s="1"/>
  <c r="E16"/>
  <c r="F16"/>
  <c r="N16"/>
  <c r="N236" s="1"/>
  <c r="O16"/>
  <c r="Q16"/>
  <c r="R16"/>
  <c r="S16"/>
  <c r="T16"/>
  <c r="U16"/>
  <c r="AB16"/>
  <c r="AU16"/>
  <c r="AV16"/>
  <c r="AW16"/>
  <c r="AX16"/>
  <c r="AY16"/>
  <c r="AZ16"/>
  <c r="BA16"/>
  <c r="BB16"/>
  <c r="G18"/>
  <c r="G81" s="1"/>
  <c r="G239" s="1"/>
  <c r="P18"/>
  <c r="V18" s="1"/>
  <c r="Z18" s="1"/>
  <c r="AQ19"/>
  <c r="G20"/>
  <c r="P20"/>
  <c r="V20" s="1"/>
  <c r="G22"/>
  <c r="P22"/>
  <c r="V22" s="1"/>
  <c r="G24"/>
  <c r="AB24" s="1"/>
  <c r="P24"/>
  <c r="V24"/>
  <c r="G26"/>
  <c r="P26"/>
  <c r="V26" s="1"/>
  <c r="AB26" s="1"/>
  <c r="G28"/>
  <c r="AB28" s="1"/>
  <c r="P28"/>
  <c r="V28"/>
  <c r="G30"/>
  <c r="AB30" s="1"/>
  <c r="P30"/>
  <c r="V30"/>
  <c r="G32"/>
  <c r="AB32" s="1"/>
  <c r="P32"/>
  <c r="V32"/>
  <c r="G34"/>
  <c r="P34"/>
  <c r="V34"/>
  <c r="G36"/>
  <c r="P36"/>
  <c r="V36" s="1"/>
  <c r="AB36" s="1"/>
  <c r="G38"/>
  <c r="P38"/>
  <c r="V38" s="1"/>
  <c r="AB38" s="1"/>
  <c r="G40"/>
  <c r="AB40" s="1"/>
  <c r="P40"/>
  <c r="V40"/>
  <c r="G42"/>
  <c r="P42"/>
  <c r="V42"/>
  <c r="AB42" s="1"/>
  <c r="G44"/>
  <c r="P44"/>
  <c r="V44"/>
  <c r="AB44" s="1"/>
  <c r="G46"/>
  <c r="P46"/>
  <c r="V46"/>
  <c r="AB46" s="1"/>
  <c r="G48"/>
  <c r="P48"/>
  <c r="G50"/>
  <c r="P50"/>
  <c r="V50" s="1"/>
  <c r="AB50" s="1"/>
  <c r="G52"/>
  <c r="P52"/>
  <c r="V52"/>
  <c r="AA52" s="1"/>
  <c r="G54"/>
  <c r="P54"/>
  <c r="V54" s="1"/>
  <c r="G56"/>
  <c r="P56"/>
  <c r="V56" s="1"/>
  <c r="G58"/>
  <c r="P58"/>
  <c r="V58" s="1"/>
  <c r="G60"/>
  <c r="AB60" s="1"/>
  <c r="V60"/>
  <c r="G62"/>
  <c r="P62"/>
  <c r="V62" s="1"/>
  <c r="AB62" s="1"/>
  <c r="G64"/>
  <c r="P64"/>
  <c r="V64"/>
  <c r="G66"/>
  <c r="AB66"/>
  <c r="P66"/>
  <c r="G68"/>
  <c r="P68"/>
  <c r="V68" s="1"/>
  <c r="Z68" s="1"/>
  <c r="G70"/>
  <c r="P70"/>
  <c r="V70" s="1"/>
  <c r="G72"/>
  <c r="AB72"/>
  <c r="P72"/>
  <c r="G75"/>
  <c r="AB75" s="1"/>
  <c r="P75"/>
  <c r="V75"/>
  <c r="Z75" s="1"/>
  <c r="G77"/>
  <c r="P77"/>
  <c r="V77"/>
  <c r="Z77" s="1"/>
  <c r="G79"/>
  <c r="P79"/>
  <c r="V79"/>
  <c r="Z79" s="1"/>
  <c r="P80"/>
  <c r="V80"/>
  <c r="Z80" s="1"/>
  <c r="E81"/>
  <c r="F81"/>
  <c r="N81"/>
  <c r="O81"/>
  <c r="Q81"/>
  <c r="R81"/>
  <c r="S81"/>
  <c r="T81"/>
  <c r="U81"/>
  <c r="AU81"/>
  <c r="AV81"/>
  <c r="AW81"/>
  <c r="AX81"/>
  <c r="AY81"/>
  <c r="AZ81"/>
  <c r="BA81"/>
  <c r="BB81"/>
  <c r="G83"/>
  <c r="P83"/>
  <c r="AB83" s="1"/>
  <c r="P84"/>
  <c r="C85"/>
  <c r="N85"/>
  <c r="N108"/>
  <c r="O85"/>
  <c r="G87"/>
  <c r="AB87" s="1"/>
  <c r="P87"/>
  <c r="G89"/>
  <c r="AB89" s="1"/>
  <c r="P89"/>
  <c r="V89" s="1"/>
  <c r="G91"/>
  <c r="G96"/>
  <c r="AB96"/>
  <c r="P96"/>
  <c r="V96"/>
  <c r="G98"/>
  <c r="P98"/>
  <c r="V98" s="1"/>
  <c r="Z98" s="1"/>
  <c r="G100"/>
  <c r="P100"/>
  <c r="AB100" s="1"/>
  <c r="G102"/>
  <c r="AB102"/>
  <c r="G104"/>
  <c r="G106"/>
  <c r="AB106" s="1"/>
  <c r="P104"/>
  <c r="V104"/>
  <c r="Z104" s="1"/>
  <c r="P105"/>
  <c r="V105"/>
  <c r="Z105" s="1"/>
  <c r="F106"/>
  <c r="F108" s="1"/>
  <c r="F236" s="1"/>
  <c r="O106"/>
  <c r="Q106"/>
  <c r="R106"/>
  <c r="S106"/>
  <c r="T106"/>
  <c r="T108"/>
  <c r="T236" s="1"/>
  <c r="U106"/>
  <c r="P107"/>
  <c r="V107" s="1"/>
  <c r="A108"/>
  <c r="E108"/>
  <c r="AU108"/>
  <c r="AV108"/>
  <c r="AW108"/>
  <c r="AX108"/>
  <c r="AY108"/>
  <c r="AZ108"/>
  <c r="BA108"/>
  <c r="BB108"/>
  <c r="G110"/>
  <c r="AB110" s="1"/>
  <c r="P111"/>
  <c r="V111" s="1"/>
  <c r="AJ111" s="1"/>
  <c r="P112"/>
  <c r="AB112" s="1"/>
  <c r="P113"/>
  <c r="AB113" s="1"/>
  <c r="C118"/>
  <c r="F118"/>
  <c r="G119"/>
  <c r="P119"/>
  <c r="V119"/>
  <c r="AA120" s="1"/>
  <c r="P121"/>
  <c r="V121" s="1"/>
  <c r="P124"/>
  <c r="AB124"/>
  <c r="P126"/>
  <c r="E132"/>
  <c r="E156" s="1"/>
  <c r="F132"/>
  <c r="F156" s="1"/>
  <c r="G134"/>
  <c r="G137" s="1"/>
  <c r="AB137" s="1"/>
  <c r="G139"/>
  <c r="G143" s="1"/>
  <c r="G145"/>
  <c r="G152"/>
  <c r="P145"/>
  <c r="V145"/>
  <c r="AA147" s="1"/>
  <c r="P148"/>
  <c r="V148" s="1"/>
  <c r="P149"/>
  <c r="V149" s="1"/>
  <c r="Z149" s="1"/>
  <c r="C152"/>
  <c r="Q152"/>
  <c r="Q156" s="1"/>
  <c r="R152"/>
  <c r="S152"/>
  <c r="T152"/>
  <c r="U152"/>
  <c r="G154"/>
  <c r="AB154"/>
  <c r="P154"/>
  <c r="V154"/>
  <c r="AJ154" s="1"/>
  <c r="A156"/>
  <c r="AU156"/>
  <c r="AV156"/>
  <c r="AW156"/>
  <c r="AX156"/>
  <c r="AY156"/>
  <c r="AZ156"/>
  <c r="BA156"/>
  <c r="BB156"/>
  <c r="G158"/>
  <c r="P158"/>
  <c r="V158" s="1"/>
  <c r="Z158" s="1"/>
  <c r="P159"/>
  <c r="G160"/>
  <c r="P160"/>
  <c r="P162"/>
  <c r="A162"/>
  <c r="E162"/>
  <c r="F162"/>
  <c r="N162"/>
  <c r="O162"/>
  <c r="Q162"/>
  <c r="R162"/>
  <c r="S162"/>
  <c r="T162"/>
  <c r="U162"/>
  <c r="AU162"/>
  <c r="AV162"/>
  <c r="AW162"/>
  <c r="AX162"/>
  <c r="AY162"/>
  <c r="AZ162"/>
  <c r="BA162"/>
  <c r="BB162"/>
  <c r="G164"/>
  <c r="AB164"/>
  <c r="P164"/>
  <c r="V164"/>
  <c r="AI164" s="1"/>
  <c r="P165"/>
  <c r="G166"/>
  <c r="AB166" s="1"/>
  <c r="P166"/>
  <c r="V166" s="1"/>
  <c r="P167"/>
  <c r="A170"/>
  <c r="E170"/>
  <c r="F170"/>
  <c r="AU170"/>
  <c r="AV170"/>
  <c r="AW170"/>
  <c r="AX170"/>
  <c r="AY170"/>
  <c r="AZ170"/>
  <c r="BA170"/>
  <c r="BB170"/>
  <c r="G172"/>
  <c r="G180" s="1"/>
  <c r="AB180" s="1"/>
  <c r="P172"/>
  <c r="V172" s="1"/>
  <c r="P173"/>
  <c r="AB173" s="1"/>
  <c r="P174"/>
  <c r="AB174" s="1"/>
  <c r="P175"/>
  <c r="V175" s="1"/>
  <c r="P176"/>
  <c r="AB176"/>
  <c r="P177"/>
  <c r="A180"/>
  <c r="E180"/>
  <c r="F180"/>
  <c r="N180"/>
  <c r="Q180"/>
  <c r="R180"/>
  <c r="S180"/>
  <c r="T180"/>
  <c r="U180"/>
  <c r="AU180"/>
  <c r="AV180"/>
  <c r="AW180"/>
  <c r="AX180"/>
  <c r="AY180"/>
  <c r="AZ180"/>
  <c r="BA180"/>
  <c r="BB180"/>
  <c r="G231"/>
  <c r="G235"/>
  <c r="AB235" s="1"/>
  <c r="P231"/>
  <c r="P232"/>
  <c r="AB232" s="1"/>
  <c r="G233"/>
  <c r="P233"/>
  <c r="P235"/>
  <c r="A235"/>
  <c r="E235"/>
  <c r="F235"/>
  <c r="N235"/>
  <c r="O235"/>
  <c r="Q235"/>
  <c r="R235"/>
  <c r="S235"/>
  <c r="T235"/>
  <c r="U235"/>
  <c r="AU235"/>
  <c r="AV235"/>
  <c r="AW235"/>
  <c r="AX235"/>
  <c r="AY235"/>
  <c r="AZ235"/>
  <c r="BA235"/>
  <c r="BB235"/>
  <c r="AU236"/>
  <c r="AV236"/>
  <c r="AW236"/>
  <c r="AX236"/>
  <c r="AY236"/>
  <c r="AZ236"/>
  <c r="BA236"/>
  <c r="BB236"/>
  <c r="K9" i="16"/>
  <c r="K13"/>
  <c r="D16"/>
  <c r="D17" s="1"/>
  <c r="K17"/>
  <c r="D21"/>
  <c r="K21"/>
  <c r="G10" i="14"/>
  <c r="H10"/>
  <c r="H11" s="1"/>
  <c r="I10"/>
  <c r="I11" s="1"/>
  <c r="C11"/>
  <c r="E11"/>
  <c r="F11"/>
  <c r="J11"/>
  <c r="K12"/>
  <c r="Z213" i="5"/>
  <c r="AB57"/>
  <c r="Z27" i="6"/>
  <c r="Z34" s="1"/>
  <c r="AB149" i="2"/>
  <c r="V139" i="1"/>
  <c r="AG139"/>
  <c r="V284" i="3"/>
  <c r="AG284"/>
  <c r="AB15" i="5"/>
  <c r="P44"/>
  <c r="AB44" s="1"/>
  <c r="V28"/>
  <c r="Z28" s="1"/>
  <c r="V188" i="1"/>
  <c r="Z188" s="1"/>
  <c r="AH239" i="3"/>
  <c r="V180" i="5"/>
  <c r="Z180"/>
  <c r="AB234" i="4"/>
  <c r="V179" i="3"/>
  <c r="Z179" s="1"/>
  <c r="V253"/>
  <c r="AG253" s="1"/>
  <c r="V199"/>
  <c r="Z199" s="1"/>
  <c r="AB284"/>
  <c r="AB216" i="4"/>
  <c r="V74"/>
  <c r="Z74" s="1"/>
  <c r="V22" i="3"/>
  <c r="Z22" s="1"/>
  <c r="P170"/>
  <c r="AB170" s="1"/>
  <c r="V141"/>
  <c r="AB255"/>
  <c r="AB261"/>
  <c r="V171" i="5"/>
  <c r="Z171" s="1"/>
  <c r="AB88" i="4"/>
  <c r="AB233"/>
  <c r="AB69"/>
  <c r="V119"/>
  <c r="Z119" s="1"/>
  <c r="V256"/>
  <c r="Z256" s="1"/>
  <c r="V177"/>
  <c r="Z177" s="1"/>
  <c r="AB29"/>
  <c r="AB183" i="2"/>
  <c r="V134"/>
  <c r="Z134" s="1"/>
  <c r="Z137" s="1"/>
  <c r="G205"/>
  <c r="AB168" i="1"/>
  <c r="V142"/>
  <c r="Z142"/>
  <c r="AB191"/>
  <c r="AB151" i="5"/>
  <c r="AI200"/>
  <c r="V169" i="3"/>
  <c r="Z169" s="1"/>
  <c r="AB193" i="5"/>
  <c r="Z60"/>
  <c r="AB60"/>
  <c r="AB61"/>
  <c r="Z61"/>
  <c r="AB62"/>
  <c r="Z62"/>
  <c r="AB59"/>
  <c r="Z59"/>
  <c r="AB31" i="6"/>
  <c r="Z37"/>
  <c r="AF278" i="1"/>
  <c r="G215" i="2"/>
  <c r="AB82" i="4"/>
  <c r="N127" i="1"/>
  <c r="N129" s="1"/>
  <c r="P122"/>
  <c r="AB122" s="1"/>
  <c r="G182" i="3"/>
  <c r="AB247"/>
  <c r="V296"/>
  <c r="V303" s="1"/>
  <c r="AB89"/>
  <c r="AB215"/>
  <c r="AB239"/>
  <c r="V391" i="4"/>
  <c r="Z391" s="1"/>
  <c r="V242" i="1"/>
  <c r="Z242"/>
  <c r="AB145"/>
  <c r="V168"/>
  <c r="AF168" s="1"/>
  <c r="V182"/>
  <c r="AB190"/>
  <c r="AB194"/>
  <c r="AG228" i="3"/>
  <c r="AB264"/>
  <c r="V60"/>
  <c r="Z60" s="1"/>
  <c r="AB296"/>
  <c r="V28"/>
  <c r="Z28"/>
  <c r="V27"/>
  <c r="Z27" s="1"/>
  <c r="AB163" i="5"/>
  <c r="Z228" i="3"/>
  <c r="AB231"/>
  <c r="V32" i="4"/>
  <c r="Z32" s="1"/>
  <c r="V205" i="1"/>
  <c r="V42" i="4"/>
  <c r="AW42"/>
  <c r="AB42"/>
  <c r="V268"/>
  <c r="Z268" s="1"/>
  <c r="AB175" i="2"/>
  <c r="AB111"/>
  <c r="V20" i="3"/>
  <c r="Z20"/>
  <c r="AH21" i="6"/>
  <c r="Z87" i="3"/>
  <c r="AB32" i="4"/>
  <c r="AB135"/>
  <c r="G94" i="2"/>
  <c r="AB137" i="4"/>
  <c r="AB210"/>
  <c r="V392"/>
  <c r="Z392"/>
  <c r="V394"/>
  <c r="Z394"/>
  <c r="V172" i="3"/>
  <c r="AB212" i="1"/>
  <c r="V279" i="4"/>
  <c r="Z279"/>
  <c r="V395"/>
  <c r="Z395"/>
  <c r="AB105" i="2"/>
  <c r="V91" i="3"/>
  <c r="AB24" i="1"/>
  <c r="AH129" i="2"/>
  <c r="AB24" i="4"/>
  <c r="AB53" i="5"/>
  <c r="AB40"/>
  <c r="AB228" i="3"/>
  <c r="G127" i="1"/>
  <c r="AB31" i="8"/>
  <c r="V334" i="3"/>
  <c r="Z334"/>
  <c r="AB329"/>
  <c r="AB287" i="4"/>
  <c r="V109" i="1"/>
  <c r="Z109" s="1"/>
  <c r="V36"/>
  <c r="Z36" s="1"/>
  <c r="AB36"/>
  <c r="V23"/>
  <c r="Z23"/>
  <c r="AB23"/>
  <c r="AB94" i="4"/>
  <c r="V94"/>
  <c r="Z94"/>
  <c r="V191"/>
  <c r="Z191"/>
  <c r="V42" i="8"/>
  <c r="AB42"/>
  <c r="V15" i="18"/>
  <c r="Z15"/>
  <c r="G229" i="2"/>
  <c r="G53" i="3"/>
  <c r="AB51"/>
  <c r="V309"/>
  <c r="Z309" s="1"/>
  <c r="AB309"/>
  <c r="AB46" i="8"/>
  <c r="V46"/>
  <c r="Z46" s="1"/>
  <c r="AB33" i="5"/>
  <c r="AB200"/>
  <c r="V200"/>
  <c r="AB219" i="4"/>
  <c r="V192" i="1"/>
  <c r="AE192"/>
  <c r="AB192"/>
  <c r="V84" i="2"/>
  <c r="AB84"/>
  <c r="AB23" i="3"/>
  <c r="V23"/>
  <c r="Z23"/>
  <c r="AB116" i="4"/>
  <c r="AB93"/>
  <c r="AB208" i="2"/>
  <c r="AB44" i="8"/>
  <c r="AB275" i="4"/>
  <c r="V275"/>
  <c r="Z275" s="1"/>
  <c r="G341" i="3"/>
  <c r="AB252" i="4"/>
  <c r="V59" i="3"/>
  <c r="Z59" s="1"/>
  <c r="Z61" s="1"/>
  <c r="Z128" s="1"/>
  <c r="Z358" s="1"/>
  <c r="I7" i="16" s="1"/>
  <c r="V248" i="3"/>
  <c r="Z248" s="1"/>
  <c r="AB30" i="6"/>
  <c r="V31" i="4"/>
  <c r="Z31"/>
  <c r="V64" i="5"/>
  <c r="Z64" s="1"/>
  <c r="V191"/>
  <c r="AH191" s="1"/>
  <c r="AB242" i="1"/>
  <c r="AB166" i="3"/>
  <c r="AB289" i="4"/>
  <c r="V93" i="2"/>
  <c r="Z93"/>
  <c r="AB271" i="4"/>
  <c r="V142"/>
  <c r="Z142"/>
  <c r="AB121"/>
  <c r="V134" i="3"/>
  <c r="Z134" s="1"/>
  <c r="AB148"/>
  <c r="V261" i="1"/>
  <c r="AF261"/>
  <c r="P209" i="2"/>
  <c r="V117" i="4"/>
  <c r="Z117" s="1"/>
  <c r="V143" i="1"/>
  <c r="Z143" s="1"/>
  <c r="V193" i="4"/>
  <c r="Z193" s="1"/>
  <c r="V104" i="1"/>
  <c r="Z104" s="1"/>
  <c r="G310" i="3"/>
  <c r="V143" i="2"/>
  <c r="AB283" i="4"/>
  <c r="AB152" i="3"/>
  <c r="N217" i="2"/>
  <c r="AB221"/>
  <c r="V188" i="3"/>
  <c r="Z188"/>
  <c r="AB258" i="4"/>
  <c r="AB124" i="1"/>
  <c r="AB135" i="3"/>
  <c r="V240"/>
  <c r="Z240"/>
  <c r="AB108" i="1"/>
  <c r="AB102"/>
  <c r="V206" i="5"/>
  <c r="V397" i="4"/>
  <c r="Z397"/>
  <c r="AB396"/>
  <c r="V132" i="1"/>
  <c r="Z132" s="1"/>
  <c r="V246" i="3"/>
  <c r="Z246" s="1"/>
  <c r="AB340"/>
  <c r="V77" i="1"/>
  <c r="AF77"/>
  <c r="V134"/>
  <c r="Z134"/>
  <c r="AB97" i="4"/>
  <c r="AB132"/>
  <c r="AB319" i="3"/>
  <c r="V132"/>
  <c r="Z132" s="1"/>
  <c r="V156"/>
  <c r="V249" i="4"/>
  <c r="Z249" s="1"/>
  <c r="G292" i="3"/>
  <c r="AB292" s="1"/>
  <c r="AB131"/>
  <c r="V150" i="4"/>
  <c r="Z150" s="1"/>
  <c r="G247" i="1"/>
  <c r="Q172"/>
  <c r="V152"/>
  <c r="AB23" i="8"/>
  <c r="V46" i="1"/>
  <c r="Z46" s="1"/>
  <c r="U34" i="6"/>
  <c r="O341" i="3"/>
  <c r="V209" i="1"/>
  <c r="Z209" s="1"/>
  <c r="P189" i="5"/>
  <c r="AB210" i="1"/>
  <c r="V113" i="2"/>
  <c r="AI113" s="1"/>
  <c r="G96" i="1"/>
  <c r="V31" i="5"/>
  <c r="Z31"/>
  <c r="AB259" i="1"/>
  <c r="Z284" i="3"/>
  <c r="Z91"/>
  <c r="S318"/>
  <c r="G150"/>
  <c r="V193"/>
  <c r="Z193" s="1"/>
  <c r="AG193"/>
  <c r="AB284" i="4"/>
  <c r="V337" i="3"/>
  <c r="Z337" s="1"/>
  <c r="V204"/>
  <c r="Z204" s="1"/>
  <c r="AB25"/>
  <c r="P182"/>
  <c r="V198" i="1"/>
  <c r="Z198" s="1"/>
  <c r="V16" i="3"/>
  <c r="Z16" s="1"/>
  <c r="V259"/>
  <c r="Z259" s="1"/>
  <c r="AB177" i="5"/>
  <c r="V259" i="4"/>
  <c r="Z259"/>
  <c r="V260"/>
  <c r="Z260" s="1"/>
  <c r="AB208" i="1"/>
  <c r="AB136" i="2"/>
  <c r="V204" i="4"/>
  <c r="Z204"/>
  <c r="V260" i="3"/>
  <c r="Z260"/>
  <c r="V36" i="5"/>
  <c r="Z36" s="1"/>
  <c r="AB155" i="1"/>
  <c r="V189" i="3"/>
  <c r="Z189"/>
  <c r="AI84" i="2"/>
  <c r="AB64"/>
  <c r="AB177" i="3"/>
  <c r="AB159"/>
  <c r="AB25" i="6"/>
  <c r="AB23"/>
  <c r="E34"/>
  <c r="G33"/>
  <c r="AB33" s="1"/>
  <c r="AB179" i="5"/>
  <c r="V21"/>
  <c r="R226" i="3"/>
  <c r="U277"/>
  <c r="Q318"/>
  <c r="AB347"/>
  <c r="Z190" i="1"/>
  <c r="V207" i="3"/>
  <c r="Z207" s="1"/>
  <c r="AB207"/>
  <c r="AG195"/>
  <c r="V181" i="5"/>
  <c r="AB181"/>
  <c r="AB248" i="4"/>
  <c r="AB64"/>
  <c r="V64"/>
  <c r="Z64"/>
  <c r="V164" i="5"/>
  <c r="Z164"/>
  <c r="AB164"/>
  <c r="AB214" i="3"/>
  <c r="AB43" i="5"/>
  <c r="V43"/>
  <c r="Z43" s="1"/>
  <c r="AG145" i="1"/>
  <c r="V145"/>
  <c r="Z145"/>
  <c r="V245" i="3"/>
  <c r="Z245" s="1"/>
  <c r="AB14" i="5"/>
  <c r="AB332" i="3"/>
  <c r="G48" i="8"/>
  <c r="AB48"/>
  <c r="AB19" i="6"/>
  <c r="AB235" i="3"/>
  <c r="V258"/>
  <c r="AG258" s="1"/>
  <c r="AB133"/>
  <c r="V115" i="1"/>
  <c r="Z115"/>
  <c r="V192" i="3"/>
  <c r="Z192"/>
  <c r="V138" i="4"/>
  <c r="Z138"/>
  <c r="V16" i="5"/>
  <c r="Z16"/>
  <c r="AB198" i="2"/>
  <c r="V282" i="4"/>
  <c r="Z282"/>
  <c r="AB256" i="1"/>
  <c r="V256"/>
  <c r="AF256" s="1"/>
  <c r="V178" i="5"/>
  <c r="Z178" s="1"/>
  <c r="AB199"/>
  <c r="AB201" i="4"/>
  <c r="V201"/>
  <c r="Z201"/>
  <c r="P16" i="18"/>
  <c r="V14"/>
  <c r="Z14" s="1"/>
  <c r="V115" i="2"/>
  <c r="Z115"/>
  <c r="AB115"/>
  <c r="V279" i="1"/>
  <c r="AF279" s="1"/>
  <c r="AB199"/>
  <c r="V199"/>
  <c r="Z199"/>
  <c r="AB104" i="3"/>
  <c r="V104"/>
  <c r="Z104" s="1"/>
  <c r="AB144" i="4"/>
  <c r="V144"/>
  <c r="Z144"/>
  <c r="AB130"/>
  <c r="V130"/>
  <c r="G211" i="5"/>
  <c r="AH183" i="2"/>
  <c r="V236" i="3"/>
  <c r="Z236"/>
  <c r="AH236"/>
  <c r="AB228" i="4"/>
  <c r="Z237"/>
  <c r="AB237"/>
  <c r="AB265" i="3"/>
  <c r="V265"/>
  <c r="Z265" s="1"/>
  <c r="R128"/>
  <c r="R358" s="1"/>
  <c r="T150" i="1"/>
  <c r="AB105"/>
  <c r="AB182"/>
  <c r="P33" i="6"/>
  <c r="V224" i="4"/>
  <c r="Z224" s="1"/>
  <c r="V66"/>
  <c r="Z66" s="1"/>
  <c r="P106" i="2"/>
  <c r="AB196" i="4"/>
  <c r="V19" i="1"/>
  <c r="Z19" s="1"/>
  <c r="AB195" i="4"/>
  <c r="V142" i="5"/>
  <c r="AL142"/>
  <c r="AM142" s="1"/>
  <c r="AB160" i="2"/>
  <c r="AB131" i="1"/>
  <c r="AB13" i="3"/>
  <c r="V91" i="4"/>
  <c r="Z91" s="1"/>
  <c r="V152"/>
  <c r="Z152" s="1"/>
  <c r="U156" i="2"/>
  <c r="AB81" i="1"/>
  <c r="O58"/>
  <c r="O129" s="1"/>
  <c r="AB207" i="2"/>
  <c r="U318" i="3"/>
  <c r="P184" i="1"/>
  <c r="O404" i="4"/>
  <c r="V203"/>
  <c r="Z203" s="1"/>
  <c r="AB290" i="3"/>
  <c r="R108" i="2"/>
  <c r="AB249" i="1"/>
  <c r="AB21" i="6"/>
  <c r="AB192" i="2"/>
  <c r="Q277" i="3"/>
  <c r="T156" i="2"/>
  <c r="AB251" i="3"/>
  <c r="O305"/>
  <c r="F34" i="6"/>
  <c r="U128" i="3"/>
  <c r="Z190"/>
  <c r="V124" i="2"/>
  <c r="AJ124" s="1"/>
  <c r="V18" i="6"/>
  <c r="G186" i="2"/>
  <c r="G194"/>
  <c r="AB194" s="1"/>
  <c r="AB182"/>
  <c r="AB185" i="4"/>
  <c r="V266" i="1"/>
  <c r="V268" s="1"/>
  <c r="G180"/>
  <c r="AB111"/>
  <c r="AB56" i="3"/>
  <c r="P67" i="5"/>
  <c r="O102"/>
  <c r="O223" s="1"/>
  <c r="O224" s="1"/>
  <c r="AH235" i="3"/>
  <c r="Z235"/>
  <c r="AB236" i="4"/>
  <c r="V43" i="8"/>
  <c r="Z43"/>
  <c r="AB43"/>
  <c r="AB189" i="1"/>
  <c r="V220" i="3"/>
  <c r="Z220" s="1"/>
  <c r="Z224" s="1"/>
  <c r="V202"/>
  <c r="Z202" s="1"/>
  <c r="AB202"/>
  <c r="G207" i="5"/>
  <c r="AH234" i="3"/>
  <c r="V234"/>
  <c r="AB234"/>
  <c r="AB26" i="1"/>
  <c r="G28"/>
  <c r="AB28" s="1"/>
  <c r="AB135" i="2"/>
  <c r="P137"/>
  <c r="V180" i="3"/>
  <c r="Z180" s="1"/>
  <c r="AB180"/>
  <c r="AB181"/>
  <c r="V181"/>
  <c r="Z181"/>
  <c r="V212" i="2"/>
  <c r="AB212"/>
  <c r="V45" i="8"/>
  <c r="Z45" s="1"/>
  <c r="AJ96" i="2"/>
  <c r="P20" i="8"/>
  <c r="C24" i="16"/>
  <c r="S108" i="2"/>
  <c r="AB16" i="8"/>
  <c r="AB398" i="4"/>
  <c r="AB150" i="2"/>
  <c r="AB145"/>
  <c r="AB28" i="5"/>
  <c r="V281" i="4"/>
  <c r="Z281"/>
  <c r="V50" i="8"/>
  <c r="AB58" i="5"/>
  <c r="AB197" i="2"/>
  <c r="V174"/>
  <c r="Z174" s="1"/>
  <c r="AJ174"/>
  <c r="V226" i="4"/>
  <c r="Z226"/>
  <c r="AB107"/>
  <c r="AB208" i="3"/>
  <c r="AG189"/>
  <c r="AB128" i="2"/>
  <c r="V196" i="3"/>
  <c r="Z196"/>
  <c r="AB190"/>
  <c r="V105" i="4"/>
  <c r="Z105" s="1"/>
  <c r="AB183" i="5"/>
  <c r="V56"/>
  <c r="Z56" s="1"/>
  <c r="AB199" i="2"/>
  <c r="V89" i="1"/>
  <c r="Z89"/>
  <c r="AB159" i="2"/>
  <c r="V159"/>
  <c r="AH159" s="1"/>
  <c r="AB35" i="1"/>
  <c r="AB17" i="3"/>
  <c r="V17"/>
  <c r="Z17" s="1"/>
  <c r="V145" i="4"/>
  <c r="Z145" s="1"/>
  <c r="AB136"/>
  <c r="AB83"/>
  <c r="V55" i="5"/>
  <c r="Z55" s="1"/>
  <c r="AB55"/>
  <c r="V35"/>
  <c r="Z35"/>
  <c r="AB35"/>
  <c r="V151" i="4"/>
  <c r="Z151" s="1"/>
  <c r="V158"/>
  <c r="Z158" s="1"/>
  <c r="AB158"/>
  <c r="V179"/>
  <c r="Z179"/>
  <c r="AB179"/>
  <c r="AB313" i="3"/>
  <c r="AB155"/>
  <c r="V155"/>
  <c r="Z155" s="1"/>
  <c r="V80" i="4"/>
  <c r="Z80" s="1"/>
  <c r="AB15"/>
  <c r="G56"/>
  <c r="AB13"/>
  <c r="AH208" i="3"/>
  <c r="V188" i="5"/>
  <c r="Z188" s="1"/>
  <c r="V189"/>
  <c r="AB188"/>
  <c r="V167" i="1"/>
  <c r="P140"/>
  <c r="V138"/>
  <c r="V140" s="1"/>
  <c r="AB99"/>
  <c r="AB118" i="5"/>
  <c r="V118"/>
  <c r="AL118" s="1"/>
  <c r="AM118" s="1"/>
  <c r="V54"/>
  <c r="Z54" s="1"/>
  <c r="AB30"/>
  <c r="V24" i="6"/>
  <c r="V166" i="5"/>
  <c r="Z166" s="1"/>
  <c r="G209" i="2"/>
  <c r="AB209" s="1"/>
  <c r="V206" i="4"/>
  <c r="Z206" s="1"/>
  <c r="AB206"/>
  <c r="V225"/>
  <c r="Z225" s="1"/>
  <c r="G389"/>
  <c r="AB378"/>
  <c r="AB91" i="1"/>
  <c r="V173" i="3"/>
  <c r="V176" s="1"/>
  <c r="AB391" i="4"/>
  <c r="V39" i="5"/>
  <c r="Z39" s="1"/>
  <c r="P16" i="2"/>
  <c r="Z27" i="4"/>
  <c r="V176" i="5"/>
  <c r="Z176"/>
  <c r="V169" i="1"/>
  <c r="V170"/>
  <c r="AF169"/>
  <c r="P167" i="5"/>
  <c r="V213" i="3"/>
  <c r="V22" i="1"/>
  <c r="Z22" s="1"/>
  <c r="V44" i="5"/>
  <c r="AB89" i="1"/>
  <c r="AB59" i="3"/>
  <c r="AB104" i="2"/>
  <c r="AB181" i="4"/>
  <c r="AB162" i="5"/>
  <c r="AB34" i="2"/>
  <c r="AB172"/>
  <c r="AB121" i="3"/>
  <c r="O156" i="2"/>
  <c r="U184" i="3"/>
  <c r="T217" i="2"/>
  <c r="AB227"/>
  <c r="T333" i="3"/>
  <c r="T339" s="1"/>
  <c r="T341" s="1"/>
  <c r="S270" i="1"/>
  <c r="AB167" i="3"/>
  <c r="AB219" i="2"/>
  <c r="T128" i="3"/>
  <c r="T358" s="1"/>
  <c r="R223" i="5"/>
  <c r="R224" s="1"/>
  <c r="R226" s="1"/>
  <c r="Q217" i="2"/>
  <c r="U217"/>
  <c r="Q34" i="6"/>
  <c r="R34"/>
  <c r="O318" i="3"/>
  <c r="N184"/>
  <c r="AB88"/>
  <c r="Z233"/>
  <c r="AG233"/>
  <c r="AH105" i="2"/>
  <c r="AB79"/>
  <c r="AB121"/>
  <c r="V131" i="1"/>
  <c r="P136"/>
  <c r="P150" s="1"/>
  <c r="V16"/>
  <c r="Z16" s="1"/>
  <c r="AB16"/>
  <c r="AB25" i="4"/>
  <c r="U358" i="3"/>
  <c r="V194" i="5"/>
  <c r="AB194"/>
  <c r="V135" i="1"/>
  <c r="Z135"/>
  <c r="AB135"/>
  <c r="AJ145" i="2"/>
  <c r="G172" i="1"/>
  <c r="G102" i="5"/>
  <c r="AB51"/>
  <c r="AB165"/>
  <c r="V165"/>
  <c r="AG165" s="1"/>
  <c r="AB41" i="4"/>
  <c r="AB342" i="3"/>
  <c r="G346"/>
  <c r="AB206" i="1"/>
  <c r="Z191" i="5"/>
  <c r="AG180"/>
  <c r="G305" i="3"/>
  <c r="V144" i="1"/>
  <c r="Z144"/>
  <c r="AB137" i="3"/>
  <c r="AB283"/>
  <c r="AB120" i="1"/>
  <c r="V133"/>
  <c r="AG133" s="1"/>
  <c r="V44"/>
  <c r="Z44"/>
  <c r="AG179" i="3"/>
  <c r="AB312"/>
  <c r="AB18" i="2"/>
  <c r="AB84" i="3"/>
  <c r="AB195"/>
  <c r="V192" i="5"/>
  <c r="Z192" s="1"/>
  <c r="AB78" i="1"/>
  <c r="P85" i="2"/>
  <c r="AB21" i="1"/>
  <c r="AB233" i="3"/>
  <c r="V37" i="5"/>
  <c r="Z37"/>
  <c r="G16" i="2"/>
  <c r="AB174" i="1"/>
  <c r="V34" i="5"/>
  <c r="Z34" s="1"/>
  <c r="AB18" i="6"/>
  <c r="AB160" i="4"/>
  <c r="V167" i="2"/>
  <c r="Z167" s="1"/>
  <c r="AB167"/>
  <c r="V101" i="1"/>
  <c r="Z101"/>
  <c r="AB186" i="3"/>
  <c r="AB122"/>
  <c r="V122"/>
  <c r="Z122"/>
  <c r="V198" i="5"/>
  <c r="Z198"/>
  <c r="AB198"/>
  <c r="P202"/>
  <c r="V126"/>
  <c r="AL126"/>
  <c r="AM126" s="1"/>
  <c r="AB238" i="3"/>
  <c r="Z46" i="4"/>
  <c r="AB262"/>
  <c r="Z261" i="1"/>
  <c r="G85" i="2"/>
  <c r="AB85" s="1"/>
  <c r="V136" i="3"/>
  <c r="Z136"/>
  <c r="AB136"/>
  <c r="V14"/>
  <c r="Z14"/>
  <c r="AB14"/>
  <c r="AB81" i="4"/>
  <c r="V20" i="5"/>
  <c r="Z20"/>
  <c r="AB20"/>
  <c r="Z31" i="8"/>
  <c r="V319" i="3"/>
  <c r="Z319"/>
  <c r="Z331" s="1"/>
  <c r="Z341" s="1"/>
  <c r="V331"/>
  <c r="V341" s="1"/>
  <c r="Z278" i="4"/>
  <c r="V106" i="2"/>
  <c r="AB153" i="3"/>
  <c r="Z182" i="1"/>
  <c r="V200" i="3"/>
  <c r="Z200"/>
  <c r="AB223"/>
  <c r="P253" i="1"/>
  <c r="AB15" i="6"/>
  <c r="AB140" i="2"/>
  <c r="AB146" i="4"/>
  <c r="G158" i="3"/>
  <c r="V222"/>
  <c r="Z222" s="1"/>
  <c r="AB15" i="1"/>
  <c r="V75" i="5"/>
  <c r="P190" i="2"/>
  <c r="V176"/>
  <c r="Z176" s="1"/>
  <c r="V198" i="3"/>
  <c r="Z198"/>
  <c r="AB26" i="6"/>
  <c r="N223" i="5"/>
  <c r="N224" s="1"/>
  <c r="T305" i="3"/>
  <c r="V252" i="1"/>
  <c r="Z252" s="1"/>
  <c r="AB252"/>
  <c r="Z52" i="3"/>
  <c r="Z53"/>
  <c r="V53"/>
  <c r="V338"/>
  <c r="Z338" s="1"/>
  <c r="AB338"/>
  <c r="V95" i="1"/>
  <c r="Z95"/>
  <c r="U30"/>
  <c r="AB95"/>
  <c r="Z42" i="8"/>
  <c r="AW42"/>
  <c r="AB53" i="3"/>
  <c r="Z152" i="1"/>
  <c r="AF152"/>
  <c r="Z156" i="3"/>
  <c r="Z256" i="1"/>
  <c r="Z181" i="5"/>
  <c r="AG181"/>
  <c r="Z169" i="1"/>
  <c r="Z50" i="8"/>
  <c r="AG166" i="5"/>
  <c r="AG180" i="3"/>
  <c r="V67" i="5"/>
  <c r="AB67"/>
  <c r="AI124" i="2"/>
  <c r="Z165" i="5"/>
  <c r="Z131" i="1"/>
  <c r="AB278"/>
  <c r="Z296" i="3"/>
  <c r="G257" i="1"/>
  <c r="V85" i="4"/>
  <c r="Z85"/>
  <c r="V114" i="2"/>
  <c r="AJ114"/>
  <c r="Z312" i="3"/>
  <c r="Z315"/>
  <c r="V241"/>
  <c r="AB241"/>
  <c r="P223" i="2"/>
  <c r="AB223" s="1"/>
  <c r="AB220"/>
  <c r="Z168" i="1"/>
  <c r="AG171" i="5"/>
  <c r="V37" i="1"/>
  <c r="Z37"/>
  <c r="AB37"/>
  <c r="AG137" i="3"/>
  <c r="Z137"/>
  <c r="P128"/>
  <c r="P358" s="1"/>
  <c r="V56"/>
  <c r="AB100" i="4"/>
  <c r="V100"/>
  <c r="Z100" s="1"/>
  <c r="V71"/>
  <c r="Z71" s="1"/>
  <c r="V55"/>
  <c r="Z55" s="1"/>
  <c r="V53" i="5"/>
  <c r="Z53" s="1"/>
  <c r="V19"/>
  <c r="Z19" s="1"/>
  <c r="AB19"/>
  <c r="AB123" i="1"/>
  <c r="V188" i="2"/>
  <c r="Z188" s="1"/>
  <c r="AB230" i="3"/>
  <c r="V230"/>
  <c r="AG230" s="1"/>
  <c r="AB157" i="4"/>
  <c r="AB80" i="1"/>
  <c r="AH237" i="3"/>
  <c r="V202" i="4"/>
  <c r="Z202"/>
  <c r="AB202"/>
  <c r="V95" i="5"/>
  <c r="AB192"/>
  <c r="AB180"/>
  <c r="P182"/>
  <c r="V131" i="2"/>
  <c r="Z131"/>
  <c r="AB131"/>
  <c r="Z245" i="4"/>
  <c r="V193" i="1"/>
  <c r="AE193"/>
  <c r="AB14" i="20"/>
  <c r="V14"/>
  <c r="Z14" s="1"/>
  <c r="Z17" s="1"/>
  <c r="D25" i="16"/>
  <c r="AB15" i="18"/>
  <c r="AB211" i="1"/>
  <c r="AB22" i="6"/>
  <c r="V130" i="3"/>
  <c r="Z130"/>
  <c r="Z138" s="1"/>
  <c r="AB242"/>
  <c r="AB227" i="4"/>
  <c r="AG177" i="5"/>
  <c r="V98" i="1"/>
  <c r="Z98" s="1"/>
  <c r="AB91" i="2"/>
  <c r="AB94" s="1"/>
  <c r="AB159" i="5"/>
  <c r="N150" i="1"/>
  <c r="V165" i="2"/>
  <c r="AB165"/>
  <c r="AA119"/>
  <c r="V232" i="3"/>
  <c r="AG232" s="1"/>
  <c r="AB60" i="1"/>
  <c r="V255" i="4"/>
  <c r="Z255"/>
  <c r="V174" i="3"/>
  <c r="P176"/>
  <c r="AJ87" i="2"/>
  <c r="V87"/>
  <c r="AB52"/>
  <c r="V174" i="1"/>
  <c r="Z174"/>
  <c r="Z176" s="1"/>
  <c r="V119"/>
  <c r="Z119" s="1"/>
  <c r="AB119"/>
  <c r="AB197" i="3"/>
  <c r="G164"/>
  <c r="AB160"/>
  <c r="V26"/>
  <c r="Z26" s="1"/>
  <c r="AB26"/>
  <c r="AB108" i="4"/>
  <c r="AB87"/>
  <c r="V87"/>
  <c r="Z87"/>
  <c r="P173" i="5"/>
  <c r="V168"/>
  <c r="G167"/>
  <c r="AB41"/>
  <c r="AB22" i="8"/>
  <c r="G27"/>
  <c r="AB27" s="1"/>
  <c r="G27" i="6"/>
  <c r="G34" s="1"/>
  <c r="AB13"/>
  <c r="V147" i="4"/>
  <c r="Z147"/>
  <c r="AB147"/>
  <c r="V198" i="2"/>
  <c r="Z198" s="1"/>
  <c r="Z201" s="1"/>
  <c r="V201"/>
  <c r="P201"/>
  <c r="AB201"/>
  <c r="V209" i="5"/>
  <c r="Z209"/>
  <c r="AG209"/>
  <c r="AB209"/>
  <c r="P211"/>
  <c r="AB207" i="1"/>
  <c r="V207"/>
  <c r="AF207" s="1"/>
  <c r="AH255" i="3"/>
  <c r="Z255"/>
  <c r="Z215"/>
  <c r="AB194" i="4"/>
  <c r="V194"/>
  <c r="Z194"/>
  <c r="Z179" i="5"/>
  <c r="AG146" i="1"/>
  <c r="AB146"/>
  <c r="V146"/>
  <c r="Z146"/>
  <c r="V221" i="4"/>
  <c r="Z221"/>
  <c r="AB343" i="3"/>
  <c r="P229" i="2"/>
  <c r="AB229"/>
  <c r="V225"/>
  <c r="Z225"/>
  <c r="Z229" s="1"/>
  <c r="V110" i="3"/>
  <c r="Z109"/>
  <c r="Z110" s="1"/>
  <c r="AB286" i="4"/>
  <c r="V286"/>
  <c r="Z286"/>
  <c r="V142" i="3"/>
  <c r="Z142"/>
  <c r="P219"/>
  <c r="V191"/>
  <c r="Z191"/>
  <c r="V257"/>
  <c r="V221" i="1"/>
  <c r="Z221" s="1"/>
  <c r="Z238" s="1"/>
  <c r="Z286" s="1"/>
  <c r="I11" i="16" s="1"/>
  <c r="AB110" i="1"/>
  <c r="V107"/>
  <c r="AF107" s="1"/>
  <c r="AB107"/>
  <c r="V14"/>
  <c r="Z14"/>
  <c r="P150" i="3"/>
  <c r="V24"/>
  <c r="Z24"/>
  <c r="AB24"/>
  <c r="V20" i="4"/>
  <c r="Z20" s="1"/>
  <c r="AH20"/>
  <c r="AB20"/>
  <c r="V170" i="5"/>
  <c r="Z170" s="1"/>
  <c r="AB170"/>
  <c r="V110"/>
  <c r="AL110"/>
  <c r="AM110" s="1"/>
  <c r="AB110"/>
  <c r="AB157" s="1"/>
  <c r="V262" i="3"/>
  <c r="Z262" s="1"/>
  <c r="V263"/>
  <c r="Z263" s="1"/>
  <c r="AB263"/>
  <c r="AB280" i="4"/>
  <c r="V177" i="2"/>
  <c r="AI177" s="1"/>
  <c r="AB177"/>
  <c r="Z164"/>
  <c r="G162"/>
  <c r="AB162"/>
  <c r="AA146"/>
  <c r="G132"/>
  <c r="AB119"/>
  <c r="V258" i="1"/>
  <c r="Z258"/>
  <c r="P257"/>
  <c r="V157"/>
  <c r="Z157"/>
  <c r="V17"/>
  <c r="Z17"/>
  <c r="AB17"/>
  <c r="AB212" i="3"/>
  <c r="V212"/>
  <c r="AB206"/>
  <c r="V206"/>
  <c r="Z206"/>
  <c r="AB194"/>
  <c r="V194"/>
  <c r="Z194" s="1"/>
  <c r="AG194"/>
  <c r="Z126" i="4"/>
  <c r="V63"/>
  <c r="Z63" s="1"/>
  <c r="V28"/>
  <c r="Z28" s="1"/>
  <c r="AB28"/>
  <c r="AB197" i="5"/>
  <c r="AB202"/>
  <c r="G202"/>
  <c r="V134"/>
  <c r="AB134"/>
  <c r="AB32"/>
  <c r="V32"/>
  <c r="Z32" s="1"/>
  <c r="P27"/>
  <c r="AB17"/>
  <c r="AB27"/>
  <c r="V17"/>
  <c r="G56" i="8"/>
  <c r="G57" s="1"/>
  <c r="C20" i="16" s="1"/>
  <c r="AB66" i="5"/>
  <c r="V66"/>
  <c r="Z66" s="1"/>
  <c r="AB174" i="4"/>
  <c r="G217" i="2"/>
  <c r="AB211"/>
  <c r="AB307" i="3"/>
  <c r="G318"/>
  <c r="V308"/>
  <c r="Z308"/>
  <c r="AB308"/>
  <c r="P310"/>
  <c r="P318" s="1"/>
  <c r="AB318" s="1"/>
  <c r="AB178"/>
  <c r="V178"/>
  <c r="AB223" i="4"/>
  <c r="AB17" i="8"/>
  <c r="AB18"/>
  <c r="V27" i="6"/>
  <c r="AB29" i="3"/>
  <c r="P315"/>
  <c r="AJ119" i="2"/>
  <c r="AB37" i="8"/>
  <c r="V180" i="4"/>
  <c r="Z180" s="1"/>
  <c r="AB189"/>
  <c r="AB114" i="2"/>
  <c r="V203" i="3"/>
  <c r="Z203" s="1"/>
  <c r="P145"/>
  <c r="AB216"/>
  <c r="V123" i="4"/>
  <c r="Z123" s="1"/>
  <c r="AB211" i="5"/>
  <c r="G170" i="2"/>
  <c r="E19" i="16"/>
  <c r="H19" s="1"/>
  <c r="P132" i="2"/>
  <c r="AB61" i="3"/>
  <c r="O56" i="8"/>
  <c r="O57" s="1"/>
  <c r="U108" i="2"/>
  <c r="Q108"/>
  <c r="Z175" i="3"/>
  <c r="Z176" s="1"/>
  <c r="AB182"/>
  <c r="AB54" i="2"/>
  <c r="P158" i="1"/>
  <c r="P172" s="1"/>
  <c r="G226" i="3"/>
  <c r="N156" i="2"/>
  <c r="V182" i="3"/>
  <c r="S224" i="5"/>
  <c r="T318" i="3"/>
  <c r="U226"/>
  <c r="Q226"/>
  <c r="N226"/>
  <c r="AB233" i="2"/>
  <c r="AB195" i="5"/>
  <c r="E354" i="3"/>
  <c r="R305"/>
  <c r="R341"/>
  <c r="Z166" i="2"/>
  <c r="Z165"/>
  <c r="V217" i="5"/>
  <c r="Z217" s="1"/>
  <c r="U333" i="3"/>
  <c r="U339" s="1"/>
  <c r="U341"/>
  <c r="G108" i="2"/>
  <c r="Z192" i="1"/>
  <c r="AB168" i="5"/>
  <c r="AB16" i="4"/>
  <c r="Z194" i="5"/>
  <c r="Z195"/>
  <c r="AB184" i="4"/>
  <c r="Z177" i="3"/>
  <c r="T227" i="5"/>
  <c r="Z213" i="3"/>
  <c r="P186" i="2"/>
  <c r="V184"/>
  <c r="V186"/>
  <c r="AF167" i="1"/>
  <c r="C25" i="16"/>
  <c r="AB27" i="1"/>
  <c r="Z234" i="3"/>
  <c r="AB211"/>
  <c r="AB219" s="1"/>
  <c r="P143" i="2"/>
  <c r="AG199" i="5"/>
  <c r="V63"/>
  <c r="AG214" i="3"/>
  <c r="AB122" i="4"/>
  <c r="V38" i="8"/>
  <c r="Z38" s="1"/>
  <c r="AB265" i="4"/>
  <c r="AB43"/>
  <c r="V126" i="2"/>
  <c r="AA127"/>
  <c r="Z141" i="3"/>
  <c r="V29" i="5"/>
  <c r="Z29" s="1"/>
  <c r="V231" i="2"/>
  <c r="Z231"/>
  <c r="Z235" s="1"/>
  <c r="V173"/>
  <c r="V160"/>
  <c r="AH160" s="1"/>
  <c r="AB126"/>
  <c r="AB188" i="1"/>
  <c r="AB202"/>
  <c r="V224" i="3"/>
  <c r="AG213"/>
  <c r="AB315"/>
  <c r="AB270" i="4"/>
  <c r="P353" i="3"/>
  <c r="AB353"/>
  <c r="AB213" i="4"/>
  <c r="P210" i="3"/>
  <c r="AB210" s="1"/>
  <c r="AH222"/>
  <c r="AB231" i="2"/>
  <c r="V238" i="3"/>
  <c r="Z238" s="1"/>
  <c r="G277"/>
  <c r="Q358"/>
  <c r="V204" i="2"/>
  <c r="AB140" i="4"/>
  <c r="G16" i="18"/>
  <c r="AB16" s="1"/>
  <c r="P28" i="1"/>
  <c r="V189"/>
  <c r="Z189" s="1"/>
  <c r="Z202" s="1"/>
  <c r="AB178"/>
  <c r="AB17" i="6"/>
  <c r="G33" i="3"/>
  <c r="AB77" i="2"/>
  <c r="AB201" i="3"/>
  <c r="AB114" i="4"/>
  <c r="V205" i="5"/>
  <c r="AB154" i="1"/>
  <c r="AG285" i="3"/>
  <c r="V235" i="4"/>
  <c r="Z235"/>
  <c r="P180" i="2"/>
  <c r="AB50" i="8"/>
  <c r="V18" i="3"/>
  <c r="AB221"/>
  <c r="P224"/>
  <c r="S354"/>
  <c r="S357" s="1"/>
  <c r="AB168"/>
  <c r="G118" i="2"/>
  <c r="V200" i="4"/>
  <c r="Z200" s="1"/>
  <c r="AG283" i="3"/>
  <c r="P39" i="8"/>
  <c r="P138" i="3"/>
  <c r="P215" i="2"/>
  <c r="AB204" i="5"/>
  <c r="AB207" s="1"/>
  <c r="AB222" i="4"/>
  <c r="AB165" i="3"/>
  <c r="P152" i="2"/>
  <c r="V244" i="3"/>
  <c r="Z244"/>
  <c r="G195" i="5"/>
  <c r="AB203" i="2"/>
  <c r="AG178" i="3"/>
  <c r="Z178"/>
  <c r="Z182"/>
  <c r="AH308"/>
  <c r="V310"/>
  <c r="Z257"/>
  <c r="AG257"/>
  <c r="Z56"/>
  <c r="AB257" i="1"/>
  <c r="Z17" i="5"/>
  <c r="Z207" i="1"/>
  <c r="Z232" i="3"/>
  <c r="AI165" i="2"/>
  <c r="Z168" i="5"/>
  <c r="Z173" s="1"/>
  <c r="V173"/>
  <c r="AJ225" i="2"/>
  <c r="V229"/>
  <c r="Z230" i="3"/>
  <c r="AM150" i="5"/>
  <c r="AN150" s="1"/>
  <c r="AO150" s="1"/>
  <c r="AA126" i="2"/>
  <c r="AI126"/>
  <c r="Z18" i="3"/>
  <c r="Z168"/>
  <c r="Z170" s="1"/>
  <c r="P226"/>
  <c r="AJ231" i="2"/>
  <c r="P194"/>
  <c r="AB186"/>
  <c r="Z63" i="5"/>
  <c r="Z184" i="2"/>
  <c r="AH184"/>
  <c r="AB152"/>
  <c r="V48"/>
  <c r="AA98"/>
  <c r="P108"/>
  <c r="V81"/>
  <c r="AB33" i="8"/>
  <c r="S404" i="4"/>
  <c r="S405" s="1"/>
  <c r="N404"/>
  <c r="Z251" i="3"/>
  <c r="P56" i="4"/>
  <c r="V17"/>
  <c r="Z17" s="1"/>
  <c r="AB115"/>
  <c r="AB65"/>
  <c r="V188"/>
  <c r="Z188" s="1"/>
  <c r="AB96"/>
  <c r="AB79"/>
  <c r="AB14"/>
  <c r="G401"/>
  <c r="AB44"/>
  <c r="AB264"/>
  <c r="V269"/>
  <c r="Z269" s="1"/>
  <c r="T404"/>
  <c r="AB276"/>
  <c r="V62"/>
  <c r="Z62" s="1"/>
  <c r="V244"/>
  <c r="Z244" s="1"/>
  <c r="V92"/>
  <c r="Z92" s="1"/>
  <c r="AB393"/>
  <c r="AB192"/>
  <c r="V212"/>
  <c r="Z212" s="1"/>
  <c r="V141"/>
  <c r="Z141" s="1"/>
  <c r="AB198"/>
  <c r="AB153"/>
  <c r="AB274"/>
  <c r="V103"/>
  <c r="Z103"/>
  <c r="AB186"/>
  <c r="V254"/>
  <c r="Z254" s="1"/>
  <c r="V243"/>
  <c r="Z243" s="1"/>
  <c r="AB257"/>
  <c r="AB90"/>
  <c r="AB109"/>
  <c r="AB175"/>
  <c r="V30"/>
  <c r="Z30"/>
  <c r="G376"/>
  <c r="G405"/>
  <c r="V183"/>
  <c r="Z183" s="1"/>
  <c r="AB218"/>
  <c r="P389"/>
  <c r="F405"/>
  <c r="Q404"/>
  <c r="AB277"/>
  <c r="V102"/>
  <c r="Z102"/>
  <c r="AB128"/>
  <c r="AB59"/>
  <c r="P376"/>
  <c r="V18"/>
  <c r="Z18" s="1"/>
  <c r="AB73"/>
  <c r="V133"/>
  <c r="Z133"/>
  <c r="V263"/>
  <c r="Z263" s="1"/>
  <c r="Z214"/>
  <c r="AW214"/>
  <c r="Z58"/>
  <c r="AB126"/>
  <c r="AB112"/>
  <c r="AB261"/>
  <c r="V23"/>
  <c r="Z23"/>
  <c r="AB143"/>
  <c r="V205"/>
  <c r="Z205" s="1"/>
  <c r="V230"/>
  <c r="Z230" s="1"/>
  <c r="AB61"/>
  <c r="AB156"/>
  <c r="V247"/>
  <c r="Z247" s="1"/>
  <c r="AB139"/>
  <c r="AB131"/>
  <c r="V129"/>
  <c r="Z129" s="1"/>
  <c r="AB124"/>
  <c r="V106"/>
  <c r="Z106"/>
  <c r="AB101"/>
  <c r="V99"/>
  <c r="Z99" s="1"/>
  <c r="AB86"/>
  <c r="AB33"/>
  <c r="AB148"/>
  <c r="AB176"/>
  <c r="V197"/>
  <c r="Z197" s="1"/>
  <c r="AB232"/>
  <c r="AB251"/>
  <c r="AB403"/>
  <c r="V399"/>
  <c r="Z399" s="1"/>
  <c r="V285"/>
  <c r="Z285" s="1"/>
  <c r="V220"/>
  <c r="Z220" s="1"/>
  <c r="AB290"/>
  <c r="AB76"/>
  <c r="AB245"/>
  <c r="AB278"/>
  <c r="AB46"/>
  <c r="AB207"/>
  <c r="AB118"/>
  <c r="AB60"/>
  <c r="AB159"/>
  <c r="V19"/>
  <c r="V208"/>
  <c r="Z208" s="1"/>
  <c r="AB110"/>
  <c r="AB111"/>
  <c r="AB127"/>
  <c r="V154"/>
  <c r="Z154"/>
  <c r="V273"/>
  <c r="Z273"/>
  <c r="V217"/>
  <c r="Z217"/>
  <c r="AB72"/>
  <c r="V182"/>
  <c r="Z182" s="1"/>
  <c r="V113"/>
  <c r="Z113" s="1"/>
  <c r="AB161"/>
  <c r="AB246"/>
  <c r="V120"/>
  <c r="Z120" s="1"/>
  <c r="AB84"/>
  <c r="V77"/>
  <c r="Z77"/>
  <c r="V75"/>
  <c r="Z75"/>
  <c r="V70"/>
  <c r="Z70"/>
  <c r="AB27"/>
  <c r="AB187"/>
  <c r="V209"/>
  <c r="Z209"/>
  <c r="AB214"/>
  <c r="V229"/>
  <c r="Z229" s="1"/>
  <c r="V231"/>
  <c r="Z231" s="1"/>
  <c r="V250"/>
  <c r="Z250" s="1"/>
  <c r="AB45"/>
  <c r="AB267"/>
  <c r="V393"/>
  <c r="Z393" s="1"/>
  <c r="V95"/>
  <c r="Z95" s="1"/>
  <c r="V104"/>
  <c r="Z104" s="1"/>
  <c r="AB178"/>
  <c r="AB78"/>
  <c r="V67"/>
  <c r="Z67" s="1"/>
  <c r="AB389"/>
  <c r="Z19"/>
  <c r="V401"/>
  <c r="AB335" i="3"/>
  <c r="P339"/>
  <c r="AB339" s="1"/>
  <c r="V339"/>
  <c r="P331"/>
  <c r="AB331" s="1"/>
  <c r="V39" i="8"/>
  <c r="Z37"/>
  <c r="Z39"/>
  <c r="AB32"/>
  <c r="G35"/>
  <c r="AB47"/>
  <c r="V41"/>
  <c r="V48" s="1"/>
  <c r="V30"/>
  <c r="V22"/>
  <c r="Z22"/>
  <c r="Z27" s="1"/>
  <c r="V15"/>
  <c r="Z15" s="1"/>
  <c r="AF78" i="1"/>
  <c r="Z78"/>
  <c r="AF80"/>
  <c r="Z86"/>
  <c r="AF86"/>
  <c r="AB86"/>
  <c r="V83"/>
  <c r="Z83"/>
  <c r="V94"/>
  <c r="Z94"/>
  <c r="V62"/>
  <c r="Z62"/>
  <c r="AB66"/>
  <c r="V93"/>
  <c r="Z93"/>
  <c r="V72"/>
  <c r="Z72"/>
  <c r="G30"/>
  <c r="Z13"/>
  <c r="Z110"/>
  <c r="Z35"/>
  <c r="Z260"/>
  <c r="AF260"/>
  <c r="Z273"/>
  <c r="AF273"/>
  <c r="AF70"/>
  <c r="Z70"/>
  <c r="Z76"/>
  <c r="Z88"/>
  <c r="AF88"/>
  <c r="Z191"/>
  <c r="AE191"/>
  <c r="AB172"/>
  <c r="F283"/>
  <c r="F293" s="1"/>
  <c r="Z28"/>
  <c r="Z183"/>
  <c r="V184"/>
  <c r="AB51"/>
  <c r="AF155"/>
  <c r="V253"/>
  <c r="AF111"/>
  <c r="Z272"/>
  <c r="Z276" s="1"/>
  <c r="V276"/>
  <c r="Z60"/>
  <c r="AG60"/>
  <c r="Z63"/>
  <c r="AB117"/>
  <c r="Q285"/>
  <c r="AB158"/>
  <c r="Z193"/>
  <c r="P58"/>
  <c r="V120"/>
  <c r="Z120"/>
  <c r="Z139"/>
  <c r="AF83"/>
  <c r="AB79"/>
  <c r="AB70"/>
  <c r="V125"/>
  <c r="AA126"/>
  <c r="G148"/>
  <c r="AB148" s="1"/>
  <c r="V116"/>
  <c r="AG124"/>
  <c r="V79"/>
  <c r="AB90"/>
  <c r="V195"/>
  <c r="AB245"/>
  <c r="AF258"/>
  <c r="P180"/>
  <c r="V84"/>
  <c r="Z84"/>
  <c r="V121"/>
  <c r="Z121"/>
  <c r="G276"/>
  <c r="Z178"/>
  <c r="V28"/>
  <c r="V255"/>
  <c r="AF255" s="1"/>
  <c r="Z259"/>
  <c r="Z138"/>
  <c r="Z140" s="1"/>
  <c r="P117"/>
  <c r="V235"/>
  <c r="AB13"/>
  <c r="AB272"/>
  <c r="AB276" s="1"/>
  <c r="AB240"/>
  <c r="V179"/>
  <c r="V64"/>
  <c r="V45"/>
  <c r="Z45" s="1"/>
  <c r="AB260"/>
  <c r="AB144"/>
  <c r="P25"/>
  <c r="P30" s="1"/>
  <c r="AF179"/>
  <c r="G58"/>
  <c r="G129"/>
  <c r="V82"/>
  <c r="AB88"/>
  <c r="AB175"/>
  <c r="AB196"/>
  <c r="V56"/>
  <c r="Z56" s="1"/>
  <c r="G253"/>
  <c r="Z77"/>
  <c r="V99"/>
  <c r="Z99" s="1"/>
  <c r="Z167"/>
  <c r="Z170" s="1"/>
  <c r="Z205"/>
  <c r="G140"/>
  <c r="AB140"/>
  <c r="G238"/>
  <c r="G286" s="1"/>
  <c r="C11" i="16" s="1"/>
  <c r="AB73" i="1"/>
  <c r="AB267"/>
  <c r="P270" i="3"/>
  <c r="Z293" i="4"/>
  <c r="AB293"/>
  <c r="P341" i="3"/>
  <c r="Z41" i="8"/>
  <c r="V20"/>
  <c r="Z20"/>
  <c r="AF62" i="1"/>
  <c r="Z82"/>
  <c r="AF82"/>
  <c r="AG125"/>
  <c r="AA125"/>
  <c r="Z255"/>
  <c r="Z79"/>
  <c r="V68"/>
  <c r="AB25"/>
  <c r="AB30" s="1"/>
  <c r="E8" i="16"/>
  <c r="Z148" i="1"/>
  <c r="S226" i="5"/>
  <c r="Z16" i="18"/>
  <c r="Z18" s="1"/>
  <c r="I24" i="16" s="1"/>
  <c r="AH126" i="2"/>
  <c r="Z133" i="1"/>
  <c r="V94" i="2"/>
  <c r="Q236"/>
  <c r="AG201" i="3"/>
  <c r="AA183" i="5"/>
  <c r="V235" i="2"/>
  <c r="AB143"/>
  <c r="Z212" i="3"/>
  <c r="AA26" i="2"/>
  <c r="P81"/>
  <c r="P239" s="1"/>
  <c r="Z202" i="5"/>
  <c r="AA125" i="2"/>
  <c r="AB253" i="1"/>
  <c r="Z172" i="2"/>
  <c r="AA172" s="1"/>
  <c r="AA225"/>
  <c r="V100"/>
  <c r="G176" i="1"/>
  <c r="AB176" s="1"/>
  <c r="AB101"/>
  <c r="P158" i="3"/>
  <c r="AB158" s="1"/>
  <c r="V215" i="5"/>
  <c r="Z215"/>
  <c r="S129" i="1"/>
  <c r="S283" s="1"/>
  <c r="S285" s="1"/>
  <c r="Q405" i="4"/>
  <c r="Z186" i="2"/>
  <c r="AJ182"/>
  <c r="R236"/>
  <c r="T405" i="4"/>
  <c r="P33" i="3"/>
  <c r="N405" i="4"/>
  <c r="AJ197" i="2"/>
  <c r="AJ192"/>
  <c r="V207"/>
  <c r="Z94"/>
  <c r="O150" i="1"/>
  <c r="O283"/>
  <c r="AA140" i="2"/>
  <c r="AA141"/>
  <c r="S156"/>
  <c r="AB333" i="3"/>
  <c r="AB321"/>
  <c r="AB323"/>
  <c r="AB325"/>
  <c r="AB328"/>
  <c r="AB267"/>
  <c r="AB142" i="2"/>
  <c r="V346" i="3"/>
  <c r="Z342"/>
  <c r="Z346"/>
  <c r="AB344"/>
  <c r="V350"/>
  <c r="AB350"/>
  <c r="V262" i="1"/>
  <c r="AB262"/>
  <c r="V52" i="8"/>
  <c r="AB52"/>
  <c r="V160" i="3"/>
  <c r="P164"/>
  <c r="AB164" s="1"/>
  <c r="AB168" i="2"/>
  <c r="AB225"/>
  <c r="AB268" i="3"/>
  <c r="AB351"/>
  <c r="V351"/>
  <c r="Z289"/>
  <c r="Z292"/>
  <c r="V211" i="2"/>
  <c r="V215"/>
  <c r="O184" i="3"/>
  <c r="O354"/>
  <c r="O357" s="1"/>
  <c r="AB100" i="5"/>
  <c r="AB320" i="3"/>
  <c r="AB322"/>
  <c r="AB324"/>
  <c r="AB327"/>
  <c r="AB266"/>
  <c r="P346"/>
  <c r="AB346"/>
  <c r="AI168" i="2"/>
  <c r="Z168"/>
  <c r="AB336" i="3"/>
  <c r="N57" i="8"/>
  <c r="AB161" i="3"/>
  <c r="AB299"/>
  <c r="AB301"/>
  <c r="P282" i="1"/>
  <c r="V302" i="3"/>
  <c r="AB302"/>
  <c r="AB238" i="4"/>
  <c r="V238"/>
  <c r="R56" i="8"/>
  <c r="R57"/>
  <c r="Z278" i="1"/>
  <c r="Z282"/>
  <c r="V385" i="4"/>
  <c r="Z385" s="1"/>
  <c r="V381"/>
  <c r="V316"/>
  <c r="Z316"/>
  <c r="AB316"/>
  <c r="V312"/>
  <c r="Z312" s="1"/>
  <c r="AB312"/>
  <c r="V308"/>
  <c r="Z308"/>
  <c r="AB308"/>
  <c r="V330"/>
  <c r="Z330" s="1"/>
  <c r="AB330"/>
  <c r="Z326"/>
  <c r="V322"/>
  <c r="Z322" s="1"/>
  <c r="AB322"/>
  <c r="V354"/>
  <c r="Z354"/>
  <c r="AB354"/>
  <c r="V350"/>
  <c r="Z350" s="1"/>
  <c r="AB350"/>
  <c r="V346"/>
  <c r="Z346"/>
  <c r="AB346"/>
  <c r="V369"/>
  <c r="Z369" s="1"/>
  <c r="AB369"/>
  <c r="V365"/>
  <c r="Z365"/>
  <c r="AB365"/>
  <c r="AB292"/>
  <c r="AB379"/>
  <c r="AB383"/>
  <c r="AB337"/>
  <c r="V337"/>
  <c r="Z337"/>
  <c r="V296"/>
  <c r="Z296"/>
  <c r="V314"/>
  <c r="Z314"/>
  <c r="AB314"/>
  <c r="V310"/>
  <c r="Z310" s="1"/>
  <c r="AB310"/>
  <c r="V328"/>
  <c r="Z328"/>
  <c r="AB328"/>
  <c r="V324"/>
  <c r="Z324" s="1"/>
  <c r="AB324"/>
  <c r="V352"/>
  <c r="Z352"/>
  <c r="AB352"/>
  <c r="V348"/>
  <c r="Z348" s="1"/>
  <c r="AB348"/>
  <c r="V344"/>
  <c r="Z344"/>
  <c r="AB344"/>
  <c r="V371"/>
  <c r="Z371" s="1"/>
  <c r="AB371"/>
  <c r="V367"/>
  <c r="Z367"/>
  <c r="AB367"/>
  <c r="V332"/>
  <c r="Z332" s="1"/>
  <c r="V334"/>
  <c r="Z334" s="1"/>
  <c r="V336"/>
  <c r="Z336" s="1"/>
  <c r="Z238"/>
  <c r="Z160" i="3"/>
  <c r="Z302"/>
  <c r="Z303"/>
  <c r="P184"/>
  <c r="Z381" i="4"/>
  <c r="Z52" i="8"/>
  <c r="V209" i="2"/>
  <c r="AJ207"/>
  <c r="Z100"/>
  <c r="AA100" s="1"/>
  <c r="AJ100"/>
  <c r="O226" i="5" l="1"/>
  <c r="O227" s="1"/>
  <c r="I25" i="16"/>
  <c r="O293" i="1"/>
  <c r="O285"/>
  <c r="Z179"/>
  <c r="Z180" s="1"/>
  <c r="V180"/>
  <c r="Z30" i="8"/>
  <c r="Z35" s="1"/>
  <c r="Z56" s="1"/>
  <c r="Z57" s="1"/>
  <c r="I20" i="16" s="1"/>
  <c r="I21" s="1"/>
  <c r="V35" i="8"/>
  <c r="AB56" i="4"/>
  <c r="Z173" i="2"/>
  <c r="AA173" s="1"/>
  <c r="AJ173"/>
  <c r="AJ175"/>
  <c r="Z175"/>
  <c r="Z180" s="1"/>
  <c r="Z148"/>
  <c r="AI148"/>
  <c r="AA123"/>
  <c r="AA121"/>
  <c r="AH121" s="1"/>
  <c r="AJ121"/>
  <c r="AA122"/>
  <c r="Z70"/>
  <c r="AB70"/>
  <c r="Z20"/>
  <c r="Z81" s="1"/>
  <c r="AB20"/>
  <c r="AB264" i="1"/>
  <c r="G270"/>
  <c r="Z187" i="3"/>
  <c r="Z210" s="1"/>
  <c r="Z147"/>
  <c r="Z150" s="1"/>
  <c r="V150"/>
  <c r="Z161" i="5"/>
  <c r="Z167" s="1"/>
  <c r="V167"/>
  <c r="Z231" i="3"/>
  <c r="AG231"/>
  <c r="Z262" i="1"/>
  <c r="Z264" s="1"/>
  <c r="V264"/>
  <c r="AF64"/>
  <c r="Z64"/>
  <c r="Z291" s="1"/>
  <c r="AB180"/>
  <c r="AF79"/>
  <c r="AF116"/>
  <c r="Z116"/>
  <c r="AB48" i="2"/>
  <c r="AA48"/>
  <c r="N226" i="5"/>
  <c r="N227"/>
  <c r="AJ172" i="2"/>
  <c r="V180"/>
  <c r="AI166"/>
  <c r="V170"/>
  <c r="Z13"/>
  <c r="Z16" s="1"/>
  <c r="V16"/>
  <c r="V239" s="1"/>
  <c r="Z52" i="5"/>
  <c r="Z102" s="1"/>
  <c r="J19" i="16"/>
  <c r="AG123" i="1"/>
  <c r="AA123"/>
  <c r="Z214" i="3"/>
  <c r="V318"/>
  <c r="AB132" i="2"/>
  <c r="Z170"/>
  <c r="Z127" i="1"/>
  <c r="Z184"/>
  <c r="AB341" i="3"/>
  <c r="U236" i="2"/>
  <c r="S236"/>
  <c r="E236"/>
  <c r="V257" i="1"/>
  <c r="W286"/>
  <c r="E11" i="16" s="1"/>
  <c r="V214" i="1"/>
  <c r="Z58"/>
  <c r="U354" i="3"/>
  <c r="U357" s="1"/>
  <c r="Q354"/>
  <c r="Q357" s="1"/>
  <c r="Z33"/>
  <c r="Z310"/>
  <c r="Z318" s="1"/>
  <c r="Z54" i="8"/>
  <c r="V162" i="2"/>
  <c r="U226" i="5"/>
  <c r="U227" s="1"/>
  <c r="R227"/>
  <c r="Z48" i="8"/>
  <c r="Z68" i="1"/>
  <c r="Z160" i="2"/>
  <c r="AB270" i="1"/>
  <c r="Z204"/>
  <c r="Z214" s="1"/>
  <c r="S227" i="5"/>
  <c r="AB170" i="2"/>
  <c r="V128" i="3"/>
  <c r="V358" s="1"/>
  <c r="F7" i="16" s="1"/>
  <c r="Z136" i="1"/>
  <c r="Z150" s="1"/>
  <c r="C6" i="14"/>
  <c r="Z339" i="3"/>
  <c r="Z401" i="4"/>
  <c r="AB215" i="2"/>
  <c r="Z106"/>
  <c r="Z240"/>
  <c r="V240"/>
  <c r="AB68"/>
  <c r="AB58"/>
  <c r="AB56"/>
  <c r="Z182" i="5"/>
  <c r="AB39" i="8"/>
  <c r="U283" i="1"/>
  <c r="U285" s="1"/>
  <c r="T283"/>
  <c r="T285" s="1"/>
  <c r="Z305" i="3"/>
  <c r="P288" i="1"/>
  <c r="AB85"/>
  <c r="V162" i="3"/>
  <c r="AB162"/>
  <c r="AB295" i="4"/>
  <c r="V295"/>
  <c r="Z295" s="1"/>
  <c r="AB306"/>
  <c r="V306"/>
  <c r="Z306" s="1"/>
  <c r="V304"/>
  <c r="Z304" s="1"/>
  <c r="AB304"/>
  <c r="V300"/>
  <c r="Z300" s="1"/>
  <c r="AB300"/>
  <c r="AB298"/>
  <c r="V298"/>
  <c r="Z298" s="1"/>
  <c r="AB320"/>
  <c r="V320"/>
  <c r="Z320" s="1"/>
  <c r="V349"/>
  <c r="Z349" s="1"/>
  <c r="AB349"/>
  <c r="AB364"/>
  <c r="V364"/>
  <c r="Z364" s="1"/>
  <c r="G166" i="1"/>
  <c r="AB160"/>
  <c r="G224" i="3"/>
  <c r="AB220"/>
  <c r="AB224" s="1"/>
  <c r="AB226" s="1"/>
  <c r="G20" i="8"/>
  <c r="AB20" s="1"/>
  <c r="AB15"/>
  <c r="P289" i="1"/>
  <c r="AG89"/>
  <c r="V157" i="3"/>
  <c r="AB157"/>
  <c r="V151" i="2"/>
  <c r="AB151"/>
  <c r="V349" i="3"/>
  <c r="V353" s="1"/>
  <c r="AB349"/>
  <c r="AB30"/>
  <c r="V30"/>
  <c r="AB172" i="4"/>
  <c r="V172"/>
  <c r="Z172" s="1"/>
  <c r="AB307"/>
  <c r="V307"/>
  <c r="Z307" s="1"/>
  <c r="AB305"/>
  <c r="V305"/>
  <c r="Z305" s="1"/>
  <c r="AB301"/>
  <c r="V301"/>
  <c r="Z301" s="1"/>
  <c r="AB299"/>
  <c r="V299"/>
  <c r="Z299" s="1"/>
  <c r="AB297"/>
  <c r="V297"/>
  <c r="Z297" s="1"/>
  <c r="V313"/>
  <c r="Z313" s="1"/>
  <c r="AB313"/>
  <c r="AB359"/>
  <c r="V359"/>
  <c r="Z359" s="1"/>
  <c r="AB368"/>
  <c r="V368"/>
  <c r="Z368" s="1"/>
  <c r="G242" i="2"/>
  <c r="G150" i="1"/>
  <c r="AB150" s="1"/>
  <c r="N216"/>
  <c r="N283" s="1"/>
  <c r="AB309" i="4"/>
  <c r="G241" i="2"/>
  <c r="G290" i="1"/>
  <c r="G292"/>
  <c r="P290"/>
  <c r="V54" i="8"/>
  <c r="AB326" i="4"/>
  <c r="V282" i="1"/>
  <c r="V203" i="2"/>
  <c r="V205" s="1"/>
  <c r="V217" s="1"/>
  <c r="V33" i="3"/>
  <c r="P127" i="1"/>
  <c r="AB127" s="1"/>
  <c r="AA124" i="2"/>
  <c r="AF254" i="1"/>
  <c r="Z254"/>
  <c r="Z257" s="1"/>
  <c r="Z270" s="1"/>
  <c r="AH192" i="5"/>
  <c r="V202" i="1"/>
  <c r="Z253" i="3"/>
  <c r="V58" i="1"/>
  <c r="AF156"/>
  <c r="P74"/>
  <c r="AB74" s="1"/>
  <c r="AB38"/>
  <c r="AB58" s="1"/>
  <c r="V106"/>
  <c r="V114"/>
  <c r="V122"/>
  <c r="AB200"/>
  <c r="V156"/>
  <c r="Z156" s="1"/>
  <c r="V153"/>
  <c r="AB183"/>
  <c r="G214"/>
  <c r="V238"/>
  <c r="V286" s="1"/>
  <c r="F11" i="16" s="1"/>
  <c r="G11" s="1"/>
  <c r="AB103" i="1"/>
  <c r="AB112" s="1"/>
  <c r="P68"/>
  <c r="AB68" s="1"/>
  <c r="AB167"/>
  <c r="AG138"/>
  <c r="V176"/>
  <c r="V216" s="1"/>
  <c r="V148"/>
  <c r="P214"/>
  <c r="P216" s="1"/>
  <c r="AB216" s="1"/>
  <c r="P247"/>
  <c r="V85"/>
  <c r="AB63"/>
  <c r="AE188"/>
  <c r="Z266"/>
  <c r="Z268" s="1"/>
  <c r="V247"/>
  <c r="P96"/>
  <c r="AB96" s="1"/>
  <c r="V71"/>
  <c r="AB326" i="3"/>
  <c r="P54" i="8"/>
  <c r="V272" i="4"/>
  <c r="Z272" s="1"/>
  <c r="AB253"/>
  <c r="AB288"/>
  <c r="AB190"/>
  <c r="V68"/>
  <c r="Z68" s="1"/>
  <c r="Z376" s="1"/>
  <c r="AB98"/>
  <c r="AB125"/>
  <c r="AB252" i="3"/>
  <c r="AB270" s="1"/>
  <c r="AG252"/>
  <c r="AB98" i="2"/>
  <c r="AB108" s="1"/>
  <c r="AJ98"/>
  <c r="AB27" i="6"/>
  <c r="AB34" s="1"/>
  <c r="V138" i="3"/>
  <c r="Z107" i="1"/>
  <c r="P205" i="2"/>
  <c r="V209" i="3"/>
  <c r="Z209" s="1"/>
  <c r="P207" i="5"/>
  <c r="AB148" i="2"/>
  <c r="V287" i="3"/>
  <c r="V305" s="1"/>
  <c r="P287"/>
  <c r="AB139" i="2"/>
  <c r="P250" i="3"/>
  <c r="P277" s="1"/>
  <c r="AI167" i="2"/>
  <c r="V202" i="5"/>
  <c r="V83" i="2"/>
  <c r="P50" i="5"/>
  <c r="P223" s="1"/>
  <c r="P224" s="1"/>
  <c r="P27" i="6"/>
  <c r="P34" s="1"/>
  <c r="Z159" i="2"/>
  <c r="Z162" s="1"/>
  <c r="P157" i="5"/>
  <c r="V182"/>
  <c r="Z177" i="2"/>
  <c r="V16" i="18"/>
  <c r="F24" i="16" s="1"/>
  <c r="P170" i="2"/>
  <c r="AB51" i="8"/>
  <c r="AB54" s="1"/>
  <c r="AB310" i="3"/>
  <c r="V157" i="5"/>
  <c r="G156" i="2"/>
  <c r="AH145"/>
  <c r="AB158"/>
  <c r="V87" i="1"/>
  <c r="AB147" i="3"/>
  <c r="AB150" s="1"/>
  <c r="AB241" i="1"/>
  <c r="AB247" s="1"/>
  <c r="AB161" i="5"/>
  <c r="AB167" s="1"/>
  <c r="V140" i="3"/>
  <c r="AB29" i="1"/>
  <c r="AB176" i="3"/>
  <c r="AB184" s="1"/>
  <c r="AH119" i="2"/>
  <c r="P118"/>
  <c r="P156" s="1"/>
  <c r="V195" i="5"/>
  <c r="AJ188" i="2"/>
  <c r="AB188"/>
  <c r="P102" i="5"/>
  <c r="V315" i="3"/>
  <c r="AI176" i="2"/>
  <c r="V61" i="3"/>
  <c r="AB124"/>
  <c r="V151"/>
  <c r="G136" i="1"/>
  <c r="AB136" s="1"/>
  <c r="Z258" i="3"/>
  <c r="AB187" i="5"/>
  <c r="AB189" s="1"/>
  <c r="AB134" i="2"/>
  <c r="AB52" i="5"/>
  <c r="AB102" s="1"/>
  <c r="AH254" i="3"/>
  <c r="V136" i="1"/>
  <c r="V150" s="1"/>
  <c r="V137" i="2"/>
  <c r="AA145"/>
  <c r="AB189"/>
  <c r="V189"/>
  <c r="AB237" i="3"/>
  <c r="AB250" s="1"/>
  <c r="AB104" i="5"/>
  <c r="AB89" i="4"/>
  <c r="AB376" s="1"/>
  <c r="AB266" i="1"/>
  <c r="V18"/>
  <c r="Z18" s="1"/>
  <c r="AB24" i="8"/>
  <c r="V24"/>
  <c r="AB169" i="5"/>
  <c r="AB173" s="1"/>
  <c r="V229" i="3"/>
  <c r="V22" i="4"/>
  <c r="Z22" s="1"/>
  <c r="G27" i="5"/>
  <c r="G223" s="1"/>
  <c r="G224" s="1"/>
  <c r="AB187" i="3"/>
  <c r="AM20" i="1"/>
  <c r="V20"/>
  <c r="Z20" s="1"/>
  <c r="AB43"/>
  <c r="AB205" i="3"/>
  <c r="V88"/>
  <c r="AB258" i="1"/>
  <c r="AB15" i="3"/>
  <c r="AB33" s="1"/>
  <c r="V217"/>
  <c r="Z217" s="1"/>
  <c r="AH256"/>
  <c r="V256"/>
  <c r="V19"/>
  <c r="Z19" s="1"/>
  <c r="AB20" i="6"/>
  <c r="G110" i="3"/>
  <c r="AB110" s="1"/>
  <c r="V112" i="2"/>
  <c r="V42" i="5"/>
  <c r="V18"/>
  <c r="Z18" s="1"/>
  <c r="Z27" s="1"/>
  <c r="AB100" i="1"/>
  <c r="Z113" i="2"/>
  <c r="Z118" s="1"/>
  <c r="AB285" i="3"/>
  <c r="AB243"/>
  <c r="AB211" i="4"/>
  <c r="AB65" i="5"/>
  <c r="P276" i="1"/>
  <c r="V130" i="2"/>
  <c r="V208" i="5"/>
  <c r="V26" i="4"/>
  <c r="Z26" s="1"/>
  <c r="AB178" i="2"/>
  <c r="V87" i="5"/>
  <c r="V102" s="1"/>
  <c r="AG210"/>
  <c r="AB199" i="4"/>
  <c r="V204" i="5"/>
  <c r="AB210"/>
  <c r="AB155" i="4"/>
  <c r="Z129" i="2"/>
  <c r="Z132" s="1"/>
  <c r="AB38" i="5"/>
  <c r="AB50" s="1"/>
  <c r="AB175"/>
  <c r="AB182" s="1"/>
  <c r="V150"/>
  <c r="Z150" s="1"/>
  <c r="Z157" s="1"/>
  <c r="V134" i="4"/>
  <c r="Z134" s="1"/>
  <c r="V223" i="2"/>
  <c r="AB129"/>
  <c r="P240"/>
  <c r="G240"/>
  <c r="O108"/>
  <c r="O236" s="1"/>
  <c r="AA28"/>
  <c r="P241"/>
  <c r="AB22"/>
  <c r="G184" i="1"/>
  <c r="AB184" s="1"/>
  <c r="P112"/>
  <c r="R129"/>
  <c r="R283" s="1"/>
  <c r="R285" s="1"/>
  <c r="AB58" i="3"/>
  <c r="AB128" s="1"/>
  <c r="AB358" s="1"/>
  <c r="AB208" i="5"/>
  <c r="Q223"/>
  <c r="Q224" s="1"/>
  <c r="F223"/>
  <c r="F224" s="1"/>
  <c r="G19" i="16"/>
  <c r="AB62" i="1"/>
  <c r="S34" i="6"/>
  <c r="R184" i="3"/>
  <c r="R354" s="1"/>
  <c r="R357" s="1"/>
  <c r="T184"/>
  <c r="T354" s="1"/>
  <c r="T357" s="1"/>
  <c r="P35" i="8"/>
  <c r="AB317" i="4"/>
  <c r="AB345"/>
  <c r="AB386"/>
  <c r="V386"/>
  <c r="Z386" s="1"/>
  <c r="AB315"/>
  <c r="V315"/>
  <c r="Z315" s="1"/>
  <c r="AB311"/>
  <c r="V311"/>
  <c r="Z311" s="1"/>
  <c r="AB351"/>
  <c r="V351"/>
  <c r="Z351" s="1"/>
  <c r="AB347"/>
  <c r="V347"/>
  <c r="Z347" s="1"/>
  <c r="P287" i="1"/>
  <c r="P401" i="4"/>
  <c r="P404" s="1"/>
  <c r="P405" s="1"/>
  <c r="N341" i="3"/>
  <c r="N354" s="1"/>
  <c r="N357" s="1"/>
  <c r="P291" i="1"/>
  <c r="AB279"/>
  <c r="AB282" s="1"/>
  <c r="AB358" i="4"/>
  <c r="AB366"/>
  <c r="V382"/>
  <c r="H23" i="16"/>
  <c r="E25"/>
  <c r="C21"/>
  <c r="Z89" i="2"/>
  <c r="P242"/>
  <c r="Z84"/>
  <c r="P226" i="5" l="1"/>
  <c r="F6" i="14"/>
  <c r="G6" s="1"/>
  <c r="W239" i="2"/>
  <c r="AM224" i="5"/>
  <c r="AB223"/>
  <c r="AB224" s="1"/>
  <c r="N293" i="1"/>
  <c r="N285"/>
  <c r="AB277" i="3"/>
  <c r="Q226" i="5"/>
  <c r="Q227" s="1"/>
  <c r="AK130" i="2"/>
  <c r="AA130"/>
  <c r="V132"/>
  <c r="AJ112"/>
  <c r="V118"/>
  <c r="Z256" i="3"/>
  <c r="V270"/>
  <c r="AL224" i="5"/>
  <c r="AO143"/>
  <c r="Z189" i="2"/>
  <c r="Z190" s="1"/>
  <c r="Z194" s="1"/>
  <c r="V190"/>
  <c r="V194" s="1"/>
  <c r="Z140" i="3"/>
  <c r="Z145" s="1"/>
  <c r="V145"/>
  <c r="AG140"/>
  <c r="Z87" i="1"/>
  <c r="Z292" s="1"/>
  <c r="AF87"/>
  <c r="F25" i="16"/>
  <c r="G24"/>
  <c r="H24"/>
  <c r="H25" s="1"/>
  <c r="V85" i="2"/>
  <c r="V108" s="1"/>
  <c r="Z83"/>
  <c r="Z242" s="1"/>
  <c r="AB205"/>
  <c r="P217"/>
  <c r="AB217" s="1"/>
  <c r="AF85" i="1"/>
  <c r="Z85"/>
  <c r="V158"/>
  <c r="V172" s="1"/>
  <c r="Z153"/>
  <c r="Z158" s="1"/>
  <c r="Z172" s="1"/>
  <c r="Z114"/>
  <c r="V117"/>
  <c r="Z382" i="4"/>
  <c r="Z389" s="1"/>
  <c r="Z404" s="1"/>
  <c r="V389"/>
  <c r="V404" s="1"/>
  <c r="AB35" i="8"/>
  <c r="P56"/>
  <c r="P57" s="1"/>
  <c r="V207" i="5"/>
  <c r="Z204"/>
  <c r="Z207" s="1"/>
  <c r="Z223" s="1"/>
  <c r="Z224" s="1"/>
  <c r="V211"/>
  <c r="Z208"/>
  <c r="Z211" s="1"/>
  <c r="Z42"/>
  <c r="Z50" s="1"/>
  <c r="V50"/>
  <c r="G226"/>
  <c r="C16" i="16" s="1"/>
  <c r="V250" i="3"/>
  <c r="Z229"/>
  <c r="Z250" s="1"/>
  <c r="Z277" s="1"/>
  <c r="AA24" i="8"/>
  <c r="V27"/>
  <c r="V56" s="1"/>
  <c r="V57" s="1"/>
  <c r="F20" i="16" s="1"/>
  <c r="AA25" i="8"/>
  <c r="Z151" i="3"/>
  <c r="Z184" s="1"/>
  <c r="Z354" s="1"/>
  <c r="Z357" s="1"/>
  <c r="I8" i="16" s="1"/>
  <c r="AB156" i="2"/>
  <c r="G236"/>
  <c r="G238" s="1"/>
  <c r="C7" i="14" s="1"/>
  <c r="P305" i="3"/>
  <c r="AB305" s="1"/>
  <c r="AB287"/>
  <c r="V74" i="1"/>
  <c r="AG71"/>
  <c r="Z71"/>
  <c r="AA122"/>
  <c r="AE122"/>
  <c r="AG122"/>
  <c r="V127"/>
  <c r="Z106"/>
  <c r="V112"/>
  <c r="Z151" i="2"/>
  <c r="V152"/>
  <c r="Z157" i="3"/>
  <c r="Z158" s="1"/>
  <c r="V158"/>
  <c r="V184" s="1"/>
  <c r="Z162"/>
  <c r="Z164" s="1"/>
  <c r="V164"/>
  <c r="C8" i="14"/>
  <c r="C12" s="1"/>
  <c r="H6"/>
  <c r="X291" i="1"/>
  <c r="Z56" i="4"/>
  <c r="Z405" s="1"/>
  <c r="V27" i="5"/>
  <c r="V56" i="4"/>
  <c r="V25" i="1"/>
  <c r="V30" s="1"/>
  <c r="AB214"/>
  <c r="Y291"/>
  <c r="Z241" i="2"/>
  <c r="V376" i="4"/>
  <c r="AB401"/>
  <c r="AB404" s="1"/>
  <c r="V219" i="3"/>
  <c r="V96" i="1"/>
  <c r="Z226" i="3"/>
  <c r="AB81" i="2"/>
  <c r="E7" i="16"/>
  <c r="E9" s="1"/>
  <c r="P129" i="1"/>
  <c r="J7" i="16"/>
  <c r="V242" i="2"/>
  <c r="AB354" i="3"/>
  <c r="AB357" s="1"/>
  <c r="Z25" i="1"/>
  <c r="Z30" s="1"/>
  <c r="G128" i="3"/>
  <c r="V129" i="1"/>
  <c r="Z270" i="3"/>
  <c r="V241" i="2"/>
  <c r="AB56" i="8"/>
  <c r="AB57" s="1"/>
  <c r="V270" i="1"/>
  <c r="AB118" i="2"/>
  <c r="Z219" i="3"/>
  <c r="V210"/>
  <c r="V226" s="1"/>
  <c r="Z152" i="2"/>
  <c r="Z156" s="1"/>
  <c r="W358" i="3"/>
  <c r="J11" i="16"/>
  <c r="AB405" i="4"/>
  <c r="Z216" i="1"/>
  <c r="G283"/>
  <c r="H11" i="16"/>
  <c r="J24"/>
  <c r="Z85" i="2"/>
  <c r="Z108" s="1"/>
  <c r="Z226" i="5" l="1"/>
  <c r="I16" i="16" s="1"/>
  <c r="Z227" i="5"/>
  <c r="I15" i="16" s="1"/>
  <c r="I9"/>
  <c r="G358" i="3"/>
  <c r="C7" i="16" s="1"/>
  <c r="G354" i="3"/>
  <c r="Z290" i="1"/>
  <c r="Z74"/>
  <c r="J20" i="16"/>
  <c r="G20"/>
  <c r="F21"/>
  <c r="P59" i="8"/>
  <c r="E20" i="16"/>
  <c r="Z288" i="1"/>
  <c r="Z96"/>
  <c r="G25" i="16"/>
  <c r="J25"/>
  <c r="X292" i="1"/>
  <c r="Y292"/>
  <c r="G293"/>
  <c r="G285"/>
  <c r="C12" i="16" s="1"/>
  <c r="AB129" i="1"/>
  <c r="AB283" s="1"/>
  <c r="P283"/>
  <c r="Z287"/>
  <c r="Z112"/>
  <c r="Z117"/>
  <c r="Z289"/>
  <c r="Z236" i="2"/>
  <c r="V405" i="4"/>
  <c r="V156" i="2"/>
  <c r="V236" s="1"/>
  <c r="V238" s="1"/>
  <c r="F7" i="14" s="1"/>
  <c r="P354" i="3"/>
  <c r="P357" s="1"/>
  <c r="AB236" i="2"/>
  <c r="V283" i="1"/>
  <c r="V285" s="1"/>
  <c r="F12" i="16" s="1"/>
  <c r="V223" i="5"/>
  <c r="V224" s="1"/>
  <c r="V277" i="3"/>
  <c r="V354" s="1"/>
  <c r="V357" s="1"/>
  <c r="G227" i="5"/>
  <c r="C15" i="16" s="1"/>
  <c r="P236" i="2"/>
  <c r="P238" s="1"/>
  <c r="P227" i="5"/>
  <c r="Z238" i="2"/>
  <c r="I7" i="14" s="1"/>
  <c r="F8" i="16" l="1"/>
  <c r="G7" i="14"/>
  <c r="F8"/>
  <c r="F12" s="1"/>
  <c r="G12" s="1"/>
  <c r="W238" i="2"/>
  <c r="E7" i="14" s="1"/>
  <c r="O238" i="2"/>
  <c r="C17" i="16"/>
  <c r="V226" i="5"/>
  <c r="Y289" i="1"/>
  <c r="X289"/>
  <c r="P293"/>
  <c r="P285"/>
  <c r="W285" s="1"/>
  <c r="C13" i="16"/>
  <c r="H20"/>
  <c r="H21" s="1"/>
  <c r="E21"/>
  <c r="J21"/>
  <c r="G21"/>
  <c r="X290" i="1"/>
  <c r="Y290"/>
  <c r="H7" i="16"/>
  <c r="G7"/>
  <c r="I17"/>
  <c r="F13"/>
  <c r="G13" s="1"/>
  <c r="G12"/>
  <c r="Y287" i="1"/>
  <c r="X287"/>
  <c r="Y288"/>
  <c r="X288"/>
  <c r="G357" i="3"/>
  <c r="C8" i="16" s="1"/>
  <c r="G407" i="4"/>
  <c r="W357" i="3"/>
  <c r="J7" i="14"/>
  <c r="Z129" i="1"/>
  <c r="Z283" s="1"/>
  <c r="Z239" i="2"/>
  <c r="I6" i="14" s="1"/>
  <c r="Z293" i="1" l="1"/>
  <c r="Z285"/>
  <c r="I12" i="16" s="1"/>
  <c r="W356" i="3"/>
  <c r="D8" i="16"/>
  <c r="D9" s="1"/>
  <c r="X285" i="1"/>
  <c r="E12" i="16" s="1"/>
  <c r="E13" s="1"/>
  <c r="W284" i="1"/>
  <c r="D12" i="16" s="1"/>
  <c r="F16"/>
  <c r="W226" i="5"/>
  <c r="G8" i="16"/>
  <c r="F9"/>
  <c r="J8"/>
  <c r="Y293" i="1"/>
  <c r="X293"/>
  <c r="E8" i="14"/>
  <c r="E12" s="1"/>
  <c r="H7"/>
  <c r="H8" s="1"/>
  <c r="H12" s="1"/>
  <c r="H8" i="16"/>
  <c r="H9"/>
  <c r="C9"/>
  <c r="V227" i="5"/>
  <c r="F15" i="16" s="1"/>
  <c r="Y357" i="3"/>
  <c r="Y358" s="1"/>
  <c r="J6" i="14"/>
  <c r="I8"/>
  <c r="E15" i="16" l="1"/>
  <c r="F17"/>
  <c r="G15"/>
  <c r="J15"/>
  <c r="J9"/>
  <c r="E16"/>
  <c r="H16" s="1"/>
  <c r="X226" i="5"/>
  <c r="D13" i="16"/>
  <c r="D26" s="1"/>
  <c r="H12"/>
  <c r="H13" s="1"/>
  <c r="AB288" i="1" s="1"/>
  <c r="J12" i="16"/>
  <c r="I13"/>
  <c r="G9"/>
  <c r="C26"/>
  <c r="G16"/>
  <c r="J16"/>
  <c r="I12" i="14"/>
  <c r="J12" s="1"/>
  <c r="J8"/>
  <c r="J13" i="16" l="1"/>
  <c r="I26"/>
  <c r="G17"/>
  <c r="J17"/>
  <c r="E17"/>
  <c r="E26" s="1"/>
  <c r="H15"/>
  <c r="H17" s="1"/>
  <c r="H26" s="1"/>
  <c r="F26"/>
  <c r="G26" s="1"/>
  <c r="J26" l="1"/>
</calcChain>
</file>

<file path=xl/sharedStrings.xml><?xml version="1.0" encoding="utf-8"?>
<sst xmlns="http://schemas.openxmlformats.org/spreadsheetml/2006/main" count="6584" uniqueCount="3758">
  <si>
    <t>PT. PLN (Persero)</t>
  </si>
  <si>
    <t>Wilayah Kalimantan Timur &amp; Utara</t>
  </si>
  <si>
    <t>Area Berau</t>
  </si>
  <si>
    <t>NO.</t>
  </si>
  <si>
    <t>SKKO/SKKI</t>
  </si>
  <si>
    <t>PROSES KE PEJABAT PENGADAAN</t>
  </si>
  <si>
    <t>REALISASI KONTRAK</t>
  </si>
  <si>
    <t>NILAI SKK TERKONTRAK</t>
  </si>
  <si>
    <t>PENGAJUAN PEMBAYARAN SPP</t>
  </si>
  <si>
    <t>PEMBAYARAN SPP OLEH KANWIL</t>
  </si>
  <si>
    <t>SISA</t>
  </si>
  <si>
    <t>KETERANGAN</t>
  </si>
  <si>
    <t>RENCANA DISBURSE</t>
  </si>
  <si>
    <t>DISBURSE</t>
  </si>
  <si>
    <t>URAIAN</t>
  </si>
  <si>
    <t>NILAI</t>
  </si>
  <si>
    <t>NO FBL</t>
  </si>
  <si>
    <t>NILAI KONTRAK</t>
  </si>
  <si>
    <t>BERITA ACARA + / -</t>
  </si>
  <si>
    <t>ADD WAKTU</t>
  </si>
  <si>
    <t>NO BUKTI</t>
  </si>
  <si>
    <t>TGL KIRIM SPP</t>
  </si>
  <si>
    <t>TGL BAYAR SPP</t>
  </si>
  <si>
    <t>PROGRES</t>
  </si>
  <si>
    <t xml:space="preserve">NOVEMBER </t>
  </si>
  <si>
    <t>DESEMBER</t>
  </si>
  <si>
    <t>NO NOTA DINAS</t>
  </si>
  <si>
    <t>TGL NOTA DINAS</t>
  </si>
  <si>
    <t>URAIAN KEGIATAN</t>
  </si>
  <si>
    <t>KONTRAKTOR</t>
  </si>
  <si>
    <t>MATERIAL</t>
  </si>
  <si>
    <t>JASA</t>
  </si>
  <si>
    <t>TOTAL</t>
  </si>
  <si>
    <t>NOMER</t>
  </si>
  <si>
    <t>TANGGAL</t>
  </si>
  <si>
    <t>BAYAR</t>
  </si>
  <si>
    <t>ANGGARAN</t>
  </si>
  <si>
    <t>OKTOBER</t>
  </si>
  <si>
    <t>NOVEMBER</t>
  </si>
  <si>
    <t>MINGGU I</t>
  </si>
  <si>
    <t>MINGGU II</t>
  </si>
  <si>
    <t>MINGGU III</t>
  </si>
  <si>
    <t>MINGGU IV</t>
  </si>
  <si>
    <t>CV. SINAR TEHNIK</t>
  </si>
  <si>
    <t xml:space="preserve">TOTAL  </t>
  </si>
  <si>
    <t>001.DIST/AO/BRU/2016/M</t>
  </si>
  <si>
    <t>NO PRK</t>
  </si>
  <si>
    <t>Adendum Yantek 2016 selama 3 (tiga) bulan</t>
  </si>
  <si>
    <t>NOMOR &amp; TANGGAL</t>
  </si>
  <si>
    <t>NOMOR &amp; JANGKA WAKTU</t>
  </si>
  <si>
    <t>002.DIST/AO/BRU/2016/M</t>
  </si>
  <si>
    <t>PRK.2016.WKT-4.9.53224.302</t>
  </si>
  <si>
    <t>Jasa Pelayanan Tehnik</t>
  </si>
  <si>
    <t>Peningkatan kehandalan sistem distribusi</t>
  </si>
  <si>
    <t>PRK.2016.WKT-4.9.53211.273</t>
  </si>
  <si>
    <t>Pengadaan dan pemasangan tree guard,penutup bushing trafo dan rekonduktor jaringan sistem distribusi PLN Area Berau</t>
  </si>
  <si>
    <t>PRK.2016.WKT-4.9.53211.275</t>
  </si>
  <si>
    <t>Pengadaan material untuk penggantian kwh meter macet/rusak/buram dan migrasi di Area Berau</t>
  </si>
  <si>
    <t>Kwh Meter 1P Pasca Bayar</t>
  </si>
  <si>
    <t>001.DIST/AI/BRU/2016/L</t>
  </si>
  <si>
    <t>Pekerjaaan Pasang Baru Pelanggan SR 1P Rayon Tg Selor</t>
  </si>
  <si>
    <t>144.SPK/DAN.02.03/ABRU/2015 13 Juli s/d 31 Des 2015</t>
  </si>
  <si>
    <t>Pekerjaan pasang baru pelanggan SR 1P Rayon Tg Selor</t>
  </si>
  <si>
    <t>001.SPP/AI/2016</t>
  </si>
  <si>
    <t>0014/DAN.01.03/ABRU/2016</t>
  </si>
  <si>
    <t>006/JAR/ABRU/2016</t>
  </si>
  <si>
    <t>001/TE/ABRU/2016</t>
  </si>
  <si>
    <t>Pengadaan Penutup Bushing Trafo</t>
  </si>
  <si>
    <t>007/JAR/ABRU/2016</t>
  </si>
  <si>
    <t>Pengadaan Jointing SKTM 150mm2 Rayon Nunukan</t>
  </si>
  <si>
    <t>008/JAR/ABRU/2016</t>
  </si>
  <si>
    <t>Pengadaan Material Pendukung SCADA</t>
  </si>
  <si>
    <t>001.KIT/AO/BRU/2016/M</t>
  </si>
  <si>
    <t>PRK.2017.WKT-4.3.53224.266</t>
  </si>
  <si>
    <t>Pemborongan pekerjaan pengelolaan pusat listrik dan ULD tahun 2016</t>
  </si>
  <si>
    <t>002.KIT/AO/BRU/2016/M</t>
  </si>
  <si>
    <t>PRK.2016.WKT-4.3.53212.152</t>
  </si>
  <si>
    <t>PRK.2016.WKT-4.3.53212.153</t>
  </si>
  <si>
    <t>Pengadaan Material dan Jasa Hardik SO Mesin Mirrless ELS8MK2 SN. 7127-02 di PLTD Sei Buaya</t>
  </si>
  <si>
    <t>PRK.2016.WKT-4.3.53212.154</t>
  </si>
  <si>
    <t>PRK.2016.WKT-4.3.53212.155</t>
  </si>
  <si>
    <t>PRK.2016.WKT-4.3.53212.156</t>
  </si>
  <si>
    <t>Pengadaan Material Pemeliharaan Rutin Mesin DEUTZ BV8M 628 SN. 7208755 PLTD Sambaliung</t>
  </si>
  <si>
    <t>PRK.2016.WKT-4.3.53212.157</t>
  </si>
  <si>
    <t>PRK.2016.WKT-4.3.53212.158</t>
  </si>
  <si>
    <t>PRK.2016.WKT-4.3.53212.159</t>
  </si>
  <si>
    <t>PRK.2016.WKT-4.3.53212.160</t>
  </si>
  <si>
    <t>PRK.2016.WKT-4.3.53212.162</t>
  </si>
  <si>
    <t>PRK.2016.WKT-4.3.53212.163</t>
  </si>
  <si>
    <t>PRK.2016.WKT-4.3.53212.164</t>
  </si>
  <si>
    <t>PRK.2016.WKT-4.3.53212.165</t>
  </si>
  <si>
    <t>PRK.2016.WKT-4.3.53212.166</t>
  </si>
  <si>
    <t>PRK.2016.WKT-4.3.53212.167</t>
  </si>
  <si>
    <t>Perbaikan Gedung Sentral di PLTD Tidung Pale</t>
  </si>
  <si>
    <t>PRK.2016.WKT-4.3.53212.168</t>
  </si>
  <si>
    <t>Perbaikan Bak Penampungan Air PLTD Sebatik</t>
  </si>
  <si>
    <t>PRK.2016.WKT-4.3.53212.169</t>
  </si>
  <si>
    <t>PRK.2016.WKT-4.3.53212.170</t>
  </si>
  <si>
    <t>Pembuatan Drainase di Lingkungan PLTD Malinau</t>
  </si>
  <si>
    <t>PRK.2016.WKT-4.3.53212.171</t>
  </si>
  <si>
    <t>PRK.2016.WKT-4.3.53212.172</t>
  </si>
  <si>
    <t>PRK.2016.WKT-4.3.53212.173</t>
  </si>
  <si>
    <t>PRK.2016.WKT-4.3.53212.174</t>
  </si>
  <si>
    <t>PRK.2016.WKT-4.3.53212.175</t>
  </si>
  <si>
    <t>PRK.2016.WKT-4.3.53212.176</t>
  </si>
  <si>
    <t>PRK.2016.WKT-4.3.53212.177</t>
  </si>
  <si>
    <t>PRK.2016.WKT-4.3.53212.178</t>
  </si>
  <si>
    <t>PRK.2016.WKT-4.3.53212.180</t>
  </si>
  <si>
    <t>PRK.2016.WKT-4.3.53212.181</t>
  </si>
  <si>
    <t>PRK.2016.WKT-4.3.53212.182</t>
  </si>
  <si>
    <t>PRK.2016.WKT-4.3.53212.183</t>
  </si>
  <si>
    <t>PRK.2016.WKT-4.3.53212.184</t>
  </si>
  <si>
    <t>PRK.2016.WKT-4.3.53212.185</t>
  </si>
  <si>
    <t>PRK.2016.WKT-4.3.53212.186</t>
  </si>
  <si>
    <t>009/JAR/ABRU/2016</t>
  </si>
  <si>
    <t>PRK.2016.WKT-4.3.53212.188</t>
  </si>
  <si>
    <t>PRK.2016.WKT-4.3.53212.189</t>
  </si>
  <si>
    <t>PRK.2016.WKT-4.3.53212.190</t>
  </si>
  <si>
    <t>PRK.2016.WKT-4.3.53212.191</t>
  </si>
  <si>
    <t>Perbaikan Tangga Penghubung dari PLTD 2 ke PLTD 3 Sei Bilal</t>
  </si>
  <si>
    <t>PRK.2016.WKT-4.3.53212.192</t>
  </si>
  <si>
    <t>PRK.2016.WKT-4.3.53212.193</t>
  </si>
  <si>
    <t>PRK.2016.WKT-4.3.53212.194</t>
  </si>
  <si>
    <t>PRK.2016.WKT-4.3.53212.195</t>
  </si>
  <si>
    <t>PRK.2016.WKT-4.3.53212.196</t>
  </si>
  <si>
    <t>PRK.2016.WKT-4.3.53212.197</t>
  </si>
  <si>
    <t>PRK.2016.WKT-4.3.53212.207</t>
  </si>
  <si>
    <t>PRK.2016.WKT-4.3.53212.208</t>
  </si>
  <si>
    <t>PRK.2016.WKT-4.3.53212.209</t>
  </si>
  <si>
    <t>PRK.2016.WKT-4.3.53212.210</t>
  </si>
  <si>
    <t>PRK.2016.WKT-4.3.53212.211</t>
  </si>
  <si>
    <t>PRK.2016.WKT-4.3.53212.212</t>
  </si>
  <si>
    <t>PRK.2016.WKT-4.3.53212.213</t>
  </si>
  <si>
    <t>PRK.2016.WKT-4.3.53212.214</t>
  </si>
  <si>
    <t>PRK.2016.WKT-4.3.53212.215</t>
  </si>
  <si>
    <t>Pengadaan Material Pemeliharaan Rutin Filter PLTD Tersebar</t>
  </si>
  <si>
    <t>PRK.2016.WKT-4.3.53212.216</t>
  </si>
  <si>
    <t>PRK.2016.WKT-4.3.53212.217</t>
  </si>
  <si>
    <t>PRK.2016.WKT-4.3.53212.218</t>
  </si>
  <si>
    <t>PRK.2016.WKT-4.3.53212.219</t>
  </si>
  <si>
    <t>PRK.2016.WKT-4.3.53212.220</t>
  </si>
  <si>
    <t>PRK.2016.WKT-4.3.53212.221</t>
  </si>
  <si>
    <t>PRK.2016.WKT-4.3.53212.222</t>
  </si>
  <si>
    <t>PRK.2016.WKT-4.3.53212.223</t>
  </si>
  <si>
    <t>PRK.2016.WKT-4.3.53212.224</t>
  </si>
  <si>
    <t>PRK.2016.WKT-4.3.53212.225</t>
  </si>
  <si>
    <t>PRK.2016.WKT-4.3.53212.226</t>
  </si>
  <si>
    <t>Perbaikan AVR Voltic M500 PLTD Tersebar</t>
  </si>
  <si>
    <t>PRK.2016.WKT-4.3.53212.227</t>
  </si>
  <si>
    <t>PRK.2016.WKT-4.3.53212.228</t>
  </si>
  <si>
    <t>PRK.2016.WKT-4.3.53212.229</t>
  </si>
  <si>
    <t>PRK.2016.WKT-4.3.53212.230</t>
  </si>
  <si>
    <t>PRK.2016.WKT-4.3.53212.231</t>
  </si>
  <si>
    <t>PRK.2016.WKT-4.3.53212.232</t>
  </si>
  <si>
    <t>PRK.2016.WKT-4.3.53212.233</t>
  </si>
  <si>
    <t>PRK.2016.WKT-4.3.53212.234</t>
  </si>
  <si>
    <t>PRK.2016.WKT-4.3.53212.235</t>
  </si>
  <si>
    <t>PRK.2016.WKT-4.3.53212.236</t>
  </si>
  <si>
    <t>PRK.2016.WKT-4.3.53212.237</t>
  </si>
  <si>
    <t>PRK.2016.WKT-4.3.53212.238</t>
  </si>
  <si>
    <t>PRK.2016.WKT-4.3.53212.239</t>
  </si>
  <si>
    <t>PRK.2016.WKT-4.3.53212.240</t>
  </si>
  <si>
    <t>PRK.2016.WKT-4.3.53212.241</t>
  </si>
  <si>
    <t>002.DIST/AI/BRU/2016/L</t>
  </si>
  <si>
    <t>524/DAN.01.03/MANBRU/2015</t>
  </si>
  <si>
    <t>FBL NO. 564/TE/BRU/2015</t>
  </si>
  <si>
    <t>228.SPP/DAN.02.03/ABRU/2015 27 Nov 2015 s/d 10 Jan 2016</t>
  </si>
  <si>
    <t>Pengadaan Matrial Aksesoris 3 Phase di PT. PLN (Persero) Area Berau</t>
  </si>
  <si>
    <t>PT RADITYA UTAMA</t>
  </si>
  <si>
    <t>FBL NO. 596/TE/BRU/2015</t>
  </si>
  <si>
    <t>312.SPK/DAN.02.03/ABRU/2015 02 Des 2015 s/d 15 Jan 2016</t>
  </si>
  <si>
    <t>Pengadaan Modem Untuk AMR PT.PLN (Persero) Area Berau</t>
  </si>
  <si>
    <t>Pemasangan tiang beton 13 m untuk jaringan feeder ekpres PLTU Teluk Bayur</t>
  </si>
  <si>
    <t>PT CITRA SURYA PERDANA</t>
  </si>
  <si>
    <t>020.PJ/611/ABRU/2014 29/08/2014 s/d 27/11/2014</t>
  </si>
  <si>
    <t>CV. RAMONAS</t>
  </si>
  <si>
    <t>033.PJ/610/ABRU/2014                 03 Des 2014 s/d 03 Mar 2015</t>
  </si>
  <si>
    <t>Pemasangan SKTM Feeder Express PLTU Teluk Bayur</t>
  </si>
  <si>
    <t>038.PJ/611/ABRU/2014 30/03/2015</t>
  </si>
  <si>
    <t>Pemasangan SUTM Feeder backfeeding PLTU Teluk</t>
  </si>
  <si>
    <t xml:space="preserve">223.SPK/DAN.02.03/ABRU/2015 17 Sept s/d 16 Des 2015 </t>
  </si>
  <si>
    <t>Perluasan dan Pemasangan Gardu di ULD Tanjung Redeb</t>
  </si>
  <si>
    <t>CV. BERAU ELECTRIK</t>
  </si>
  <si>
    <t>258/DAN.01.03/MANBRU/2015</t>
  </si>
  <si>
    <t>FBL NO. 170/JAR/BRU/2015</t>
  </si>
  <si>
    <t>183.SPK/DAN.02.03/ABRU/2015 28 Agt 2015 s.d 25 Des 2015</t>
  </si>
  <si>
    <t>Pemasangan Gardu dan Perluasan SUTM Lokasi Tanjung Selor 1</t>
  </si>
  <si>
    <t>181.SPK/DAN.02.03/ABRU/2015 28 Agt 2015 s.d 25 Des 2015</t>
  </si>
  <si>
    <t>Pembangunan Gardu dan SUTR Lokasi Sebatik</t>
  </si>
  <si>
    <t>180.SPK/DAN.02.03/ABRU/2015 28 Agt 2015 s.d 25 Des 2015</t>
  </si>
  <si>
    <t>Pemasangan Gardu, JTM dan JTR Nunukan</t>
  </si>
  <si>
    <t>184.SPK/DAN.02.03/ABRU/2015 28 Agt 2015 s.d 25 Des 2015</t>
  </si>
  <si>
    <t>Pemasangan Gardu SUTM dan SUTR Loaksi Tanjung Selor dan ULD Tanjung Selor</t>
  </si>
  <si>
    <t>CV. CITRA LESTARI</t>
  </si>
  <si>
    <t>CV. KARYA JAYA MANDIRI</t>
  </si>
  <si>
    <t>240/DAN.01.03/MANBRU/2015</t>
  </si>
  <si>
    <t>FBL NO. 174/JAR/BRU/2015</t>
  </si>
  <si>
    <t>238/DAN.01.03/MANBRU/2015</t>
  </si>
  <si>
    <t>FBL NO. 175/JAR/BRU/2015</t>
  </si>
  <si>
    <t>247/DAN.01.03/MANBRU/2015</t>
  </si>
  <si>
    <t>FBL NO. 182/JAR/BRU/2015</t>
  </si>
  <si>
    <t xml:space="preserve">222.SPK/DAN.02.03/ABRU/2015 10 s/d 29 Sept 2015 </t>
  </si>
  <si>
    <t>Perluasan SUTM Tanjung Redeb 1</t>
  </si>
  <si>
    <t>182.SPK/DAN.02.03/ABRU/2015 28 Agt 2015 s.d 25 Des 2015</t>
  </si>
  <si>
    <t>Pembangunan Feeder Express PLTD - GH &amp; Peluasan Aji Kuning</t>
  </si>
  <si>
    <t>179.SPK/DAN.02.03/ABRU/2015 28 Agt 2015 s.d 25 Des 2015</t>
  </si>
  <si>
    <t>Pembangunan Feeder 8 Nunukan</t>
  </si>
  <si>
    <t>247.SPK/DAN.02.03/ABRU/2015 02 Okt s/d 01 Januari 2016</t>
  </si>
  <si>
    <t>Perluasan SUTM Malinau 1</t>
  </si>
  <si>
    <t>187.SPK/DAN.02.03/ABRU/2015 28 Agt 2015 s.d 25 Des 2015</t>
  </si>
  <si>
    <t>Pemasangan SUTM Feeder express PLTU Teluk Bandara _ GH Bujangga</t>
  </si>
  <si>
    <t>256/DAN.01.03/MANBRU/2015</t>
  </si>
  <si>
    <t>FBL NO. 169/JAR/BRU/2015</t>
  </si>
  <si>
    <t>249/DAN.01.03/MANBRU/2015</t>
  </si>
  <si>
    <t>FBL NO. 179/JAR/BRU/2015</t>
  </si>
  <si>
    <t>248/DAN.01.03/MANBRU/2015</t>
  </si>
  <si>
    <t>FBL NO. 180/JAR/BRU/2015</t>
  </si>
  <si>
    <t>250/DAN.01.03/MANBRU/2015</t>
  </si>
  <si>
    <t>FBL NO. 181/JAR/BRU/2015</t>
  </si>
  <si>
    <t>277/DAN.01.03/MANBRU/2015</t>
  </si>
  <si>
    <t>FBL NO. 254/JAR/BRU/2015</t>
  </si>
  <si>
    <t>288.SPK/DAN.02.01/ABRU/2015 02 Des 2015 s/d 29 Feb 2016</t>
  </si>
  <si>
    <t>Pemasangan SKTM dan Jembatan Tanjung Palas</t>
  </si>
  <si>
    <t>192.SPP/DAN.02.03/ABRU/2015 22 Okt s.d 05 Des 2015</t>
  </si>
  <si>
    <t>Pemasangan SKTM dan Kubikel F4 Malinau</t>
  </si>
  <si>
    <t>309.SPP/DAN.02.03/ABRU/2015</t>
  </si>
  <si>
    <t>Pemasangan Kubikel Dan penambahan SUTM PT Lamindo</t>
  </si>
  <si>
    <t>188.SPK/DAN.02.03/ABRU/2015 28 Agt 2015 s.d 25 Des 2015</t>
  </si>
  <si>
    <t>Pemasangan SUTR Lokasi Tanjung Redeb 2</t>
  </si>
  <si>
    <t>246.SPK/DAN.02.03/ABRU/2015 02 Okt s/d 01 Januari 2016</t>
  </si>
  <si>
    <t>Perluasan SUTR dan Gardu KTT</t>
  </si>
  <si>
    <t>248.SPK/DAN.02.03/ABRU/2015 02 Okt s/d 01 Januari 2016</t>
  </si>
  <si>
    <t>Perluasan SUTR Malinau</t>
  </si>
  <si>
    <t>243/DAN.01.03/MANBRU/2015</t>
  </si>
  <si>
    <t>FBL NO. 176/JAR/BRU/2015</t>
  </si>
  <si>
    <t>245/DAN.01.03/MANBRU/2015</t>
  </si>
  <si>
    <t>FBL NO. 177/JAR/BRU/2015</t>
  </si>
  <si>
    <t>246/DAN.01.03/MANBRU/2015</t>
  </si>
  <si>
    <t>FBL NO. 178/JAR/BRU/2015</t>
  </si>
  <si>
    <t>FBL NO. 184/JAR/BRU/2015</t>
  </si>
  <si>
    <t>FBL NO. 418/JAR/BRU/2015</t>
  </si>
  <si>
    <t>FBL NO. 593/JAR/BRU/2015</t>
  </si>
  <si>
    <t>CV SAHABAT KITA</t>
  </si>
  <si>
    <t>PT. BINTANG SURYA NUSA ABADI</t>
  </si>
  <si>
    <t>013.PJ/DAN.02.01/ABRU/2015 05 Agt s/d 31 Des 2015</t>
  </si>
  <si>
    <t>Pekerjaan pasang baru pelanggan SR 1P Rayon Tg Redeb</t>
  </si>
  <si>
    <t>147.SPK/DAN.02.03/ABRU/2015 13 Juli s/d 31 Des 2015</t>
  </si>
  <si>
    <t>Pekerjaan pasang baru pelanggan SR 1P Rayon Malinau</t>
  </si>
  <si>
    <t>146.SPK/DAN.02.03/ABRU/2015 13 Juli s/d 31 Des 2015</t>
  </si>
  <si>
    <t>Pekerjaan pasang baru pelanggan SR 1P Rayon Nunukan</t>
  </si>
  <si>
    <t>CV. CITRA JANANURAGA</t>
  </si>
  <si>
    <t>PT.  NUSA MANDIRI</t>
  </si>
  <si>
    <t>CV. LINTANG MANDIRI</t>
  </si>
  <si>
    <t>00138/DAN.02.03/PLT.MANBRU/2015</t>
  </si>
  <si>
    <t>00137/DAN.02.03/PLT.MANBRU/2015</t>
  </si>
  <si>
    <t>00135/DAN.02.03/PLT.MANBRU/2015</t>
  </si>
  <si>
    <t>FBL NO. 116/TE/BRU/2015</t>
  </si>
  <si>
    <t xml:space="preserve">322.SPK/DAN.02.03/ABRU/2015 </t>
  </si>
  <si>
    <t xml:space="preserve">Pengadaan tiang beton 11m dan untuk menunjang pemasangan jar dist </t>
  </si>
  <si>
    <t>FBL NO. 604/JAR/BRU/2015</t>
  </si>
  <si>
    <t>PT. TIANG BETON BRM</t>
  </si>
  <si>
    <t>311.SPK/DAN.02.03/ABRU/2015 02 Des 2015 s/d 15 Jan 2016</t>
  </si>
  <si>
    <t>Pengadaan Box APP TR PT.PLN (Persero) Area Berau</t>
  </si>
  <si>
    <t>Pengadaan tiang beton 11m dan untuk menunjang pemasangan jar dist PT.PLN (Persero) Area Berau</t>
  </si>
  <si>
    <t>FBL NO. 595/TE/BRU/2015</t>
  </si>
  <si>
    <t>PT. RADITYA UTAMA</t>
  </si>
  <si>
    <t>257.SPP/DAN.02.03/ABRU/2015 27 Nov 2015 s/d 10 Jan 2016</t>
  </si>
  <si>
    <t>Pengadaan Box APP TM PT.PLN (Persero) Area Berau</t>
  </si>
  <si>
    <t>FBL NO. 597/TE/BRU/2015</t>
  </si>
  <si>
    <t xml:space="preserve">321.SPK/DAN.02.03/ABRU/2015 </t>
  </si>
  <si>
    <t>Pemasangan SKTM Dan Kubikel Untuk Excess Power PT Sumber Alam Sekurau</t>
  </si>
  <si>
    <t>CV. SAHABAT KITA</t>
  </si>
  <si>
    <t xml:space="preserve">324.SPK/DAN.02.03/ABRU/2015 </t>
  </si>
  <si>
    <t xml:space="preserve">325.SPK/DAN.02.03/ABRU/2015 </t>
  </si>
  <si>
    <t xml:space="preserve">326.SPK/DAN.02.03/ABRU/2015 </t>
  </si>
  <si>
    <t>Pengadaan dan pemasangan recloser Area Berau di Jalan Pemuda</t>
  </si>
  <si>
    <t>Pengadaan dan pemasangan recloser Area Berau di Jalan Merah Delima</t>
  </si>
  <si>
    <t>Pengadaan dan pemasangan recloser Area Berau di Jalan Murjani</t>
  </si>
  <si>
    <t>PT. ARLISCO PUTRA HANTAM</t>
  </si>
  <si>
    <t>FBL NO. 116/KIT.BRU/2015</t>
  </si>
  <si>
    <t>014.PJ/DAN.02.01/ABRU/2015         12 Okt s/d 10  Nov 2015</t>
  </si>
  <si>
    <t>PENGADAAN MATERIAL HARDIK SO MESIN DEUTZ MWM BV8M 628 SN 7208755 DI PLTD SAMBALIUNG</t>
  </si>
  <si>
    <t>PT. JAYACO</t>
  </si>
  <si>
    <t>FBL NO. 318/KIT/BRU/2015</t>
  </si>
  <si>
    <t>016.PJ/DAN.02.01/ABRU/2015              15 Oktober s/d 28 Desember 2015</t>
  </si>
  <si>
    <t>CV. TIRTA UTARA</t>
  </si>
  <si>
    <t>FBL NO. 494/KIT/BRU/2015</t>
  </si>
  <si>
    <t>280.SPP/DAN.02.01/ABRU/2015 30 Nov s/d 29 Des 2015</t>
  </si>
  <si>
    <t>CV. CITRA BANGUN PERSADA</t>
  </si>
  <si>
    <t xml:space="preserve">Pengadaan Material Pemeliharaan Rutin Mesin MIRLESS ELS9 MK2 SN. 7129-01 PLTD Sambaliung PT. PLN (Persero) Area Berau </t>
  </si>
  <si>
    <t>FBL NO. 495/KIT/BRU/2015</t>
  </si>
  <si>
    <t>233.SPP/DAN.02.01/ABRU/2015 27 Nov s/d 26 Des 2015</t>
  </si>
  <si>
    <t>CV SARANA ENERGY UTAMA</t>
  </si>
  <si>
    <t>Pengadaan Matrial Filter Untuk Mesin Caterpilar 3516-DITA di PLTD Sei Buaya</t>
  </si>
  <si>
    <t>FBL NO. 496/KIT/BRU/2015</t>
  </si>
  <si>
    <t>281.SPP/DAN.02.01/ABRU/2015 30 Nov s/d 29 Des 2015</t>
  </si>
  <si>
    <t>FBL NO. 501/KIT/BRU/2015</t>
  </si>
  <si>
    <t>144/ND/KIT/ABRU/2015</t>
  </si>
  <si>
    <t>PT. EUROASIATIC HEAT &amp; POWER SYSTEMS</t>
  </si>
  <si>
    <t xml:space="preserve">Pengadaan Matrial Tambah Hardik MO Mesin Deutz MWM TBD 616V12 SN 2201475 PLTD Malinau </t>
  </si>
  <si>
    <t>FBL NO. 503/KIT/BRU/2015</t>
  </si>
  <si>
    <t>239.SPP/DAN.02.01/ABRU/2015 27 Nov s/d 26 Des 2015</t>
  </si>
  <si>
    <t xml:space="preserve">Pengadaan Matrial Gangguan Mesin MAN D28421LE201 di PLTD Sebatik </t>
  </si>
  <si>
    <t>FBL NO. 504/KIT/BRU/2015</t>
  </si>
  <si>
    <t>282.SPP/DAN.02.01/ABRU/2015 30 Nov s/d 29 Des 2015</t>
  </si>
  <si>
    <t xml:space="preserve">Pengadaan Matrial Gangguang Mesin MAN D2866 LE201 Sn 39426022002609 PLTD Tanjung Batu </t>
  </si>
  <si>
    <t>FBL NO. 505/KIT/BRU/2015</t>
  </si>
  <si>
    <t>238.SPP/DAN.02.01/ABRU/2015 27 Nov s/d 26 Des 2015</t>
  </si>
  <si>
    <t xml:space="preserve">Pengadaan Matrial Gangguan Mesin F10L431F di PLTD Long Beluah </t>
  </si>
  <si>
    <t>CV STARINDO TITIAN UTAMA</t>
  </si>
  <si>
    <t>FBL NO. 508/KIT/BRU/2015</t>
  </si>
  <si>
    <t>276.SPP/DAN.02.01/ABRU/2015</t>
  </si>
  <si>
    <t xml:space="preserve">Relokasi Mesin Man D2842 LE201 SN 49415672261486 Dari PLTD Biduk Biduk Ke PLTD Talisayan </t>
  </si>
  <si>
    <t>CV. Fajar Restu Insani</t>
  </si>
  <si>
    <t>FBL NO. 509/KIT/BRU/2015</t>
  </si>
  <si>
    <t>316.SPK/DAN.02.01/ABRU2015 02 s/d 31 Des 2015</t>
  </si>
  <si>
    <t xml:space="preserve">Relokasi Mesin Caterpillar 3516-DITA SN 25ZO 5444 Dari PLTD Sambaliung Ke PLTD Sei Buaya </t>
  </si>
  <si>
    <t>FBL NO. 510/KIT/BRU/2015</t>
  </si>
  <si>
    <t>319.SPK/DAN.02.01/ABRU2015 02 s/d 31 Des 2015</t>
  </si>
  <si>
    <t xml:space="preserve">Relokasi Mesin Caterpillar 3516-DITA SN 25ZO 5461 Dari PLTD Sambaliung Ke PLTD Sei Buaya </t>
  </si>
  <si>
    <t>FBL NO. 511/KIT/BRU/2015</t>
  </si>
  <si>
    <t>Pengadaan Matrial Elektrik untuk Mengatasi Gangguan di PLTD Tersebar</t>
  </si>
  <si>
    <t>FBL NO. 512/KIT/BRU/2015</t>
  </si>
  <si>
    <t>270.SPP/DAN.02.01/ABRU/2015</t>
  </si>
  <si>
    <t xml:space="preserve">Kalibrasi Injection Pump Mesin MWM TBD 616 V16 Sn 2202311 Di PLTD Sei Buaya </t>
  </si>
  <si>
    <t>FBL NO. 514/KIT/BRU/2015</t>
  </si>
  <si>
    <t>277.SPP/DAN.02.01/ABRU/2015</t>
  </si>
  <si>
    <t>CV. FAJAR RESTU INSANI</t>
  </si>
  <si>
    <t>FBL NO. 515/KIT/BRU/2015</t>
  </si>
  <si>
    <t>252.SPP/DAN.02.01/ABRU/2015 27 Nov sd 26 Des 2015</t>
  </si>
  <si>
    <t>CV FAJAR RESTU INSANI</t>
  </si>
  <si>
    <t>FBL NO. 516/KIT/BRU/2015</t>
  </si>
  <si>
    <t xml:space="preserve">Pengadaan Matrial Tambah Elektrikal Hardik SO Mesin MAN D2842LE201 SN 49415672261486 di PLTD Biduk Biduk </t>
  </si>
  <si>
    <t>CV. ADIDUTA MANDIRI</t>
  </si>
  <si>
    <t>FBL NO. 517/KIT/BRU/2015</t>
  </si>
  <si>
    <t>267.SPP/DAN.02.01/ABRU/2015</t>
  </si>
  <si>
    <t>CV. SARANA ENERGY UTAMA</t>
  </si>
  <si>
    <t>FBL NO. 518/KIT/BRU/2015</t>
  </si>
  <si>
    <t>253.SPP/DAN.02.01/ABRU/2015 27 Nov sd 26 Des 2015</t>
  </si>
  <si>
    <t xml:space="preserve">Relokasi Tanki Timbun Kapasitas 20 KL dari ULD Mansalong ke PLTD Malinau </t>
  </si>
  <si>
    <t>FBL NO. 521/KIT/BRU/2015</t>
  </si>
  <si>
    <t>Pengadaan Matrial Tambah Hardik SO Mesin MAN D2842 LE 201 SN 4948233181764 di PLTD Sebatik</t>
  </si>
  <si>
    <t>CV. ERA TARAKANITA</t>
  </si>
  <si>
    <t>FBL NO. 522/KIT/BRU/2015</t>
  </si>
  <si>
    <t>279.SPP/DAN.02.01/ABRU/2015 30 Nov s/d 29 Des 2015</t>
  </si>
  <si>
    <t xml:space="preserve">Pengadaan Matrial Tambah Hardik MO Mesin MAN D2842 LE 201 Sn 49401581284201 di PLTD Malinau </t>
  </si>
  <si>
    <t>CV. PRADIPA LESTARI</t>
  </si>
  <si>
    <t>FBL NO. 523/KIT/BRU/2015</t>
  </si>
  <si>
    <t>Pengadaan Matrial Tambah Hardik SO Mesin MAN D2842 LE 201 SN 49482232331764 di PLTD Sebatik</t>
  </si>
  <si>
    <t>FBL NO. 524/KIT/BRU/2015</t>
  </si>
  <si>
    <t>297.SPP/DAN.02.01/ABRU/2015 14 Des 2015 s/d 12 Jan 2016</t>
  </si>
  <si>
    <t>Pengadaan Matrial Tambah Hardik SO Mesin Man D2842 LE201 Sn 49415672371486 di PLTD Sebatik</t>
  </si>
  <si>
    <t>FBL NO. 525/KIT/BRU/2015</t>
  </si>
  <si>
    <t xml:space="preserve">284.SPP/DAN.02.01/ABRU/2015 15 s/d 31 Des 2015 </t>
  </si>
  <si>
    <t>Pengadaan Material Gangguan Mesin MAN D2842 LE201 SN. 49406352274201 PLTD Malinau PT. PLN (Persero) Area Berau</t>
  </si>
  <si>
    <t>FBL NO. 526/KIT/BRU/2015</t>
  </si>
  <si>
    <t>269.SPP/DAN.02.01/ABRU/2015</t>
  </si>
  <si>
    <t>Pengadaan Matrial Tambah Hardik SO Mesin Komatsu SAA12V140 SN 13979 di PLTD Malinau</t>
  </si>
  <si>
    <t>CV. INDOTECH UTAMA</t>
  </si>
  <si>
    <t>FBL NO. 529/KIT/BRU/2015</t>
  </si>
  <si>
    <t xml:space="preserve">293.SPP/DAN.02.01/ABRU/2015 1 s/d 16 Des 2015 </t>
  </si>
  <si>
    <t xml:space="preserve">Perbaikan Pompa Minyak di PLTD Sambaliung </t>
  </si>
  <si>
    <t>CV. PERDANA ELECTRIC</t>
  </si>
  <si>
    <t>FBL NO. 534/KIT/BRU/2015</t>
  </si>
  <si>
    <t xml:space="preserve">292.SPP/DAN.02.01/ABRU/2015 1 s/d 16 Des 2015 </t>
  </si>
  <si>
    <t>Perbaikan Generator Mesin F10L413F SN 7134410 di PLTD Tubaan</t>
  </si>
  <si>
    <t>CV. PERDANA ELECTRIK</t>
  </si>
  <si>
    <t>FBL NO. 535/KIT/BRU/2015</t>
  </si>
  <si>
    <t xml:space="preserve">Perbaikan Generator Mesin MWM TBD 616 V12 SN 001568 di PLTD Biduk biduk </t>
  </si>
  <si>
    <t>FBL NO. 536/KIT/BRU/2015</t>
  </si>
  <si>
    <t>Perbaikan Generator Mesin BF6M 1015 C Sn 9117646 di PLTD Derawan</t>
  </si>
  <si>
    <t>FBL NO. 537/KIT/BRU/2015</t>
  </si>
  <si>
    <t xml:space="preserve">283.SPP/DAN.02.01/ABRU/2015 1 s/d 29 Des 2015 </t>
  </si>
  <si>
    <t>Pengadaan Matrial Gangguan Mesin MERCY MTU OM477 6R 183 AA SN 086655 PLTD Derawan</t>
  </si>
  <si>
    <t>FBL NO. 545/KIT/BRU/2015</t>
  </si>
  <si>
    <t>Pengadaan material tambah hardik SO Mesin MAN D2842 LE 201 SN 494 0635 227 4201 di PLTD Malinau</t>
  </si>
  <si>
    <t>CV. BINTANG WASA PRIMA</t>
  </si>
  <si>
    <t>FBL NO. 557/KIT/BRU/2015</t>
  </si>
  <si>
    <t xml:space="preserve">302.SPP/DAN.02.01/ABRU/2015 1 s/d 16 Des 2015 </t>
  </si>
  <si>
    <t xml:space="preserve">Kaliberasi Injection Pump Mesin MWM TBD 616 V16 SN 2201375  di PLTD Malinau </t>
  </si>
  <si>
    <t>FBL NO. 583/KIT/BRU/2015</t>
  </si>
  <si>
    <t>274.SPP/DAN.02.01/ABRU/2015</t>
  </si>
  <si>
    <t>Pengadaan Filter untuk PLTD Malinau PT.PLN (Persero) Area Berau</t>
  </si>
  <si>
    <t>CV. JAYA ANGKASA MANDIRI</t>
  </si>
  <si>
    <t>FBL NO. 091/KIT/BRU/2015</t>
  </si>
  <si>
    <t>045.SPP/DAN.02.01/ABRU/2015 23 April s.d 07 Mei 2015</t>
  </si>
  <si>
    <t>PENGADAAN SARANA &amp; PERALATAN PENDUKUNG KEGIATAN OPS MS KIT UNIT - UNIT PLTD</t>
  </si>
  <si>
    <t>CV. TRITAMA ENERGI</t>
  </si>
  <si>
    <t>FBL NO. 068/KIT/BRU/2015</t>
  </si>
  <si>
    <t>017.SPP/DAN.02.01/ABRU/2015 30 Maret s/d 13 April 2015</t>
  </si>
  <si>
    <t>PENGADAAN SARANA &amp; PERALATAN PLTD MALINAU</t>
  </si>
  <si>
    <t>FBL 100/KIT/ABRU/2015</t>
  </si>
  <si>
    <t>049.SPP/DAN.02.01/ABRU/2015 29 April s/d 05 Mei 2015</t>
  </si>
  <si>
    <t>PENGADAAN SARANA &amp; PERALATAN PENDUKUNG KEGIATAN OPERASIONAL MS PEMBANGKITAN UNIT-UNIT PLTD</t>
  </si>
  <si>
    <t>FBL 379/KIT/ABRU/2015</t>
  </si>
  <si>
    <t>189.SPP/DAN.02.01/ABRU/2015</t>
  </si>
  <si>
    <t>CV. STARINDO TITIAN UTAMA</t>
  </si>
  <si>
    <t>FBL 051/KIT/ABRU/2015</t>
  </si>
  <si>
    <t>035.SPP/DAN.02.01/ABRU/2015 20 April s/d 04 Mei 2015</t>
  </si>
  <si>
    <t>PERBAIKAN ATAP, PLAFON &amp; PENGECATAN GUDANG NNK</t>
  </si>
  <si>
    <t>FBL NO. 093/KIT.BRU/2015</t>
  </si>
  <si>
    <t>016.ND/KIT/ABRU/2015</t>
  </si>
  <si>
    <t>PEKERJAAN PENGECATAN ATAP PLTD SEBATIK</t>
  </si>
  <si>
    <t>FBL NO. 096/KIT.BRU/2015</t>
  </si>
  <si>
    <t>014.ND/KIT/ABRU/2015</t>
  </si>
  <si>
    <t>PENGECATAN RUMAH DINAS PLTD SEBATIK</t>
  </si>
  <si>
    <t>FBL NO. 094/KIT.BRU/2015</t>
  </si>
  <si>
    <t>015.ND/KIT/ABRU/2015</t>
  </si>
  <si>
    <t>PENGECATAN STORADGE TANK PLTD SEBATIK</t>
  </si>
  <si>
    <t>FBL NO. 076/KIT.BRU/2015</t>
  </si>
  <si>
    <t>055.SPP/DAN.02.01/ABRU/2015 15 Mei s.d 08 Juni 2015</t>
  </si>
  <si>
    <t>Pekerjaan pengecatan dinding dalam &amp; luar PLTD Sebatik</t>
  </si>
  <si>
    <t>FBL NO. 101/KIT.BRU/2015</t>
  </si>
  <si>
    <t>061.SPP/DAN.02.01/ABRU/2015 18 Mei s.d 01 Juni 2015</t>
  </si>
  <si>
    <t>PEKERJAAN PENGECATAN LANTAI LOKASI SEI NYAMUK SEBATIK</t>
  </si>
  <si>
    <t>326/KIT/ABRU/2015</t>
  </si>
  <si>
    <t>249.SPK/DAN.02.01/ABRU/2015</t>
  </si>
  <si>
    <t>PENGADAAN MATERIAL HARDIK MO UNTUK MESIN CUMMINS QSX15 SN. 79398372 DI PLTD TALISAYAN PT PLN (PERSERO) AREA BERAU</t>
  </si>
  <si>
    <t>327/KIT/ABRU/2015</t>
  </si>
  <si>
    <t>250.SPK/DAN.02.01/ABRU/2015</t>
  </si>
  <si>
    <t>PENGADAAN MATERIAL TAMBAH HARDIK MO UNTUK MESIN CUMMINS QSX15 SN. 79398372 DI PLTD TALISAYAN PT PLN (PERSERO) AREA BERAU</t>
  </si>
  <si>
    <t>FBL No 291/KIT/ABRU/2015</t>
  </si>
  <si>
    <t>173.SPK/DAN.02.01/ABRU/2015 5 Agt s/d 3 Sept 2015</t>
  </si>
  <si>
    <t>Pengadaan Material untuk Mengatasi gangguan Mesin Deutz F10L 413 SN 84103CO111 PLTD Long Beluah</t>
  </si>
  <si>
    <t>PT. DANDY UTAMA</t>
  </si>
  <si>
    <t>FBL No 293/KIT/ABRU/2015</t>
  </si>
  <si>
    <t>Pengadaan Material untuk Mengatasi Gangguan Mesin MAN D2842 LE201 SN 494 0635 047 4201 PLTD Malinau</t>
  </si>
  <si>
    <t>FBL 320/KIT/ABRU/2015</t>
  </si>
  <si>
    <t>220.SPK/DAN.02.01/ABRU/2015</t>
  </si>
  <si>
    <t>Perbaikan Standart Generator Mesin MWM TBD 616 V16 s/n 2203636 di PLTD Sei Bilal</t>
  </si>
  <si>
    <t>FBL 378/KIT/ABRU/2015</t>
  </si>
  <si>
    <t>Pengadaan Accu dan Kelengkapannya untuk unit-unit PLTD</t>
  </si>
  <si>
    <t>FBL 388/KIT/ABRU/2015</t>
  </si>
  <si>
    <t>190.SPP/DAN.02.01/ABRU/2015 21 Okt s.d 19 Nov 2015</t>
  </si>
  <si>
    <t>Pengadaan Material Pemeliharaan Rutin Filter PLTD Tidung Pala</t>
  </si>
  <si>
    <t>FBL 399/KIT/ABRU/2015</t>
  </si>
  <si>
    <t>272.SPP/DAN.02.01/ABRU/2015</t>
  </si>
  <si>
    <t>Pengadaan Matrial  Gangguan Mesin F10L413 PLTD Atap dan PLTD Tubaan PT PLN (Persero) Area Berau</t>
  </si>
  <si>
    <t>FBL 400/KIT/ABRU/2015</t>
  </si>
  <si>
    <t>237.SPP/DAN.02.01/ABRU/2015 27 Nov s/d 26 Des 2015</t>
  </si>
  <si>
    <t>FBL 402/KIT/ABRU/2015</t>
  </si>
  <si>
    <t>187.SPP/DAN.02.01/ABRU/2015 21 Okt s.d 19 Nov 2015</t>
  </si>
  <si>
    <t>Pengadaan Material Gangguan Mesin MAN D2842LE201 PLTD Malinau PT PLN (Persero) Area Berau</t>
  </si>
  <si>
    <t>FBL 424/KIT/ABRU/2015</t>
  </si>
  <si>
    <t>224.SPP/DAN.02.01/ABRU/2015 19 s.d 25 Nov 2015</t>
  </si>
  <si>
    <t>Pengadaan Material Untuk Mengatasi Gangguan Mesin Perkin PLTD Sambaliung PT PLN (Pesero) Area Berau</t>
  </si>
  <si>
    <t>CV TRITAMA ENERGI</t>
  </si>
  <si>
    <t>FBL 433/KIT/ABRU/2015</t>
  </si>
  <si>
    <t>249.SPP/DAN.02.01/ABRU/2015</t>
  </si>
  <si>
    <t>PENGADAAN HYDROTHERMO DAN GELAS UKUR PT. PLN (Persero) AREA BERAU</t>
  </si>
  <si>
    <t>FBL 436/KIT/ABRU/2015</t>
  </si>
  <si>
    <t>203.SPP/DAN.02.01/ABRU/2015 03 s.d 17 Nov 2015</t>
  </si>
  <si>
    <t>Pekerjaan Rewinding Exiter Generator Unit-Unit PLTD Tubaan PT PLN (Persero) Area Berau</t>
  </si>
  <si>
    <t>CV PERDANA ELECTRIC</t>
  </si>
  <si>
    <t>FBL 441/KIT/ABRU/2015</t>
  </si>
  <si>
    <t>210.SPP/DAN.02.01/ABRU/2015</t>
  </si>
  <si>
    <t>Pengadaan Matrial Gangguan Mesin MAN D282LE201 PLTD Malinau dan PLTD Sebatik</t>
  </si>
  <si>
    <t>FBL 442/KIT/ABRU/2015</t>
  </si>
  <si>
    <t>Pengadaan Matrial Gangguan Mesin MWM TBD 616V12 Sn 2201375 PLTD Malinau</t>
  </si>
  <si>
    <t>FBL 444/KIT/ABRU/2015</t>
  </si>
  <si>
    <t>Pengadaan Matrial Gangguan Motor Stater Mesin Komatsu SAA12 V 140 Sn. 13979 PLTD Malinau PT PLN (Persero)</t>
  </si>
  <si>
    <t>FBL 451/KIT/ABRU/2015</t>
  </si>
  <si>
    <t>Relokasi Mesin MAN D2842 LE201 SN. 49415 672 261 486 Dari PLTD Biduk-Biduk ke PLTD Talisayan PT PLN (Persero) Area Berau</t>
  </si>
  <si>
    <t>FBL 452/KIT/ABRU/2015</t>
  </si>
  <si>
    <t>242.SPP/DAN.02.01/ABRU/2015 27 Nov 2015 s/d 11 Des 2015</t>
  </si>
  <si>
    <t>Relokasi Mesin MAN D2842 LE201 SN. 49415 672 261 486 Dari  PLTD Talisayan ke PLTD Biduk-Biduk PT PLN (Persero) Area Berau</t>
  </si>
  <si>
    <t>FBL  456/KIT/ABRU/2015</t>
  </si>
  <si>
    <t>FBL  457/KIT/ABRU/2015</t>
  </si>
  <si>
    <t>246.SPP/DAN.02.01/ABRU/2015 27 Nov s/d 26 Des 2015</t>
  </si>
  <si>
    <t>FBL  464/KIT/ABRU/2015</t>
  </si>
  <si>
    <t>Pengadaan Material Untuk Mengatasi Gangguan Mesin MAN D2842LE201 SN.4940635047 4201 DI PLTD Malinau</t>
  </si>
  <si>
    <t>FBL  493/KIT/ABRU/2015</t>
  </si>
  <si>
    <t>287.SPP/DAN.02.01/ABRU/2015 01 s/d 16 Des 2015</t>
  </si>
  <si>
    <t xml:space="preserve">Pengadaan Matrial Mesin Untuk Sarana Pendukung Oprasional Mesin Pembangkit PLTD Long Peso </t>
  </si>
  <si>
    <t>FBL  519/KIT/ABRU/2015</t>
  </si>
  <si>
    <t>285.SPK/DAN.02.01/ABRU/2015 02 s/d 31 Des 2015</t>
  </si>
  <si>
    <t>Pengadaan Radiator Jacket Water Cummins QSX15 Sn 79398372 PLTD Talisayan</t>
  </si>
  <si>
    <t>PT SUMBER USAHA RADIATOR</t>
  </si>
  <si>
    <t>FBL  520/KIT/ABRU/2015</t>
  </si>
  <si>
    <t>287.SPK/DAN.02.01/ABRU/2015 02 s/d 31 Des 2015</t>
  </si>
  <si>
    <t>pengadaan Intercooler Mesin Cummins QSX15 Sn 79398372 PLTD Talisayan</t>
  </si>
  <si>
    <t>FBL  530/KIT/ABRU/2015</t>
  </si>
  <si>
    <t>290.SPP/DAN.02.01/ABRU/2015 01 s/d 16 Des 2015</t>
  </si>
  <si>
    <t>Pengadaan Matrial Mesin Untuk Sarana Pendukung Oprasional Mesin Pembangkit PLTD Talisayan</t>
  </si>
  <si>
    <t>FBL  531/KIT/ABRU/2015</t>
  </si>
  <si>
    <t>288.SPP/DAN.02.01/ABRU/2015 01 s/d 16 Des 2015</t>
  </si>
  <si>
    <t>Pengadaan Matrial Mesin Untuk Sarana Pendukung Oprasional Mesin Pembangkit PLTD Tidung Pale</t>
  </si>
  <si>
    <t>FBL  532/KIT/ABRU/2015</t>
  </si>
  <si>
    <t>289.SPP/DAN.02.01/ABRU/2015 01 s/d 16 Des 2015</t>
  </si>
  <si>
    <t>Pengadaan Matrial Mesin Untuk Sarana Pendukung Oprasional Mesin Pembangkit PLTD Malinau</t>
  </si>
  <si>
    <t>FBL  543/KIT/ABRU/2015</t>
  </si>
  <si>
    <t xml:space="preserve">Pengadaan material untuk mengatasi gangguan mesin pembangkit PLTD Malinau </t>
  </si>
  <si>
    <t>FBL  571/KIT/ABRU/2015</t>
  </si>
  <si>
    <t xml:space="preserve">Pengadaan Accu Untuk PLTD Nunukan </t>
  </si>
  <si>
    <t>FBL  539/KIT/ABRU/2015</t>
  </si>
  <si>
    <t>240.SPP/DAN.02.01/ABRU/2015 27 Nov s/d 26 Des 2015</t>
  </si>
  <si>
    <t>Pengadaan Fasilitas Pendukung Program Listrik Perbatasan di PLTD Lumbis Ogong PT. PLN ( Persero ) Area Berau</t>
  </si>
  <si>
    <t>FBL  608/KIT/ABRU/2015</t>
  </si>
  <si>
    <t>Pengadaan Radiator dan Intercooler Mesin MAN D2842 LE201 SN. 498.1849.8011.868 di PLTD Sebatik PT. PLN (Persero) Area Berau</t>
  </si>
  <si>
    <t>FBL  609/KIT/ABRU/2015</t>
  </si>
  <si>
    <t xml:space="preserve">Pengadaan Matrial Tambahan Mesin MAN D2842 LE201 SN. 494.1849.8011.868 di PLTD Sebatik PT. PLN (Persero) Area Berau </t>
  </si>
  <si>
    <t>FBL  607/KIT/ABRU/2015</t>
  </si>
  <si>
    <t>Pengadaan Radiator dan Intercooler dan Mesin Tambahan Mesin MAN D2842 LE201 SN.494.1823.318.1764 di PLTD Sebatik PT. PLN (Persero) Area Berau</t>
  </si>
  <si>
    <t>FBL  605/KIT/ABRU/2015</t>
  </si>
  <si>
    <t>Pengadaan Radiator dan Intercooler dan Mesin Tambahan Mesin MAN D2842 LE201 SN.494.1567.237.1486 di PLTD Sebatik PT. PLN (Persero) Area Berau</t>
  </si>
  <si>
    <t>FBL  606/KIT/ABRU/2015</t>
  </si>
  <si>
    <t>Pengadaan Radiator dan Intercooler dan Mesin Tambahan Mesin MAN D2842 LE201 SN.494.1823.233.1764 di PLTD Sebatik PT. PLN (Persero) Area Berau</t>
  </si>
  <si>
    <t xml:space="preserve"> SKKO PEMBANGKIT 2016</t>
  </si>
  <si>
    <t>Pengadaan Fault Indikator PT PLN (Persero) Area Berau</t>
  </si>
  <si>
    <t>SPP 009 AO 2016</t>
  </si>
  <si>
    <t xml:space="preserve"> SKKI DISTRIBUSI 2016</t>
  </si>
  <si>
    <t>SPP 001 AO 2016</t>
  </si>
  <si>
    <t>003.KIT/AO/BRU/2016/M</t>
  </si>
  <si>
    <t>PRK.2016.WKT-4.3.53211.30</t>
  </si>
  <si>
    <t>Rutin PLTD Area Berau Tersebar</t>
  </si>
  <si>
    <t>003.DIST/AO/BRU/2016/M</t>
  </si>
  <si>
    <t>PRK.2016.WKT-4.9.53211.272</t>
  </si>
  <si>
    <t>Pemeliharaan dan penggantian CT Pelanggan TM di 4 pelanggan di PLN Area Berau</t>
  </si>
  <si>
    <t>PRK.2016.WKT-4.9.53211.274</t>
  </si>
  <si>
    <t>Pemeliharaan dan penggantian CT Pelanggan TR di PLN Area Berau</t>
  </si>
  <si>
    <t>PRK.2016.WKT-4.9.53212.304</t>
  </si>
  <si>
    <t>Pemasangan AMR di pelanggan daya 33 000 VA ke atas di Area Berau</t>
  </si>
  <si>
    <t>001.DIST/AI-R/BRU/2016/M</t>
  </si>
  <si>
    <t>PRK.2016.WKT-4.3.1</t>
  </si>
  <si>
    <t>PRK.2016.WKT-4.3.2</t>
  </si>
  <si>
    <t>PRK.2016.WKT-4.3.3</t>
  </si>
  <si>
    <t>Pengadaan Relay SEPAM 1000+ Type S40 (BRU.2, INC GH SBT,INC GH SEI LANCANG, INC SDDP, ASS 6 BUAH)</t>
  </si>
  <si>
    <t>Pengadaan Tiang beton 13 Mtr untuk penggantian tiang TM 9 M di Penyulang CB 31 TJR</t>
  </si>
  <si>
    <t>Usulan Pembagnunan Jaringan Untuk Keandalan  Jaringan Pangkal TJS.1 (Daerah Rawa)</t>
  </si>
  <si>
    <t>PRK.2016.WKT-4.3.7</t>
  </si>
  <si>
    <t>Transportasi Material ke Nunukan-Sebatik</t>
  </si>
  <si>
    <t>PRK.2016.WKT-4.3.14</t>
  </si>
  <si>
    <t>PRK.2016.WKT-4.3.15</t>
  </si>
  <si>
    <t>PRK.2016.WKT-4.3.16</t>
  </si>
  <si>
    <t>PRK.2016.WKT-4.3.17</t>
  </si>
  <si>
    <t>Pemasangan jaringan SUTM, Trafo, dan JTR untuk mengatasi tegangan drop di Rayon Tanjung Redep</t>
  </si>
  <si>
    <t>Pemasangan jaringan SUTM, Trafo, dan JTR untuk mengatasi tegangan drop di Rayon Tanjung selor</t>
  </si>
  <si>
    <t>Pemasangan jaringan SUTM, Trafo, dan JTR untuk mengatasi tegangan drop di Rayon Malinau</t>
  </si>
  <si>
    <t>Pemasangan jaringan SUTM, Trafo, dan JTR untuk mengatasi tegangan drop di Rayon Nunukan</t>
  </si>
  <si>
    <t>PRK.2016.WKT-4.3.18</t>
  </si>
  <si>
    <t>Pemasangan SUTM untuk evakuasi beban Excess Power PT. Sumber Alam Sekurau di Tanjung Selor</t>
  </si>
  <si>
    <t>002.DIST/AI-R/BRU/2016/M</t>
  </si>
  <si>
    <t>PRK.2016.WKT-4.3.8</t>
  </si>
  <si>
    <t>PRK.2016.WKT-4.3.9</t>
  </si>
  <si>
    <t>PRK.2016.WKT-4.3.10</t>
  </si>
  <si>
    <t>PRK.2016.WKT-4.3.11</t>
  </si>
  <si>
    <t>PRK.2016.WKT-4.3.12</t>
  </si>
  <si>
    <t>PRK.2016.WKT-4.3.13</t>
  </si>
  <si>
    <t>Pembangunan Jaringan Distribusi Berau Tersebar</t>
  </si>
  <si>
    <t>Penyambungan Baru 1 Phasa (10.064 plg)</t>
  </si>
  <si>
    <t>Penyambungan Baru 3 Phasa TR (128 plg)</t>
  </si>
  <si>
    <t>Penyambungan Baru 3 Phasa TM (4 plg)</t>
  </si>
  <si>
    <t>Perubahan Daya Pelanggan SR, TR  dan TM (4.444 Plg)</t>
  </si>
  <si>
    <t>Pembangunan Jaringan Distribusi Selor Jl. Kapur, Meranti, Binjai, Bayangkara, Cendana, Sabanar Baru, Tanjung Harapan</t>
  </si>
  <si>
    <t>010/JAR/ABRU/2016</t>
  </si>
  <si>
    <t>SPP 002 AO 2016</t>
  </si>
  <si>
    <t>278.SPP/DAN.02.01/ABRU/2015</t>
  </si>
  <si>
    <t>SPP 003 AO 2016</t>
  </si>
  <si>
    <t>299.SPP/DAN.02.01/2015</t>
  </si>
  <si>
    <t>SPP 004 AO 2016</t>
  </si>
  <si>
    <t>004.KIT/AO/BRU/2016/M</t>
  </si>
  <si>
    <t>PRK.2016.WKT-4.3.53213.52</t>
  </si>
  <si>
    <t>Pengadaan Material dan Jasa Relokasi Mesin PLTD Tersebar Area Berau</t>
  </si>
  <si>
    <t>SPP 006 AO 2016</t>
  </si>
  <si>
    <t>SPP 007 AO 2016</t>
  </si>
  <si>
    <t>011/KIT/ABRU/2016</t>
  </si>
  <si>
    <t>004.DIST/AO/BRU/2016/M</t>
  </si>
  <si>
    <t>PRK.2016.WKT-4.9.53211.270</t>
  </si>
  <si>
    <t>PRK.2016.WKT-4.9.53223.305</t>
  </si>
  <si>
    <t>Sewa Kendaraan Operasional PDKB</t>
  </si>
  <si>
    <t>PRK.2016.WKT-4.9.53222.308</t>
  </si>
  <si>
    <t>00035/DAN.01.03/ABRU/2016</t>
  </si>
  <si>
    <t xml:space="preserve"> SKKO PEMBANGKITAN 2016</t>
  </si>
  <si>
    <t>001.KIT/AO-R/BRU/2016/M</t>
  </si>
  <si>
    <t>Pengadaan Minyak Pelumas dan Bahan Kimia di Unit-Unit Pembangkit di bawah PT PLN (Persero) Area Berau</t>
  </si>
  <si>
    <t>002.KIT/AO-R/BRU/2016/M</t>
  </si>
  <si>
    <t>Pekerjaan Pengangkutan BBM di Unit-Unit Pembangkit di bawah PT PLN (Persero) Area Berau</t>
  </si>
  <si>
    <t>SPP 011 AO 2016</t>
  </si>
  <si>
    <t>SPP 008 AO 2016</t>
  </si>
  <si>
    <t>SPP 055 AO 2015</t>
  </si>
  <si>
    <t>SPP 039 AO 2015</t>
  </si>
  <si>
    <t>SPP 058 AO 2015</t>
  </si>
  <si>
    <t>SPP 054 AO 2015</t>
  </si>
  <si>
    <t>294.SPP/DAN.02.01/ABRU/2015 30 Nov s/d 29 Des 2015</t>
  </si>
  <si>
    <t>279.SPK/DAN.02.01/ABRU/2015</t>
  </si>
  <si>
    <t>SPP 144 AO 2015</t>
  </si>
  <si>
    <t>SPP 143 AO 2016</t>
  </si>
  <si>
    <t>SPP 142 AO 2016</t>
  </si>
  <si>
    <t>SPP 126 AO 2015</t>
  </si>
  <si>
    <t>323.SPP/DAN.02.01/ABRU/2015</t>
  </si>
  <si>
    <t>SPP 014 AO 2016</t>
  </si>
  <si>
    <t>SPP 016 AO 2016</t>
  </si>
  <si>
    <t>012/TE/ABRU/2016</t>
  </si>
  <si>
    <t>Pengadaan Lisensi AMR untuk menambah kapasitas pelanggan AMR Berau</t>
  </si>
  <si>
    <t>013/TE/ABRU/2016</t>
  </si>
  <si>
    <t>Pengadaan Trafo Arus (CT) TM untuk Pemeliharaan</t>
  </si>
  <si>
    <t>014/TE/ABRU/2016</t>
  </si>
  <si>
    <t>Pengadaan Material Pemeliharaan Pelanggan 3 Phase</t>
  </si>
  <si>
    <t>015/TE/ABRU/2016</t>
  </si>
  <si>
    <t>016/TE/ABRU/2016</t>
  </si>
  <si>
    <t>Pelayanan Penyambungan Baru Pelanggan 1 Phase Tahun 2016 Area Berau Rayon Nunukan Kantor Pelayanan Sebuku, Tulin Onsoi, Sei Menggaris</t>
  </si>
  <si>
    <t>017/TE/ABRU/2016</t>
  </si>
  <si>
    <t>018/TE/ABRU/2016</t>
  </si>
  <si>
    <t>Pelaksanaan Borongan Pekerjaan Pasang Baru Pelanggan SR 1 Phasa PT PLN (Persero) Area Berau Rayon Tanjung Redeb</t>
  </si>
  <si>
    <t xml:space="preserve">Pelaksanaan Borongan Pekerjaan Pasang Baru Pelanggan SR 1 Phasa PT PLN (Persero) Area Berau Rayon Tanjung Selor </t>
  </si>
  <si>
    <t>Pelaksanaan Borongan Pekerjaan Pasang Baru Pelanggan SR 1 Phasa PT PLN (Persero) Area Berau Rayon Malinau</t>
  </si>
  <si>
    <t>019/TE/ABRU/2016</t>
  </si>
  <si>
    <t>Pelaksanaan Borongan Pekerjaan Pasang Baru Pelanggan SR 1 Phasa PT PLN (Persero) Area Berau Rayon Nunukan</t>
  </si>
  <si>
    <t>tagihan masih di user</t>
  </si>
  <si>
    <t>020/JAR/ABRU/2016</t>
  </si>
  <si>
    <t>Pengadaan Lightning Arrester PT PLN (Persero) Area Berau</t>
  </si>
  <si>
    <t>021/JAR/ABRU/2016</t>
  </si>
  <si>
    <t>022/JAR/ABRU/2016</t>
  </si>
  <si>
    <t>Pengadaan Material Terminasi untuk Kubikel PT TBP (Excess Power) Talisayan</t>
  </si>
  <si>
    <t>023/JAR/ABRU/2016</t>
  </si>
  <si>
    <t>Pengadaan Jointing SKTM 240mm2 PT PLN (Persero) Rayon Nunukan</t>
  </si>
  <si>
    <t>024/KIT/ABRU/2016</t>
  </si>
  <si>
    <t>029/KIT/ABRU/2016</t>
  </si>
  <si>
    <t>Pengadaan Accu dan Kelengkapannya  untuk Unit-Unit PLTD PT PLN (Persero) Area Berau</t>
  </si>
  <si>
    <t xml:space="preserve"> SKKO DISTRIBUSI 2016</t>
  </si>
  <si>
    <t xml:space="preserve"> SKKO TU 2016</t>
  </si>
  <si>
    <t>001.TU/AO/BRU/2016/M</t>
  </si>
  <si>
    <t>PRK.2015.WKT-4.12.53224.309</t>
  </si>
  <si>
    <t>PRK.2015.WKT-4.12.53224.310</t>
  </si>
  <si>
    <t>PRK.2015.WKT-4.12.53224.311</t>
  </si>
  <si>
    <t>PRK.2015.WKT-4.12.53223.312</t>
  </si>
  <si>
    <t>PRK.2015.WKT-4.12.53223.313</t>
  </si>
  <si>
    <t>PRK.2015.WKT-4.12.53223.314</t>
  </si>
  <si>
    <t>PRK.2015.WKT-4.12.53222.315</t>
  </si>
  <si>
    <t>PRK.2015.WKT-4.12.53222.316</t>
  </si>
  <si>
    <t>PRK.2015.WKT-4.12.53222.317</t>
  </si>
  <si>
    <t>PRK.2015.WKT-4.12.53222.318</t>
  </si>
  <si>
    <t>PRK.2015.WKT-4.12.53221.319</t>
  </si>
  <si>
    <t>PRK.2015.WKT-4.12.53221.320</t>
  </si>
  <si>
    <t>PRK.2015.WKT-4.12.53221.323</t>
  </si>
  <si>
    <t>PRK.2015.WKT-4.12.53221.324</t>
  </si>
  <si>
    <t>PRK.2015.WKT-4.12.53221.325</t>
  </si>
  <si>
    <t>PRK.2015.WKT-4.12.53221.328</t>
  </si>
  <si>
    <t>PRK.2015.WKT-4.12.53221.329</t>
  </si>
  <si>
    <t>PRK.2015.WKT-4.12.53221.330</t>
  </si>
  <si>
    <t>PRK.2015.WKT-4.12.53223.331</t>
  </si>
  <si>
    <t>PRK.2015.WKT-4.12.53223.332</t>
  </si>
  <si>
    <t>Pemborongan Jasa Pengemudi</t>
  </si>
  <si>
    <t>Pemborongan Adm TLSK</t>
  </si>
  <si>
    <t>Pemborongan pengelolaan gedung (pemeliharaan, keamanan dan kebersihan)</t>
  </si>
  <si>
    <t>Sewa Kendaraan Unit</t>
  </si>
  <si>
    <t>Sewa Kendaraan Wilayah</t>
  </si>
  <si>
    <t xml:space="preserve">Bahan Bakar Kendaraan Sewa </t>
  </si>
  <si>
    <t>Pengadaan sarana kerja kantor Area Berau</t>
  </si>
  <si>
    <t>Pengadaan Computer dan printer Area Berau</t>
  </si>
  <si>
    <t>Pemeliharaan &amp; Penggantian AC Kantor Area Berau</t>
  </si>
  <si>
    <t>Pengisian  &amp; pemeriksaan APAR</t>
  </si>
  <si>
    <t>Perbaikan sarana gedung Rayon Nunukan</t>
  </si>
  <si>
    <t>Perbaikan sarana gedung Rayon Malinau</t>
  </si>
  <si>
    <t>Perbaikan sarana gedung Area Berau</t>
  </si>
  <si>
    <t>Renovasi Rumah Dinas Area Berau</t>
  </si>
  <si>
    <t>Perbaikan sarana gedung Rayon Tanjung Selor</t>
  </si>
  <si>
    <t>Pengecataan Dinding Luar dan Pagar Kantor PT. PLN (Persero) Area Berau</t>
  </si>
  <si>
    <t>Rehab Rumah Dinas Type 36 lokasi PLTD Nunukan</t>
  </si>
  <si>
    <t>Rehab Rumah Dinas Type 45 lokasi PLTD Nunukan</t>
  </si>
  <si>
    <t>Jasa Sewa Kendaraan Operasional Krayan Bulan November 2015 PT. PLN (Persero) Area Berau</t>
  </si>
  <si>
    <t>Jasa Sewa Kendaraan Operasional Krayan Bulan Desember 2015 PT. PLN (Persero) Area Berau</t>
  </si>
  <si>
    <t>PRK.2016.WKT-4.3.53226.143</t>
  </si>
  <si>
    <t>PRK.2016.WKT-4.3.53226.144</t>
  </si>
  <si>
    <t>PRK.2016.WKT-4.3.53226.145</t>
  </si>
  <si>
    <t>PRK.2016.WKT-4.3.53226.146</t>
  </si>
  <si>
    <t>PRK.2016.WKT-4.3.53226.147</t>
  </si>
  <si>
    <t>PRK.2016.WKT-4.3.53226.148</t>
  </si>
  <si>
    <t>PRK.2016.WKT-4.3.53226.149</t>
  </si>
  <si>
    <t>PRK.2016.WKT-4.3.53226.150</t>
  </si>
  <si>
    <t>Pemantauan Lingkungan Ambien, Emisi, Air Semester I Rayon Tanjung Redeb</t>
  </si>
  <si>
    <t>Pemantauan Lingkungan Ambien, Emisi, Air Semester I Rayon Tanjung Selor</t>
  </si>
  <si>
    <t>Pemantauan Lingkungan Ambien, Emisi, Air Semester I PLTD Nunukan dan PLTD Sebatik</t>
  </si>
  <si>
    <t>Pemantauan Lingkungan Ambien, Emisi, Air Semester I PLTD Tidung Pala</t>
  </si>
  <si>
    <t>Pemantauan Lingkungan Ambien, Emisi, Air Semester II Rayon Tanjung Redeb</t>
  </si>
  <si>
    <t>Pemantauan Lingkungan Ambien, Emisi, Air Semester II Rayon Tanjung Selor</t>
  </si>
  <si>
    <t>Pemantauan Lingkungan Ambien, Emisi, Air Semester II PLTD Nunukan dan PLTD Sebatik</t>
  </si>
  <si>
    <t>Pemantauan Lingkungan Ambien, Emisi, Air Semester II PLTD Tidung Pala</t>
  </si>
  <si>
    <t>PRK.2016.WKT-4.3.53226.198</t>
  </si>
  <si>
    <t>Pembuatan bak limbah PLTD Atap</t>
  </si>
  <si>
    <t>PRK.2016.WKT-4.3.53226.199</t>
  </si>
  <si>
    <t>PRK.2016.WKT-4.3.53226.200</t>
  </si>
  <si>
    <t>PRK.2016.WKT-4.3.53226.201</t>
  </si>
  <si>
    <t>PRK.2016.WKT-4.3.53226.202</t>
  </si>
  <si>
    <t>PRK.2016.WKT-4.3.53226.203</t>
  </si>
  <si>
    <t>PRK.2016.WKT-4.3.53226.204</t>
  </si>
  <si>
    <t>PRK.2016.WKT-4.3.53226.205</t>
  </si>
  <si>
    <t>PRK.2016.WKT-4.3.53226.206</t>
  </si>
  <si>
    <t>Pembuatan bak limbah PLTD Biduk-Biduk</t>
  </si>
  <si>
    <t>Pembuatan bak limbah PLTD Long Peso</t>
  </si>
  <si>
    <t>Pembuatan bak limbah PLTD Long Beluah</t>
  </si>
  <si>
    <t>Pembuatan bak limbah PLTD Merasa</t>
  </si>
  <si>
    <t>Pembuatan bak limbah PLTD Batu Putih</t>
  </si>
  <si>
    <t>Pembuatan bak limbah PLTD Tubaan</t>
  </si>
  <si>
    <t>Pembuatan bak limbah PLTD Mara</t>
  </si>
  <si>
    <t>Pembuatan bak limbah PLTD Tanah Merah</t>
  </si>
  <si>
    <t>00044/DAN.01.03/MANBRU/2016</t>
  </si>
  <si>
    <t>00043/DAN.01.03/MANBRU/2016</t>
  </si>
  <si>
    <t>00041/DAN.01.03/MANBRU/2016</t>
  </si>
  <si>
    <t>00042/DAN.01.03/MANBRU/2016</t>
  </si>
  <si>
    <t>Jasa Supervisi Penerimaan BBM HSD Bulan Januari - Maret Tahun 2016 PT PLN (Persero) Area Berau</t>
  </si>
  <si>
    <t>PROGRESS PEKERJAAN MENCAPAI SEKITAR 70 % KENDALA JALAN KELUAR DARI PLTU</t>
  </si>
  <si>
    <t>PEKERJAAN</t>
  </si>
  <si>
    <t>PROGRESS PEKERJAAN MENCAPAI SEKITAR 60 % KENDALA JALAN KELUAR DARI PLTU</t>
  </si>
  <si>
    <t>SEDANG PROSES PEKERJAAN</t>
  </si>
  <si>
    <t>MENUNGGU TERBITNYA PERIZINAN PEMASANGAN SKTM DARI PENGURUS JALAN NASIONAL</t>
  </si>
  <si>
    <t>SPP 145 AO 2015</t>
  </si>
  <si>
    <t>231.SPP/DAN.02.01/ABRU/2015 27/11/2015 - 26/12/2015</t>
  </si>
  <si>
    <t>296.SPP/DAN.02.01/ABRU/2015 14 Des 2015 s/d 12 Jan 2016</t>
  </si>
  <si>
    <t>331.SPK/DAN.02.01/ABRU/2015 31 Des /d 29 Jan 2015</t>
  </si>
  <si>
    <t>166.SPP/DAN.02.01/ABRU/2015</t>
  </si>
  <si>
    <t>SPP 123 AO 2015</t>
  </si>
  <si>
    <t>SPP 134 AO 2015</t>
  </si>
  <si>
    <t>286.SPP/DAN.02.01/ABRU/2015 30/11/2015 - 19/12/2015</t>
  </si>
  <si>
    <t>304.SPP/DAN.02.01/ABRU/2015</t>
  </si>
  <si>
    <t>CV. INTERTECH LANGGENG SETIA</t>
  </si>
  <si>
    <t>248.SPP/DAN.02.01/ABRU/2015</t>
  </si>
  <si>
    <t>329.SPK/DAN.02.01/ABRU/2015 31 Des 2015 s/d 29 januari 2016</t>
  </si>
  <si>
    <t>300.SPP/DAN.02.01/ABRU/2015 15 des 2015 s/d 13 januari 2016</t>
  </si>
  <si>
    <t>328.SPK/DAN.02.01/ABRU/2015 02 s.d 31 Des 2015</t>
  </si>
  <si>
    <t>327.SPK/DAN.02.01/ABRU/2015 02 s.d 31 Des 2015</t>
  </si>
  <si>
    <t>330.SPK/DAN.02.01/ABRU/2015 31 Des 2015 s/d 29 januari 2016</t>
  </si>
  <si>
    <t>CV. MARGA SARI UTAMA</t>
  </si>
  <si>
    <t>025/TU/ABRU/2016</t>
  </si>
  <si>
    <t>Pengadaan Laptop untuk Manajer Area</t>
  </si>
  <si>
    <t>026/TU/ABRU/2016</t>
  </si>
  <si>
    <t>027/TU/ABRU/2016</t>
  </si>
  <si>
    <t>Pengadaan Air Conditioner (AC) 2PK untuk Unit-Unit PT PLN (Persero) Area Berau</t>
  </si>
  <si>
    <t>028/TU/ABRU/2016</t>
  </si>
  <si>
    <t>Perbaikan Gedung Kantor PT PLN (Persero) Area Berau</t>
  </si>
  <si>
    <t>031/TU/ABRU/2016</t>
  </si>
  <si>
    <t>033/TU/ABRU/2016</t>
  </si>
  <si>
    <t>Pemeliharaan Air Conditioner (AC) PT PLN (Persero) Area Berau</t>
  </si>
  <si>
    <t>034/TU/ABRU/2016</t>
  </si>
  <si>
    <t>Pengadaan Printer untuk Bagian Pembangkitan PT PLN (Persero) Area Berau</t>
  </si>
  <si>
    <t>Pengadaan Material Pemeliharaan PDKB di PLN Area Berau</t>
  </si>
  <si>
    <t>Pengadaan Peralatan Alat Pelindung Diri (APD) untuk tim PDKB PLN Area Berau</t>
  </si>
  <si>
    <t>PRK.2016.WKT-4.9.53211.271</t>
  </si>
  <si>
    <t>Penggantian Konektor SR Dengan Pressing di Rayon Tanjung Redeb</t>
  </si>
  <si>
    <t>PRK.2016.WKT-4.9.53223.276</t>
  </si>
  <si>
    <t>Perbaikan pertanahan trafo di Rayon Malinau</t>
  </si>
  <si>
    <t>PRK.2016.WKT-4.9.53222.277</t>
  </si>
  <si>
    <t>Perintisan (ROW) jaringan SUTM di ULD dan kantor Pelayanan PLN Area Berau</t>
  </si>
  <si>
    <t>PRK.2016.WKT-4.9.53223.278</t>
  </si>
  <si>
    <t>Biaya Akomodasi Kegiatan Distribusi</t>
  </si>
  <si>
    <t>PRK.2016.WKT-4.9.53222.279</t>
  </si>
  <si>
    <t>Administrasi Perbekalan</t>
  </si>
  <si>
    <t>PRK.2016.WKT-4.9.53222.307</t>
  </si>
  <si>
    <t xml:space="preserve"> SKKO ADM 2016</t>
  </si>
  <si>
    <t>001.ADM/AO/BRU/2016/M</t>
  </si>
  <si>
    <t>Pemakaian perkakas dan peralatan</t>
  </si>
  <si>
    <t>Asuransi</t>
  </si>
  <si>
    <t>Perjalanan dinas non diklat</t>
  </si>
  <si>
    <t>Teknologi Informasi</t>
  </si>
  <si>
    <t>Listrik, gas dan air</t>
  </si>
  <si>
    <t>Pos dan Telekomunikasi</t>
  </si>
  <si>
    <t>Bahan Makanan dan Konsumsi</t>
  </si>
  <si>
    <t>Sewa Gedung / Tanah</t>
  </si>
  <si>
    <t>Alat dan Keperluan Kantor</t>
  </si>
  <si>
    <t>Barang Cetakan dan Penerbitan</t>
  </si>
  <si>
    <t>Pajak / Retribusi</t>
  </si>
  <si>
    <t>Iuran, abunemen dan Iklan</t>
  </si>
  <si>
    <t>Beban Keamanan</t>
  </si>
  <si>
    <t>Beban Penyisihan Material</t>
  </si>
  <si>
    <t>001.TUL/AO/BRU/2016/M</t>
  </si>
  <si>
    <t>PRK.2015.WKT-4.12.53222.333</t>
  </si>
  <si>
    <t>PRK.2015.WKT-4.12.53222.334</t>
  </si>
  <si>
    <t>PRK.2015.WKT-4.12.53222.335</t>
  </si>
  <si>
    <t>PRK.2015.WKT-4.12.53222.336</t>
  </si>
  <si>
    <t>PRK.2015.WKT-4.12.53222.337</t>
  </si>
  <si>
    <t>PRK.2015.WKT-4.12.53222.338</t>
  </si>
  <si>
    <t>PRK.2015.WKT-4.12.53222.339</t>
  </si>
  <si>
    <t>Biaya Pemadanan Data TNP2K</t>
  </si>
  <si>
    <t>Biaya Board Papan Nama</t>
  </si>
  <si>
    <t>Biaya Pembenahan Arsip Induk Langganan (AIL)</t>
  </si>
  <si>
    <t>Biaya Peralatan dan Material Billman</t>
  </si>
  <si>
    <t>Biaya Pengadaan Sarana TUL</t>
  </si>
  <si>
    <t>Biaya Sarana Peralatan LIT-TR</t>
  </si>
  <si>
    <t>Biaya Pendampingan dan Entry Data Titik Koordinat</t>
  </si>
  <si>
    <t>SPP.146/AO/BRU/2016</t>
  </si>
  <si>
    <t>SPP.131/AO/BRU/2016</t>
  </si>
  <si>
    <t>SPP.006/AO/BRU/2016</t>
  </si>
  <si>
    <t>298.SPP/DAN.02.07/ABRU/2015</t>
  </si>
  <si>
    <t>244.SPP/DAN.02.07/ABRU/2015 27 Nov 2015 s/d 25 Jan 2016</t>
  </si>
  <si>
    <t>PT. NAWAKARSA SEJAHTERA</t>
  </si>
  <si>
    <t>245.SPP/DAN.02.07/ABRU/2015 27 Nov 2015 s/d 25 Jan 2016</t>
  </si>
  <si>
    <t>KOKARLIBRA</t>
  </si>
  <si>
    <t>Pengadaan Komputer dan Printer untuk Unit-Unit PT PLN (Persero) Area Berau</t>
  </si>
  <si>
    <t>Pengadaan Meja Kursi Kerja dan TV LED 32 Inch untuk Unit-Unit PT PLN (Persero) Area Berau</t>
  </si>
  <si>
    <t>Rehab Kantor Pelayanan Sebatik PT PLN (Persero) Area Berau</t>
  </si>
  <si>
    <t>030/TU/ABRU/2016</t>
  </si>
  <si>
    <t>00051/DAN.01.06/MANBRU/2016</t>
  </si>
  <si>
    <t>Pemborongan Pekerjaan Outsourching Rayon Tanjung Selor Dan Misipnya Serta Rayon Nunukan Dan Misipinya Bulan Januari 2016 PT. PLN (Persero) Area Berau</t>
  </si>
  <si>
    <t>020.1.PJ/613/ABRU/2012</t>
  </si>
  <si>
    <t>PT. HALEYORA POWERINDO</t>
  </si>
  <si>
    <t>PENGIRIMAN BBM SOLAR KE PLTD TUBAAN BULAN SEPTEMBER 2015 PT. PLN (PERSERO) AREA BERAU</t>
  </si>
  <si>
    <t>PENGIRIMAN BBM SOLAR KE PLTD TUBAAN BULAN JULI 2015 PT. PLN (PERSERO) AREA BERAU</t>
  </si>
  <si>
    <t>PENGIRIMAN BBM SOLAR KE PLTD TUBAAN BULAN JULI TAHAP I 2015 PT. PLN (PERSERO) AREA BERAU</t>
  </si>
  <si>
    <t>JASA BORONG ONGKOS ANGKUT BBM WILAYAH II PLTD MARA PERIODE BULAN SEPTEMBER 2015 PT. PLN (PERSERO) AREA BERAU</t>
  </si>
  <si>
    <t>JASA BORONG ONGKOS ANGKUT BBM WILAYAH II PLTD SEKATAK BUJI PERIODE BULAN SEPTEMBER 2015 PT. PLN (PERSERO) AREA BERAU</t>
  </si>
  <si>
    <t>JASA BORONG ONGKOS ANGKUT BBM WILAYAH II PLTD ATAP PERIODE BULAN SEPTEMBER 2015 PT. PLN (PERSERO) AREA BERAU</t>
  </si>
  <si>
    <t>PT. AMI JASA UTAMA</t>
  </si>
  <si>
    <t>PT. WIRA ARIANDI UTAMA</t>
  </si>
  <si>
    <t>066.ND/KIT/ABRU/2015</t>
  </si>
  <si>
    <t>067.ND/KIT/ABRU/2015</t>
  </si>
  <si>
    <t>068.ND/KIT/ABRU/2015</t>
  </si>
  <si>
    <t>069.ND/KIT/ABRU/2015</t>
  </si>
  <si>
    <t>204.SPK/DAN.02.01/ABRU/2015</t>
  </si>
  <si>
    <t>200.SPK/DAN.02.01/ABRU/2015</t>
  </si>
  <si>
    <t>205.SPK/DAN.02.01/ABRU/2015</t>
  </si>
  <si>
    <t>JASA BORONG ONGKOS ANGKUT BBM WILAYAH II PLTD TIDENG PALE PERIODE BULAN SEPTEMBER 2015 PT. PLN (PERSERO) AREA BERAU</t>
  </si>
  <si>
    <t>JASA BORONG ONGKOS ANGKUT BBM WILAYAH II PLTD SEBATIK PERIODE BULAN SEPTEMBER 2015 PT. PLN (PERSERO) AREA BERAU</t>
  </si>
  <si>
    <t>JASA BORONG ONGKOS ANGKUT BBM WILAYAH II PLTDLONG BELUAH PERIODE BULAN SEPTEMBER 2015 PT. PLN (PERSERO) AREA BERAU</t>
  </si>
  <si>
    <t>207.SPK/DAN.02.01/ABRU/2015</t>
  </si>
  <si>
    <t>199.SPK/DAN.02.01/ABRU/2015</t>
  </si>
  <si>
    <t>202.SPK/DAN.02.01/ABRU/2015</t>
  </si>
  <si>
    <t>JASA BORONG ONGKOS ANGKUT BBM WILAYAH II PLTD TANAH MERAH PERIODE BULANDESEMBER 2015 PT. PLN (PERSERO) AREA BERAU</t>
  </si>
  <si>
    <t>JASA BORONG ONGKOS ANGKUT BBM WILAYAH II PLTD ATAP PERIODE BULAN NOPEMBER 2015 PT. PLN (PERSERO) AREA BERAU</t>
  </si>
  <si>
    <t>JASA BORONG ONGKOS ANGKUT BBM WILAYAH II PLTD SEKATAK BUJI PERIODE BULAN NOPEMBER 2015 PT. PLN (PERSERO) AREA BERAU</t>
  </si>
  <si>
    <t>300.SPK/DAN.02.01/ABRU/2015</t>
  </si>
  <si>
    <t>266.SPK/DAN.02.01/ABRU/2015</t>
  </si>
  <si>
    <t>265.SPK/DAN.02.01/ABRU/2015</t>
  </si>
  <si>
    <t>262.SPK/DAN.02.01/ABRU/2015</t>
  </si>
  <si>
    <t>Pengadaan Filter untuk Mesin-Mesin di PLTD Tersebar PT. PLN (Persero) Area Berau</t>
  </si>
  <si>
    <t>035/KIT/ABRU/2016</t>
  </si>
  <si>
    <t>036/KIT/ABRU/2016</t>
  </si>
  <si>
    <t>SPP 017 AO 2016</t>
  </si>
  <si>
    <t>Pengadaan Intercooler Mesin Cummins QSX15 Sn 79398372 PLTD Talisayan</t>
  </si>
  <si>
    <t>SPP 015 AO 2016</t>
  </si>
  <si>
    <t>005.KIT/AO/BRU/2016/M</t>
  </si>
  <si>
    <t>PRK.2016.WKT-4.3.53213.58</t>
  </si>
  <si>
    <t>Pengadaan Material Tambah Hardik SO Mirrless ESL8MK2 SN. 7127-02 di PLTD Sei Buaya</t>
  </si>
  <si>
    <t>037/KIT/ABRU/2016</t>
  </si>
  <si>
    <t>Pengadaan Material Tambah Hardik SO Mirrless ESL8MK2 SN. 7127-02 di PLTD Sei Buaya PT. PLN (Persero) Area Berau</t>
  </si>
  <si>
    <t>032/TUL/ABRU/2016</t>
  </si>
  <si>
    <t>Cetak Amplop Arsip Induk Langganan (AIL) untuk PT PLN (Persero) Area Berau dan unit-unitnya</t>
  </si>
  <si>
    <t>JASA BORONG ONGKOS ANGKUT BBM WILAYAH II PLTD LONG BELUAH PERIODE BULAN NOVEMBER 2015 PT. PLN (PERSERO) AREA BERAU</t>
  </si>
  <si>
    <t>JASA BORONG ONGKOS ANGKUT BBM WILAYAH II PLTD SEKATAK BUJI PERIODE BULAN DESEMBER 2015 PT. PLN (PERSERO) AREA BERAU</t>
  </si>
  <si>
    <t>JASA BORONG ONGKOS ANGKUT BBM WILAYAH II PLTD BIDUK-BIDUKI PERIODE BULAN NOVEMBER 2015 PT. PLN (PERSERO) AREA BERAU</t>
  </si>
  <si>
    <t xml:space="preserve">PT. WIRA ARIANDI UTAMA   </t>
  </si>
  <si>
    <t xml:space="preserve">PT. AMI JASA UTAMA </t>
  </si>
  <si>
    <t>264.SPK/DAN.02.01/ABRU/2015</t>
  </si>
  <si>
    <t>299.SPK/DAN.02.01/ABRU/2015</t>
  </si>
  <si>
    <t>258.SPK/DAN.02.01/ABRU/2015</t>
  </si>
  <si>
    <t>SPP 018 AO 2016</t>
  </si>
  <si>
    <t>PEMBORONGAN PEKERJAAN OUTSOURCING KANTOR AREA BERAU DAN RAYON MALINAU BULAN JANUARI 2016 PT. PLN (PERSERO) AREA BERAU</t>
  </si>
  <si>
    <t>020.2.PJ/613/ABRU/2012</t>
  </si>
  <si>
    <t>JASA BORONG ONGKOS ANGKUT BBM WILAYAH II PLTD ATAP PERIODE BULAN DESEMBER 2015 PT. PLN (PERSERO) AREA BERAU</t>
  </si>
  <si>
    <t>301.SPK/DAN.02.01/ABRU/2015</t>
  </si>
  <si>
    <t>303.SPK/DAN.02.01/ABRU/2015</t>
  </si>
  <si>
    <t>SPP 019 AO 2016</t>
  </si>
  <si>
    <t>PENGIRIMAN BBM SOLAR KE PLTD TUBAAN BULAN DESEMBER PT PLN (PERSERO) AREA BERAU</t>
  </si>
  <si>
    <t>007.ND/KIT/ABRU/2015</t>
  </si>
  <si>
    <t xml:space="preserve">PT. ISS INDONESIA </t>
  </si>
  <si>
    <t>566.SPK/610/P2BJ-A/ABRU/2012</t>
  </si>
  <si>
    <t>567.SPK/610/P2BJ-A/ABRU/2012</t>
  </si>
  <si>
    <t>038/TU/ABRU/2016</t>
  </si>
  <si>
    <t>Sewa Kendaraan PT PLN (Persero) Area Berau</t>
  </si>
  <si>
    <t>039/TU/ABRU/2016</t>
  </si>
  <si>
    <t>Sewa Kendaraan PT PLN (Persero) Area Berau Rayon Tanjung Redeb</t>
  </si>
  <si>
    <t>040/TU/ABRU/2016</t>
  </si>
  <si>
    <t>Sewa Kendaraan PT PLN (Persero) Area Berau Rayon Tanjung Selor</t>
  </si>
  <si>
    <t>041/TU/ABRU/2016</t>
  </si>
  <si>
    <t>042/TU/ABRU/2016</t>
  </si>
  <si>
    <t>Sewa Kendaraan PT PLN (Persero) Area Berau Rayon Nunukan</t>
  </si>
  <si>
    <t>Sewa Kendaraan PT PLN (Persero) Area Berau Rayon Malinau</t>
  </si>
  <si>
    <t>043/TE/ABRU/2016</t>
  </si>
  <si>
    <t>Pengadaan Trafo Arus (CT) TR</t>
  </si>
  <si>
    <t>006.KIT/AO/BRU/2016/M</t>
  </si>
  <si>
    <t xml:space="preserve">PT. PLN (PERSERO) AREA BERAU </t>
  </si>
  <si>
    <t>SKKO TERBIT</t>
  </si>
  <si>
    <t>TERKONTRAK</t>
  </si>
  <si>
    <t>% TERKONTRAK</t>
  </si>
  <si>
    <t>SISA SKKO</t>
  </si>
  <si>
    <t>TERBAYAR</t>
  </si>
  <si>
    <t>% TERBAYAR</t>
  </si>
  <si>
    <t>1</t>
  </si>
  <si>
    <t>2</t>
  </si>
  <si>
    <t>3</t>
  </si>
  <si>
    <t>4</t>
  </si>
  <si>
    <t>Tesianawati</t>
  </si>
  <si>
    <t>Mengetahui</t>
  </si>
  <si>
    <t>Manajer</t>
  </si>
  <si>
    <t>Ari Prasetyo Nugroho</t>
  </si>
  <si>
    <t>Pemborongan Pekerjaan Outsourching Rayon Tanjung Selor Dan Misipnya Serta Rayon Nunukan Dan Misipinya Bulan November 2015 PT. PLN (Persero) Area Berau</t>
  </si>
  <si>
    <t>PEMBORONGAN PEKERJAAN OUTSOURCING KANTOR AREA BERAU DAN RAYON MALINAU BULAN November 2015 PT. PLN (PERSERO) AREA BERAU</t>
  </si>
  <si>
    <t>Pemborongan Pekerjaan Outsourching Rayon Tanjung Selor Dan Misipnya Serta Rayon Nunukan Dan Misipinya Bulan Desember 2015 PT. PLN (Persero) Area Berau</t>
  </si>
  <si>
    <t>PEMBORONGAN PEKERJAAN OUTSOURCING KANTOR AREA BERAU DAN RAYON MALINAU BULAN Desember 2015 PT. PLN (PERSERO) AREA BERAU</t>
  </si>
  <si>
    <t>Pemborongan Pekerjaan Outsourching Rayon Tanjung Selor Dan Misipnya Serta Rayon Nunukan Dan Misipinya Bulan November 2016 PT. PLN (Persero) Area Berau</t>
  </si>
  <si>
    <t>PEMBORONGAN PEKERJAAN OUTSOURCING KANTOR AREA BERAU DAN RAYON MALINAU BULAN November 2016 PT. PLN (PERSERO) AREA BERAU</t>
  </si>
  <si>
    <t>Pemborongan Pekerjaan Outsourching Rayon Tanjung Selor Dan Misipnya Serta Rayon Nunukan Dan Misipinya Bulan Desember 2016 PT. PLN (Persero) Area Berau</t>
  </si>
  <si>
    <t>PEMBORONGAN PEKERJAAN OUTSOURCING KANTOR AREA BERAU DAN RAYON MALINAU BULAN DESEMBER 2016 PT. PLN (PERSERO) AREA BERAU</t>
  </si>
  <si>
    <t>PEMBORONGAN PEKERJAAN OUTSOURCING KANTOR AREA BERAU DAN RAYON MALINAU BULAN DESEMBER 2015 PT. PLN (PERSERO) AREA BERAU</t>
  </si>
  <si>
    <t>PEMBORONGAN PEKERJAAN OUTSOURCING KANTOR AREA BERAU DAN RAYON MALINAU BULAN Januari 2016 PT. PLN (PERSERO) AREA BERAU</t>
  </si>
  <si>
    <t>PEMBORONGAN PEKERJAAN JASA KEBERSIHAN (CLEANING SERVICE) FASILITAS KANTOR BULAN DESEMBER 2015 - MEI 2016 PT. PLN (PERSERO) AREA BERAU</t>
  </si>
  <si>
    <t>PEMBORONGAN PEKERJAAN JASA KEBERSIHAN (CLEANING SERVICE) FASILITAS KANTOR AREA BERAU OVERTIME BULAN DESEMBER - MEI 2016PT. PLN (PERSERO) AREA BERAU</t>
  </si>
  <si>
    <t>568.SPK/610/P2BJ-A/ABRU/2012</t>
  </si>
  <si>
    <t>Pemborongan Pekerjaan Jasa Kebersihan (Cleaning Service) &amp; Gerdener, Lokasi : Halaman, Kantor PLTD , Kantor Gudang,&amp; Pos satpam .PLTD Sambaliung Bulan Desember 2015 - MEI 2016PT. PLN (Persero) Area Berau</t>
  </si>
  <si>
    <t>Tagihan Desember</t>
  </si>
  <si>
    <t>Overtime Desember</t>
  </si>
  <si>
    <t>046/JAR/ABRU/2016</t>
  </si>
  <si>
    <t>Pengadaan Pemborongan Pekerjaan Jasa Pelayanan Teknik dan Pemeliharaan Distribusi di Wilayah Kerja PT PLN (Persero) Area Berau</t>
  </si>
  <si>
    <t>045/JAR/ABRU/2016</t>
  </si>
  <si>
    <t>Pengadaan Live Line Connector (LLC) PDKB Area Berau</t>
  </si>
  <si>
    <t>044/JAR/ABRU/2016</t>
  </si>
  <si>
    <t>Perbaikan Pertanahan Trafo di Rayon Malinau</t>
  </si>
  <si>
    <t>00063/DAN.01.01/MANBRU/2016</t>
  </si>
  <si>
    <t>00057/DAN.01.06/MANBRU/2016</t>
  </si>
  <si>
    <t>00056/DAN.01.03/MANBRU/2016</t>
  </si>
  <si>
    <t>00068/DAN.01.06/MANBRU/2016</t>
  </si>
  <si>
    <t>00067/DAN.01.06/MANBRU/2016</t>
  </si>
  <si>
    <t>00066/DAN.01.06/MANBRU/2016</t>
  </si>
  <si>
    <t>00065/DAN.01.06/MANBRU/2016</t>
  </si>
  <si>
    <t>00064/DAN.01.06/MANBRU/2016</t>
  </si>
  <si>
    <t>PEMBORONGAN PEKERJAAN JASA PELAYANAN TEKNIK MISIP TANJUNG REDEB DAN TANJUNG SELOR BULAN DESEMBER 2015 PT. PLN (Persero) AREA BERAU</t>
  </si>
  <si>
    <t>PEMBORONGAN PEKERJAAN JASA PELAYANAN TEKNIK MISIP MALINAU DAN NUNUKAN BULAN DESEMBER 2015 PT. PLN (Persero) AREA BERAU</t>
  </si>
  <si>
    <t>005.PJ/610/ABRU/2013</t>
  </si>
  <si>
    <t>006.PJ/610/ABRU/2013</t>
  </si>
  <si>
    <t xml:space="preserve">PT. HALEYORA POWERINDO </t>
  </si>
  <si>
    <t>0303/KEU.01.02/WKTKU/2016-R</t>
  </si>
  <si>
    <t>0317/KEU.01.02/WKTKU/2016-R</t>
  </si>
  <si>
    <t>0262/KEU.01.02/WKTKU/2016-R</t>
  </si>
  <si>
    <t>0299/KEU.01.02/WKTKU/2016-R</t>
  </si>
  <si>
    <t>0257/KEU.01.02/WKTKU/2016-R</t>
  </si>
  <si>
    <t>0250/KEU.01.02/WKTKU/2016-R</t>
  </si>
  <si>
    <t>0256/KEU.01.02/WKTKU/2016-R</t>
  </si>
  <si>
    <t>0196/KEU.01.02/WKTKU/2016-R</t>
  </si>
  <si>
    <t>0155/KEU.01.01/WKTKU/2016-R</t>
  </si>
  <si>
    <t>0109/KEU.01.02/WKTKU/2016-R</t>
  </si>
  <si>
    <t>0139/KEU.01.02/WKTKU/2016-R</t>
  </si>
  <si>
    <t>0048/KEU.01.01/WKTKU/2016-R</t>
  </si>
  <si>
    <t>0190/KEU.01.01/WKTKU/2016-R</t>
  </si>
  <si>
    <t>0021/KEU.01.02/WKTKU/2016-R</t>
  </si>
  <si>
    <t>revisi komposisi tagihan OS</t>
  </si>
  <si>
    <t>revisi komposisi prk alih daya</t>
  </si>
  <si>
    <t>051/KIT/ABRU/2016</t>
  </si>
  <si>
    <t>052/KIT/ABRU/2016</t>
  </si>
  <si>
    <t>053/KIT/ABRU/2016</t>
  </si>
  <si>
    <t>054/KIT/ABRU/2016</t>
  </si>
  <si>
    <t>055/KIT/ABRU/2016</t>
  </si>
  <si>
    <t>Pemantauan Lingkungan Ambien, Emisi, dan Air Limbah Semester I Tahun 2016 Lokasi Rayon Tanjung Redeb</t>
  </si>
  <si>
    <t>Pemantauan Lingkungan Ambien, Emisi, dan Air Limbah Semester I Tahun 2016 Lokasi Rayon Tanjung Selor</t>
  </si>
  <si>
    <t>Pemantauan Lingkungan Ambien, Emisi, dan Air Limbah Semester I Tahun 2016 Lokasi Rayon Nunukan</t>
  </si>
  <si>
    <t>Pemantauan Lingkungan Ambien, Emisi, dan Air Limbah Semester I Tahun 2016 Lokasi PLTD Tidung Pale</t>
  </si>
  <si>
    <t>Pemantauan Kecepatan Angin Lokasi Unit-Unit PLTD PT PLN (Persero) Area Berau</t>
  </si>
  <si>
    <t>00082/DAN.01.01/MANBRU/2016</t>
  </si>
  <si>
    <t>00081/DAN.01.01/MANBRU/2016</t>
  </si>
  <si>
    <t>00083/DAN.01.03/MANBRU/2016</t>
  </si>
  <si>
    <t>00084/DAN.01.03/MANBRU/2016</t>
  </si>
  <si>
    <t>058/KIT/ABRU/2016</t>
  </si>
  <si>
    <t>Pekerjaan Tera Tanki Timbun di PLTD Perbatasan PT PLN (Persero) Area Berau</t>
  </si>
  <si>
    <t>056/KIT/ABRU/2016</t>
  </si>
  <si>
    <t>00079/DAN.02.07/MANBRU/2016</t>
  </si>
  <si>
    <t>00078/DAN.02.07/MANBRU/2016</t>
  </si>
  <si>
    <t>00077/DAN.02.07/MANBRU/2016</t>
  </si>
  <si>
    <t>00076/DAN.02.07/MANBRU/2016</t>
  </si>
  <si>
    <t>00080/DAN.02.07/MANBRU/2016</t>
  </si>
  <si>
    <t>Januari</t>
  </si>
  <si>
    <t>Februari</t>
  </si>
  <si>
    <t>overtime januari</t>
  </si>
  <si>
    <t>overtime februari</t>
  </si>
  <si>
    <t>SPP 020 AO 2016</t>
  </si>
  <si>
    <t>295.SPP/DAN.02.01/ABRU/2015 15 Des 2015 s/d 13 Jan 2015</t>
  </si>
  <si>
    <t>CV. NUGRAHA NITIYASA</t>
  </si>
  <si>
    <t>SPP 021 AO 2016</t>
  </si>
  <si>
    <t>Pemborongan Pekerjaan Outsourching Rayon Tanjung Selor Dan Misipnya Serta Rayon Nunukan Dan Misipinya Bulan Februari 2016 PT. PLN (Persero) Area Berau</t>
  </si>
  <si>
    <t>PEMBORONGAN PEKERJAAN OUTSOURCING KANTOR AREA BERAU DAN RAYON MALINAU BULAN Februari 2016 PT. PLN (PERSERO) AREA BERAU</t>
  </si>
  <si>
    <t>Pemborongan Pekerjaan Outsourching Rayon Tanjung Selor Dan Misipnya Serta Rayon Nunukan Dan Misipinya Bulan Februari, 2016 PT. PLN (Persero) Area Berau</t>
  </si>
  <si>
    <t>SPP 022 AO 2016</t>
  </si>
  <si>
    <t>SPP 023 AO 2016</t>
  </si>
  <si>
    <t>SPP 007 AI 2016</t>
  </si>
  <si>
    <t>SPP 008 AI 2016</t>
  </si>
  <si>
    <t>002.SPP/DAN.02.03/ABRU/2016 04 - 18 Maret 2016</t>
  </si>
  <si>
    <t>003.SPP/DAN.02.03/ABRU/2016 04 - 18 Maret 2016</t>
  </si>
  <si>
    <t>CV. WAHYU AGUNG</t>
  </si>
  <si>
    <t>PT ABAKUS INFORMINDO SYSTEMS</t>
  </si>
  <si>
    <t>005.SPP/DAN.02.03/ABRU/2016 05 April - 04 Mei 2016</t>
  </si>
  <si>
    <t>006.SPP/DAN.02.07/ABRU/2016 05 - 19 April 2016</t>
  </si>
  <si>
    <t>007.SPP/DAN.02.03/ABRU/2016 05 April - 04 Mei 2016</t>
  </si>
  <si>
    <t>PT SERAMBI GAYO SENTOSA</t>
  </si>
  <si>
    <t>CV MUTIARA</t>
  </si>
  <si>
    <t>059/JAR/ABRU/2016</t>
  </si>
  <si>
    <t xml:space="preserve">Jasa Borong Penggantian Tiang Besi 11M menjadi 13M di Penyulang CB 31 Tanjung Redeb </t>
  </si>
  <si>
    <t>057/JAR/ABRU/2016</t>
  </si>
  <si>
    <t>Jasa Pengiriman Untuk Pengujian Peralatan PDKB Area Berau Ke Laboratorium Udiklat Semarang</t>
  </si>
  <si>
    <t>060/KIT/ABRU/2016</t>
  </si>
  <si>
    <t>Pemborongan Pekerjaan Pengelolaan Pusat Listrik dan ULD di PT PLN (Persero) Area Berau</t>
  </si>
  <si>
    <t>061/TE/ABRU/2016</t>
  </si>
  <si>
    <t xml:space="preserve">Pengadaan Jasa Pengiriman Material kWh Meter dan Kabel SR PT PLN (Persero) Area Berau Rayon Nunukan </t>
  </si>
  <si>
    <t>062/TUL/ABRU/2016</t>
  </si>
  <si>
    <t>Pengadaan Sarana Tata Usaha Langganan (TUL) PT PLN (Persero) Area Berau</t>
  </si>
  <si>
    <t>063/TUL/ABRU/2016</t>
  </si>
  <si>
    <t>Pengadaan Sarana Peralatan Lembaga Inspeksi Teknik - Tegangan Rendah PT PLN (Persero) Area Berau</t>
  </si>
  <si>
    <t>064/TUL/ABRU/2016</t>
  </si>
  <si>
    <t>Pengadaan Sarana Pembenahan Arsip Induk Langganan PT PLN (Persero) Area Berau</t>
  </si>
  <si>
    <t>065/TUL/ABRU/2016</t>
  </si>
  <si>
    <t>Pengadaan Jasa Pembenahan Arsip Induk Langganan PT PLN (Persero) Area Berau</t>
  </si>
  <si>
    <t>066/JAR/ABRU/2016</t>
  </si>
  <si>
    <t>Pengadaan Sistem Pelindung Jaringan Online (SIPENJOL) PLN Area Berau</t>
  </si>
  <si>
    <t>067/TE/ABRU/2016</t>
  </si>
  <si>
    <t>Pengadaan Box APP TR</t>
  </si>
  <si>
    <t>Pekerjaan Jasa Relokasi dan Pengangkutan Mesin, Block dan Tangki Timbun di PLTD Tersebar PT. PLN (Persero) Area Berau</t>
  </si>
  <si>
    <t>Pengadaan Material Mesin untuk Pemeliharaan Rutin di PLTD Tersebar PT. PLN (Persero) Area Berau</t>
  </si>
  <si>
    <t>Pengadaan Material Rutin untuk Perbaikan Daya Mampu Mesin-Mesin di PLTD Tersebar PT. PLN (Persero) Area Berau</t>
  </si>
  <si>
    <t>00093/DAN.01.03/MANBRU/2016</t>
  </si>
  <si>
    <t>00094/DAN.01.03/MANBRU/2016</t>
  </si>
  <si>
    <t>00091/DAN.01.03/MANBRU/2016</t>
  </si>
  <si>
    <t>007.KIT/AO/BRU/2016/M</t>
  </si>
  <si>
    <t>0406/KEU.01.02/WKTKU/2016-R</t>
  </si>
  <si>
    <t>PRK.2016.WKT-4.3.53213.63</t>
  </si>
  <si>
    <t>PRK.2016.WKT-4.3.53213.65</t>
  </si>
  <si>
    <t>PRK.2016.WKT-4.3.53213.64</t>
  </si>
  <si>
    <t>Material Gangguan untuk Mengatasi Gangguan Mesin di PLTD Tersebar</t>
  </si>
  <si>
    <t>Pengadaan Trafo Step Up di PLTD Tersebar</t>
  </si>
  <si>
    <t>Pengadaan Separator BBM di lokasi PLTD Perbatasan</t>
  </si>
  <si>
    <t>PEMBORONGAN PEKERJAAN JASA PELAYANAN TEKNIK MISIP TANJUNG REDEB DAN TANJUNG SELOR BULAN JANUARI 2016 PT. PLN (Persero) AREA BERAU</t>
  </si>
  <si>
    <t>PEMBORONGAN PEKERJAAN JASA PELAYANAN TEKNIK MISIP MALINAU DAN NUNUKAN BULAN JANUARI 2016 PT. PLN (Persero) AREA BERAU</t>
  </si>
  <si>
    <t>SPP 025 AO 2016</t>
  </si>
  <si>
    <t>PEMBORONGAN PEKERJAAN JASA PELAYANAN TEKNIK MISIP TANJUNG REDEB DAN TANJUNG SELOR BULAN FEBRUARI 2016 PT. PLN (Persero) AREA BERAU</t>
  </si>
  <si>
    <t>PEMBORONGAN PEKERJAAN JASA PELAYANAN TEKNIK MISIP MALINAU DAN NUNUKAN BULAN FEBRUARI 2016 PT. PLN (Persero) AREA BERAU</t>
  </si>
  <si>
    <t>073/TU/ABRU/2016</t>
  </si>
  <si>
    <t>Pengisian Ulang Tabung Alat Pemadam Api Ringan (APAR) PT PLN (Persero) Area Berau</t>
  </si>
  <si>
    <t>00106/DAN.01.01/MANBRU/2016</t>
  </si>
  <si>
    <t>074/KIT/ABRU/2016</t>
  </si>
  <si>
    <t>Pekerjaan Jasa untuk Mengatasi Gangguan di PLTD Tersebar PT PLN (Persero) Area Berau</t>
  </si>
  <si>
    <t>075/TE/ABRU/2016</t>
  </si>
  <si>
    <t>Pemasangan Box APP TR Rayon Malinau</t>
  </si>
  <si>
    <t>PRK.2016.WKT-4.9.53212.303</t>
  </si>
  <si>
    <t>044.SPP/DAN.02.03/ABRU/2015</t>
  </si>
  <si>
    <t>158.SPP/DAN.03.01/ABRU/2015</t>
  </si>
  <si>
    <t xml:space="preserve">Jasa Ongkos Angkut Pelumas Untuk Unit -Unit Tersebar Triwulan I Tahun 2015 PT. PLN (Persero) Area Berau </t>
  </si>
  <si>
    <t xml:space="preserve">Jasa Ongkos Angkut Pelumas Untuk Pemeliharaan Rutin Untuk Triwulan III PLTD Tersebar PT. PLN (Persero) Area Berau </t>
  </si>
  <si>
    <t>PT.ETAM WIRA UTAMA</t>
  </si>
  <si>
    <t>209.SPB/041/ABRU/2015</t>
  </si>
  <si>
    <t>003.SPB/041/ABRU/2015</t>
  </si>
  <si>
    <t>PT. ETAM WIRA UTAMA</t>
  </si>
  <si>
    <t xml:space="preserve">Pengadaan Pelumas Meditran S-40 PLTD Tersebat Triwulan III Tahap I Tahun 2015 PT. PLN (Persero) Area Berau </t>
  </si>
  <si>
    <t xml:space="preserve">Pengadaan Pelumas Meditran S-40 = 2.717 Liter PLTD Wilayah Selatan PT. PLN (Persero) Area Berau </t>
  </si>
  <si>
    <t>SPP 005 AO 2016</t>
  </si>
  <si>
    <t>157.SPK/DAN.02.03/ABRU/2015</t>
  </si>
  <si>
    <t xml:space="preserve">Pengangkutan BBM Solar (HSD) Dari Terminal Pertamina Tarakan Lokasi Tujuan PLTD Derawan Periode Agustus 2015 PT. PLN (Persero) Area Berau </t>
  </si>
  <si>
    <t>PT.AMI JASA UTAMA</t>
  </si>
  <si>
    <t>056.ND/KIT/ABRU/2015</t>
  </si>
  <si>
    <t>057.ND/KIT/ABRU/2015</t>
  </si>
  <si>
    <t xml:space="preserve">Pengiriman BBM Solar Ke PLTD Tubaan Bulan Agustus  PT. PLN (Persero) Area Berau </t>
  </si>
  <si>
    <t>227.SPK/DAN.02.01/ABRU/2015</t>
  </si>
  <si>
    <t>Jasa Borong Ongkos Angkut BBM Wilayah I PLTD Sambaliung Periode Bulan Oktober 2015 PLN (Persero) Area Berau</t>
  </si>
  <si>
    <t>193.SPK/DAN.02.01/ABRU/2015</t>
  </si>
  <si>
    <t>191.SPK/DAN.02.01/ABRU/2015</t>
  </si>
  <si>
    <t>Jasa Borong Ongkos Angkut BBM Wilayah I PLTD Tanjung Batu Periode Bulan September 2015 PLN (Persero) Area Berau</t>
  </si>
  <si>
    <t>Jasa Borong Ongkos Angkut BBM Wilayah I PLTD Merasa Periode Bulan September 2015 PLN (Persero) Area Berau</t>
  </si>
  <si>
    <t>Jasa Borong Ongkos Angkut BBM Wilayah I PLTD Batu Putih Periode Bulan September 2015 PLN (Persero) Area Berau</t>
  </si>
  <si>
    <t>228.SPK/DAN.02.01/ABRU/2015</t>
  </si>
  <si>
    <t>Jasa Borong Ongkos Angkut BBM Wilayah I PLTD Sei Buaya Periode Bulan Oktober 2015 PLN (Persero) Area Berau</t>
  </si>
  <si>
    <t>SPP 010 AO 2016</t>
  </si>
  <si>
    <t>192.SPK/DAN.02.01/ABRU/2015</t>
  </si>
  <si>
    <t>229.SPK/DAN.02.01/ABRU/2015</t>
  </si>
  <si>
    <t>058.ND/KIT/ABRU/2015</t>
  </si>
  <si>
    <t>059.ND/KIT/ABRU/2015</t>
  </si>
  <si>
    <t>Jasa Borong Ongkos Angkut BBM Wilayah I PLTD Gn Sari Periode Bulan September 2015 PLN (Persero) Area Berau</t>
  </si>
  <si>
    <t>Jasa Borong Ongkos Angkut BBM Wilayah I PLTD Tanjung Batu Periode Bulan Oktober 2015 PLN (Persero) Area Berau</t>
  </si>
  <si>
    <t>Pengiriman BBM Solar ke PLTD Tubaan bulan Oktober PT. PLN ( Persero) Area Berau</t>
  </si>
  <si>
    <t>Pengiriman BBM Solar ke PLTD Tubaan bulan November PT. PLN ( Persero) Area Berau</t>
  </si>
  <si>
    <t>232.SPK/DAN.02.01/ABRU/2015</t>
  </si>
  <si>
    <t>196.SPK/DAN.02.01/ABRU/2015</t>
  </si>
  <si>
    <t>195.SPK/DAN.02.01/ABRU/2015</t>
  </si>
  <si>
    <t>189.SPK/DAN.02.01/ABRU/2015</t>
  </si>
  <si>
    <t>190.SPK/DAN.02.01/ABRU/2015</t>
  </si>
  <si>
    <t>Jasa Borong Ongkos Angkut BBM Wilayah I PLTD Biduk - Biduk  Periode Bulan Oktober 2015 PLN (Persero) Area Berau</t>
  </si>
  <si>
    <t>Jasa Borong Ongkos Angkut BBM Wilayah I PLTD Biduk - Biduk  Periode Bulan September 2015 PLN (Persero) Area Berau</t>
  </si>
  <si>
    <t>Jasa Borong Ongkos Angkut BBM Wilayah I PLTD Talisayan  Periode Bulan September 2015 PLN (Persero) Area Berau</t>
  </si>
  <si>
    <t>Jasa Borong Ongkos Angkut BBM Wilayah I PLTD Sambaliung Periode Bulan September 2015 PLN (Persero) Area Berau</t>
  </si>
  <si>
    <t>SPP 012 AO 2016</t>
  </si>
  <si>
    <t>230.SPK/DAN.02.01/ABRU/2015</t>
  </si>
  <si>
    <t>012.ND/KIT/ABRU/2016</t>
  </si>
  <si>
    <t>Jasa Borong Angkut BBM Wilayah I PLTD Derawan Periode Oktober 2015 PT. PLN (Persero) Area Berau</t>
  </si>
  <si>
    <t>Pengiriman BBM Solar Ke PLTD Tubaan Bulan Desember 2015 PT. PLN (Persero) Area Berau</t>
  </si>
  <si>
    <t>SPP 013 AO 2016</t>
  </si>
  <si>
    <t>114.SPP/DAN.02.01/ABRU/2015</t>
  </si>
  <si>
    <t xml:space="preserve">Pengadaan Dan Pengangkutan Pelumas Salyx 420 PLTD Sei Bilal PT. PLN (Persero) Area Berau </t>
  </si>
  <si>
    <t>260.SPK/DAN.02.01/ABRU/2015</t>
  </si>
  <si>
    <t>268.SPK/DAN.02.01/ABRU/2015</t>
  </si>
  <si>
    <t xml:space="preserve">PT. WIRA ARIANDI UTAMA </t>
  </si>
  <si>
    <t>JASA BORONG ONGKOS ANGKUT BBM WILAYAH II PLTD SEI BILAL PERIODE BULAN NOVEMBER 2015 PT. PLN (PERSERO) AREA BERAU</t>
  </si>
  <si>
    <t>JASA BORONG ONGKOS ANGKUT BBM WILAYAH II PLTDTIDENG PALE PERIODE BULAN NOVEMBER 2015 PT. PLN (PERSERO) AREA BERAU</t>
  </si>
  <si>
    <t>310.SPB/DAN.02.01/ABRU/2015</t>
  </si>
  <si>
    <t xml:space="preserve">PT.ETAM WIRA UTAMA </t>
  </si>
  <si>
    <t xml:space="preserve">PENGADAAN PELUMAS SALYX 420 PLTD TERSEBAR TRIWULAN IV TAHUN 2015 PT. PLN (Persero) AREA BERAU </t>
  </si>
  <si>
    <t>298.SPK/DAN.02.01/ABRU/2015</t>
  </si>
  <si>
    <t>JASA BORONG ONGKOS ANGKUT BBM WILAYAH II PLTD SEBATIK PERIODE BULAN DESEMBER 2015 PT. PLN (PERSERO) AREA BERAU</t>
  </si>
  <si>
    <t>245.SPK/DAN.02.01/ABRU/2015</t>
  </si>
  <si>
    <t>254.SPK/DAN.02.01/ABRU/2015</t>
  </si>
  <si>
    <t>JASA BORONG ONGKOS ANGKUT BBM PLTD TALISAYAN PERIODE BULAN NOVEMBER 2015 PT.PLN (Persero) AREA BERAU</t>
  </si>
  <si>
    <t>JASA BORONG ONGKOS ANGKUT BBM WILAYAH I PLTDSEI BUAYA PERIODE BULAN NOVEMBER 2015 PT.PLN (Persero) AREA BERAU</t>
  </si>
  <si>
    <t>302.SPK/DAN.02.01/ABRU/2015</t>
  </si>
  <si>
    <t>255.SPK/DAN.02.01/ABRU/2015</t>
  </si>
  <si>
    <t xml:space="preserve">PT.AMI JASA UTAMA </t>
  </si>
  <si>
    <t>JASA BORONG ONGKOS ANGKUT BBM WILAYAH II PLTD MARA PERIODE BULAN DESEMBER 2015 PT. PLN (PERSERO) AREA BERAU</t>
  </si>
  <si>
    <t>JASA BORONG ONGKOS ANGKUT BBM WILAYAH I PLTD TANJUNG BATU PERIODE BULAN NOVEMBER 2015 PT.PLN (Persero) AREA BERAU</t>
  </si>
  <si>
    <t>206.SPK/DAN.02.01/ABRU/2015</t>
  </si>
  <si>
    <t>JASA BORONG ONGKOS ANGKUT BBM WILAYAH II PLTD KUALA LAPANG PERIODE BULAN SEPTEMBER 2015 PT. PLN (PERSERO) AREA BERAU</t>
  </si>
  <si>
    <t>309.SPB/DAN.02.01/ABRU/2015</t>
  </si>
  <si>
    <t>254.SPP/DAN.02.01/ABRU/2015</t>
  </si>
  <si>
    <t>PENGADAAN PELUMAS MEDITRAN SMX 15W-40 C14 PLTD SEI LIMAU SEBATIK TRIWULAN IV TAHUN 2015 PT.PLN (PERSERO)AREA BERAU</t>
  </si>
  <si>
    <t>PENGADAAN DAN PENGANGKUTAN PELUMAS SALYX 420 PLTD SEI BILAL PT.PLN (PERSERO) AREA BERAU</t>
  </si>
  <si>
    <t>SPP 026 AO 2016</t>
  </si>
  <si>
    <t>297.SPK/DAN.02.01/ABRU/2015</t>
  </si>
  <si>
    <t>203.SPK/DAN.02.01/ABRU/2015</t>
  </si>
  <si>
    <t>305.SPK/DAN.02.01/ABRU/2015</t>
  </si>
  <si>
    <t>253.SPK/DAN.02.01/ABRU/2015</t>
  </si>
  <si>
    <t>JASA BORONG ONGKOS ANGKUT BBM WILAYAH II PLTD SEI BILAL PERIODE BULAN DESEMBER 2015 PT. PLN (Persero) AREA BERAU</t>
  </si>
  <si>
    <t>JASA BORONG ONGKOS ANGKUT BBM WILAYAH II PLTD LONG PESO PERIODE BULAN SEPTEMBER 2015 PT. PLN (Persero) AREA BERAU</t>
  </si>
  <si>
    <t>JASA BORONG ONGKOS ANGKUT BBM WILAYAH II PLTD TIDUNG PALE PERIODE BULAN DESEMBER 2015 PT. PLN (Persero) AREA BERAU</t>
  </si>
  <si>
    <t xml:space="preserve">JASA BORONG ONGKOS ANGKUT BBM WILAYAH I PLTD SAMBALIUNG PERIODE NOVEMBER 2015 PT.PLN (Persero) AREA BERAU </t>
  </si>
  <si>
    <t>SPP 027 AO 2016</t>
  </si>
  <si>
    <t>261.SPK/DAN.02.01/ABRU/2015</t>
  </si>
  <si>
    <t>JASA BORONG ONGKOS ANGKUT BBM WILAYAH II PLTD SEBATIK PERIODE BULAN NOVEMBER 2015 PT. PLN (Persero) AREA BERAU</t>
  </si>
  <si>
    <t>SPP 028 AO 2016</t>
  </si>
  <si>
    <t>076/TU/ABRU/2016</t>
  </si>
  <si>
    <t>Pengiriman Mobil Dinas Dari Nunukan, Sebatik, Bunyu, Tanah Merah, &amp; Atap ke PT PLN (Persero) Area Berau</t>
  </si>
  <si>
    <t>077/TUL/ABRU/2016</t>
  </si>
  <si>
    <t>Pengadaan Papan Nama Unit-Unit Perbatasan Sei Menggaris, Sebuku, Tulin Onsoi, Lumbis Ogong, &amp; Sei Limau</t>
  </si>
  <si>
    <t>SKKI TERBIT</t>
  </si>
  <si>
    <t>SISA SKKI</t>
  </si>
  <si>
    <t>SKKI DISTRIBUSI</t>
  </si>
  <si>
    <t>- LUNCURAN</t>
  </si>
  <si>
    <t>- MURNI</t>
  </si>
  <si>
    <t>TOTAL SKKI DISTRIBUSI</t>
  </si>
  <si>
    <t>SKKI PEMBANGKITAN</t>
  </si>
  <si>
    <t>TOTAL SKKI PEMBANGKITAN</t>
  </si>
  <si>
    <t>Asman Jaringan</t>
  </si>
  <si>
    <t>SKKO DISTRIBUSI</t>
  </si>
  <si>
    <t>SKKO PEMBANGKITAN</t>
  </si>
  <si>
    <t>SKKO TU</t>
  </si>
  <si>
    <t>SKKO TUL</t>
  </si>
  <si>
    <t>SKKO TERBIT AREA</t>
  </si>
  <si>
    <t>Saifudin</t>
  </si>
  <si>
    <t>Pengadaan Material Elektrik Mesin Pembangkit Untuk Unit - Unit PLTD PT PLN (Persero) Area Berau</t>
  </si>
  <si>
    <t>078/KIT/ABRU/2016</t>
  </si>
  <si>
    <t>079/KIT/ABRU/2016</t>
  </si>
  <si>
    <t>Pengadaan Material Gangguan Mesin Pembangkit Untuk Unit - Unit PLTD PT PLN (Persero) Area Berau</t>
  </si>
  <si>
    <t>080/KIT/ABRU/2016</t>
  </si>
  <si>
    <t>081/KIT/ABRU/2016</t>
  </si>
  <si>
    <t>Pembuatan Pondasi dan Relokasi Tangki Timbun Kapasitas 20 Ton dari PLTD Sebatik ke PLTD Sei Limau PT PLN (Persero) Area Berau</t>
  </si>
  <si>
    <t>Pengadaan Material untuk Mengatasi Gangguan Mesin Mercedes Benz OM407 SN. 021065 di PLTD Batu Putih PT PLN (Persero) Area Berau</t>
  </si>
  <si>
    <t>082/KIT/ABRU/2016</t>
  </si>
  <si>
    <t>083/KIT/ABRU/2016</t>
  </si>
  <si>
    <t>Pengadaan Trafo Step Up untuk Kehandalan Sistem di PLTD Tersebar PT PLN (Persero) Area Berau</t>
  </si>
  <si>
    <t>00112/DAN.01.01/MANBRU/2016</t>
  </si>
  <si>
    <t>00111/DAN.01.01/MANBRU/2016</t>
  </si>
  <si>
    <t>00113/DAN.01.03/MANBRU/2016</t>
  </si>
  <si>
    <t>00114/DAN.01.03/MANBRU/2016</t>
  </si>
  <si>
    <t>084/KIT/ABRU/2016</t>
  </si>
  <si>
    <t>Rewinding Generator Mesin Deutz MWM TBD 616 V16 SN. 2201944 PLTD Sei Buaya</t>
  </si>
  <si>
    <t>085/JAR/ABRU/2016</t>
  </si>
  <si>
    <t>Pengadaan Material Kerja Operasional PDKB Area Berau</t>
  </si>
  <si>
    <t>086/JAR/ABRU/2016</t>
  </si>
  <si>
    <t>Pengadaan Material Tie Wire Untuk Operasional PDKB Area Berau</t>
  </si>
  <si>
    <t>087/JAR/ABRU/2016</t>
  </si>
  <si>
    <t>Pengadaan Peralatan K2/K3 Dan Alat Pelindung Diri (APD) PDKB Area Berau</t>
  </si>
  <si>
    <t>088/JAR/ABRU/2016</t>
  </si>
  <si>
    <t>Jasa Borong Perluasan Jaringan Tegangan Menengah Jalan Limunjan Rayon Tanjung Redeb</t>
  </si>
  <si>
    <t>00115/DAN.01.01/MANBRU/2016</t>
  </si>
  <si>
    <t>00116/DAN.01.03/MANBRU/2016</t>
  </si>
  <si>
    <t>089/KIT/ABRU/2016</t>
  </si>
  <si>
    <t>Jasa Supervisi Penerimaan BBM HSD Bulan April Tahun 2016 PT PLN (Persero) Area Berau</t>
  </si>
  <si>
    <t>090/KIT/ABRU/2016</t>
  </si>
  <si>
    <t>091/KIT/ABRU/2016</t>
  </si>
  <si>
    <t>092/KIT/ABRU/2016</t>
  </si>
  <si>
    <t>093/KIT/ABRU/2016</t>
  </si>
  <si>
    <t>094/KIT/ABRU/2016</t>
  </si>
  <si>
    <t>095/KIT/ABRU/2016</t>
  </si>
  <si>
    <t>096/KIT/ABRU/2016</t>
  </si>
  <si>
    <t>Rewinding Generator Mesin Deutz BF4M 1013EC SN. 00747470 PLTD Tubaan dan Mesin Deutz MWM TBD 616 V16 SN. 001568 PLTD Biduk -Biduk PT PLN (Persero) Area Berau</t>
  </si>
  <si>
    <t>Pengadaan Material Gangguan Mesin Cummins di PLTD Tersebar PT PLN (Persero) Area Berau</t>
  </si>
  <si>
    <t>Pengadaan Material Gangguan Mesin di PLTD Tersebar PT PLN (Persero) Area Berau</t>
  </si>
  <si>
    <t>Pengadaan Material Gangguan Mesin MAN D2842 LE 201 SN. 49415672371486 di PLTD Sebatik PT PLN (Persero) Area Berau</t>
  </si>
  <si>
    <t>Pengadaan Material Gangguan Mesin MAN D2842 LE 201 dan MWM TBD 616 V12 di PLTD Tersebar PT PLN (Persero) Area Berau</t>
  </si>
  <si>
    <t>Pengadaan Material dan Jasa Mengatasi Gangguan Mesin MAN D2866 LE 201 SN. 39091781614101 di PLTD Mara PT PLN (Persero) Area Berau</t>
  </si>
  <si>
    <t>00119/DAN.01.01/MANBRU/2016</t>
  </si>
  <si>
    <t>00118/DAN.01.01/MANBRU/2016</t>
  </si>
  <si>
    <t>00120/DAN.01.01/MANBRU/2016</t>
  </si>
  <si>
    <t>00117/DAN.01.01/MANBRU/2016</t>
  </si>
  <si>
    <t>00122/DAN.01.03/MANBRU/2016</t>
  </si>
  <si>
    <t>00121/DAN.01.03/MANBRU/2016</t>
  </si>
  <si>
    <t>Kendaraan Operasional PDKB</t>
  </si>
  <si>
    <t>097/JAR/ABRU/2016</t>
  </si>
  <si>
    <t>003.DIST/AI-R/BRU/2016/M</t>
  </si>
  <si>
    <t>0431/KEU.01.01/WKTKU/2016-R</t>
  </si>
  <si>
    <t>PRK.2016.WKT-4.3.19</t>
  </si>
  <si>
    <t>Pengadaan Alat Uji CT Area Berau</t>
  </si>
  <si>
    <t>098/TE/ABRU/2016</t>
  </si>
  <si>
    <t>Pengadaan Alat Uji Meter dan CT</t>
  </si>
  <si>
    <t>004.DIST/AI-R/BRU/2016/M</t>
  </si>
  <si>
    <t>0428/KEU.01.01/WKTKU/2016-R</t>
  </si>
  <si>
    <t>PRK.2016.WKT-4.3.20</t>
  </si>
  <si>
    <t>MVTIC Feeder Express PLTU Teluk Jl. Tarap - GH Bujangga Tanjung Redeb (Jasa dan Aksesoris)</t>
  </si>
  <si>
    <t>00126/DAN.01.03/ABRU/2016</t>
  </si>
  <si>
    <t>006.DIST/AO/BRU/2016/M</t>
  </si>
  <si>
    <t>0407/KEU.01.02/WKTKU/2016-R</t>
  </si>
  <si>
    <t>PRK.2016.WKT-4.9.53211.280</t>
  </si>
  <si>
    <t>PRK.2016.WKT-4.9.53211.281</t>
  </si>
  <si>
    <t>PRK.2016.WKT-4.9.53211.282</t>
  </si>
  <si>
    <t>PRK.2016.WKT-4.9.53211.283</t>
  </si>
  <si>
    <t>PRK.2016.WKT-4.9.53211.284</t>
  </si>
  <si>
    <t>PRK.2016.WKT-4.9.53211.285</t>
  </si>
  <si>
    <t>PRK.2016.WKT-4.9.53211.286</t>
  </si>
  <si>
    <t>PRK.2016.WKT-4.9.53211.287</t>
  </si>
  <si>
    <t>PRK.2016.WKT-4.9.53211.288</t>
  </si>
  <si>
    <t>PRK.2016.WKT-4.9.53211.289</t>
  </si>
  <si>
    <t>PRK.2016.WKT-4.9.53211.290</t>
  </si>
  <si>
    <t>PRK.2016.WKT-4.9.53211.291</t>
  </si>
  <si>
    <t>PRK.2016.WKT-4.9.53211.292</t>
  </si>
  <si>
    <t>PRK.2016.WKT-4.9.53211.293</t>
  </si>
  <si>
    <t>PRK.2016.WKT-4.9.53211.294</t>
  </si>
  <si>
    <t>PRK.2016.WKT-4.9.53211.295</t>
  </si>
  <si>
    <t>PRK.2016.WKT-4.9.53211.296</t>
  </si>
  <si>
    <t>PRK.2016.WKT-4.9.53211.298</t>
  </si>
  <si>
    <t>PRK.2016.WKT-4.9.53211.299</t>
  </si>
  <si>
    <t>PRK.2016.WKT-4.9.53211.300</t>
  </si>
  <si>
    <t>Jasa Pengiriman Material SKKI Berau (Nunukan-Sebatik)</t>
  </si>
  <si>
    <t>Pengadaan Material Fuse Cut Out PT PLN (Persero) Area Berau</t>
  </si>
  <si>
    <t>Pengadaan Material Pemeliharaan Gardu Distribusi PT PLN (Persero) Area Berau</t>
  </si>
  <si>
    <t>Pengadaan kwh meter 3P untuk pemeliharaan pelanggan besar</t>
  </si>
  <si>
    <t>Pekerjaan penggantian kwh meter tua, buram, macet, &amp; migrasi lokasi tersebar rayon nunukan &amp; sebatik</t>
  </si>
  <si>
    <t>Pekerjaan penggantian kwh meter tua, buram, macet, &amp; migrasi lokasi tersebar rayon tj selor &amp; tj palas</t>
  </si>
  <si>
    <t>Pekerjaan penggantian kwh meter tua, buram, macet, &amp; migrasi lokasi tersebar rayon tj redeb &amp; gn tabur</t>
  </si>
  <si>
    <t>Pengadaan Material APP 3 Phase PT PLN (Persero) Area Berau</t>
  </si>
  <si>
    <t>Pengembangan SCADA Sistem Distribusi Berau</t>
  </si>
  <si>
    <t>Pengadaan Material Lightning Arrester PT PLN (Persero) Area Berau</t>
  </si>
  <si>
    <t>Pengadaan Material Peningkatan Kehandalan dan Perbaikan Susut PLN Rayon Tanjung Redeb</t>
  </si>
  <si>
    <t>Pengadaan Material Peningkatan Kehandalan dan Perbaikan Susut PLN Rayon Tanjung Selor</t>
  </si>
  <si>
    <t>Pengadaan Material Peningkatan Kehandalan dan Perbaikan Susut PLN Rayon Malinau</t>
  </si>
  <si>
    <t xml:space="preserve">Pengadaan Material Peningkatan Kehandalan dan Perbaikan Susut PLN Rayon Nunukan </t>
  </si>
  <si>
    <t>Pengadaan kwh meter 1 phase</t>
  </si>
  <si>
    <t>Pengadaan Kabel NYM untuk pemeliharaan</t>
  </si>
  <si>
    <t xml:space="preserve">Jasa Borong Pasang ASS Rayon Nunukan </t>
  </si>
  <si>
    <t>Jasa Borong Pasang ASS, LBS Manual, dan Recloser Rayon Tanjung Redeb</t>
  </si>
  <si>
    <t>Pengadaan Material PDKB untuk Pemeliharaan Gardu</t>
  </si>
  <si>
    <t>Pengadaan Material Jaringan Distribusi PT PLN (Persero) Area Berau</t>
  </si>
  <si>
    <t>00124/DAN.01.06/MANBRU/2016</t>
  </si>
  <si>
    <t>00125/DAN.01.06/MANBRU/2016</t>
  </si>
  <si>
    <t>00123/DAN.01.06/MANBRU/2016</t>
  </si>
  <si>
    <t>00127/DAN.01.03/MANBRU/2016</t>
  </si>
  <si>
    <t>099/TU/ABRU/2016</t>
  </si>
  <si>
    <t>Renovasi Rumah Dinas Manajer PT PLN (Persero) Area Berau</t>
  </si>
  <si>
    <t>00138/DAN.01.01/MANBRU/2016</t>
  </si>
  <si>
    <t>00137/DAN.01.01/MANBRU/2016</t>
  </si>
  <si>
    <t>00136 /DAN.01.01/MANBRU/2016</t>
  </si>
  <si>
    <t>00135 /DAN.01.01/MANBRU/2016</t>
  </si>
  <si>
    <t>00134 /DAN.01.01/MANBRU/2016</t>
  </si>
  <si>
    <t>00133 /DAN.01.01/MANBRU/2016</t>
  </si>
  <si>
    <t>00132 /DAN.01.01/MANBRU/2016</t>
  </si>
  <si>
    <t>100/JAR/ABRU/2016</t>
  </si>
  <si>
    <t>Jasa Borong Pemasangan Gardu Distribusi Rayon Tanjung Redeb</t>
  </si>
  <si>
    <t>101/JAR/ABRU/2016</t>
  </si>
  <si>
    <t>Jasa Borong Pemasangan Gardu Distribusi Rayon Malinau dan Kantor Pelayanan KTT</t>
  </si>
  <si>
    <t>102/JAR/ABRU/2016</t>
  </si>
  <si>
    <t>Jasa Borong Pemasangan Gardu Distribusi Rayon Tanjung Selor</t>
  </si>
  <si>
    <t>103/JAR/ABRU/2016</t>
  </si>
  <si>
    <t>Jasa Borong Pemasangan Gardu Distribusi Rayon Nunukan</t>
  </si>
  <si>
    <t>00145/DAN.01.03/ABRU/2016</t>
  </si>
  <si>
    <t>00144/DAN.01.03/ABRU/2016</t>
  </si>
  <si>
    <t>00143/DAN.01.03/ABRU/2016</t>
  </si>
  <si>
    <t>00142/DAN.01.03/ABRU/2016</t>
  </si>
  <si>
    <t>PEMBORONGAN PEKERJAAN OUTSOURCING KANTOR AREA BERAU DAN RAYON MALINAU BULAN Maret 2016 PT. PLN (PERSERO) AREA BERAU</t>
  </si>
  <si>
    <t>Pemborongan Pekerjaan Outsourching Rayon Tanjung Selor Dan Misipnya Serta Rayon Nunukan Dan Misipinya Bulan Maret 2016 PT. PLN (Persero) Area Berau</t>
  </si>
  <si>
    <t>Pemborongan Pekerjaan Outsourching Rayon Tanjung Selor Dan Misipnya Serta Rayon Nunukan Dan Misipinya Bulan Maret  2016 PT. PLN (Persero) Area Berau</t>
  </si>
  <si>
    <t>307.SPK/DAN.02.03/ABRU/2015</t>
  </si>
  <si>
    <t>Jasa Pengiriman Material SKKI Berau-(Nunukan-Sebatik)</t>
  </si>
  <si>
    <t>083/JAR/BRU/2015</t>
  </si>
  <si>
    <t>286.SPP/DAN.02.03/ABRU/2015</t>
  </si>
  <si>
    <t>081.SPP/DAN.02.03/ABRU/2015</t>
  </si>
  <si>
    <t>CV CITRA JANANURAGA</t>
  </si>
  <si>
    <t>Pekerjaan penggantian kwh meter tua,buram,macet &amp; migrasi lokasi tersebar rayon nunukan &amp; sebatik</t>
  </si>
  <si>
    <t>083.SPP/DAN.02.03/ABRU/2015 29 Mei s/d 22 Mei 2016</t>
  </si>
  <si>
    <t>Pekerjaan penggantian kwh meter tua,buram,macet &amp; migrasi lokasi tersebar rayon tg selor &amp; tg palas</t>
  </si>
  <si>
    <t>202.SPP/DAN.02.03/ABRU/2015</t>
  </si>
  <si>
    <t>082.SPP/DAN.02.03/ABRU/2015 29 Mei s/d 22 Mei 2016</t>
  </si>
  <si>
    <t>Pekerjaan penggantian kwh meter tua,buram,macet &amp; migrasi lokasi tersebar rayon tg redeb &amp; gn tabur</t>
  </si>
  <si>
    <t>192.SPK/610/ABRU/2014</t>
  </si>
  <si>
    <t>PT RACOMINDO JAYA</t>
  </si>
  <si>
    <t>208.SPP/DAN.02.03/ABRU/2015</t>
  </si>
  <si>
    <t>Pengadaan material Peningkatan Kehandalan dan Perbaikan Susut PLN Rayon Tanjung Redeb</t>
  </si>
  <si>
    <t>216.SPP/DAN.02.03/ABRU/2015</t>
  </si>
  <si>
    <t>Pengadaan material Peningkatan Kehandalan dan Perbaikan Susut PLN Rayon Tanjung Selor</t>
  </si>
  <si>
    <t>207.SPP/DAN.02.03/ABRU/2015</t>
  </si>
  <si>
    <t>Pengadaan material Peningkatan Kehandalan dan Perbaikan Susut PLN Rayon Malinau</t>
  </si>
  <si>
    <t>217.SPP/DAN.02.03/ABRU/2015</t>
  </si>
  <si>
    <t>Pengadaan material Peningkatan Kehandalan dan Perbaikan Susut PLN Rayon Nunukan</t>
  </si>
  <si>
    <t>252.SPK/DAN.02.03/ABRU/2015</t>
  </si>
  <si>
    <t>Pengadaan kWh Meter 1 Phase</t>
  </si>
  <si>
    <t>251.SPP/DAN.02.03/ABRU/2015 27 Nov s.d 26 Des 2015</t>
  </si>
  <si>
    <t>173.SPP/DAN.02.03/ABRU/2015 28 Sept s/d 27 Okt 2015</t>
  </si>
  <si>
    <t>CV KARYA JAYA MANDIRI</t>
  </si>
  <si>
    <t>Jasa Borong Pasang ASS Rayon Nunukan</t>
  </si>
  <si>
    <t>268.SPP/DAN.02.03/ABRU/2015</t>
  </si>
  <si>
    <t>JASA BORONG PASANG ASS, LBS MANUAL, DAN RECLOSER RAYON TANJUNG REDEB</t>
  </si>
  <si>
    <t>PT SAHABAT KITA</t>
  </si>
  <si>
    <t>261.SPP/DAN.02.03/ABRU/2015</t>
  </si>
  <si>
    <t>Pengadaan Material PDKB Untuk Pemeliharaan Gardu</t>
  </si>
  <si>
    <t>256.SPP/DAN.02.03/ABRU/2015</t>
  </si>
  <si>
    <t>PENGADAAN MATERIAL JARINGAN DISTRIBUSI PT PLN (PERSERO) AREA BERAU</t>
  </si>
  <si>
    <t>PT MUTIARA WANGI TIMUR</t>
  </si>
  <si>
    <t>273.SPK/DAN.02.01/ABRU/2015</t>
  </si>
  <si>
    <t>201.SPK/DAN.02.01/ABRU/2015</t>
  </si>
  <si>
    <t>JASA BORONG ONGKOS ANGKUT BBM WILAYAH II PLTDTANAH MERAH PERIODE BULAN OKTOBER 2015 PT. PLN (Persero) AREA BERAU</t>
  </si>
  <si>
    <t>JASA BORONG ONGKOS ANGKUT BBM WILAYAH II PLTD TANAH MERAH PERIODE BULAN SEPTEMBER 2015 PT. PLN (Persero) AREA BERAU</t>
  </si>
  <si>
    <t>SPP 029 AO 2016</t>
  </si>
  <si>
    <t>259.SPK/DAN.02.01/ABRU/2015</t>
  </si>
  <si>
    <t>JASA BORONG ONGKOS ANGKUT BBM WILAYAH I PLTD BATU PUTIH PERIODE BULAN NOVEMBER 2015 PT. PLN (Persero) AREA BERAU</t>
  </si>
  <si>
    <t>SPP 030 AO 2016</t>
  </si>
  <si>
    <t>290.SPK/DAN.02.01/ABRU/2015</t>
  </si>
  <si>
    <t>295.SPK/DAN.02.01/ABRU/2015</t>
  </si>
  <si>
    <t>308.SPB/DAN.02.01/ABRU/2015</t>
  </si>
  <si>
    <t>JASA BORONG ANGKU BBM WILAYAH I PLTD SEI BUAYA PERIODE DESEMBER PT.PLN (PERSERO) AREA BERAU</t>
  </si>
  <si>
    <t>JASA BORONG ANGKU BBM WILAYAH I PLTDBIDUK-BIDUK PERIODE DESEMBER PT.PLN (PERSERO) AREA BERAU</t>
  </si>
  <si>
    <t>PENGADAAN PELUMAS MEDITRAN S-40 PLTD TERSEBAR TRIWULAN IV TAHUN 2015 PT.PLN (PERSERO)AREA BERAU</t>
  </si>
  <si>
    <t>SPP 031 AO 2016</t>
  </si>
  <si>
    <t>062.SPK/DAN.02.03/ABRU/2016 21 Maret - 19 April 2016</t>
  </si>
  <si>
    <t>063.SPK/DAN.02.03/ABRU/2016 21 Maret s/d 19 April 2016</t>
  </si>
  <si>
    <t>PROSES PENGADAAN</t>
  </si>
  <si>
    <t>305.SPP/DAN.02.01/ABRU/2015</t>
  </si>
  <si>
    <t>094.SPK/DAN.02.01/ABRU/2016</t>
  </si>
  <si>
    <t>093.SPK/DAN.02.01/ABRU/2016</t>
  </si>
  <si>
    <t>M IV MEI 2016</t>
  </si>
  <si>
    <t>CV MUSTIKA SURYA ELECTRIC</t>
  </si>
  <si>
    <t>PT PANCA PRIMA</t>
  </si>
  <si>
    <t>PT SURYA PRIMA ELTRINDO</t>
  </si>
  <si>
    <t xml:space="preserve">PROSES PEMBAYARAN </t>
  </si>
  <si>
    <t>PROSES RAB / FBL</t>
  </si>
  <si>
    <t>197.SPK/DAN.02.01/ABRU/2015</t>
  </si>
  <si>
    <t>292.SPK/DAN.02.01/ABRU/2015</t>
  </si>
  <si>
    <t>291.SPK/DAN.02.01/ABRU/2015</t>
  </si>
  <si>
    <t>194.SPK/DAN.02.01/ABRU/2015</t>
  </si>
  <si>
    <t>JASA BORONG ANGKU BBM WILAYAH I PLTD BATU PUTIH PERIODE SEPTEMBER PT.PLN (PERSERO) AREA BERAU</t>
  </si>
  <si>
    <t>JASA BORONG ANGKU BBM WILAYAH I PLTD TANJUNG BATU PERIODE DESEMBER PT.PLN (PERSERO) AREA BERAU</t>
  </si>
  <si>
    <t>JASA BORONG ANGKU BBM WILAYAH I PLTD GUNUNG SARI PERIODE DESEMBER PT.PLN (PERSERO) AREA BERAU</t>
  </si>
  <si>
    <t>JASA BORONG ANGKU BBM WILAYAH I PLTD DERAWAN PERIODE SEPTEMBER PT.PLN (PERSERO) AREA BERAU</t>
  </si>
  <si>
    <t>SPP 032 AO 2016</t>
  </si>
  <si>
    <t>Maret</t>
  </si>
  <si>
    <t>294.SPK/DAN.02.01/ABRU/2015</t>
  </si>
  <si>
    <t>JASA BORONG ANGKU BBM WILAYAH I PLTD TALISAYAN PERIODE DESEMBER PT.PLN (PERSERO) AREA BERAU</t>
  </si>
  <si>
    <t>SPP 033 AO 2016</t>
  </si>
  <si>
    <t>overtime maret</t>
  </si>
  <si>
    <t>296.SPK/DAN.02.01/ABRU/2015</t>
  </si>
  <si>
    <t>263.SPK/DAN.02.01/ABRU/2015</t>
  </si>
  <si>
    <t>JASA BORONG ANGKU BBM WILAYAH I PLTD TANAH MERAH PERIODE DESEMBER PT.PLN (PERSERO) AREA BERAU</t>
  </si>
  <si>
    <t>JASA BORONG ANGKU BBM WILAYAH I PLTD TANAH MERAH PERIODE NOVEMBER PT.PLN (PERSERO) AREA BERAU</t>
  </si>
  <si>
    <t>SPP 035 AO 2016</t>
  </si>
  <si>
    <t>- UTANG USAHA</t>
  </si>
  <si>
    <t>MURNI</t>
  </si>
  <si>
    <t>UTANG USAHA</t>
  </si>
  <si>
    <t xml:space="preserve"> SKKO TU 2015</t>
  </si>
  <si>
    <t>NO. PRK</t>
  </si>
  <si>
    <t xml:space="preserve">SISA </t>
  </si>
  <si>
    <t>NO  KONTRAK</t>
  </si>
  <si>
    <t>NO</t>
  </si>
  <si>
    <t>PRK.2015.WKT-4.11.53222.340</t>
  </si>
  <si>
    <t>PENGADAAN SARANA PERALATAN PENUNJANG OPERASIONAL AP2T</t>
  </si>
  <si>
    <t>313.SPK/DAN.02.03/ABRU/2015</t>
  </si>
  <si>
    <t>PT RADITYA IUTAMA</t>
  </si>
  <si>
    <t>SPP 003/AO/BRU/2016</t>
  </si>
  <si>
    <t>PRK.2015.WKT-4.11.53222.341</t>
  </si>
  <si>
    <t xml:space="preserve">PENINGKATAN SARANA APKT </t>
  </si>
  <si>
    <t>260.SPP/DAN.02.03/ABRU/2015</t>
  </si>
  <si>
    <t>Revisi Nilai. Nilai Sebelumnya 87318000</t>
  </si>
  <si>
    <t>PRK.2015.WKT-4.11.53222.342</t>
  </si>
  <si>
    <t>Pengadaan Sarana Penunjang Pelaksanaan Billing Managemen (BillMan) Tahap II</t>
  </si>
  <si>
    <t>FBL NO. 394/PP/BRU/2015</t>
  </si>
  <si>
    <t>200.SPP/DAN.02.03/ABRU/2015 30 Oktober s/d 15 Sept 2015</t>
  </si>
  <si>
    <t>CV. MUTIARA</t>
  </si>
  <si>
    <t>146.SPP/AO/ABRU/2015</t>
  </si>
  <si>
    <t>PRK.2015.WKT-4.11.53222.343</t>
  </si>
  <si>
    <t>PENGADAAN GPS SARANA PENUNJANG BILLMAN PT PLN (PERSERO) AREA BERAU</t>
  </si>
  <si>
    <t>258.SPP/DAN.02.03/ABRU/2015</t>
  </si>
  <si>
    <t>PRK.2015.WKT-4.11.53222.344</t>
  </si>
  <si>
    <t>Pengadaan Peralatan Penunjang PESUT Tahap II PT PLN (Persero) Area Berau</t>
  </si>
  <si>
    <t>FBL NO. 396/TE/BRU/2015</t>
  </si>
  <si>
    <t>205.SPP/DAN.02.03/ABRU/2015 03 Nov s.d 17 Des 2015</t>
  </si>
  <si>
    <t>CV. MAHAMERU</t>
  </si>
  <si>
    <t>PRK.2015.WKT-4.11.53222.345</t>
  </si>
  <si>
    <t>PENGADAAN SELF SERVICE  PENUNJANG PESUT PT PLN (PERSERO) AREA BERAU</t>
  </si>
  <si>
    <t>315.SPK/DAN/02.03/ABRU/2015</t>
  </si>
  <si>
    <t>PRK.2015.WKT-4.11.53222.346</t>
  </si>
  <si>
    <t>PENGADAAN SARANA PENUNJANG ADMINISTRASI PESUT PT PLN (PERSERO) AREA BERAU</t>
  </si>
  <si>
    <t>259.SPP/DAN/02.03/ABRU/2015</t>
  </si>
  <si>
    <t>PRK.2015.WKT-4.11.53222.347</t>
  </si>
  <si>
    <t>PENGADAAN SARANA PENUNJANG OPERASIONAL PESUT PT PLN (PERSERO) AREA BERAU</t>
  </si>
  <si>
    <t>314.SPK/DAN/02.03/ABRU/2015</t>
  </si>
  <si>
    <t>TOTAL SKKO KIT</t>
  </si>
  <si>
    <t>TOTAL SKKO DIST</t>
  </si>
  <si>
    <t>TOTAL SKKO TU</t>
  </si>
  <si>
    <t>TOTAL SKKO TUL</t>
  </si>
  <si>
    <t>107/JAR/ABRU/2016</t>
  </si>
  <si>
    <t>Pemeliharaan Jaringan Distribusi di Rayon Tanjung Redeb PLN Area Berau</t>
  </si>
  <si>
    <t>108/JAR/ABRU/2016</t>
  </si>
  <si>
    <t>Jasa Borong Bongkar Tiang Besi 11 Meter PLN Sebatik</t>
  </si>
  <si>
    <t>000131/DAN.01.01/MANBRU/2016</t>
  </si>
  <si>
    <t>109/JAR/ABRU/2016</t>
  </si>
  <si>
    <t>Jasa Borong Pemeliharaan Jaringan PLN Tanah Merah</t>
  </si>
  <si>
    <t>110/JAR/ABRU/2016</t>
  </si>
  <si>
    <t>Jasa Borong Pemasangan Aksesoris Jaringan Feeder Express PT SAS PLN Rayon Tanjung Selor</t>
  </si>
  <si>
    <t>111/JAR/ABRU/2016</t>
  </si>
  <si>
    <t>Jasa Borong Pemasangan MVTIC Feeder Express PLTU Teluk</t>
  </si>
  <si>
    <t>PRK.2016.WKT-1.9.53222.6</t>
  </si>
  <si>
    <t>PRK.2016.WKT-4.9.53211.350</t>
  </si>
  <si>
    <t>009.DIST/AO/BRU/2016/M</t>
  </si>
  <si>
    <t>0483/KEU.01.02/WKTKU/2016-R</t>
  </si>
  <si>
    <t>Pemeliharaan Radio Area Berau</t>
  </si>
  <si>
    <t>Pembangunan Tower Komunikasi di Rayon-rayon Area Berau</t>
  </si>
  <si>
    <t>Pemeliharaan / perbaikan scadatel (Berau)</t>
  </si>
  <si>
    <t>112/JAR/ABRU/2016</t>
  </si>
  <si>
    <t>Jasa Borong Pemeliharaan Radio Komunikasi PT PLN (Persero) Area Berau</t>
  </si>
  <si>
    <t>113/JAR/ABRU/2016</t>
  </si>
  <si>
    <t>Pengadaan Kubikel untuk Outgoing PLTU Teluk di GH Bujangga</t>
  </si>
  <si>
    <t>114/TU/ABRU/2016</t>
  </si>
  <si>
    <t>Perbaikan Atap Kantor PT PLN (Persero) Area Berau</t>
  </si>
  <si>
    <t>115/KIT/ABRU/2016</t>
  </si>
  <si>
    <t>Pengiriman Material Mesin Pembangkit ke Unit - Unit PLTD PT PLN (Persero) Area Berau</t>
  </si>
  <si>
    <t>116/KIT/ABRU/2016</t>
  </si>
  <si>
    <t>117/KIT/ABRU/2016</t>
  </si>
  <si>
    <t>Pekerjaan Rewinding Rotor Exiter Mesin Pembangkit ke Unit - Unit PLTD PT PLN (Persero) Area Berau</t>
  </si>
  <si>
    <t>Pengadaan Material Proteksi Mesin PLTD Tersebar  PT PLN (Persero) Area Berau</t>
  </si>
  <si>
    <t>00154/DAN.01.03/MANBRU/2016</t>
  </si>
  <si>
    <t>00153/DAN.01.03/MANBRU/2016</t>
  </si>
  <si>
    <t>00152/DAN.02.03/MANBRU/2016</t>
  </si>
  <si>
    <t>00151/DAN.01.03/ABRU/2016</t>
  </si>
  <si>
    <t>118/JAR/ABRU/2016</t>
  </si>
  <si>
    <t>Jasa Borong Pengiriman Material SKKI PLN Area Berau</t>
  </si>
  <si>
    <t>119/JAR/ABRU/2016</t>
  </si>
  <si>
    <t>120/JAR/ABRU/2016</t>
  </si>
  <si>
    <t>Jasa Borong Perluasan Jaringan Tegangan Rendah Rayon Tanjung Redeb</t>
  </si>
  <si>
    <t>Jasa Borong Pemasangan Gardu Distribusi Area Berau</t>
  </si>
  <si>
    <t>121/JAR/ABRU/2016</t>
  </si>
  <si>
    <t>Jasa Borong Perluasan Jaringan SUTM &amp; SUTR Rayon Tanjung Selor</t>
  </si>
  <si>
    <t>122/KIT/ABRU/2016</t>
  </si>
  <si>
    <t>Pengadaan Pelumas Salyx 320 PLTD Tersebar Semester I Tahun 2016 PT PLN (Persero) Area Berau</t>
  </si>
  <si>
    <t>123/KIT/ABRU/2016</t>
  </si>
  <si>
    <t>124/KIT/ABRU/2016</t>
  </si>
  <si>
    <t>125/KIT/ABRU/2016</t>
  </si>
  <si>
    <t>126/KIT/ABRU/2016</t>
  </si>
  <si>
    <t>Pengadaan Pelumas Meditran S-40 PLTD Tersebar Semester I Tahap IV Tahun 2016 PT PLN (Persero) Area Berau</t>
  </si>
  <si>
    <t>Pengadaan Pelumas Meditran S-40 PLTD Tersebar Semester I Tahap III Tahun 2016 PT PLN (Persero) Area Berau</t>
  </si>
  <si>
    <t>Pengadaan Pelumas SMX 40 PLTD Tersebar Semester I Tahap II Tahun 2016 PT PLN (Persero) Area Berau</t>
  </si>
  <si>
    <t>00156/DAN.01.01/MANBRU/2016</t>
  </si>
  <si>
    <t>00155/DAN.01.01/MANBRU/2016</t>
  </si>
  <si>
    <t>Pengadaan Pelumas Salyx 420 PLTD Tersebar Semester I Tahap II Tahun 2016 PT PLN (Persero) Area Berau</t>
  </si>
  <si>
    <t>00163/DAN.01.01/MANBRU/2016</t>
  </si>
  <si>
    <t>00162/DAN.01.01/MANBRU/2016</t>
  </si>
  <si>
    <t>007.DIST/AO/BRU/2016/M</t>
  </si>
  <si>
    <t>0495/KEU.01.02/WKTKU/2016-R</t>
  </si>
  <si>
    <t>PRK.2016.WKT-1.9.53211.348</t>
  </si>
  <si>
    <t>P2TL mandiri Area Berau</t>
  </si>
  <si>
    <t>008.DIST/AO/BRU/2016/M</t>
  </si>
  <si>
    <t>0493/KEU.01.02/WKTKU/2016-R</t>
  </si>
  <si>
    <t>PRK.2016.WKT-1.9.53211.349</t>
  </si>
  <si>
    <t>AMRIsasi Metering produksi Area Berau</t>
  </si>
  <si>
    <t>SPP 011 AI 2016</t>
  </si>
  <si>
    <t>SPP 012 AI 2016</t>
  </si>
  <si>
    <t>PEMBORONGAN PEKERJAAN JASA PELAYANAN TEKNIK MISIP TANJUNG REDEB DAN TANJUNG SELOR BULAN MARET 2016 PT. PLN (Persero) AREA BERAU</t>
  </si>
  <si>
    <t>PEMBORONGAN PEKERJAAN JASA PELAYANAN TEKNIK MISIP MALINAU DAN NUNUKAN BULAN MARET 2016 PT. PLN (Persero) AREA BERAU</t>
  </si>
  <si>
    <t>008.SPP/DAN.02.07/ABRU/2016 05 - 19 April 2016</t>
  </si>
  <si>
    <t>009.SPP/DAN.02.07/ABRU/2016 05 - 19 April 2016</t>
  </si>
  <si>
    <t>010.SPP/DAN.02.07/ABRU/2016 05 - 19 April 2016</t>
  </si>
  <si>
    <t>011.SPP/DAN.02.07/ABRU/2016 05 - 19 April 2016</t>
  </si>
  <si>
    <t>090.SPK/DAN.02.06/ABRU/2016</t>
  </si>
  <si>
    <t>087.SPK/DAN.02.06/ABRU/2016</t>
  </si>
  <si>
    <t>089.SPK/DAN.02.06/ABRU/2016</t>
  </si>
  <si>
    <t>086.SPK/DAN.02.06/ABRU/2016</t>
  </si>
  <si>
    <t>088.SPK/DAN.02.06/ABRU/2016</t>
  </si>
  <si>
    <t>095.SPK/DAN.02.03/ABRU/2016</t>
  </si>
  <si>
    <t>096.SPK/DAN.02.03/ABRU/2016</t>
  </si>
  <si>
    <t>097.SPK/DAN.02.03/ABRU/2016</t>
  </si>
  <si>
    <t>SPP 036 AO 2016</t>
  </si>
  <si>
    <t>TRAVEL ACCOMODATION SURVEILLANCE AUDIT 4 FOR ISO 9001 : 2008 PT. PLN (Persero) AREA BERAU</t>
  </si>
  <si>
    <t>SPP 038 AO 2016</t>
  </si>
  <si>
    <t>SPP 037 AO 2016</t>
  </si>
  <si>
    <t>April</t>
  </si>
  <si>
    <t>overtime april</t>
  </si>
  <si>
    <t>012.SPP/DAN.02.07/ABRU/2016 14 April - 13 Mei 2016</t>
  </si>
  <si>
    <t>013.SPP/DAN.02.03/ABRU/2016</t>
  </si>
  <si>
    <t>LUNCURAN</t>
  </si>
  <si>
    <t>00159/DAN.01.03/MANBRU/2016</t>
  </si>
  <si>
    <t>00161/DAN.01.06/MANBRU/2016</t>
  </si>
  <si>
    <t>00160/DAN.01.03/MANBRU/2016</t>
  </si>
  <si>
    <t>00169/DAN.01.03/MANBRU/2016</t>
  </si>
  <si>
    <t>00168/DAN.01.03/MANBRU/2016</t>
  </si>
  <si>
    <t>00167/DAN.01.03/MANBRU/2016</t>
  </si>
  <si>
    <t>00158/DAN.01.03/MANBRU/2016</t>
  </si>
  <si>
    <t>00157/DAN.01.03/MANBRU/2016</t>
  </si>
  <si>
    <t>133/TU/ABRU/2016</t>
  </si>
  <si>
    <t>134/TU/ABRU/2016</t>
  </si>
  <si>
    <t>Pengadaan Air Conditioner (AC) PT PLN (Persero) Area Berau</t>
  </si>
  <si>
    <t>00176/DAN.01.03/MANBRU/2016</t>
  </si>
  <si>
    <t>00174/DAN.01.03/MANBRU/2016</t>
  </si>
  <si>
    <t>00175/DAN.01.03/MANBRU/2016</t>
  </si>
  <si>
    <t>00173/DAN.01.03/MANBRU/2016</t>
  </si>
  <si>
    <t>135/TE/ABRU/2016</t>
  </si>
  <si>
    <t>Pemborongan Pekerjaan Perubahan Daya Pelanggan SR, TR, dan TM Tahun 2016</t>
  </si>
  <si>
    <t>132/KIT/ABRU/2016</t>
  </si>
  <si>
    <t>Ongkos Angkut Pelumas PLTD Tersebar Semester I Tahap II Tahun 2016 PT PLN (Persero) Area Berau</t>
  </si>
  <si>
    <t>00177/DAN.02.01/MANBRU/2016</t>
  </si>
  <si>
    <t>00179/DAN.01.06/MANBRU/2016</t>
  </si>
  <si>
    <t>00178/DAN.01.06/MANBRU/2016</t>
  </si>
  <si>
    <t>00182/DAN.01.01/MANBRU/2016</t>
  </si>
  <si>
    <t>00187/DAN.01.01/MANBRU/2016</t>
  </si>
  <si>
    <t>00183/DAN.01.01/MANBRU/2016</t>
  </si>
  <si>
    <t>00184/DAN.01.01/MANBRU/2016</t>
  </si>
  <si>
    <t>00186/DAN.01.01/MANBRU/2016</t>
  </si>
  <si>
    <t>00188/DAN.01.01/MANBRU/2016</t>
  </si>
  <si>
    <t>00185/DAN.01.03/MANBRU/2016</t>
  </si>
  <si>
    <t>116.SPK/DAN.02.01/ABRU/2016</t>
  </si>
  <si>
    <t>00087/DAN.01.01/MANBRU/2016</t>
  </si>
  <si>
    <t>00090/DAN.01.01/MANBRU/2016</t>
  </si>
  <si>
    <t>00089/DAN.01.01/MANBRU/2016</t>
  </si>
  <si>
    <t>00062/DAN.01.01/MANBRU/2016</t>
  </si>
  <si>
    <t>00128 /DAN.01.01/MANBRU/2016</t>
  </si>
  <si>
    <t>00088/DAN.01.01/MANBRU/2016</t>
  </si>
  <si>
    <t>136/KIT/ABRU/2016</t>
  </si>
  <si>
    <t>Pengadaan Material Gangguan Mesin MWM TBD 616 V12 PLTD Malinau PT PLN (Persero) Area Berau</t>
  </si>
  <si>
    <t>137/KIT/ABRU/2016</t>
  </si>
  <si>
    <t>Pengadaan Material Gangguan Mesin PLTD Tersebar PT PLN (Persero) Area Berau</t>
  </si>
  <si>
    <t>138/KIT/ABRU/2016</t>
  </si>
  <si>
    <t>139/KIT/ABRU/2016</t>
  </si>
  <si>
    <t>140/KIT/ABRU/2016</t>
  </si>
  <si>
    <t>141/KIT/ABRU/2016</t>
  </si>
  <si>
    <t>142/KIT/ABRU/2016</t>
  </si>
  <si>
    <t>Pengadaan Material Fast Moving Mesin PLTD Tersebar PT PLN (Persero) Area Berau</t>
  </si>
  <si>
    <t>Perbaikan Sentral dan Kalibrasi Injection Pump PLTD Tersebar PT PLN (Persero) Area Berau</t>
  </si>
  <si>
    <t>Pengadaan Material Gangguan Mesin Caterpilar 3516 DITA PLTD Sei Buaya Tersebar PT PLN (Persero) Area Berau</t>
  </si>
  <si>
    <t>Pengadaan Generator AVK Mesin F6L912 SN. 5655581 PT PLN (Persero) Area Berau</t>
  </si>
  <si>
    <t>143/JAR/ABRU/2016</t>
  </si>
  <si>
    <t>Jasa Borong Perintisan di Kantor Pelayanan &amp; ULD PT PLN (Persero) Area Berau</t>
  </si>
  <si>
    <t>144/JAR/ABRU/2016</t>
  </si>
  <si>
    <t>Pengadaan Material Pemeliharaan PDKB Area Berau</t>
  </si>
  <si>
    <t>145/JAR/ABRU/2016</t>
  </si>
  <si>
    <t>Pengadaan Material Pemeliharaan Radio Malinau</t>
  </si>
  <si>
    <t>Setup K3 dan survaiance ISO</t>
  </si>
  <si>
    <t>005.DIST/AI-R/BRU/2016/M</t>
  </si>
  <si>
    <t>PRK.2016.WKT-4.3.21</t>
  </si>
  <si>
    <t>Evakuasi Daya Excess Power PT. Sumber Alam Sekurau Area Berau</t>
  </si>
  <si>
    <t>0554/KEU.01.01/WKTKU/2016-R</t>
  </si>
  <si>
    <t>148/TE/ABRU/2016</t>
  </si>
  <si>
    <t>149/TE/ABRU/2016</t>
  </si>
  <si>
    <t>Pengadaan Material 3 Phase</t>
  </si>
  <si>
    <t>00198/DAN.01.03/MANBRU/2016</t>
  </si>
  <si>
    <t>00190/DAN.01.03/MANBRU/2016</t>
  </si>
  <si>
    <t>00199/DAN.01.03/MANBRU/2016</t>
  </si>
  <si>
    <t>00196/DAN.01.01/MANBRU/2016</t>
  </si>
  <si>
    <t>00195/DAN.01.01/MANBRU/2016</t>
  </si>
  <si>
    <t>00194/DAN.01.01/MANBRU/2016</t>
  </si>
  <si>
    <t>00193/DAN.01.01/MANBRU/2016</t>
  </si>
  <si>
    <t>00197/DAN.01.01/MANBRU/2016</t>
  </si>
  <si>
    <t>00191/DAN.01.01/MANBRU/2016</t>
  </si>
  <si>
    <t>00192/DAN.01.01/MANBRU/2016</t>
  </si>
  <si>
    <t>Jasa Borong Perbaikan Jaringan SUTM Rayon Tanjung Redeb</t>
  </si>
  <si>
    <t>150/JAR/ABRU/2016</t>
  </si>
  <si>
    <t>00201/DAN.01.03/MANBRU/2016</t>
  </si>
  <si>
    <t>00202/DAN.01.03/MANBRU/2016</t>
  </si>
  <si>
    <t>00204/DAN.01.03/MANBRU/2016</t>
  </si>
  <si>
    <t>0482/KEU.01.01/WKTKU/2016-R</t>
  </si>
  <si>
    <t>151/JAR/ABRU/2016</t>
  </si>
  <si>
    <t>Pemasangan SUTM untuk Evakuasi Beban PLTU SAS BRIGIF - GH KM 12</t>
  </si>
  <si>
    <t>152/JAR/ABRU/2016</t>
  </si>
  <si>
    <t>Pemasangan SKTM untuk Evakuasi Beban PLTU SAS BRIGIF - GH KM 12</t>
  </si>
  <si>
    <t>153/JAR/ABRU/2016</t>
  </si>
  <si>
    <t>Jasa Borong Pemasangan Aksesoris Jaringan Feeder Express PLTU Teluk</t>
  </si>
  <si>
    <t>Surveillance Audit 4 for Iso 9001 : 2008</t>
  </si>
  <si>
    <t>Pengadaan Rambu Peringatan &amp; Atribut K3 PT PLN (Persero) Area Berau</t>
  </si>
  <si>
    <t>154/TU/ABRU/2016</t>
  </si>
  <si>
    <t>Perbaikan Mesin Fotocopy PT PLN (Persero) Area Berau</t>
  </si>
  <si>
    <t>155/TU/ABRU/2016</t>
  </si>
  <si>
    <t>00207/DAN.01.03/MANBRU/2016</t>
  </si>
  <si>
    <t>156/JAR/ABRU/2016</t>
  </si>
  <si>
    <t>Jasa Borong Relokasi Jaringan Pangkal F1 Rayon Tanjung Selor</t>
  </si>
  <si>
    <t>157/JAR/ABRU/2016</t>
  </si>
  <si>
    <t>Pengadaan Material Pemeliharaan Jaringan Distribusi PT PLN (Persero) Area Berau</t>
  </si>
  <si>
    <t>00208/DAN.01.03/MANBRU/2016</t>
  </si>
  <si>
    <t>158/JAR/ABRU/2016</t>
  </si>
  <si>
    <t>Renovasi Tempat Wudhu &amp; WC Musholla PT PLN (Persero) Area Berau</t>
  </si>
  <si>
    <t>160/TU/ABRU/2016</t>
  </si>
  <si>
    <t>Pengadaan Material Mesin Fotocopy</t>
  </si>
  <si>
    <t>Pengadaan Mic Wireless Podium PT PLN (Persero) Area Berau</t>
  </si>
  <si>
    <t>159/TU/ABRU/2016</t>
  </si>
  <si>
    <t>00211/DAN.01.06/MANBRU/2016</t>
  </si>
  <si>
    <t>00210/DAN.01.03/MANBRU/2016</t>
  </si>
  <si>
    <t>162/KIT/ABRU/2016</t>
  </si>
  <si>
    <t>Jasa Supervisi Penerimaan BBM Bulan Mei 2016 PT PLN (Persero) Area Berau</t>
  </si>
  <si>
    <t>163/JAR/ABRU/2016</t>
  </si>
  <si>
    <t>Pengadaan dan Pemasangan Cubicle GH KM 12</t>
  </si>
  <si>
    <t>Pengadaan Kabel Wiring untuk Pemeliharaan Pelanggan 3 Phase</t>
  </si>
  <si>
    <t>164/TE/ABRU/2016</t>
  </si>
  <si>
    <t>165/TE/ABRU/2016</t>
  </si>
  <si>
    <t>166/TE/ABRU/2016</t>
  </si>
  <si>
    <t>167/TE/ABRU/2016</t>
  </si>
  <si>
    <t>168/KIT/ABRU/2016</t>
  </si>
  <si>
    <t>169/KIT/ABRU/2016</t>
  </si>
  <si>
    <t>170/KIT/ABRU/2016</t>
  </si>
  <si>
    <t>171/KIT/ABRU/2016</t>
  </si>
  <si>
    <t>172/KIT/ABRU/2016</t>
  </si>
  <si>
    <t>Jasa Borong Ongkos Angkut BBM Krayan Bulan Januari Tahun 2016 PT PLN (Persero) Area Berau</t>
  </si>
  <si>
    <t>Jasa Borong Ongkos Angkut BBM Krayan Bulan Februari Tahun 2016 PT PLN (Persero) Area Berau</t>
  </si>
  <si>
    <t>Jasa Borong Ongkos Angkut BBM Krayan Bulan April Tahun 2016 PT PLN (Persero) Area Berau</t>
  </si>
  <si>
    <t>Jasa Borong Ongkos Angkut BBM Krayan Bulan Maret Tahun 2016 PT PLN (Persero) Area Berau</t>
  </si>
  <si>
    <t>Jasa Borong Ongkos Angkut BBM Krayan Bulan Mei Tahun 2016 PT PLN (Persero) Area Berau</t>
  </si>
  <si>
    <t>00222/DAN.01.03/MANBRU/2016</t>
  </si>
  <si>
    <t>00221/DAN.01.01/MANBRU/2016</t>
  </si>
  <si>
    <t>00220/DAN.01.01/MANBRU/2016</t>
  </si>
  <si>
    <t>00219/DAN.01.01/MANBRU/2016</t>
  </si>
  <si>
    <t>00218/DAN.01.01/MANBRU/2016</t>
  </si>
  <si>
    <t>00217/DAN.01.01/MANBRU/2016</t>
  </si>
  <si>
    <t>00216/DAN.01.01/MANBRU/2016</t>
  </si>
  <si>
    <t>00226/DAN.01.03/MANBRU/2016</t>
  </si>
  <si>
    <t>00225/DAN.01.03/MANBRU/2016</t>
  </si>
  <si>
    <t>00227/DAN.01.03/MANBRU/2016</t>
  </si>
  <si>
    <t>173/JAR/ABRU/2016</t>
  </si>
  <si>
    <t>Pembuatan Gardu Hubung 5 X 7 meter di ULD Gunung Sari KM 12 Rayon Tanjung Selor</t>
  </si>
  <si>
    <t>Pengadaan Tree Guard PT PLN (Persero) Area Berau</t>
  </si>
  <si>
    <t>174/JAR/ABRU/2016</t>
  </si>
  <si>
    <t>Jasa Borong Pemeliharaan Jaringan SUTM, SUTR &amp; TRAFO di KP Sebuku</t>
  </si>
  <si>
    <t>175/JAR/ABRU/2016</t>
  </si>
  <si>
    <t>00230/DAN.01.03/MANBRU/2016</t>
  </si>
  <si>
    <t>00232/DAN.01.03/MANBRU/2016</t>
  </si>
  <si>
    <t>176/JAR/ABRU/2016</t>
  </si>
  <si>
    <t>Pengadaan CT VT untuk Kubikel di Outgoing GH Bujangga PT PLN (Persero) Area Berau</t>
  </si>
  <si>
    <t>00233/DAN.01.03/MANBRU/2016</t>
  </si>
  <si>
    <t>177/JAR/ABRU/2016</t>
  </si>
  <si>
    <t>178/JAR/ABRU/2016</t>
  </si>
  <si>
    <t>Pengadaan LBS Motorized untuk Optimalisasi Evakuasi Daya PT. SAS</t>
  </si>
  <si>
    <t>179/JAR/ABRU/2016</t>
  </si>
  <si>
    <t>Pengadaan DS dan LBS untuk Material Pendukung Evakuasi Daya PLTU SAS</t>
  </si>
  <si>
    <t>001.DIST/AI-NR/BRU/2016/M</t>
  </si>
  <si>
    <t>0640/KEU.01.01/WKTKU/2016-R</t>
  </si>
  <si>
    <t>PRK.2016.WKT-4.3.6</t>
  </si>
  <si>
    <t>Gedung PDKB</t>
  </si>
  <si>
    <t>00235/DAN.01.03/ABRU/2016</t>
  </si>
  <si>
    <t>00234/DAN.01.03/ABRU/2016</t>
  </si>
  <si>
    <t>00237/DAN.01.03/MANBRU/2016</t>
  </si>
  <si>
    <t>00236/DAN.01.03/MANBRU/2016</t>
  </si>
  <si>
    <t>180/KIT/ABRU/2016</t>
  </si>
  <si>
    <t>Pengadaan Trafo Step Up 1.250 kVa untuk Kehandalan Sistem di PLTD Tersebar PT PLN (Persero) Area Berau</t>
  </si>
  <si>
    <t>181/KIT/ABRU/2016</t>
  </si>
  <si>
    <t>182/KIT/ABRU/2016</t>
  </si>
  <si>
    <t>183/KIT/ABRU/2016</t>
  </si>
  <si>
    <t>184/KIT/ABRU/2016</t>
  </si>
  <si>
    <t>Pengiriman Material Mesin Pembangkit ke Unit-Unit PLTD PT PLN (Persero) Area Berau</t>
  </si>
  <si>
    <t>032.SPP/DAN.02.01/ABRU/2016</t>
  </si>
  <si>
    <t xml:space="preserve">Rewinding Generator 630 kVa dan 150 kVa </t>
  </si>
  <si>
    <t>PRK.2016.WKT-4.3.53226.120</t>
  </si>
  <si>
    <t>Sarana Keselamatan dan Keamanan Kerja PLTD Sambaliung</t>
  </si>
  <si>
    <t>186/JAR/ABRU/2016</t>
  </si>
  <si>
    <t>Pengadaan Material Terminasi PT PLN (Persero) Area Berau</t>
  </si>
  <si>
    <t>187/JAR/ABRU/2016</t>
  </si>
  <si>
    <t>Pengadaan Sarana Telekomunikasi PT PLN (Persero) Area Berau</t>
  </si>
  <si>
    <t>00240/DAN.01.01/MANBRU/2016</t>
  </si>
  <si>
    <t>00239/DAN.01.01/MANBRU/2016</t>
  </si>
  <si>
    <t>00238/DAN.01.01/MANBRU/2016</t>
  </si>
  <si>
    <t>188/KIT/ABRU/2016</t>
  </si>
  <si>
    <t xml:space="preserve">Pengadaan Radio HT (Handy Talky) untuk PLTD Sambaliung PT PLN (Persero) Area Berau </t>
  </si>
  <si>
    <t>189/JAR/ABRU/2016</t>
  </si>
  <si>
    <t>Jasa Pengiriman Material Distribusi PT PLN (Persero) Area Berau</t>
  </si>
  <si>
    <t>190/JAR/ABRU/2016</t>
  </si>
  <si>
    <t>Pengadaan dan Pemasangan Relay OCR GFR PT PLN (Persero) Area Berau</t>
  </si>
  <si>
    <t>185/KIT/ABRU/2016</t>
  </si>
  <si>
    <t>00244/DAN.01.01/MANBRU/2016</t>
  </si>
  <si>
    <t>00242/DAN.01.03/MANBRU/2016</t>
  </si>
  <si>
    <t>00241/DAN.01.03/MANBRU/2016</t>
  </si>
  <si>
    <t>191/JAR/ABRU/2016</t>
  </si>
  <si>
    <t>Pengadaan Material Fast Moving  PT PLN (Persero) Area Berau</t>
  </si>
  <si>
    <t>00246/DAN.01.03/MANBRU/2016</t>
  </si>
  <si>
    <t>SPP 041/AO/BRU/2016</t>
  </si>
  <si>
    <t>289.SPK/DAN.02.01/ABRU/2015</t>
  </si>
  <si>
    <t>256.SPK/DAN.02.01/ABRU/2015</t>
  </si>
  <si>
    <t>030.SPK/DAN.02.01/ABRU/2016</t>
  </si>
  <si>
    <t>051.SPK/DAN.02.01/ABRU/2016</t>
  </si>
  <si>
    <t>JASA ONGKOS ANGKUT BBM WILAYAH I PLTD SAMBALIUNG PERIODE BULAN DESEMBER PT. PLN (PERSERO) AREA BERAU</t>
  </si>
  <si>
    <t>JASA ONGKOS ANGKUT BBM WILAYAH I PLTD DERAWAN PERIODE BULAN NOVEMBER PT. PLN (PERSERO) AREA BERAU</t>
  </si>
  <si>
    <t xml:space="preserve">JASA BORONG ONGKOS ANGKUT BBM WILAYAH II PLTD SEI BILALPERIODE BULAN FEBRUARI 2016 PT. PLN (PERSERO) AREA BERAU </t>
  </si>
  <si>
    <t xml:space="preserve">JASA BORONG ONGKOS ANGKUT BBM WILAYAH II PLTD SEI BILALPERIODE BULAN MARET 2016 PT. PLN (PERSERO) AREA BERAU </t>
  </si>
  <si>
    <t>SPP 042/AO/BRU/2016</t>
  </si>
  <si>
    <t>Mei</t>
  </si>
  <si>
    <t>SPP 043/AO/BRU/2016</t>
  </si>
  <si>
    <t>PEMBORONGAN PEKERJAAN JASA PELAYANAN TEKNIK MISIP TANJUNG REDEB DAN TANJUNG SELOR BULAN APRIL 2016 PT. PLN (Persero) AREA BERAU</t>
  </si>
  <si>
    <t>PEMBORONGAN PEKERJAAN JASA PELAYANAN TEKNIK MISIP MALINAU DAN NUNUKAN BULAN APRIL 2016 PT. PLN (Persero) AREA BERAU</t>
  </si>
  <si>
    <t>SPP 045 AO 2016</t>
  </si>
  <si>
    <t>058.SPK/DAN.02.01/ABRU/2016</t>
  </si>
  <si>
    <t>037.SPK/DAN.02.01/ABRU/2016</t>
  </si>
  <si>
    <t>059.SPK/DAN.02.01/ABRU/2016</t>
  </si>
  <si>
    <t>144.SPP/DAN.02.01/ABRU/2015</t>
  </si>
  <si>
    <t>109.SPP/DAN.02.01/ABRU/2015</t>
  </si>
  <si>
    <t>JASA BORONG ANGKU BBM WILAYAH II PLTD KUALA LAPANG PERIODE BULAN MARET PT.PLN (PERSERO) AREA BERAU</t>
  </si>
  <si>
    <t>JASA BORONG ANGKU BBM WILAYAH II PLTD TIDUNG PALA PERIODE BULAN FEBRUARI PT.PLN (PERSERO) AREA BERAU</t>
  </si>
  <si>
    <t>JASA BORONG ANGKU BBM WILAYAH II PLTD TIDUNG PALA PERIODE BULAN MARET PT.PLN (PERSERO) AREA BERAU</t>
  </si>
  <si>
    <t>JASA PENGIRIMAN BBM MALINAU - KRAYAN PERIODE AGUSTUS 2015 PT. PLN (Persero) AREA BERAU</t>
  </si>
  <si>
    <t>JASA PENGIRIMAN BBM MALINAU - KRAYAN PERIODE JULI 2015 PT. PLN (Persero) AREA BERAU</t>
  </si>
  <si>
    <t>SPP 045/AO/BRU/2016</t>
  </si>
  <si>
    <t>019.SPP/DAN.02.06/ABRU/2016 18 Mei s/d 01 Juni 2016</t>
  </si>
  <si>
    <t>SPP 047 AO 2016</t>
  </si>
  <si>
    <t>Pemborongan Pekerjaan Outsourching Rayon Tanjung Selor Dan Misipnya Serta Rayon Nunukan Dan Misipinya Bulan April 2016 PT. PLN (Persero) Area Berau</t>
  </si>
  <si>
    <t>PEMBORONGAN PEKERJAAN OUTSOURCING KANTOR AREA BERAU DAN RAYON MALINAU BULAN April 2016 PT. PLN (PERSERO) AREA BERAU</t>
  </si>
  <si>
    <t>SPP 040 AO 2016</t>
  </si>
  <si>
    <t>Pemborongan Pekerjaan Outsourching Rayon Tanjung Selor Dan Misipnya Serta Rayon Nunukan Dan Misipinya Bulan Maret, 2016 PT. PLN (Persero) Area Berau</t>
  </si>
  <si>
    <t>Pemborongan Pekerjaan Outsourching Rayon Tanjung Selor Dan Misipnya Serta Rayon Nunukan Dan Misipinya Bulan April, 2016 PT. PLN (Persero) Area Berau</t>
  </si>
  <si>
    <t>055/SPK/DAN.02.01/ABRU/2015</t>
  </si>
  <si>
    <t>JASA BORONG ONGKOS BBM WILAYAH II PLTD LONG PESO PERIODE BULAN MARET 2016 PT. PLN (Persero) AREA BERAU</t>
  </si>
  <si>
    <t>SPP 040/AO/BRU/2016</t>
  </si>
  <si>
    <t>032.SPK/DAN.02.01/ABRU/2016</t>
  </si>
  <si>
    <t>033.SPK/DAN.02.01/ABRU/2016</t>
  </si>
  <si>
    <t>034.SPK/DAN.02.01/ABRU/2016</t>
  </si>
  <si>
    <t>JASA BORONG ANGKU BBM WILAYAH II PLTD SEKATAK BUJI PERIODE BULAN FEBRUARI PT.PLN (PERSERO) AREA BERAU</t>
  </si>
  <si>
    <t>JASA BORONG ANGKU BBM WILAYAH II PLTD LONG BELUAH PERIODE BULAN FEBRUARI PT.PLN (PERSERO) AREA BERAU</t>
  </si>
  <si>
    <t>JASA BORONG ANGKU BBM WILAYAH II PLTD MARA PERIODE BULAN FEBRUARI PT.PLN (PERSERO) AREA BERAU</t>
  </si>
  <si>
    <t>SPP 046/AO/BRU/2016</t>
  </si>
  <si>
    <t>Pemborongan Pekerjaan Outsourching Rayon Tanjung Selor Dan Misipnya Serta Rayon Nunukan Dan Misipinya Bulan April  2016 PT. PLN (Persero) Area Berau</t>
  </si>
  <si>
    <t>Pemborongan Pekerjaan Outsourching Rayon Tanjung Selor Dan Misipnya Serta Rayon Nunukan Dan Misipinya Bulan Mei  2016 PT. PLN (Persero) Area Berau</t>
  </si>
  <si>
    <t>PEMBORONGAN PEKERJAAN OUTSOURCING KANTOR AREA BERAU DAN RAYON MALINAU BULAN Mei 2016 PT. PLN (PERSERO) AREA BERAU</t>
  </si>
  <si>
    <t>Pemborongan Pekerjaan Outsourching Rayon Tanjung Selor Dan Misipnya Serta Rayon Nunukan Dan Misipinya Bulan Mei 2016 PT. PLN (Persero) Area Berau</t>
  </si>
  <si>
    <t>PEMBORONGAN PEKERJAAN OUTSOURCING KANTOR AREA BERAU DAN RAYON MALINAU BULAN mEI 2016 PT. PLN (PERSERO) AREA BERAU</t>
  </si>
  <si>
    <t>015.SPP/DAN.02.03/ABRU/2016</t>
  </si>
  <si>
    <t>SPP 048 AO 2016</t>
  </si>
  <si>
    <t>SPP 049 AO 2016</t>
  </si>
  <si>
    <t>SPP 049 AO BRU 2016</t>
  </si>
  <si>
    <t>023.SPK/DAN.02.01/ABRU/2016</t>
  </si>
  <si>
    <t>028.SPK/DAN.02.01/ABRU/2016</t>
  </si>
  <si>
    <t>JASA BORONG ANGKU BBM WILAYAH I PLTD GUNUNG SARI PERIODE FEBRUARI 2016 PT.PLN (PERSERO) AREA BERAU</t>
  </si>
  <si>
    <t>JASA BORONG ONGKOS ANGKUT BBM WILAYAH I PLTD BATU PUTIH PERIODE BULAN FEBRUARI 2016 PT. PLN (Persero) AREA BERAU</t>
  </si>
  <si>
    <t>SPP 049/AO/BRU/2016</t>
  </si>
  <si>
    <t>PRK.2016.WKT-4.9.53211.9</t>
  </si>
  <si>
    <t>00249/DAN.01.03/MANBRU/2016</t>
  </si>
  <si>
    <t>192/JAR/ABRU/2016</t>
  </si>
  <si>
    <t>Jasa Borong Pengadaan dan Pemasangan Tower Radio Komunikasi 40m Rayon Malinau</t>
  </si>
  <si>
    <t>Pengadaan Material CT TM</t>
  </si>
  <si>
    <t>193/JAR/ABRU/2016</t>
  </si>
  <si>
    <t>Pengadaan Modem untuk Koneksi Pelanggan AMR</t>
  </si>
  <si>
    <t>143.SPK/DAN.02.01/ABRU/2016</t>
  </si>
  <si>
    <t>CV. JAYA SENTOSA</t>
  </si>
  <si>
    <t>PT. NUSA MANDIRI</t>
  </si>
  <si>
    <t>126.SPK/DAN.02.01/ABRU/2016 01 Juni s/d 30 Juni 2016</t>
  </si>
  <si>
    <t>CV. SINAR JAYA</t>
  </si>
  <si>
    <t>125.SPK/DAN.02.01/ABRU/2016 01 Juni s/d 30 Juni 2016</t>
  </si>
  <si>
    <t>CV. DUA CAHAYA ANUGERAH</t>
  </si>
  <si>
    <t>124.SPK/DAN.02.01/ABRU/2016 01 Juni s/d 30 Juni 2016</t>
  </si>
  <si>
    <t>CV. PERIGI REZEKI</t>
  </si>
  <si>
    <t>121.SPK/DAN.02.07/ABRU/2016 01 Juni s/d 30 September 2016</t>
  </si>
  <si>
    <t>CV. CENTRAL SERVICE</t>
  </si>
  <si>
    <t>118.SPK/DAN.02.01/ABRU/2016 24 Mei s/d 30 Juni 2016</t>
  </si>
  <si>
    <t>CV. MERINDO UTAMA</t>
  </si>
  <si>
    <t>115.SPK/DAN.02.03/ABRU/2016 02 Mei s/d 01 Juli 2016</t>
  </si>
  <si>
    <t>PT. DUTA ENERGI MULIATAMA</t>
  </si>
  <si>
    <t>057.SPP/DAN.02.01/ABRU/2016 07 Juni s/d 06 Juli 2016</t>
  </si>
  <si>
    <t>058.SPP/DAN.02.01/ABRU/2016 07 Juni s/d 06 Juli 2016</t>
  </si>
  <si>
    <t>059.SPP/DAN.02.01/ABRU/2016 07 Juni s/d 06 Juli 2016</t>
  </si>
  <si>
    <t>056.SPP/DAN.02.03/ABRU/2016 07 Juni s/d 06 Juli 2016</t>
  </si>
  <si>
    <t>055.SPP/DAN.02.01/ABRU/2016 01 Juni s/d 14 Juni 2016</t>
  </si>
  <si>
    <t>053.SPP/DAN.02.01/ABRU/2016 01 Juni s/d 14 Juni 2016</t>
  </si>
  <si>
    <t>052.SPP/DAN.02.01/ABRU/2016 01 Juni s/d 14 Juni 2016</t>
  </si>
  <si>
    <t>051.SPP/DAN.02.07/ABRU/2016 01 - 14 Juni 2016</t>
  </si>
  <si>
    <t>050.SPP/DAN.02.03/ABRU/2016 01 Juni s/d 30 Juni 2016</t>
  </si>
  <si>
    <t>049.SPP/DAN.02.07/ABRU/2016 01 Juni  - 31 Desember 2016</t>
  </si>
  <si>
    <t>048.SPP/DAN.02.03/ABRU/2016 01 Juni s/d 15 Juni 2016</t>
  </si>
  <si>
    <t>PT. MOETIARA WANGI TIMOER</t>
  </si>
  <si>
    <t>047.SPP/DAN.02.03/ABRU/2016 01 Juni s/d 30 Juni 2016</t>
  </si>
  <si>
    <t>046.SPP/DAN.02.03/ABRU/2016 01 Juni s/d 30 Juni 2016</t>
  </si>
  <si>
    <t>CV. PANCA PRIMA</t>
  </si>
  <si>
    <t>043.SPP/DAN.02.03/ABRU/2016 01 Juni s/d 30 Juni 2016</t>
  </si>
  <si>
    <t>040.SPP/DAN.02.03/ABRU/2016 01 Juni 2016 s/d 01 Juli 2017</t>
  </si>
  <si>
    <t>PT. SERASI AUTO RAYA</t>
  </si>
  <si>
    <t>030.SPP/DAN.02.03/ABRU/2016 30 Mei  2016</t>
  </si>
  <si>
    <t>027.SPP/DAN.02.03/ABRU/2016 27 Mei s/d 27 Juni 2016</t>
  </si>
  <si>
    <t>026.SPP/DAN.02.03/ABRU/2016 26 Mei s/d 26 Juni 2016</t>
  </si>
  <si>
    <t>025.SPP/DAN.02.03/ABRU/2016 26 Mei s/d 26 Juli 2016</t>
  </si>
  <si>
    <t>021.SPP/DAN.02.03/ABRU/2016 26 Mei s/d 26 Juli 2016</t>
  </si>
  <si>
    <t>020.SPP/DAN.02.03/ABRU/2016 18 Mei s/d 18 Juni 2016</t>
  </si>
  <si>
    <t>018.SPP/DAN.02.03/ABRU/2016 18 Mei - 18 Juni 2016</t>
  </si>
  <si>
    <t>017.SPP/DAN.02.03/ABRU/2016 18 Mei s/d 18 Agustus 2016</t>
  </si>
  <si>
    <t>001.PJ/DAN.02.01/ABRU/2016 08 Juni s/d 07 Juli 2016</t>
  </si>
  <si>
    <t xml:space="preserve">PT SINERGI RODIKA UTAMA </t>
  </si>
  <si>
    <t>SPP 014 AI 2016</t>
  </si>
  <si>
    <t>SPP 015 AI 2016</t>
  </si>
  <si>
    <t>SPP 016 AI 2016</t>
  </si>
  <si>
    <t>SPP 017 AI 2016</t>
  </si>
  <si>
    <t>080.SPK/DAN.02.03/ABRU/2016 01 April s/d 31 Desember 2016</t>
  </si>
  <si>
    <t>081.SPK/DAN.02.03/ABRU/2016 01 April s/d 31 Desember 2016</t>
  </si>
  <si>
    <t>082.SPK/DAN.02.03/ABRU/2016 01 April s/d 31 Desember 2016</t>
  </si>
  <si>
    <t>083.SPK/DAN.02.03/ABRU/2016 01 April s/d 31 Desember 2016</t>
  </si>
  <si>
    <t>084.SPK/DAN.02.03/ABRU/2016 01 April s/d 30 September 2016</t>
  </si>
  <si>
    <t>PT. SAI GLOBAL</t>
  </si>
  <si>
    <t>160.SPK/DAN.02.01/ABRU/2016 01 Juni s/d 30 Juni 2016</t>
  </si>
  <si>
    <t>CV. DUTA ENERGI MULIATAMA</t>
  </si>
  <si>
    <t>159.SPK/DAN.02.06/ABRU/2016 01 Juni s/d 30 Juni 2016</t>
  </si>
  <si>
    <t>180.SPK/DAN.02.03/ABRU/2016 23 Juni s/d 23 Agustus 2016</t>
  </si>
  <si>
    <t>185.SPK/DAN.02.01/ABRU/2016 28 Juni s/d 12 Juli 2016</t>
  </si>
  <si>
    <t>186.SPK/DAN.02.01/ABRU/2016 28 Juni s/d 27 Juli 2016</t>
  </si>
  <si>
    <t>187.SPK/DAN.02.01/ABRU/2016 28 Juni s/d 27 Juli 2016</t>
  </si>
  <si>
    <t>189.SPK/DAN.02.01/ABRU/2016 28 Juni s/d 28 Juli 2016</t>
  </si>
  <si>
    <t>CV. NUGRAHA NITYASA</t>
  </si>
  <si>
    <t>190.SPK/DAN.02.01/ABRU/2016 28 Juni s/d 28 Juli 2016</t>
  </si>
  <si>
    <t>191.SPK/DAN.02.01/ABRU/2016 28 Juni s/d 28 Juli 2016</t>
  </si>
  <si>
    <t>CV. MUSTIKA SURYA ELEKTRIC</t>
  </si>
  <si>
    <t>062.SPP/DAN.02.03/ABRU/2016 27 Juni s/d 10 Juli 2016</t>
  </si>
  <si>
    <t>061.SPP/DAN.02.03/ABRU/2016 27 Juni s/d 10 Juli 2016</t>
  </si>
  <si>
    <t>CV. BERAU ELEKTRIC</t>
  </si>
  <si>
    <t>PT. TEKNIKA PESONA KAHAYAN</t>
  </si>
  <si>
    <t>SPP 050 AO 2016</t>
  </si>
  <si>
    <t>SPP 050 AO BRU 2016</t>
  </si>
  <si>
    <t>026.SPK/DAN.02.01/ABRU/2016</t>
  </si>
  <si>
    <t>022.SPK/DAN.02.01/ABRU/2016</t>
  </si>
  <si>
    <t>073.SPK/DAN.02.01/ABRU/2016</t>
  </si>
  <si>
    <t>JASA BORONG ANGKU BBM WILAYAH I PLTD TALISAYAN PERIODE FEBRUARI 2016 PT.PLN (PERSERO) AREA BERAU</t>
  </si>
  <si>
    <t>JASA BORONG ONGKOS ANGKUT BBM WILAYAH I PLTD SEI BUAYA PERIODE BULAN FEBRUARI 2016 PT. PLN (Persero) AREA BERAU</t>
  </si>
  <si>
    <t>JASA BORONG ANGKU BBM WILAYAH II PLTD SEKATAK BUJI PERIODE BULAN APRIL PT.PLN (PERSERO) AREA BERAU</t>
  </si>
  <si>
    <t>SPP 050/AO/BRU/2016</t>
  </si>
  <si>
    <t>091.SPK/DAN.02.03/ABRU/2016 12 April s/d 10 Juni 2016</t>
  </si>
  <si>
    <t>REALISASI PERSEKOT TNP2K</t>
  </si>
  <si>
    <t>REALISASI PERSEKOT</t>
  </si>
  <si>
    <t>Jasa Borong Pengadaan dan Pemasangan Tower Radio Komunikasi 40m Rayon Tanjung Selor</t>
  </si>
  <si>
    <t>194/JAR/ABRU/2016</t>
  </si>
  <si>
    <t>Jasa Borong Pengadaan dan Pemasangan Tower Radio Komunikasi 40m Kantor Pelayanan KTT</t>
  </si>
  <si>
    <t>196/JAR/ABRU/2016</t>
  </si>
  <si>
    <t>195/JAR/ABRU/2016</t>
  </si>
  <si>
    <t>197/TU/ABRU/2016</t>
  </si>
  <si>
    <t>Pengadaan Finger Print PT PLN (Persero) Area Berau</t>
  </si>
  <si>
    <t>198/TU/ABRU/2016</t>
  </si>
  <si>
    <t>Perbaikan Halaman (pembuatan paving) &amp; Parit PT PLN (Persero) Area Berau Rayon Malinau</t>
  </si>
  <si>
    <t>199/TU/ABRU/2016</t>
  </si>
  <si>
    <t>Sewa Kendaraan Roda 2 untuk Kantor Pelayanan Krayan PT PLN (Persero) Area Berau</t>
  </si>
  <si>
    <t>200/TU/ABRU/2016</t>
  </si>
  <si>
    <t>Sewa Kendaraan Roda 2 untuk PT PLN (Persero) Area Berau &amp; Unit - unit</t>
  </si>
  <si>
    <t>201/TE/ABRU/2016</t>
  </si>
  <si>
    <t>202/TE/ABRU/2016</t>
  </si>
  <si>
    <t>203/TE/ABRU/2016</t>
  </si>
  <si>
    <t>Pemeliharaan Meter 1 Phase Rayon Tanjung Selor</t>
  </si>
  <si>
    <t>Pemeliharaan Meter 1 Phase Rayon Malinau</t>
  </si>
  <si>
    <t>Pemeliharaan Meter 1 Phase Rayon Nunukan</t>
  </si>
  <si>
    <t>00251/DAN.01.03/MANBRU/2016</t>
  </si>
  <si>
    <t>00254/DAN.01.06/MANBRU/2016</t>
  </si>
  <si>
    <t>00253/DAN.01.06/MANBRU/2016</t>
  </si>
  <si>
    <t>00252/DAN.01.06/MANBRU/2016</t>
  </si>
  <si>
    <t>010.DIST/AO/BRU/2016/M</t>
  </si>
  <si>
    <t>0689/KEU.01.02/WKTKU/2016-R</t>
  </si>
  <si>
    <t>PRK.2016.WKT-1.9.53222.306</t>
  </si>
  <si>
    <t>Pengadaan peralatan kerja bidang jaringan di PLN Area Berau</t>
  </si>
  <si>
    <t>PRK.2016.WKT-1.3.11</t>
  </si>
  <si>
    <t>PRK.2016.WKT-1.3.12</t>
  </si>
  <si>
    <t>Pemasangan Feeder Ekspres GH KM 12 untuk evakuasi daya PT SAS</t>
  </si>
  <si>
    <t>Pengadaan dan Pemasangan Recloser Area Berau</t>
  </si>
  <si>
    <t>Pengadaan Tiang Beton 13 Meter untuk mengganti tiang keropos di Batu Putih</t>
  </si>
  <si>
    <t>006.DIST/AI-R/BRU/2016/M</t>
  </si>
  <si>
    <t>007.DIST/AI-R/BRU/2016/M</t>
  </si>
  <si>
    <t>0695/KEU.01.01/WKTKU/2016-R</t>
  </si>
  <si>
    <t>PRK.2016.WKT-4.3.28</t>
  </si>
  <si>
    <t>Pemasangan Jasa SUTM, Trafo dan JTR untuk mengatasi tegangan drop di Area Berau</t>
  </si>
  <si>
    <t>00258/DAN.01.03/ABRU/2016</t>
  </si>
  <si>
    <t>00257/DAN.01.03/ABRU/2016</t>
  </si>
  <si>
    <t>00259/DAN.01.03/ABRU/2016</t>
  </si>
  <si>
    <t>00260/DAN.01.03/MANBRU/2016</t>
  </si>
  <si>
    <t>00262/DAN.01.03/MANBRU/2016</t>
  </si>
  <si>
    <t>00261/DAN.01.03/MANBRU/2016</t>
  </si>
  <si>
    <t>0685/KEU.01.02/WKTKU/2016-R</t>
  </si>
  <si>
    <t>008.KIT/AO/BRU/2016/M</t>
  </si>
  <si>
    <t>PRK.2016.WKT-4.3.53212.257</t>
  </si>
  <si>
    <t>Biaya Material dan Jasa Perbaikan Gangguan Mesin</t>
  </si>
  <si>
    <t>PRK.2016.WKT-4.3.53212.258</t>
  </si>
  <si>
    <t>PRK.2016.WKT-4.3.53212.260</t>
  </si>
  <si>
    <t>Relokasi Mesin Pembangkit di Lokasi PLTD tersebar</t>
  </si>
  <si>
    <t>SO Cummin KTA 50 G3 SN.25340396 PLTD Malinau 001.PJ/DAN.02.01/ABRU/2015 02 Jan 2015</t>
  </si>
  <si>
    <t>206/KIT/ABRU/2016</t>
  </si>
  <si>
    <t>Pengadaan Material dan Jasa untuk Mengatasi Gangguan Mesin Deutz di PLTD Tersebar PT PLN (Persero) Area Berau</t>
  </si>
  <si>
    <t>207/KIT/ABRU/2016</t>
  </si>
  <si>
    <t>Pengadaan Expantion Joint untuk Mesin Perkins PLTD Talisayan PT PLN (Persero) Area Berau</t>
  </si>
  <si>
    <t>208/KIT/ABRU/2016</t>
  </si>
  <si>
    <t>Pengadaan Trafo Step Up 630 kVa dan 400 kVa untuk PLTD Tersebar PT PLN (Persero) Area Berau</t>
  </si>
  <si>
    <t>209/KIT/ABRU/2016</t>
  </si>
  <si>
    <t>Pengadaan Kabel Power untuk Instalasi Trafo Step Up di PLTD Tersebar PT PLN (Persero) Area Berau</t>
  </si>
  <si>
    <t>210/KIT/ABRU/2016</t>
  </si>
  <si>
    <t>Pengadaan Bahan Kimia Pembersih Lingkungan untuk PLTD Tersebar PT PLN (Persero) Area Berau</t>
  </si>
  <si>
    <t>211/JAR/ABRU/2016</t>
  </si>
  <si>
    <t>Pemasangan SUTM untuk Evakuasi Beban PLTU SAS GH KM 12 - Pertigaan Malinau</t>
  </si>
  <si>
    <t>00264/DAN.01.03/MANBRU/2016</t>
  </si>
  <si>
    <t>00266/DAN.01.03/MANBRU/2016</t>
  </si>
  <si>
    <t>212/JAR/ABRU/2016</t>
  </si>
  <si>
    <t>Pengadaan Alat Pemutus Beban Sistem Tanjung Selor untuk Optimalisasi Evakuasi Daya PT SAS</t>
  </si>
  <si>
    <t>00265/DAN.01.03/MANBRU/2016</t>
  </si>
  <si>
    <t>213/JAR/ABRU/2016</t>
  </si>
  <si>
    <t>Pengadaan Alat Pemisah untuk End Pole Feeder Sistem Tanjung Selor Sebagai Upaya untuk Optimalisasi Evakuasi Daya PT SAS</t>
  </si>
  <si>
    <t>00268/DAN.01.01/MANBRU/2016</t>
  </si>
  <si>
    <t>00267/DAN.01.01/MANBRU/2016</t>
  </si>
  <si>
    <t>00269/DAN.01.01/MANBRU/2016</t>
  </si>
  <si>
    <t>Pengadaan Separator BBM Solar untuk Kehandalan Sistem di PLTD Sei Limau PT PLN (Persero) Area Berau</t>
  </si>
  <si>
    <t>00270/DAN.01.03/MANBRU/2016</t>
  </si>
  <si>
    <t>214/JAR/ABRU/2016</t>
  </si>
  <si>
    <t>Pengadaan Recloser 20 kV Area Berau sebanyak 4 (empat) unit</t>
  </si>
  <si>
    <t>00272/DAN.01.01/MANBRU/2016</t>
  </si>
  <si>
    <t>00271/DAN.02.01/MANBRU/2016</t>
  </si>
  <si>
    <t>215/TE/ABRU/2016</t>
  </si>
  <si>
    <t>216/JAR/ABRU/2016</t>
  </si>
  <si>
    <t>Pengadaan Material Fast Moving PT PLN (Persero) Area Berau</t>
  </si>
  <si>
    <t>217/JAR/ABRU/2016</t>
  </si>
  <si>
    <t>Pengadaan Peralatan Kerja PT PLN (Persero) Area Berau</t>
  </si>
  <si>
    <t>218/JAR/ABRU/2016</t>
  </si>
  <si>
    <t>Jasa Borong Pemasangan Gardu Sisipan Distribusi Rayon Tanjung Redeb</t>
  </si>
  <si>
    <t>219/KIT/ABRU/2016</t>
  </si>
  <si>
    <t>Pengadaan Separator BBM Solar untuk Kehandalan Sistem di PLTD Talisayan PT PLN (Persero) Area Berau</t>
  </si>
  <si>
    <t>067.SPP/DAN.02.01/ABRU/2016 01 Juli s/d 30 Juli 2016</t>
  </si>
  <si>
    <t>184.SPK/DAN.02.01/ABRU/2016 28 Juni s/d 27Juli 2016</t>
  </si>
  <si>
    <t>CV. ANEKA CIPTA SEJAHTERA</t>
  </si>
  <si>
    <t>119.SPK/DAN.02.01/ABRU/2016 30 Mei s/d 30 Juni 2016</t>
  </si>
  <si>
    <t>029.SPP/DAN.02.01/ABRU/2016 30 Mei s/d 30 Juni 2016</t>
  </si>
  <si>
    <t>SPP 039 AO BRU</t>
  </si>
  <si>
    <t>SPP 051 AO BRU</t>
  </si>
  <si>
    <t>SPP 056 AO BRU</t>
  </si>
  <si>
    <t>00274/DAN.01.03/MANBRU/2016</t>
  </si>
  <si>
    <t>00273/DAN.01.03/MANBRU/2016</t>
  </si>
  <si>
    <t>SPP 059 AO BRU 2016</t>
  </si>
  <si>
    <t>SPP 058 AO BRU 2016</t>
  </si>
  <si>
    <t>220/KIT/ABRU/2016</t>
  </si>
  <si>
    <t>Pemeliharaan Turbocharge untuk Mesin Daihatsu 6DL28Z di PT PLN (Persero) Area Berau</t>
  </si>
  <si>
    <t>00277/DAN.01.03/MANBRU/2016</t>
  </si>
  <si>
    <t>221/KIT/ABRU/2016</t>
  </si>
  <si>
    <t>Pembuatan Rak Gudang PLTD Derawan PT PLN (Persero) Area Berau</t>
  </si>
  <si>
    <t>222/KIT/ABRU/2016</t>
  </si>
  <si>
    <t>00279/DAN.01.01/MANBRU/2016</t>
  </si>
  <si>
    <t>Pengangkutan BBM HSD dari PLTD Malinau ke PLTD Sei Menggaris Tahun 2016</t>
  </si>
  <si>
    <t>00283/DAN.01.01/MANBRU/2016</t>
  </si>
  <si>
    <t>00286 /DAN.01.01/MANBRU/2016</t>
  </si>
  <si>
    <t>Sarana Keselamatan dan Keamanan Kerja PLTD Tersebar</t>
  </si>
  <si>
    <t>0747/KEU.01.02/WKTKU/2016-R</t>
  </si>
  <si>
    <t>066.SPP/DAN.02.01/ABRU/2016 1 Juli s/d 31 Juli 2016</t>
  </si>
  <si>
    <t>194.SPK/DAN.02.01/ABRU/2016 30 Juni s/d 29 Juli 2016</t>
  </si>
  <si>
    <t>195.SPK/DAN.02.01/ABRU/2016 30 Juni s/d 29 Juli 2016</t>
  </si>
  <si>
    <t>SPP 054 AO 2016</t>
  </si>
  <si>
    <t>SPP 059 AO 2016</t>
  </si>
  <si>
    <t>196.SPK/DAN.02.01/ABRU/2016 30 Juni s/d 29 Juli 2016</t>
  </si>
  <si>
    <t>PT DUTA ENERGI MULIAUTAMA</t>
  </si>
  <si>
    <t>00289/DAN.01.03/MANBRU/2016</t>
  </si>
  <si>
    <t>00291/DAN.01.03/MANBRU/2016</t>
  </si>
  <si>
    <t>00290/DAN.01.03/MANBRU/2016</t>
  </si>
  <si>
    <t>SPP 051 AO 2016</t>
  </si>
  <si>
    <t>047.SPK/DAN.02.01/ABRU/2016</t>
  </si>
  <si>
    <t>JASA ONGKOS ANGKUT BBM WILAYAH I PLTD DERAWAN PERIODE BULAN MARET 2016 PT. PLN (PERSERO) AREA BERAU</t>
  </si>
  <si>
    <t>SPP 051/AO/BRU/2016</t>
  </si>
  <si>
    <t>0768/KEU.01.01/WKTKU/2016-R</t>
  </si>
  <si>
    <t>PRK.2016.WKT-1.3.14</t>
  </si>
  <si>
    <t>049.SPK/DAN.02.01/ABRU/2016</t>
  </si>
  <si>
    <t>JASA ONGKOS ANGKUT BBM WILAYAH I PLTD BIDUK-BIDUK PERIODE BULAN MARET 2016 PT. PLN (PERSERO) AREA BERAU</t>
  </si>
  <si>
    <t>SPP 052/AO/BRU/2016</t>
  </si>
  <si>
    <t>SPP 052 AO 2016</t>
  </si>
  <si>
    <t>PEMBORONGAN PEKERJAAN JASA PELAYANAN TEKNIK MISIP TANJUNG REDEB DAN TANJUNG SELOR BULAN MEI 2016 PT. PLN (Persero) AREA BERAU</t>
  </si>
  <si>
    <t>PEMBORONGAN PEKERJAAN JASA PELAYANAN TEKNIK MISIP MALINAU DAN NUNUKAN BULAN MEI 2016 PT. PLN (Persero) AREA BERAU</t>
  </si>
  <si>
    <t>SPP 053 AO 2016</t>
  </si>
  <si>
    <t xml:space="preserve">PEMBAYARAN BIAYA OPERASIONAL P2TL MANDIRI PT.PLN (Persero) AREA BERAU </t>
  </si>
  <si>
    <t>050.SPK/DAN.02.01/ABRU/2016</t>
  </si>
  <si>
    <t>JASA BORONG ONGKOS ANGKUT BBM WILAYAH I PLTD BATU PUTIH PERIODE BULAN MARET 2016 PT. PLN (Persero) AREA BERAU</t>
  </si>
  <si>
    <t>025.SPK/DAN.02.01/ABRU/2016</t>
  </si>
  <si>
    <t>JASA ONGKOS ANGKUT BBM WILAYAH I PLTD DERAWAN PERIODE BULAN FEBRUARI 2016 PT. PLN (PERSERO) AREA BERAU</t>
  </si>
  <si>
    <t>043.SPK/DAN.02.01/ABRU/2016</t>
  </si>
  <si>
    <t xml:space="preserve">JASA BORONG ONGKOS ANGKUT BBM WILAYAH I PLTD SAMBALIUNG PERIODE MARET 2016 PT.PLN (Persero) AREA BERAU </t>
  </si>
  <si>
    <t>048.SPK/DAN.02.01/ABRU/2016</t>
  </si>
  <si>
    <t>JASA BORONG ANGKU BBM WILAYAH I PLTD TALISAYAN PERIODE MARET 2016 PT.PLN (PERSERO) AREA BERAU</t>
  </si>
  <si>
    <t>021.SPK/DAN.02.01/ABRU/2016</t>
  </si>
  <si>
    <t>JASA ONGKOS ANGKUT BBM WILAYAH I PLTD SAMBALIUNG PERIODE BULAN FEBRUARI PT. PLN (PERSERO) AREA BERAU</t>
  </si>
  <si>
    <t>SPP 054/AO/BRU/2016</t>
  </si>
  <si>
    <t>046.SPK/DAN.02.01/ABRU/2016</t>
  </si>
  <si>
    <t>JASA BORONG ONGKOS ANGKUT BBM WILAYAH I PLTD TANJUNG BATU  PERIODE BULAN MARET 2016 PT. PLN (Persero) AREA BERAU</t>
  </si>
  <si>
    <t>024.SPK/DAN.02.01/ABRU/2016</t>
  </si>
  <si>
    <t>JASA BORONG ONGKOS ANGKUT BBM WILAYAH I PLTD TANJUNG BATU  PERIODE BULAN FEBRUARI 2016 PT. PLN (Persero) AREA BERAU</t>
  </si>
  <si>
    <t>045.SPK/DAN.02.01/ABRU/2016</t>
  </si>
  <si>
    <t xml:space="preserve">JASA BORONG ONGKOS ANGKUT BBM WILAYAH I PLTD MERASA PERIODE MARET 2016 PT.PLN (Persero) AREA BERAU </t>
  </si>
  <si>
    <t>SPP 055/AO/BRU/2016</t>
  </si>
  <si>
    <t>036/ND/KIT/ABRU/2016</t>
  </si>
  <si>
    <t>035/ND/KIT/ABRU/2016</t>
  </si>
  <si>
    <t>SPP 055 AO 2016</t>
  </si>
  <si>
    <t>076.SPK/DAN.02.01/ABRU/2016</t>
  </si>
  <si>
    <t xml:space="preserve">JASA BORONG ONGKOS ANGKUT BBM WILAYAH II PLTD ATAP PERIODE BULAN FEBRUARI 2016 PT. PLN (PERSERO) AREA BERAU </t>
  </si>
  <si>
    <t>071.SPP/DAN.02.03/ABRU/2016 11 Juli s/d 24 Agustus 2016</t>
  </si>
  <si>
    <t>070.SPP/DAN.02.03/ABRU/2016 11 Juli s/d 08 September 2016</t>
  </si>
  <si>
    <t>079.SPP/DAN.02.03/ABRU/2016 11 Juli - 25 Juli 2016</t>
  </si>
  <si>
    <t>PT. RACOMINDO JAYA</t>
  </si>
  <si>
    <t>069.SPP/DAN.02.03/ABRU/2016 11 Juli s/d 10 Agustus 2016</t>
  </si>
  <si>
    <t>068.SPP/DAN.02.03/ABRU/2016 01 Juli s/d 28 Juli 2016</t>
  </si>
  <si>
    <t>199.SPK/DAN.02.03/ABRU/2016 01 Juli s/d 01 September 2016</t>
  </si>
  <si>
    <t>PT. SMART METER INDONESIA</t>
  </si>
  <si>
    <t>198.SPK/DAN.02.03/ABRU/2016 01 Juli s/d 01 September 2016</t>
  </si>
  <si>
    <t>197.SPK/DAN.02.01/ABRU/2016 30 Juni s/d 29 Juli 2016</t>
  </si>
  <si>
    <t>CV. MULTI DAYA  MANDIRI</t>
  </si>
  <si>
    <t>036.SPK/DAN.02.01/ABRU/2016</t>
  </si>
  <si>
    <t>JASA BORONG ONGKOS ANGKUT BBM WILAYAH II PLTD KUALA LAPANG PERIODE BULAN FEBRUARI 2016 PT. PLN (PERSERO) AREA BERAU</t>
  </si>
  <si>
    <t>SPP 056/AO/BRU/2016</t>
  </si>
  <si>
    <t>014.SPP/DAN.02.03/ABRU/2016</t>
  </si>
  <si>
    <t>SPP 056 AO 2016</t>
  </si>
  <si>
    <t>024.SPP/DAN.02.07/ABRU/2016</t>
  </si>
  <si>
    <t>SPP 058 AO 2016</t>
  </si>
  <si>
    <t xml:space="preserve">Pemborongan Pekerjaan Outsourching Rayon Tanjung Selor Dan Misipnya Serta Rayon Nunukan Dan Misipinya Bulan Juni 2016 PT. PLN (Persero) Area Berau </t>
  </si>
  <si>
    <t>PEMBORONGAN PEKERJAAN OUTSOURCING KANTOR AREA BERAU DAN RAYON MALINAU BULAN JUNI 2016 PT. PLN (PERSERO) AREA BERAU</t>
  </si>
  <si>
    <t>overtime mei</t>
  </si>
  <si>
    <t>023.SPP/DAN.02.01/ABRU/2016</t>
  </si>
  <si>
    <t>PT.STARINDO TITIAN UTAMA</t>
  </si>
  <si>
    <t>SPP 061 AO 2016</t>
  </si>
  <si>
    <t>047.ND/KEU.00.02/TE/ABRU/2016</t>
  </si>
  <si>
    <t>SPP 018 AI 2016</t>
  </si>
  <si>
    <t>SPP 019 AI 2016</t>
  </si>
  <si>
    <t>SPP 020 AI 2016</t>
  </si>
  <si>
    <t>SPP 021 AI 2016</t>
  </si>
  <si>
    <t>223/KIT/ABRU/2016</t>
  </si>
  <si>
    <t>Pembuatan Bak Separator Limbah Lokasi PLTD Derawan PT PLN (Persero) Area Berau</t>
  </si>
  <si>
    <t>224/KIT/ABRU/2016</t>
  </si>
  <si>
    <t>Pengadaan Trafo Step Up 1000 kVa dan 400 kVa untuk PLTD Tersebar PT PLN (Persero) Area Berau</t>
  </si>
  <si>
    <t>225/KIT/ABRU/2016</t>
  </si>
  <si>
    <t>Pengadaan Material dan Jasa untuk Mengatasi Gangguan Mesin-Mesin di PLTD Tersebar PT PLN (Persero) Area Berau</t>
  </si>
  <si>
    <t>226/JAR/ABRU/2016</t>
  </si>
  <si>
    <t>Jasa Pemasangan Pentanahan Trafo 12 Lokasi Di Rayon Malinau</t>
  </si>
  <si>
    <t>00296/DAN.01.01/MANBRU/2016</t>
  </si>
  <si>
    <t>00295/DAN.01.01/MANBRU/2016</t>
  </si>
  <si>
    <t>00294/DAN.01.01/MANBRU/2016</t>
  </si>
  <si>
    <t>00298/DAN.01.03/MANBRU/2016</t>
  </si>
  <si>
    <t>227/KIT/ABRU/2016</t>
  </si>
  <si>
    <t>Pengadaan Terminating Untuk Mengatasi Gangguan di PLTD Tersebar PT PLN (Persero) Area Berau</t>
  </si>
  <si>
    <t>00300/DAN.01.01/MANBRU/2016</t>
  </si>
  <si>
    <t>228/KIT/ABRU/2016</t>
  </si>
  <si>
    <t xml:space="preserve">Pengadaan Panel Proteksi Mesin BF6M 1013 PLTD Sekatak Buji PT PLN (Persero) Area Berau </t>
  </si>
  <si>
    <t>229/JAR/ABRU/2016</t>
  </si>
  <si>
    <t>Jasa Borong Pembuatan Gedung PDKB Area Berau</t>
  </si>
  <si>
    <t>00306/DAN.01.01/MANBRU/2016</t>
  </si>
  <si>
    <t>092.SPK/DAN.02.03/ABRU/2016 26 April 2016 s/d 25 Mei 2016</t>
  </si>
  <si>
    <t>SPP 039 AO 2016</t>
  </si>
  <si>
    <t>016.SPP/DAN.02.03/ABRU/2016 18 Mei 2016 s/d 16 Juni 2016</t>
  </si>
  <si>
    <t>231/JAR/ABRU/2016</t>
  </si>
  <si>
    <t>Pengadaan Peralatan Penunjang APD PDKB Area Berau</t>
  </si>
  <si>
    <t>233/JAR/ABRU/2016</t>
  </si>
  <si>
    <t>Jasa Borong Rekonstruksi Tiang Beton 13 Meter untuk mengganti tiang rendah dan keropos di Batu Putih</t>
  </si>
  <si>
    <t>REVISI: 002.DIST/AO/BRU/2016/M 0552/KEU.01.02/WKTKU/2016-R 30 Mei 2016</t>
  </si>
  <si>
    <t>002.DIST/AO/BRU/2016/M 0096/KEU.01.02/WKTKU/2016-R 4 Februari 2016</t>
  </si>
  <si>
    <t>REVISI: 003.DIST/AO/BRU/2016/M 0556/KEU.01.02/WKTKU/2016-R 30 Mei 2016</t>
  </si>
  <si>
    <t>003.DIST/AO/BRU/2016/M 0218/KEU.01.02/WKTKU/2016-R 07 Maret 2016</t>
  </si>
  <si>
    <t>004.DIST/AO/BRU/2016/M 0302/KEU.01.02/WKTKU/2016-R 24 Maret 2016</t>
  </si>
  <si>
    <t>REVISI: 004.DIST/AO/BRU/2016/M 0559/KEU.01.02/WKTKU/2016-R 30 Mei 2016</t>
  </si>
  <si>
    <t>005.DIST/AO/BRU/2016/M 0297/KEU.01.02/WKTKU/2016-R 24 Maret 2016</t>
  </si>
  <si>
    <t>REVISI: 005.DIST/AO/BRU/2016/M 0553/KEU.01.02/WKTKU/2016-R 30 Mei 2016</t>
  </si>
  <si>
    <t>232/JAR/ABRU/2016</t>
  </si>
  <si>
    <t>00309/DAN.01.03/MANBRU/2016</t>
  </si>
  <si>
    <t>00310/DAN.01.03/MANBRU/2016</t>
  </si>
  <si>
    <t>234/TUL/ABRU/2016</t>
  </si>
  <si>
    <t>Pembuatan Papan Nama Aset PT PLN (Persero) Area Berau</t>
  </si>
  <si>
    <t>235/KIT/ABRU/2016</t>
  </si>
  <si>
    <t>Pengadaan Injector untuk Mesin Perkins 400 TAG 2 SN. 0109031857-6 PLTD Talisayan PT PLN (Persero) Area Berau</t>
  </si>
  <si>
    <t>237/KIT/ABRU/2016</t>
  </si>
  <si>
    <t>Jasa Relokasi dan Pengangkutan Mesin, Trafo Step Up dan Generator di PLTD Tersebar PT. PLN (Persero) Area Berau</t>
  </si>
  <si>
    <t>238/KIT/ABRU/2016</t>
  </si>
  <si>
    <t>Jasa Relokasi dan Perakitan Mesin di PLTD Tersebar PT. PLN (Persero) Area Berau</t>
  </si>
  <si>
    <t>240/KIT/ABRU/2016</t>
  </si>
  <si>
    <t>Relokasi Generator dan Mesin PLTD Sekatak Buji PT. PLN (Persero) Area Berau</t>
  </si>
  <si>
    <t>241/KIT/ABRU/2016</t>
  </si>
  <si>
    <t>Relokasi dan Instalasi Mesin dan Trafo Step Up di PLTD Talisayan PT. PLN (Persero) Area Berau</t>
  </si>
  <si>
    <t>00320/DAN.01.01/MANBRU/2016</t>
  </si>
  <si>
    <t>242/TU/ABRU/2016</t>
  </si>
  <si>
    <t>Pengadaan Komputer dan Printer Kantor PT PLN (Persero) Area Berau</t>
  </si>
  <si>
    <t>243/KIT/ABRU/2016</t>
  </si>
  <si>
    <t>Jasa Ongkos Angkut Pelumas PLTD Tersebar Semester II Tahun 2016 PT PLN (Persero) Area Berau</t>
  </si>
  <si>
    <t>245/TU/ABRU/2016</t>
  </si>
  <si>
    <t>00331/DAN.01.03/MANBRU/2016</t>
  </si>
  <si>
    <t>246/KIT/ABRU/2016</t>
  </si>
  <si>
    <t>Pengangkutan BBM HSD dari PLTD Malinau ke PLTD Sei Menggaris Periode Juni Tahun 2016</t>
  </si>
  <si>
    <t>247/KIT/ABRU/2016</t>
  </si>
  <si>
    <t>00322/DAN.01.01/MANBRU/2016</t>
  </si>
  <si>
    <t>Pengangkutan BBM HSD dari PLTD Malinau ke PLTD Sei Menggaris Periode Juli-Agustus Tahun 2016</t>
  </si>
  <si>
    <t>00323/DAN.01.01/MANBRU/2016</t>
  </si>
  <si>
    <t>00324/DAN.01.01/MANBRU/2016</t>
  </si>
  <si>
    <t>Pengangkutan BBM HSD dari PLTD Malinau ke PLTD Lumbis Ogong Periode April Tahun 2016</t>
  </si>
  <si>
    <t>248/KIT/ABRU/2016</t>
  </si>
  <si>
    <t>00326/DAN.01.01/MANBRU/2016</t>
  </si>
  <si>
    <t>249/KIT/ABRU/2016</t>
  </si>
  <si>
    <t>Pengangkutan BBM HSD dari PLTD Malinau ke PLTD Sebuku Periode Mei Tahun 2016</t>
  </si>
  <si>
    <t>00325/DAN.01.01/MANBRU/2016</t>
  </si>
  <si>
    <t>250/KIT/ABRU/2016</t>
  </si>
  <si>
    <t>Pengangkutan BBM HSD dari PLTD Malinau ke PLTD Sebuku Periode Juni Tahun 2016</t>
  </si>
  <si>
    <t>00327/DAN.01.01/MANBRU/2016</t>
  </si>
  <si>
    <t>251/KIT/ABRU/2016</t>
  </si>
  <si>
    <t>Pengangkutan BBM HSD dari PLTD Malinau ke PLTD Sebuku Periode Februari Tahun 2016</t>
  </si>
  <si>
    <t>00328/DAN.01.01/MANBRU/2016</t>
  </si>
  <si>
    <t>252/KIT/ABRU/2016</t>
  </si>
  <si>
    <t>Pengangkutan BBM HSD dari PLTD Malinau ke PLTD Sebuku Periode Maret Tahun 2016</t>
  </si>
  <si>
    <t>00329/DAN.01.01/MANBRU/2016</t>
  </si>
  <si>
    <t>253/KIT/ABRU/2016</t>
  </si>
  <si>
    <t>Pengangkutan BBM HSD dari PLTD Malinau ke PLTD Tulin Onsoi Periode Maret Tahun 2016</t>
  </si>
  <si>
    <t>00330/DAN.01.01/MANBRU/2016</t>
  </si>
  <si>
    <t>254/KIT/ABRU/2016</t>
  </si>
  <si>
    <t>Pengangkutan BBM HSD dari PLTD Malinau ke PLTD Tulin Onsoi Periode April Tahun 2016</t>
  </si>
  <si>
    <t>255/KIT/ABRU/2016</t>
  </si>
  <si>
    <t>Pengadaan Material untuk Mengatasi Gangguan Mesin Deutz MWM TBD 620 SN. 2203636 PLTD Sei Bilal PT PLN (Persero) Area Berau</t>
  </si>
  <si>
    <t>00333/DAN.01.06/MANBRU/2016</t>
  </si>
  <si>
    <t>00332/DAN.02.01/MANBRU/2016</t>
  </si>
  <si>
    <t>Pengadaan Pelumas Meditran S-40 PLTD Malinau, Tidung Pale dan Sei Menggaris Semester II Tahun 2016 PT PLN (Persero) Area Berau</t>
  </si>
  <si>
    <t>256/KIT/ABRU/2016</t>
  </si>
  <si>
    <t>257/KIT/ABRU/2016</t>
  </si>
  <si>
    <t>Pengadaan Pelumas Meditran S-40 PLTD Long Beluah dan Sekatak Buji Semester II Tahun 2016 PT PLN (Persero) Area Berau</t>
  </si>
  <si>
    <t>Jasa Borong Pengadaan dan Pemasangan Tower Radio Komunikasi 40m ULD Sebuku</t>
  </si>
  <si>
    <t>258/KIT/ABRU/2016</t>
  </si>
  <si>
    <t>Pengadaan Pelumas Meditran SMX 15W-40 C14 PLTD Tersebar Semester II Tahun 2016 PT PLN (Persero) Area Berau</t>
  </si>
  <si>
    <t>259/KIT/ABRU/2016</t>
  </si>
  <si>
    <t>00321/DAN.02.01/MANBRU/2016</t>
  </si>
  <si>
    <t>00317/DAN.02.01/MANBRU/2016</t>
  </si>
  <si>
    <t>Pengadaan Pelumas Salyx 420 PLTD Tersebar Semester II Tahun 2016 PT PLN (Persero) Area Berau</t>
  </si>
  <si>
    <t>260/KIT/ABRU/2016</t>
  </si>
  <si>
    <t>261/KIT/ABRU/2016</t>
  </si>
  <si>
    <t>Pengadaan Pelumas Meditran S-40 PLTD Nunukan dan Sebatik Semester II Tahun 2016 PT PLN (Persero) Area Berau</t>
  </si>
  <si>
    <t>Pengadaan Pelumas Meditran S-40 PLTD Talisayan, Tanjung Batu, Derawan, dan Biduk-Biduk Semester II Tahun 2016 PT PLN (Persero) Area Berau</t>
  </si>
  <si>
    <t>262/TU/ABRU/2016</t>
  </si>
  <si>
    <t>Perbaikan Siring Penahan Tanah Timbunan PT PLN (Persero) Area Berau Rayon Tanjung Selor</t>
  </si>
  <si>
    <t>263/KIT/ABRU/2016</t>
  </si>
  <si>
    <t>Pengadaan Separator BBM Solar untuk Kehandalan Sistem di PLTD Tulin Onsoi PT PLN (Persero) Area Berau</t>
  </si>
  <si>
    <t>00342/DAN.01.03/MANBRU/2016</t>
  </si>
  <si>
    <t>00339/DAN.01.01/MANBRU/2016</t>
  </si>
  <si>
    <t>00338/DAN.02.01/MANBRU/2016</t>
  </si>
  <si>
    <t>00337/DAN.02.01/MANBRU/2016</t>
  </si>
  <si>
    <t>00336/DAN.02.01/MANBRU/2016</t>
  </si>
  <si>
    <t>00335/DAN.02.01/MANBRU/2016</t>
  </si>
  <si>
    <t>SPP 023 AI 2016</t>
  </si>
  <si>
    <t>SPP 024 AI 2016</t>
  </si>
  <si>
    <t>SPP 025 AI 2016</t>
  </si>
  <si>
    <t>SPP 062/AO/BRU/2016</t>
  </si>
  <si>
    <t>Juni</t>
  </si>
  <si>
    <t>SPP 064/AO/BRU/2016</t>
  </si>
  <si>
    <t>042.SPB/DAN.02.01/ABRU/2016</t>
  </si>
  <si>
    <t xml:space="preserve">PENGADAAN PELUMAS MEDITRAN SMX 15W-4 C14 PLTD TERSEBAR SEMESTER I TAHUN 2016 PT.PLN (Persero) AREA BERAU </t>
  </si>
  <si>
    <t>SPP 062 AO 2016</t>
  </si>
  <si>
    <t>SPP 063 AO BRU</t>
  </si>
  <si>
    <t>SPP 064 AO 2016</t>
  </si>
  <si>
    <t>039.SPB/DAN.02.01/ABRU/2016</t>
  </si>
  <si>
    <t>PENGADAAN PELUMAS MEDITRAN S-40 PLTD TERSEBAR SEMESTER I TAHAP I TAHUN 2016 PT. PLN (PERSERO) AREA BERAU</t>
  </si>
  <si>
    <t>SPP 065 AO 2016</t>
  </si>
  <si>
    <t>PEMBORONGAN PEKERJAAN JASA PELAYANAN TEKNIK MISIP TANJUNG REDEB DAN TANJUNG SELOR BULAN JUNI 2016 PT. PLN (Persero) AREA BERAU</t>
  </si>
  <si>
    <t>PEMBORONGAN PEKERJAAN JASA PELAYANAN TEKNIK MISIP MALINAU DAN NUNUKAN BULAN JUNI 2016 PT. PLN (Persero) AREA BERAU</t>
  </si>
  <si>
    <t>SPP 066 AO 2016</t>
  </si>
  <si>
    <t>SPP 068/AO/BRU/2016</t>
  </si>
  <si>
    <t>Juli</t>
  </si>
  <si>
    <t>040.SPB/DAN.02.01/ABRU/2016</t>
  </si>
  <si>
    <t>PENGADAAN PELUMAS MEDITRAN S-40 PLTD TERSEBAR SEMESTER I TAHAP II TAHUN 2016 PT. PLN (PERSERO) AREA BERAU</t>
  </si>
  <si>
    <t>041.SPB/DAN.02.01/ABRU/2016</t>
  </si>
  <si>
    <t>PENGADAAN PELUMAS SALYX 420 PLTD TERSEBAR SEMESTER I TAHAP I TAHUN 2016 PT. PLN (PERSERO) AREA BERAU</t>
  </si>
  <si>
    <t>SPP 068 AO 2016</t>
  </si>
  <si>
    <t>264/TU/ABRU/2016</t>
  </si>
  <si>
    <t>Rehab Atap Gudang Material PT PLN (Persero) Area Berau Tanjung Selor</t>
  </si>
  <si>
    <t>00344 /DAN.01.01/MANBRU/2016</t>
  </si>
  <si>
    <t>PRK.2016.WKT-4.9.53224.40/302</t>
  </si>
  <si>
    <t>PRK.2016.WKT-4.9.53211.352</t>
  </si>
  <si>
    <t>Premi Siaga Hari Raya PT. PLN (Persero) Area Berau</t>
  </si>
  <si>
    <t>001.DIST/AO/BRU/2016/M 0874/KEU.01.02/WKTKU/2016-R 18 Agustus 2016</t>
  </si>
  <si>
    <t>REVISI: 002.DIST/AO/BRU/2016/M 0872/KEU.01.02/WKTKU/2016-R 18 Agustus 2016</t>
  </si>
  <si>
    <t>PRK.2016.WKT-4.9.53211.353</t>
  </si>
  <si>
    <t>PRK.2016.WKT-4.9.53211.354</t>
  </si>
  <si>
    <t>PRK.2016.WKT-4.9.53211.355</t>
  </si>
  <si>
    <t>Pemeliharaan Kubikel rusak</t>
  </si>
  <si>
    <t>Pengadaan material untuk pemeliharaan jaringan Distribusi PLN Area Berau</t>
  </si>
  <si>
    <t>PRK.2016.WKT-4.9.53211.356</t>
  </si>
  <si>
    <t>Pekerjaan emergency penanganan gangguan</t>
  </si>
  <si>
    <t>SKKO TUL 2016</t>
  </si>
  <si>
    <t>SKKO TI 2016</t>
  </si>
  <si>
    <t>001.TI/AO/BRU/2016/M</t>
  </si>
  <si>
    <t>PRK.2015.WKT-4.12.53211.351</t>
  </si>
  <si>
    <t>Pengadaan perangkat Video Conference</t>
  </si>
  <si>
    <t>PT. ANANTA TRADA ENERGI</t>
  </si>
  <si>
    <t>PT. SINAR JAYA ELEKTRINDO</t>
  </si>
  <si>
    <t>075.SPP/DAN.02.03/ABRU/2016 20 Juli s/d 18 Agustus 2016</t>
  </si>
  <si>
    <t>076.SPP/DAN.02.03/ABRU/2016 20 Juli s/d 18 Agustus 2016</t>
  </si>
  <si>
    <t>Pengadaan dan Pemasangan Material Jaringan MVTIC Feeder Express PLTU Teluk</t>
  </si>
  <si>
    <t>073.SPP/DAN.02.07/ABRU/2016 11 Juli s/d 9 Agustus 2016</t>
  </si>
  <si>
    <t>074.SPP/DAN.02.03/ABRU/2016 11 Juli s/d 9 Agustus 2016</t>
  </si>
  <si>
    <t>077.SPP/DAN.02.07/ABRU/2016 05 Agustus s/d 03 Sept 2016</t>
  </si>
  <si>
    <t>078.SPP/DAN.02.03/ABRU/2016 05 Agustus s/d 03 September 2016</t>
  </si>
  <si>
    <t>080.SPP/DAN.02.03/ABRU/2016 05 Agustus s/d 03 September 2016</t>
  </si>
  <si>
    <t>081.SPP/DAN.02.03/ABRU/2016 05 Agustus s/d 03 September 2016</t>
  </si>
  <si>
    <t>PT. SEGAH PRATAMA MANDIRI</t>
  </si>
  <si>
    <t>082.SPP/DAN.02.03/ABRU/2016 23 Agustus s/d 23 Oktober 2016</t>
  </si>
  <si>
    <t>083.SPP/DAN.02.01/ABRU/2016 23 Agustus s/d 21 September 2016</t>
  </si>
  <si>
    <t>PT. JAYA ANGKASA MANDIRI</t>
  </si>
  <si>
    <t>084.SPP/DAN.02.01/ABRU/2016 23 Agustus s/d 21 September 2016</t>
  </si>
  <si>
    <t>085.SPP/DAN.02.01/ABRU/2016 23 Agustus s/d 21 September 2016</t>
  </si>
  <si>
    <t>256.SPK/DAN.02.01/ABRU/2016 05 Agustus s/d 03 September 2016</t>
  </si>
  <si>
    <t>257.SPK/DAN.02.01/ABRU/2016 05 Agustus s/d 03 September 2016</t>
  </si>
  <si>
    <t>PT. MAXY UTAMA ENERGY</t>
  </si>
  <si>
    <t>258.SPK/DAN.02.01/ABRU/2016 05 Agustus s/d 03 September 2016</t>
  </si>
  <si>
    <t>259.SPK/DAN.02.01/ABRU/2016 05 Agustus s/d 03 September 2016</t>
  </si>
  <si>
    <t>PT. JASUMA AUSTINDO</t>
  </si>
  <si>
    <t>PT. KAMAL KARYA JAYA</t>
  </si>
  <si>
    <t>PT. BUMI MAHARDIKA</t>
  </si>
  <si>
    <t>264.SPK/DAN.02.01/ABRU/2016 23 Agustus s/d 21 September 2016</t>
  </si>
  <si>
    <t>PT. ANANTA TRADA ENERGY</t>
  </si>
  <si>
    <t>00349/DAN.01.06/MANBRU/2016</t>
  </si>
  <si>
    <t>00347/DAN.01.06/MANBRU/2016</t>
  </si>
  <si>
    <t>Pengadaan Sarana Peralatan Kantor PT PLN (Persero) Area Berau</t>
  </si>
  <si>
    <t>00348/DAN.01.06/MANBRU/2016</t>
  </si>
  <si>
    <t>Perluasan Jaringan untuk penjemputan Pelanggan Tanjung Redeb</t>
  </si>
  <si>
    <t>00016/DAN.01.03/MANBRU/2016</t>
  </si>
  <si>
    <t>00020/DAN.01.03/MANBRU/2016</t>
  </si>
  <si>
    <t>00028/DAN.02.03/MANBRU/2016</t>
  </si>
  <si>
    <t>266/JAR/ABRU/2016</t>
  </si>
  <si>
    <t>Pengadaan Three Guard untuk Daerah Rawan Pohon dan Gangguan PLN Area Berau</t>
  </si>
  <si>
    <t>267/JAR/ABRU/2016</t>
  </si>
  <si>
    <t>Pengadaan Handy Talky PT PLN (Persero) Area Berau</t>
  </si>
  <si>
    <t>268/JAR/ABRU/2016</t>
  </si>
  <si>
    <t>Pengadaan dan Pemasangan CB Kubikel PT PLN (Persero) Area Berau</t>
  </si>
  <si>
    <t>269/JAR/ABRU/2016</t>
  </si>
  <si>
    <t>Jasa Borong Pemeliharaan GH PLN (Persero) Rayon Malinau</t>
  </si>
  <si>
    <t>270/JAR/ABRU/2016</t>
  </si>
  <si>
    <t>Jasa Borong Pemasangan ASS PT PLN (Persero) Area Berau</t>
  </si>
  <si>
    <t>271/JAR/ABRU/2016</t>
  </si>
  <si>
    <t>Pengadaan Material Pemeliharaan PT PLN Rayon Tanjung Redeb</t>
  </si>
  <si>
    <t>272/JAR/ABRU/2016</t>
  </si>
  <si>
    <t>Jasa Borong Pemeliharaan JTM Tiang Patah Tubaan</t>
  </si>
  <si>
    <t>273/JAR/ABRU/2016</t>
  </si>
  <si>
    <t>Jasa Borong Perbaikan Tiang Keropos di KP Merasa</t>
  </si>
  <si>
    <t>274/JAR/ABRU/2016</t>
  </si>
  <si>
    <t>Jasa Borong Pemeliharaan JTM PLN KP Tanah Merah PT PLN Rayon Tanjung Selor</t>
  </si>
  <si>
    <t>275/JAR/ABRU/2016</t>
  </si>
  <si>
    <t>Jasa Borong Manuver Beban dan Perbaikan Tiang SUTM Patah PT PLN Rayon Tanjung Selor</t>
  </si>
  <si>
    <t>276/JAR/ABRU/2016</t>
  </si>
  <si>
    <t>Jasa Borong Pemasangan LBS Manual PT PLN Rayon Malinau</t>
  </si>
  <si>
    <t>277/JAR/ABRU/2016</t>
  </si>
  <si>
    <t>Jasa Borong Pemasangan ASS PT PLN Rayon Malinau</t>
  </si>
  <si>
    <t>Pengadaan Relay Proteksi OCR/GFR Rayon Nunukan</t>
  </si>
  <si>
    <t>Pengadaan Material 3 Phase Kebutuhan Perubahan Daya</t>
  </si>
  <si>
    <t>SPP 027 AI 2016</t>
  </si>
  <si>
    <t>223.SPP/DAN.02.01/ABRU/2016</t>
  </si>
  <si>
    <t>PEMBORONGAN PEKERJAAN OUTSOURCING KANTOR AREA BERAU DAN RAYON MALINAU BULAN Juni 2016 PT. PLN (PERSERO) AREA BERAU</t>
  </si>
  <si>
    <t>Pemborongan Pekerjaan Outsourching Rayon Tanjung Selor Dan Misipnya Serta Rayon Nunukan Dan Misipinya BulanJuni 2016 PT. PLN (Persero) Area Berau</t>
  </si>
  <si>
    <t>Pemborongan Pekerjaan Outsourching Rayon Tanjung Selor Dan Misipnya Serta Rayon Nunukan Dan Misipinya Bulan Juni 2016 PT. PLN (Persero) Area Berau</t>
  </si>
  <si>
    <t xml:space="preserve">192.SPK/DAN.02.07/ABRU/2016  30 Juni 2016 </t>
  </si>
  <si>
    <t>PEKERJAAN PEMBORONGAN JASA PENGEMUDI ( DRIVER ) PT. PLN (PERSERO) AREA BERAU</t>
  </si>
  <si>
    <t>004.PJ/DAN.02.07/ABRU/2016 30 Juni 2016</t>
  </si>
  <si>
    <t>PEMBORONGAN PEKERJAAN OPERSIONAL DAN ADMINISTRASI TLSK PT. PLN  AREA BERAU</t>
  </si>
  <si>
    <t>003.PJ/DAN.02.07/ABRU/2016 30 Juni 2016</t>
  </si>
  <si>
    <t>PEMBORONGAN PEKERJAAN PENGELOLAAN GEDUNG (BUILDING MANAJEMENT) PT. PLN AREA BERAU</t>
  </si>
  <si>
    <t>002.PJ/DAN.02.03/ABRU/2016 30 Juni 2016</t>
  </si>
  <si>
    <t>PEMBORONGAN PEKERJAAN JASA PELAYANAN TEKNIK  PT. PLN (Persero) AREA BERAU</t>
  </si>
  <si>
    <t>281/KIT/ABRU/2016</t>
  </si>
  <si>
    <t>Pengangkutan BBM HSD dari PLTD Malinau ke PLTD Sei Menggaris Periode Oktober-Desember Tahun 2015</t>
  </si>
  <si>
    <t>282/KIT/ABRU/2016</t>
  </si>
  <si>
    <t>Jasa Supervisi Penerimaan BBM HSD Bulan Juli-Agustus Tahun 2016 PT PLN (Persero) Area Berau</t>
  </si>
  <si>
    <t>279/KIT/ABRU/2016</t>
  </si>
  <si>
    <t>278/KIT/ABRU/2016</t>
  </si>
  <si>
    <t>Pengiriman Material Mesin Pembangkit ke Unit-Unit PLTD PT. PLN (Persero) Area Berau</t>
  </si>
  <si>
    <t>283/KIT/ABRU/2016</t>
  </si>
  <si>
    <t>Pembersihan &amp; Pengecatan PLTD Long Peso PT PLN (Persero) Area Berau</t>
  </si>
  <si>
    <t>009.KIT/AO/BRU/2016/M</t>
  </si>
  <si>
    <t>0908/KEU.01.02/WKTKU/2016-R</t>
  </si>
  <si>
    <t>PRK.2016.WKT-4.3.53221.115</t>
  </si>
  <si>
    <t>Pembuatan Gudang Material /Spare Part Mesin PLTD Malinau</t>
  </si>
  <si>
    <t>PRK.2016.WKT-4.3.53222.116</t>
  </si>
  <si>
    <t>Pengadaan Sarana &amp; Peralatan PLTD Sambaliung</t>
  </si>
  <si>
    <t>PRK.2016.WKT-4.3.53222.117</t>
  </si>
  <si>
    <t>Pengadaan Sarana &amp; Peralatan PLTD Tanjung Selor</t>
  </si>
  <si>
    <t>PRK.2016.WKT-4.3.53222.118</t>
  </si>
  <si>
    <t>Pengadaan Sarana &amp; Peralatan PLTD Nunukan</t>
  </si>
  <si>
    <t>PRK.2016.WKT-4.3.53222.119</t>
  </si>
  <si>
    <t>Pengadaan Sarana &amp; Peralatan PLTD Malinau</t>
  </si>
  <si>
    <t>PRK.2016.WKT-4.3.53225.142</t>
  </si>
  <si>
    <t>Jasa Pengangkutan Limbah B3</t>
  </si>
  <si>
    <t>284/JAR/ABRU/2016</t>
  </si>
  <si>
    <t>Jasa Borong Perbaikan JTM Kantor Pelayanan Tidung Pale</t>
  </si>
  <si>
    <t>285/JAR/ABRU/2016</t>
  </si>
  <si>
    <t>Pengadaan Visualisasi dan Penunjang SMK 3 Area Berau</t>
  </si>
  <si>
    <t>SPP 069/AO/BRU/2016</t>
  </si>
  <si>
    <t>SPP 069 AO 2016</t>
  </si>
  <si>
    <t>111.SPK/DAN.02.01/ABRU/2016</t>
  </si>
  <si>
    <t>JASA BORONG ONGKOS ANGKUT BBM WILAYAH II PLTD MARA PERIODE BULAN MEI 2016 PT. PLN (PERSERO) AREA BERAU</t>
  </si>
  <si>
    <t>109.SPK/DAN.02.01/ABRU/2016</t>
  </si>
  <si>
    <t>JASA BORONG ONGKOS ANGKUT BBM WILAYAH II PLTD LONG BELUAH PERIODE BULAN MEI 2016 PT. PLN (PERSERO) AREA BERAU</t>
  </si>
  <si>
    <t>005.SPK/DAN.02.01/ABRU/2016</t>
  </si>
  <si>
    <t>JASA BORONG ONGKOS ANGKUT BBM WILAYAH I PLTD TANJUNG BATU PERIODE BULAN JANUARI 2016 PT. PLN (Persero) AREA BERAU</t>
  </si>
  <si>
    <t>009.SPK/DAN.02.01/ABRU/2016</t>
  </si>
  <si>
    <t>JASA BORONG ONGKOS ANGKUT BBM WILAYAH I PLTD BATU PUTIH PERIODE BULAN JANUARI 2016 PT. PLN (Persero) AREA BERAU</t>
  </si>
  <si>
    <t>006.SPK/DAN.02.01/ABRU/2016</t>
  </si>
  <si>
    <t>JASA BORONG ONGKOS ANGKUT BBM WILAYAH I PLTD DERAWAN PERIODE BULAN JANUARI 2016 PT. PLN (Persero) AREA BERAU</t>
  </si>
  <si>
    <t>004.SPK/DAN.02.01/ABRU/2016</t>
  </si>
  <si>
    <t>JASA BORONG ONGKOS ANGKUT BBM WILAYAH I PLTD GUNUNG SARI PERIODE BULAN JANUARI 2016 PT. PLN (Persero) AREA BERAU</t>
  </si>
  <si>
    <t>SPP 070 AO 2016</t>
  </si>
  <si>
    <t>077.SPK/DAN.02.01/ABRU/2016</t>
  </si>
  <si>
    <t>JASA BORONG ONGKOS ANGKUT BBM WILAYAH II PLTD KUALA LAPANG PERIODE BULAN APRIL 2016 PT. PLN (PERSERO) AREA BERAU</t>
  </si>
  <si>
    <t>110.SPK/DAN.02.01/ABRU/2016</t>
  </si>
  <si>
    <t>JASA BORONG ONGKOS ANGKUT BBM WILAYAH II PLTD LONG PESO PERIODE BULAN MEI 2016 PT. PLN (PERSERO) AREA BERAU</t>
  </si>
  <si>
    <t>271.SPB/DAN.02.01/ABRU/2016</t>
  </si>
  <si>
    <t>JASA ONGKOS ANGKUT PELUMAS UNTUK TRIWULAN IV PLTD TERSEBAR PT. PLN (Persero) AREA BERAU</t>
  </si>
  <si>
    <t>SPP 070 AO BRU</t>
  </si>
  <si>
    <t>007.SPK/DAN.02.01/ABRU/2016</t>
  </si>
  <si>
    <t>JASA BORONG ONGKOS ANGKUT BBM WILAYAH I PLTD TALISAYAN PERIODE BULAN JANUARI 2016 PT. PLN (Persero) AREA BERAU</t>
  </si>
  <si>
    <t>002.SPK/DAN.02.01/ABRU/2016</t>
  </si>
  <si>
    <t>JASA BORONG ONGKOS ANGKUT BBM WILAYAH I PLTD SEI BUAYA PERIODE BULAN JANUARI 2016 PT. PLN (Persero) AREA BERAU</t>
  </si>
  <si>
    <t>001.SPK/DAN.02.01/ABRU/2016</t>
  </si>
  <si>
    <t>JASA BORONG ONGKOS ANGKUT BBM WILAYAH I PLTD SAMBALIUNG PERIODE BULAN JANUARI 2016 PT. PLN (Persero) AREA BERAU</t>
  </si>
  <si>
    <t>00362/DAN.01.03/MANBRU/2016</t>
  </si>
  <si>
    <t>00361/DAN.01.03/MANBRU/2016</t>
  </si>
  <si>
    <t>00360/DAN.01.03/MANBRU/2016</t>
  </si>
  <si>
    <t>00359/DAN.01.03/MANBRU/2016</t>
  </si>
  <si>
    <t>00357/DAN.01.03/MANBRU/2016</t>
  </si>
  <si>
    <t>00356/DAN.01.03/MANBRU/2016</t>
  </si>
  <si>
    <t>00354/DAN.01.03/MANBRU/2016</t>
  </si>
  <si>
    <t>00358/DAN.01.03/MANBRU/2016</t>
  </si>
  <si>
    <t>00364/DAN.01.06/MANBRU/2016</t>
  </si>
  <si>
    <t>286/TU/ABRU/2016</t>
  </si>
  <si>
    <t>Renovasi Kantin PT. PLN (Persero) Area Berau</t>
  </si>
  <si>
    <t>00365/DAN.01.01/MANBRU/2016</t>
  </si>
  <si>
    <t>Pembuatan Pondasi Tangki Timbun 20 Ton Lokasi PLTD Talisayan dan Pengiriman Material Mesin Pembangkit ke Unit-Unit PLTD PT. PLN (Persero) Area Berau</t>
  </si>
  <si>
    <t>287/KIT/ABRU/2016</t>
  </si>
  <si>
    <t>00368/DAN.01.03/MANBRU/2016</t>
  </si>
  <si>
    <t>289/JAR/ABRU/2016</t>
  </si>
  <si>
    <t>Pengadaan material Pemeliharaan Cubicle PLN (Persero) Rayon Nunukan</t>
  </si>
  <si>
    <t>290/KIT/ABRU/2016</t>
  </si>
  <si>
    <t>Pengadaan Trafo Step Up 1.000 kVa PLTD Tanjung Batu PT PLN (Persero) Area Berau</t>
  </si>
  <si>
    <t>291/KIT/ABRU/2016</t>
  </si>
  <si>
    <t>PRK.2016.WKT-2.1.60</t>
  </si>
  <si>
    <t>PRK.2016.WKT-4.3.29</t>
  </si>
  <si>
    <t>jasa dan aksesoris - Pengadaan Dan Pemasangan Recloser Area Berau (2Bh)</t>
  </si>
  <si>
    <t>PRK.2016.WKT-4.3.30</t>
  </si>
  <si>
    <t>292/TE/ABRU/2016</t>
  </si>
  <si>
    <t>Pemeliharaan Meter 1 Phase Rayon Tanjung Redeb</t>
  </si>
  <si>
    <t>293/TE/ABRU/2016</t>
  </si>
  <si>
    <t>Pemasangan Box APP TR Rayon Tanjung Redeb</t>
  </si>
  <si>
    <t>294/TE/ABRU/2016</t>
  </si>
  <si>
    <t>Pengadaan Box APP &amp; Modem</t>
  </si>
  <si>
    <t>295/JAR/ABRU/2016</t>
  </si>
  <si>
    <t>Jasa Borong Pengiriman Material SKKI KP Bunyu</t>
  </si>
  <si>
    <t>00376/DAN.01.03/MANBRU/2016</t>
  </si>
  <si>
    <t>00377/DAN.01.01/MANBRU/2016</t>
  </si>
  <si>
    <t>00375/DAN.01.01/MANBRU/2016</t>
  </si>
  <si>
    <t>00374/DAN.01.01/MANBRU/2016</t>
  </si>
  <si>
    <t>00379/DAN.01.01/MANBRU/2016</t>
  </si>
  <si>
    <t>Pengadaan Jasa dan Material untuk Mengatasi Gangguan Mesin Cummins NTA 855 G4 SN. 30344519 PLTD Tidung Pale PT PLN (Persero) Area Berau</t>
  </si>
  <si>
    <t>296/KIT/ABRU/2016</t>
  </si>
  <si>
    <t>Pekerjaan Sewa Genset Emergency untuk PLTD Lumbis Ogong di PT. PLN (Persero) Area Berau</t>
  </si>
  <si>
    <t>00381/DAN.01.03/ABRU/2016</t>
  </si>
  <si>
    <t>00382/DAN.01.03/MANBRU/2016</t>
  </si>
  <si>
    <t>00383/DAN.01.03/MANBRU/2016</t>
  </si>
  <si>
    <t>00387/DAN.01.01/MANBRU/2016</t>
  </si>
  <si>
    <t>00389/DAN.01.01/MANBRU/2016</t>
  </si>
  <si>
    <t>069.SPK/DAN.02.01/ABRU/2016</t>
  </si>
  <si>
    <t>JASA BORONG ONGKOS ANGKUT BBM WILAYAH I PLTD BIDUK-BIDUK PERIODE BULAN APRIL 2016 PT. PLN (Persero) AREA BERAU</t>
  </si>
  <si>
    <t>065.SPK/DAN.02.01/ABRU/2016</t>
  </si>
  <si>
    <t>JASA BORONG ONGKOS ANGKUT BBM WILAYAH I PLTD SEI BUAYA PERIODE BULAN APRIL 2016 PT. PLN (Persero) AREA BERAU</t>
  </si>
  <si>
    <t>068.SPK/DAN.02.01/ABRU/2016</t>
  </si>
  <si>
    <t>JASA BORONG ONGKOS ANGKUT BBM WILAYAH I PLTD TALISAYAN PERIODE BULAN APRIL 2016 PT. PLN (Persero) AREA BERAU</t>
  </si>
  <si>
    <t>027.SPK/DAN.02.01/ABRU/2016</t>
  </si>
  <si>
    <t>JASA BORONG ONGKOS ANGKUT BBM WILAYAH I PLTD BIDUK-BIDUK PERIODE BULAN FEBRUARI 2016 PT. PLN (Persero) AREA BERAU</t>
  </si>
  <si>
    <t>064.SPK/DAN.02.01/ABRU/2016</t>
  </si>
  <si>
    <t>JASA BORONG ONGKOS ANGKUT BBM WILAYAH I PLTD SAMBALIUNG PERIODE BULAN APRIL 2016 PT. PLN (Persero) AREA BERAU</t>
  </si>
  <si>
    <t>SPP 071 AO 2016</t>
  </si>
  <si>
    <t>070.SPK/DAN.02.01/ABRU/2016</t>
  </si>
  <si>
    <t>JASA BORONG ONGKOS ANGKUT BBM WILAYAH I PLTD BATU PUTIH PERIODE BULAN APRIL 2016 PT. PLN (Persero) AREA BERAU</t>
  </si>
  <si>
    <t>067.SPK/DAN.02.01/ABRU/2016</t>
  </si>
  <si>
    <t>JASA BORONG ONGKOS ANGKUT BBM WILAYAH I PLTD DERAWAN PERIODE BULAN APRIL 2016 PT. PLN (Persero) AREA BERAU</t>
  </si>
  <si>
    <t>066.SPK/DAN.02.01/ABRU/2016</t>
  </si>
  <si>
    <t>JASA BORONG ONGKOS ANGKUT BBM WILAYAH I PLTD TANJUNG BATU PERIODE BULAN APRIL 2016 PT. PLN (Persero) AREA BERAU</t>
  </si>
  <si>
    <t>108.SPK/DAN.02.01/ABRU/2016</t>
  </si>
  <si>
    <t>JASA BORONG ONGKOS ANGKUT BBM WILAYAH II PLTD SEKATAK BUJI PERIODE BULAN MEI 2016 PT. PLN (Persero) AREA BERAU</t>
  </si>
  <si>
    <t>072.SPK/DAN.02.01/ABRU/2016</t>
  </si>
  <si>
    <t>JASA BORONG ONGKOS ANGKUT BBM WILAYAH II PLTD SEBATIK PERIODE BULAN APRIL 2016 PT. PLN (Persero) AREA BERAU</t>
  </si>
  <si>
    <t>107.SPK/DAN.02.01/ABRU/2016</t>
  </si>
  <si>
    <t>JASA BORONG ONGKOS ANGKUT BBM WILAYAH II PLTD SEBATIK PERIODE BULAN MEI 2016 PT. PLN (Persero) AREA BERAU</t>
  </si>
  <si>
    <t>SPP 072 AO 2016</t>
  </si>
  <si>
    <t>SPP 073 AO 2016</t>
  </si>
  <si>
    <t>SPP 074/AO/BRU/2016</t>
  </si>
  <si>
    <t>Agustus</t>
  </si>
  <si>
    <t>008.SPK/DAN.02.01/ABRU/2016</t>
  </si>
  <si>
    <t>JASA BORONG ONGKOS ANGKUT BBM WILAYAH I PLTD BIDUK-BIDUK PERIODE BULAN JANUARI 2016 PT. PLN (Persero) AREA BERAU</t>
  </si>
  <si>
    <t>SPP 074 AO 2016</t>
  </si>
  <si>
    <t>SPP 075/AO/BRU/2016</t>
  </si>
  <si>
    <t>SPP 076/AO/BRU/2016</t>
  </si>
  <si>
    <t>SPP 076 AO 2016</t>
  </si>
  <si>
    <t>overtime juni</t>
  </si>
  <si>
    <t>099.SPK/DAN.02.01/ABRU/2016</t>
  </si>
  <si>
    <t>JASA BORONG ONGKOS ANGKUT BBM WILAYAH I PLTD SEI BUAYA PERIODE BULAN MEI 2016 PT. PLN (Persero) AREA BERAU</t>
  </si>
  <si>
    <t>098.SPK/DAN.02.01/ABRU/2016</t>
  </si>
  <si>
    <t>JASA BORONG ONGKOS ANGKUT BBM WILAYAH I PLTD SAMBALIUNG PERIODE BULAN MEI 2016 PT. PLN (Persero) AREA BERAU</t>
  </si>
  <si>
    <t>078.SPK/DAN.02.01/ABRU/2016</t>
  </si>
  <si>
    <t>JASA BORONG ANGKU BBM WILAYAH II PLTD TIDUNG PALA PERIODE BULAN APRIL 2016 PT.PLN (PERSERO) AREA BERAU</t>
  </si>
  <si>
    <t>003.SPK/DAN.02.01/ABRU/2016</t>
  </si>
  <si>
    <t>JASA BORONG ONGKOS ANGKUT BBM WILAYAH I PLTD MERASA PERIODE BULAN JANUARI 2016 PT. PLN (Persero) AREA BERAU</t>
  </si>
  <si>
    <t>029.SPK/DAN.02.01/ABRU/2016</t>
  </si>
  <si>
    <t>JASA BORONG ONGKOS ANGKUT BBM WILAYAH I PLTD MERASA PERIODE BULAN FEBERUARI 2016 PT. PLN (Persero) AREA BERAU</t>
  </si>
  <si>
    <t>100.SPK/DAN.02.01/ABRU/2016</t>
  </si>
  <si>
    <t>JASA BORONG ONGKOS ANGKUT BBM WILAYAH I PLTD MERASA PERIODE BULAN MEI 2016 PT. PLN (Persero) AREA BERAU</t>
  </si>
  <si>
    <t>105.SPK/DAN.02.01/ABRU/2016</t>
  </si>
  <si>
    <t>JASA BORONG ONGKOS ANGKUT BBM WILAYAH I PLTD BATU PUTIH PERIODE BULAN MEI 2016 PT. PLN (Persero) AREA BERAU</t>
  </si>
  <si>
    <t>102.SPK/DAN.02.01/ABRU/2016</t>
  </si>
  <si>
    <t>JASA BORONG ONGKOS ANGKUT BBM WILAYAH I PLTD DERAWAN PERIODE BULAN MEI 2016 PT. PLN (Persero) AREA BERAU</t>
  </si>
  <si>
    <t>SPP 077 AO 2016</t>
  </si>
  <si>
    <t>SPP 028 AI 2016</t>
  </si>
  <si>
    <t>Asman Transaksi Energi</t>
  </si>
  <si>
    <t>Achmad Ariansyah</t>
  </si>
  <si>
    <t>Spv Adm Umum</t>
  </si>
  <si>
    <t>297/JAR/ABRU/2016</t>
  </si>
  <si>
    <t>Pengadaan dan Pemasangan Recloser 20KV Pulau Betung Rayon Malinau Area Berau</t>
  </si>
  <si>
    <t>011.PJ/DAN.02.03/ABRU/2016    31 Agustus s/d 28 November 2016</t>
  </si>
  <si>
    <t>PT. PUTERA PERSADA JAYA</t>
  </si>
  <si>
    <t>298/JAR/ABRU/2016</t>
  </si>
  <si>
    <t>Pemasangan Recloser 20 kV 4 (empat) Bh di PLN Area Berau</t>
  </si>
  <si>
    <t>revisi</t>
  </si>
  <si>
    <t>Pengadaan Material Pemeliharaan PDKB Area Berau Semester 2</t>
  </si>
  <si>
    <t>299/JAR/ABRU/2016</t>
  </si>
  <si>
    <t>300/JAR/ABRU/2016</t>
  </si>
  <si>
    <t>301/JAR/ABRU/2016</t>
  </si>
  <si>
    <t>302/JAR/ABRU/2016</t>
  </si>
  <si>
    <t>Jasa Borong Perbaikan Aksesoris Jaringan Ulinnuha</t>
  </si>
  <si>
    <t>Jasa Borong Perbaikan Tegangan Drop Ulinnuha</t>
  </si>
  <si>
    <t>Pengadaan Material Pendukung Radio Komunikasi PLN Rayon Tanjung Selor</t>
  </si>
  <si>
    <t>Pengadaan Rak Material Distribusi PLN Rayon Tanjung Selor</t>
  </si>
  <si>
    <t>CV CITRA LESTARI</t>
  </si>
  <si>
    <t>001.ADM-NG/AO-R/BRU/2016</t>
  </si>
  <si>
    <t>0961/KEU.01.02/WKTKU/2016-R</t>
  </si>
  <si>
    <t>Pengelolaan Pelanggan (AP2T dll)</t>
  </si>
  <si>
    <t>Biaya P2TL</t>
  </si>
  <si>
    <t>Biaya Pemasaran</t>
  </si>
  <si>
    <t>224.SPK/DAN.02.01/ABRU/2016 15 Juli s/d 13 Agustus 2016</t>
  </si>
  <si>
    <t>193.SPK/DAN.02.06/ABRU/2016 30 Juni s/d 29 Juli 2016</t>
  </si>
  <si>
    <t>305/TE/ABRU/2016</t>
  </si>
  <si>
    <t>Pengadaan Box APP Pengukuran Langsung</t>
  </si>
  <si>
    <t>Pengadaan Pembatas Arus</t>
  </si>
  <si>
    <t>010.KIT/AO/BRU/2016/M</t>
  </si>
  <si>
    <t>0981/KEU.01.02/WKTKU/2016-R</t>
  </si>
  <si>
    <t>PRK.2016.WKT-4.9.53211.357</t>
  </si>
  <si>
    <t>PRK.2016.WKT-4.9.53211.358</t>
  </si>
  <si>
    <t>Pengadaan Separator BBM dilokasi PLTD Tersebar</t>
  </si>
  <si>
    <t>Pengadaan Material Tambah Hardik SO Caterpillar 35166 DITA</t>
  </si>
  <si>
    <t>00391/DAN.01.01/MANBRU/2016</t>
  </si>
  <si>
    <t>00393/DAN.01.03/MANBRU/2016</t>
  </si>
  <si>
    <t>00392/DAN.01.03/MANBRU/2016</t>
  </si>
  <si>
    <t>308/KIT/ABRU/2016</t>
  </si>
  <si>
    <t>309/KIT/ABRU/2016</t>
  </si>
  <si>
    <t>Pengadaan Separator BBM Solar untuk Kehandalan Sistem di PLTD Sebuku PT. PLN (Persero) Area Berau</t>
  </si>
  <si>
    <t>Pengadaan Separator BBM Solar untuk Kehandalan Sistem di PLTD Tidung Pale PT. PLN (Persero) Area Berau</t>
  </si>
  <si>
    <t xml:space="preserve"> Pengadaan Turbocharge dan Material Gangguan untuk Mesin Caterpillar 3516 DITA PLTD Sei Buaya PT. PLN (Persero) Area Berau</t>
  </si>
  <si>
    <t>082.ADD/DAN.02.07/ABRU/2016</t>
  </si>
  <si>
    <t>081.ADD/DAN.02.07/ABRU/2016</t>
  </si>
  <si>
    <t>083.ADD/DAN.02.07/ABRU/2016</t>
  </si>
  <si>
    <t>085.ADD/DAN.02.07/ABRU/2016</t>
  </si>
  <si>
    <t>084.ADD/DAN.02.07/ABRU/2016</t>
  </si>
  <si>
    <t>00396/DAN.01.01/MANBRU/2016</t>
  </si>
  <si>
    <t>00395/DAN.01.03/MANBRU/2016</t>
  </si>
  <si>
    <t>00397/DAN.01.01/MANBRU/2016</t>
  </si>
  <si>
    <t>310/KIT/ABRU/2016</t>
  </si>
  <si>
    <t>311/KIT/ABRU/2016</t>
  </si>
  <si>
    <t>312/KIT/ABRU/2016</t>
  </si>
  <si>
    <t>Perbaikan WC PLTD Tanjung Selor PT PLN (Persero) Area Berau</t>
  </si>
  <si>
    <t>Perbaikan Plafon Control Room &amp; Dinding PLTD Tanjung Selor PT PLN (Persero) Area Berau</t>
  </si>
  <si>
    <t>Pengecatan Dinding Dalam Control Room PLTD Tanjung Selor PT PLN (Persero) Area Berau</t>
  </si>
  <si>
    <t>313/KIT/ABRU/2016</t>
  </si>
  <si>
    <t>314/KIT/ABRU/2016</t>
  </si>
  <si>
    <t>Rewinding Rotor Exiter Mesin MWM 616V12 PLTD Sebatik PT. PLN (Persero) Area Berau</t>
  </si>
  <si>
    <t>Pengangkutan Material Mesin Pembangkit ke Unit-Unit PLTD PT. PLN (Persero) Area Berau</t>
  </si>
  <si>
    <t>315/TE/ABRU/2016</t>
  </si>
  <si>
    <t>316/TE/ABRU/2016</t>
  </si>
  <si>
    <t>Pengadaan MCCB</t>
  </si>
  <si>
    <t>317/KIT/ABRU/2016</t>
  </si>
  <si>
    <t>Pengadaan Jasa dan Material Mengatasi Derating Mesin MAN D2842 LE201 PLTD Tidung Pale  PT. PLN (Persero) Area Berau</t>
  </si>
  <si>
    <t>319/TU/ABRU/2016</t>
  </si>
  <si>
    <t>Renovasi Pembuatan Gudang Bawah Tangga, Renovasi Ruangan Asman dan Kantor ULD Biduk-Biduk PT PLN (Persero) Area Berau</t>
  </si>
  <si>
    <t>063.SPP/DAN.02.03/ABRU/2016 27 Juni s/d 26 Juli 2016</t>
  </si>
  <si>
    <t>00406/DAN.01.01/MANBRU/2016</t>
  </si>
  <si>
    <t>00405/DAN.01.01/MANBRU/2016</t>
  </si>
  <si>
    <t>225.SPK/DAN.02.01/ABRU/2016 29 Juli s/d 27 Agustus 2016</t>
  </si>
  <si>
    <t>320/KIT/ABRU/2016</t>
  </si>
  <si>
    <t>Pengadaan Jasa dan Material Mengatasi Gangguan Mesin Cummins 6CTA118.3-G2 SN.87792199 ex PLTD Atap PT PLN (Persero) Area Berau</t>
  </si>
  <si>
    <t>321/TU/ABRU/2016</t>
  </si>
  <si>
    <t>Pengadaan Perangkat Video Conference PT PLN (Persero) Area Berau</t>
  </si>
  <si>
    <t>322/TU/ABRU/2016</t>
  </si>
  <si>
    <t>323/TU/ABRU/2016</t>
  </si>
  <si>
    <t>324/TU/ABRU/2016</t>
  </si>
  <si>
    <t>Pengadaan Air Conditioner (AC) PT PLN (Persero) Area Berau Rayon Malinau</t>
  </si>
  <si>
    <t>188.SPK/DAN.02.01/ABRU/2016 28 Juni s/d 27 Agustus 2016</t>
  </si>
  <si>
    <t>SPP 078 AO 2016</t>
  </si>
  <si>
    <t>071.SPK/DAN.02.01/ABRU/2016</t>
  </si>
  <si>
    <t>JASA BORONG ONGKOS ANGKUT BBM WILAYAH II PLTD SEI BILAL PERIODE BULAN APRIL 2016 PT. PLN (PERSERO) AREA BERAU</t>
  </si>
  <si>
    <t>052.SPK/DAN.02.01/ABRU/2016</t>
  </si>
  <si>
    <t>JASA BORONG ONGKOS ANGKUT BBM WILAYAH II PLTD SEBATIK PERIODE BULAN MARET 2016 PT. PLN (PERSERO) AREA BERAU</t>
  </si>
  <si>
    <t>SPP 079 AO 2016</t>
  </si>
  <si>
    <t>293.SPK/DAN.02.01/ABRU/2015</t>
  </si>
  <si>
    <t>JASA BORONG ANGKU BBM WILAYAH I PLTD DERAWAN PERIODE DESEMBER 2015 PT.PLN (PERSERO) AREA BERAU</t>
  </si>
  <si>
    <t>101.SPK/DAN.02.01/ABRU/2016</t>
  </si>
  <si>
    <t>JASA BORONG ANGKU BBM WILAYAH I PLTD TANJUNG BATU PERIODE MEI 2016 PT.PLN (PERSERO) AREA BERAU</t>
  </si>
  <si>
    <t>056.SPK/DAN.02.01/ABRU/2016</t>
  </si>
  <si>
    <t>JASA BORONG ONGKOS ANGKUT BBM WILAYAH II PLTD MARA PERIODE BULAN MARET 2016 PT. PLN (PERSERO) AREA BERAU</t>
  </si>
  <si>
    <t>176.SPK/DAN.02.03/ABRU/2016 21 Juni 2016 s/d 4 Agustus 2016</t>
  </si>
  <si>
    <t>PT NUSA MANDIRI</t>
  </si>
  <si>
    <t>088.SPP/DAN.02.07/ABRU/2016 01 Sept s/d 30 Sept 2016</t>
  </si>
  <si>
    <t>090.SPP/DAN.02.07/ABRU/2016 01 Sept s/d 30 Sept 2016</t>
  </si>
  <si>
    <t>091.SPP/DAN.02.03/ABRU/2016 01 Sept s/d 30 Sept 2016</t>
  </si>
  <si>
    <t>092.SPP/DAN.02.03/ABRU/2016 01 Sept s/d 30 Sept 2016</t>
  </si>
  <si>
    <t>093.SPP/DAN.02.03/ABRU/2016 01 Sept s/d 30 Sept 2016</t>
  </si>
  <si>
    <t>PT BINTANG SURYA NUSA ABADI</t>
  </si>
  <si>
    <t>095.SPP/DAN.02.03/ABRU/2016 01 Sept s/d 30 Sept 2016</t>
  </si>
  <si>
    <t>094.SPP/DAN.02.03/ABRU/2016 01 Sept s/d 30 Oktober 2016</t>
  </si>
  <si>
    <t>096.SPP/DAN.02.03/ABRU/2016 13 Sept s/d 31 Des 2016</t>
  </si>
  <si>
    <t>097.SPP/DAN.02.03/ABRU/2016 16 Sept s/d 30 Oktober 2016</t>
  </si>
  <si>
    <t>100.SPP/DAN.02.03/ABRU/2016 26 Sept s/d 25 Oktober 2016</t>
  </si>
  <si>
    <t>101.SPP/DAN.02.03/ABRU/2016 27 Sept s/d 25 Nov 2016</t>
  </si>
  <si>
    <t>102.SPP/DAN.02.01/ABRU/2016 27 Sept s/d 26 Oktober 2016</t>
  </si>
  <si>
    <t>PT. SURABAYA SUMBER TEKNIK</t>
  </si>
  <si>
    <t>099.SPP/DAN.02.01/ABRU/2016 23 Sept s/d 22 Oktober 2016</t>
  </si>
  <si>
    <t>087.SPP/DAN.02.01/ABRU/2016 23 Agst s/d 21 Sept 2016</t>
  </si>
  <si>
    <t>086.SPP/DAN.02.01/ABRU/2016 23 Agst s/d 21 Sept 2016</t>
  </si>
  <si>
    <t>089.SPP/DAN.02.01/ABRU/2016 01 Sept s/d 10 Okt 2016</t>
  </si>
  <si>
    <t>267.SPK/DAN.02.03/ABRU/2016 23 Agst s/d 20 Nov 2016</t>
  </si>
  <si>
    <t>PT. YUTINDA PUTRA MANDIRI</t>
  </si>
  <si>
    <t>268.SPB/DAN.02.01/ABRU/2016 01 Sept s/d 10 Okt 2016</t>
  </si>
  <si>
    <t>269.SPB/DAN.02.01/ABRU/2016 01 Sept s/d 10 Okt 2016</t>
  </si>
  <si>
    <t>270.SPB/DAN.02.01/ABRU/2016 01 Sept s/d 10 Okt 2016</t>
  </si>
  <si>
    <t>271.SPB/DAN.02.01/ABRU/2016 01 Sept s/d 10 Okt 2016</t>
  </si>
  <si>
    <t>272.SPB/DAN.02.01/ABRU/2016 01 Sept s/d 10 Okt 2016</t>
  </si>
  <si>
    <t>273.SPB/DAN.02.01/ABRU/2016 01 Sept s/d 10 Okt 2016</t>
  </si>
  <si>
    <t>PT. PRIMA ARTHA MULIA</t>
  </si>
  <si>
    <t>292.SPK/DAN.02.01/ABRU/2016 01 Sept s/d 30 Sept 2016</t>
  </si>
  <si>
    <t>PT. EUROASIATIC HEAT &amp; POWER SYSTEM</t>
  </si>
  <si>
    <t>266.SPK/DAN.02.03/ABRU/2016 23 Agustus s/d 20 Desember 2016</t>
  </si>
  <si>
    <t>265.SPK/DAN.02.03/ABRU/2016 23 Agustus s/d 20 Desember 2016</t>
  </si>
  <si>
    <t>260.SPK/DAN.02.03/ABRU/2016 23 Agustus s/d 10 November 2016</t>
  </si>
  <si>
    <t>136.SPK/DAN.02.03/ABRU/2016 01 Juni s/d 30 September 2016</t>
  </si>
  <si>
    <t>135.SPK/DAN.02.03/ABRU/2016 01 Juni s/d 30 September 2016</t>
  </si>
  <si>
    <t>222.SPK/DAN.02.03/ABRU/2016 01 Juli s/d 29 Agustus 2016</t>
  </si>
  <si>
    <t>137.SPK/DAN.02.03/ABRU/2016 01 Juni s/d 30 September 2016</t>
  </si>
  <si>
    <t>120.SPK/DAN.02.03/ABRU/2016 01 Juni s/d 30 September 2016</t>
  </si>
  <si>
    <t>261.SPK/DAN.02.03/ABRU/2016 23 Agustus s/d 10 November 2016</t>
  </si>
  <si>
    <t>262.SPK/DAN.02.03/ABRU/2016 23 Agustus s/d 21 Oktober 2016</t>
  </si>
  <si>
    <t>CV. FAJAR RAYA</t>
  </si>
  <si>
    <t>295.SPK/DAN.02.03/ABRU/2016 26 Sept s/d 25 Okt 2016</t>
  </si>
  <si>
    <t>297.SPK/DAN.02.01/ABRU/2016 26 Sept s/d 25 Okt 2016</t>
  </si>
  <si>
    <t>298.SPK/DAN.02.01/ABRU/2016 26 Sept s/d 24 Nov 2016</t>
  </si>
  <si>
    <t>299.SPK/DAN.02.01/ABRU/2016 26 Sept s/d 25 Okt 2016</t>
  </si>
  <si>
    <t>CV. BARICOM</t>
  </si>
  <si>
    <t>296.SPK/DAN.02.07/ABRU/2016 26 Sept s/d 30 Sept 2016</t>
  </si>
  <si>
    <t>300.SPK/DAN.02.07/ABRU/2016 26 Sept s/d 24 Nov 2016</t>
  </si>
  <si>
    <t>CV. SUMBER SARI</t>
  </si>
  <si>
    <t>301.SPK/DAN.02.01/ABRU/2016 26 Sept s/d 25 Okt 2016</t>
  </si>
  <si>
    <t>Pengadaan Tree Guard untuk daerah rawan pohon dan gangguan</t>
  </si>
  <si>
    <t>302.SPK/DAN.02.03/ABRU/2016 26 Sept s/d 9 Nov 2016</t>
  </si>
  <si>
    <t>303.SPK/DAN.02.03/ABRU/2016 26 Sept s/d 9 Nov 2016</t>
  </si>
  <si>
    <t>SPP 080 AO 2016</t>
  </si>
  <si>
    <t>104.SPK/DAN.02.01/ABRU/2015</t>
  </si>
  <si>
    <t>JASA BORONG ONGKOS ANGKUT BBM WILAYAH I PLTD BIDUK-BIDUK PERIODE MEI 2016 PT.PLN (PERSERO) AREA BERAU</t>
  </si>
  <si>
    <t>Pengiriman Laporan Data Operasional Semester I Tahun 2016 PT PLN (Persero) Area Berau</t>
  </si>
  <si>
    <t>SPP 081 AO 2016</t>
  </si>
  <si>
    <t>SPP 081 AO BRU 2016</t>
  </si>
  <si>
    <t>208.SPK/DAN.02.01/ABRU/2015</t>
  </si>
  <si>
    <t>JASA BORONG ONGKOS ANGKUT BBM WILAYAH II PLTD KRAYAN PERIODE BULAN SEPTEMBER 2015 PT.PLN (PERSERO) AREA BERAU</t>
  </si>
  <si>
    <t>243.SPK/DAN.02.01/ABRU/2015</t>
  </si>
  <si>
    <t>JASA BORONG ONGKOS ANGKUT BBM WILAYAH II PLTD KRAYAN PERIODE BULAN OKTOBER 2015 PT.PLN (PERSERO) AREA BERAU</t>
  </si>
  <si>
    <t>269.SPK/DAN.02.01/ABRU/2015</t>
  </si>
  <si>
    <t>JASA BORONG ONGKOS ANGKUT BBM WILAYAH II PLTD KRAYAN PERIODE BULAN NOVEMBER 2015 PT.PLN (PERSERO) AREA BERAU</t>
  </si>
  <si>
    <t>PEMBAYARAN PREMI PIKET TAHUN 2016 PT. PLN (Persero) AREA BERAU</t>
  </si>
  <si>
    <t>SPP 067 AO 2016</t>
  </si>
  <si>
    <t>SKKO TI</t>
  </si>
  <si>
    <t>TOTAL SKKO TI</t>
  </si>
  <si>
    <t>00411/DAN.01.06/MANBRU/2016</t>
  </si>
  <si>
    <t>325/TU/ABRU/2016</t>
  </si>
  <si>
    <t>Pengadaan Filter dan Material Gangguan untuk Mesin Pembangkit di PLTD Tersebar PT. PLN (Persero) Area Berau</t>
  </si>
  <si>
    <t>318/TU/ABRU/2016</t>
  </si>
  <si>
    <t>Renovasi Rumah Dinas PLTD Sei Limau PT PLN (Persero) Area Berau</t>
  </si>
  <si>
    <t>327/KIT/ABRU/2016</t>
  </si>
  <si>
    <t>328/KIT/ABRU/2016</t>
  </si>
  <si>
    <t>Pengadaan Connecting Rod Mesin Deutz MWM TBD 620 SN. 2203636 PLTD Sei Bilal PT PLN (Persero) Area Berau</t>
  </si>
  <si>
    <t>00414/DAN.01.06/MANBRU/2016</t>
  </si>
  <si>
    <t>00413/DAN.01.06/MANBRU/2016</t>
  </si>
  <si>
    <t>329/TUL/ABRU/2016</t>
  </si>
  <si>
    <t>Pengadaan Sarana Kerja ULD Derawan PT PLN (Persero) Area Berau</t>
  </si>
  <si>
    <t>SPP 060 AO 2016</t>
  </si>
  <si>
    <t>SPP 128 AO 2015</t>
  </si>
  <si>
    <t>233.SPK/DAN.02.01/ABRU/2016 29 Juli s/d 27 Agustus 2016</t>
  </si>
  <si>
    <t>326/KIT/ABRU/2016</t>
  </si>
  <si>
    <t>00416/DAN.01.01/MANBRU/2016</t>
  </si>
  <si>
    <t>00415/DAN.01.01/MANBRU/2016</t>
  </si>
  <si>
    <t>330/KIT/ABRU/2016</t>
  </si>
  <si>
    <t xml:space="preserve">Pengadaan Filter-Filter untuk Mesin Mirrless dan Komatsu di PLTD Tersebar PT PLN (Persero) Area Berau </t>
  </si>
  <si>
    <t>PROGRES FISIK PEKERJAAN</t>
  </si>
  <si>
    <t>PERMINTAAN PEMBAYARAN</t>
  </si>
  <si>
    <t>RENCANA BAYAR</t>
  </si>
  <si>
    <t>TGL.</t>
  </si>
  <si>
    <t>OKT '16 (Rp)</t>
  </si>
  <si>
    <t>NOV '16 (Rp)</t>
  </si>
  <si>
    <t>DES '16 (Rp)</t>
  </si>
  <si>
    <t>MELUNCUR TAHUN 2017 (Rp)</t>
  </si>
  <si>
    <t>177.SPK/DAN.02.03/ABRU/2016 21 Juni s/d 31 Desember 2016</t>
  </si>
  <si>
    <t>060.SPP/DAN.02.03/ABRU/2016 15 Juni s/d 15 Agustus 2016</t>
  </si>
  <si>
    <t>331/TE/ABRU/2016</t>
  </si>
  <si>
    <t>Pemeliharaan Server AMR PT PLN (Persero) Area Berau</t>
  </si>
  <si>
    <t>332/KIT/ABRU/2016</t>
  </si>
  <si>
    <t>Perbaikan dan Pengecatan Lantai PLTD Tubaan PT PLN (Persero) Area Berau</t>
  </si>
  <si>
    <t>333/KIT/ABRU/2016</t>
  </si>
  <si>
    <t>Pembelian Drum &amp; Pompa untuk Pengangkutan Limbah Lokasi PLTD Derawan &amp; Nunukan PT PLN (Persero) Area Berau</t>
  </si>
  <si>
    <t>334/KIT/ABRU/2016</t>
  </si>
  <si>
    <t>Pengadaan Material Tambah untuk Mengatasi Derating Mesin MAN D2842 LE201 PLTD Tidung Pale PT PLN (Persero) Area Berau</t>
  </si>
  <si>
    <t>335/KIT/ABRU/2016</t>
  </si>
  <si>
    <t>Pengadaan Material Mesin MAN D2842 LE201 PLTD Tersebar PT PLN (Persero) Area Berau</t>
  </si>
  <si>
    <t>336/KIT/ABRU/2016</t>
  </si>
  <si>
    <t>Pengadaan Material Tambah untuk Mengatasi Gangguan Mesin Cummins NTA 855 G4 SN. 30344519 PLTD Tidung Pale PT PLN (Persero) Area Berau</t>
  </si>
  <si>
    <t>337/KIT/ABRU/2016</t>
  </si>
  <si>
    <t>338/KIT/ABRU/2016</t>
  </si>
  <si>
    <t>Pembelian Minyak Pelumas Untuk Operasional Emergency PLTD Kayan Hulu PT PLN (Persero) Area Berau</t>
  </si>
  <si>
    <t>339/KIT/ABRU/2016</t>
  </si>
  <si>
    <t>Pengadaan Material Umum Mesin MAN D2842 LE 201 SN. 494 0635 227 4201 di PLTD Malinau PT. PLN (Persero) Area Berau</t>
  </si>
  <si>
    <t>340/KIT/ABRU/2016</t>
  </si>
  <si>
    <t>Pengadaan Material Umum Relokasi Mesin MWM TBD 232 di PLTD Tidung Pale PT. PLN (Persero) Area Berau</t>
  </si>
  <si>
    <t>341/KIT/ABRU/2016</t>
  </si>
  <si>
    <t>342/KIT/ABRU/2016</t>
  </si>
  <si>
    <t>Pengadaan Material Umum Mesin MAN D2842 LE 201 SN. 494 0181 130 4201 di PLTD Malinau PT. PLN (Persero) Area Berau</t>
  </si>
  <si>
    <t>Pengadaan Material Umum Relokasi Mesin MAN D2866 LE 201 di PLTD Tidung Pale PT. PLN (Persero) Area Berau</t>
  </si>
  <si>
    <t>343/KIT/ABRU/2016</t>
  </si>
  <si>
    <t>344/KIT/ABRU/2016</t>
  </si>
  <si>
    <t>Pengadaan Peralatan Kerja PLTD Sei Menggaris PT PLN (Persero) Area Berau</t>
  </si>
  <si>
    <t>Pengadaan Peralatan Kerja PLTD Sei Buaya PT PLN (Persero) Area Berau</t>
  </si>
  <si>
    <t>345/KIT/ABRU/2016</t>
  </si>
  <si>
    <t>Pengadaan Material Hydrothermometer dan Gelas Ukur PLTD Tersebar PT PLN (Persero) Area Berau</t>
  </si>
  <si>
    <t>346/KIT/ABRU/2016</t>
  </si>
  <si>
    <t>Pengadaan Bahan Bakar Minyak HSD Untuk Kebutuhan Operasional Emergency PLTD Kayan Hulu PT PLN (Persero) Area Berau</t>
  </si>
  <si>
    <t>012.PJ/DAN.02.03/ABRU/2016 31 Agustus s/d 28 November 2016</t>
  </si>
  <si>
    <t>PT. NIEFA MIEMI UTAMA</t>
  </si>
  <si>
    <t>231.SPK/DAN.02.03/ABRU/2016 29 Juli s/d 28 September 2016</t>
  </si>
  <si>
    <t>228.SPK/DAN.02.03/ABRU/2016 29 Juli s/d 26 Sept 2016</t>
  </si>
  <si>
    <t>PT. TEKNIKA PESONA KHAYAN</t>
  </si>
  <si>
    <t>227.SPK/DAN.02.03/ABRU/2016 29 Juli s/d 26 Sept 2016</t>
  </si>
  <si>
    <t>304.SPK/DAN.02.03/ABRU/2016 26 September s/d 24 Desember 2016</t>
  </si>
  <si>
    <t>305.SPK/DAN.02.03/ABRU/2016 26 September s/d 24 November 2016</t>
  </si>
  <si>
    <t>PT. PUTRA PERSADA JAYA</t>
  </si>
  <si>
    <t>013.PJ/DAN.02.03/ABRU/2016 21 September s/d 19 Desember 2016</t>
  </si>
  <si>
    <t>PT. ABDI JATI</t>
  </si>
  <si>
    <t>309.SPK/DAN.02.03/ABRU/2016 8 Sept s/d 27 Okt 2016</t>
  </si>
  <si>
    <t>311.SPK/DAN.02.03/ABRU/2016 28 Sept s/d 26 Nov 2016</t>
  </si>
  <si>
    <t>PT TEKNIKA PESONA KHAYAN</t>
  </si>
  <si>
    <t>103.SPP/DAN.02.03/ABRU/2016 27 Sept s/d 11 Okt 2016</t>
  </si>
  <si>
    <t>310.SPK/DAN.02.03/ABRU/2016 28 Sept s/d 26 Nov 2016</t>
  </si>
  <si>
    <t>347/TE/ABRU/2016</t>
  </si>
  <si>
    <t>Penyambungan Baru Pelanggan 1 Fasa Triwulan IV Tahun 2016 PT PLN (Persero) Wilayah Kalimantan Timur dan Kalimantan Utara Area Berau Rayon Tanjung Redeb</t>
  </si>
  <si>
    <t>PT. POWERINDO PRIMA PERKASA</t>
  </si>
  <si>
    <t>065.SPP/DAN.02.03/ABRU/2016 27 Juni s/d 26 Juli 2016</t>
  </si>
  <si>
    <t>CV. INSAN AMANAH</t>
  </si>
  <si>
    <t>PT. RANGGAH RAJASA UTAMA</t>
  </si>
  <si>
    <t>104.SPP/DAN.02.03/ABRU/2016 27 Sept s/d 10 Nov 2016</t>
  </si>
  <si>
    <t>229.SPK/DAN.02.03/ABRU/2016 29 Juli s/d 24 Nov 2016</t>
  </si>
  <si>
    <t>230.SPK/DAN.02.03/ABRU/2016 29 Juli s/d 25 Nov 2016</t>
  </si>
  <si>
    <t>349/TE/ABRU/2016</t>
  </si>
  <si>
    <t xml:space="preserve">Pengadaan Alat Ukur Multimeter </t>
  </si>
  <si>
    <t>Pengadaan Alat Ukur Rotary Phase</t>
  </si>
  <si>
    <t>350/TE/ABRU/2016</t>
  </si>
  <si>
    <t>Pengadaan Bahan Kimia PAC untuk PLTD Sambaliung PT PLN (Persero) Area Berau</t>
  </si>
  <si>
    <t>045.ND/KIT/ABRU/2016</t>
  </si>
  <si>
    <t>SPP 082 AO 2016</t>
  </si>
  <si>
    <t>044.ND/KIT/AO/BRU/2016/M</t>
  </si>
  <si>
    <t>016.SPK/DAN.02.01/ABRU/2016</t>
  </si>
  <si>
    <t>JASA BORONG ONGKOS ANGKUT BBM WILAYAH II PLTD MARA PERIODE BULAN JANUARI 2016 PT. PLN (PERSERO) AREA BERAU</t>
  </si>
  <si>
    <t>014.SPK/DAN.02.01/ABRU/2016</t>
  </si>
  <si>
    <t>JASA BORONG ONGKOS ANGKUT BBM WILAYAH II PLTD LONG BELUAH PERIODE BULAN JANUARI 2016 PT. PLN (PERSERO) AREA BERAU</t>
  </si>
  <si>
    <t>030.ND/KIT/ABRU/2016</t>
  </si>
  <si>
    <t>JASA BORONG ONGKOS ANGKUT BBM WILAYAH I PLTD TUBAAN PERIODE BULAN FEBRUARI 2016 PT. PLN (PERSERO) AREA BERAU</t>
  </si>
  <si>
    <t>027.ND/KIT/ABRU/2016</t>
  </si>
  <si>
    <t>JASA BORONG ONGKOS ANGKUT BBM WILAYAH I PLTD TUBAAN PERIODE BULAN MARET 2016 PT. PLN (PERSERO) AREA BERAU</t>
  </si>
  <si>
    <t>028.ND/KIT/ABRU/2016</t>
  </si>
  <si>
    <t>033.ND/KIT/ABRU/2016</t>
  </si>
  <si>
    <t>JASA BORONG ONGKOS ANGKUT BBM WILAYAH I PLTD TUBAAN PERIODE BULAN APRIL 2016 PT. PLN (PERSERO) AREA BERAU</t>
  </si>
  <si>
    <t>157.SPB/DAN.02.01/ABRU/2016</t>
  </si>
  <si>
    <t>155.SPB/DAN.02.01/ABRU/2016</t>
  </si>
  <si>
    <t>SPP 083 AO 2016</t>
  </si>
  <si>
    <t>010.SPK/DAN.02.01/ABRU/2016</t>
  </si>
  <si>
    <t>JASA BORONG ONGKOS ANGKUT BBM WILAYAH II PLTD SEI BILAL PERIODE BULAN JANUARI 2016 PT. PLN (PERSERO) AREA BERAU</t>
  </si>
  <si>
    <t>015.SPK/DAN.02.01/ABRU/2016</t>
  </si>
  <si>
    <t>JASA BORONG ONGKOS ANGKUT BBM WILAYAH II PLTD LONG PESO PERIODE BULAN JANUARI 2016 PT. PLN (PERSERO) AREA BERAU</t>
  </si>
  <si>
    <t>044.SPK/DAN.02.01/ABRU/2016</t>
  </si>
  <si>
    <t>JASA BORONG ONGKOS ANGKUT BBM WILAYAH I PLTD SEI BUAYA PERIODE BULAN MARET 2016 PT. PLN (PERSERO) AREA BERAU</t>
  </si>
  <si>
    <t>149.SPK/DAN.02.01/ABRU/2016</t>
  </si>
  <si>
    <t>JASA BORONG ONGKOS ANGKUT BBM WILAYAH I PLTD DERAWAN PERIODE BULAN JUNI 2016 PT. PLN (Persero) AREA BERAU</t>
  </si>
  <si>
    <t>152.SPK/DAN.02.01/ABRU/2016</t>
  </si>
  <si>
    <t>JASA BORONG ONGKOS ANGKUT BBM WILAYAH I PLTD BATU PUTIH PERIODE BULAN JUNI 2016 PT. PLN (Persero) AREA BERAU</t>
  </si>
  <si>
    <t>151.SPK/DAN.02.01/ABRU/2016</t>
  </si>
  <si>
    <t>JASA BORONG ONGKOS ANGKUT BBM WILAYAH I PLTD BIDUK-BIDUK PERIODE BULAN JUNI 2016 PT. PLN (Persero) AREA BERAU</t>
  </si>
  <si>
    <t>145.SPK/DAN.02.01/ABRU/2016</t>
  </si>
  <si>
    <t>JASA BORONG ONGKOS ANGKUT BBM WILAYAH I PLTD SEI BUAYA PERIODE BULAN JUNI 2016 PT. PLN (Persero) AREA BERAU</t>
  </si>
  <si>
    <t>011.SPK/DAN.02.01/ABRU/2016</t>
  </si>
  <si>
    <t>JASA BORONG ONGKOS ANGKUT BBM WILAYAH II PLTD SEBATIK PERIODE BULAN JANUARI 2016 PT. PLN (PERSERO) AREA BERAU</t>
  </si>
  <si>
    <t>018.SPK/DAN.02.01/ABRU/2016</t>
  </si>
  <si>
    <t>JASA BORONG ONGKOS ANGKUT BBM WILAYAH II PLTD KUALA LAPANG PERIODE BULAN JANUARI 2016 PT. PLN (PERSERO) AREA BERAU</t>
  </si>
  <si>
    <t>SPP 084 AO 2016</t>
  </si>
  <si>
    <t>147.SPK/DAN.02.01/ABRU/2016</t>
  </si>
  <si>
    <t>JASA BORONG ONGKOS ANGKUT BBM WILAYAH I PLTD GUNUNG SARI PERIODE BULAN JUNI 2016 PT. PLN (Persero) AREA BERAU</t>
  </si>
  <si>
    <t>148.SPK/DAN.02.01/ABRU/2016</t>
  </si>
  <si>
    <t>JASA BORONG ONGKOS ANGKUT BBM WILAYAH I PLTD TANJUNG BATU PERIODE BULAN JUNI 2016 PT. PLN (Persero) AREA BERAU</t>
  </si>
  <si>
    <t>029.ND/KIT/ABRU/2016</t>
  </si>
  <si>
    <t>Pengiriman BBM Solar Ke PLTD Tubaan Bulan Januari 2016 PT. PLN (Persero) Area Berau</t>
  </si>
  <si>
    <t>146.SPK/DAN.02.01/ABRU/2016</t>
  </si>
  <si>
    <t>JASA BORONG ONGKOS ANGKUT BBM WILAYAH I PLTD MERASA PERIODE BULAN JUNI 2016 PT. PLN (Persero) AREA BERAU</t>
  </si>
  <si>
    <t>034.ND/KIT/ABRU/2016</t>
  </si>
  <si>
    <t>Pengiriman BBM Solar Ke PLTD Tubaan Bulan Mei 2016 PT. PLN (Persero) Area Berau</t>
  </si>
  <si>
    <t>012.SPK/DAN.02.01/ABRU/2016</t>
  </si>
  <si>
    <t>JASA BORONG ONGKOS ANGKUT BBM WILAYAH II PLTD SEKATAK BUJI PERIODE BULAN JANUARI 2016 PT. PLN (PERSERO) AREA BERAU</t>
  </si>
  <si>
    <t>017.SPK/DAN.02.01/ABRU/2016</t>
  </si>
  <si>
    <t>JASA BORONG ONGKOS ANGKUT BBM WILAYAH II PLTD ATAP PERIODE BULAN JANUARI 2016 PT. PLN (PERSERO) AREA BERAU</t>
  </si>
  <si>
    <t>SPP 085 AO 2016</t>
  </si>
  <si>
    <t>SPP 086 AO 2016</t>
  </si>
  <si>
    <t>Pengiriman Material dari Berau ke Nunukan</t>
  </si>
  <si>
    <t>351/TE/ABRU/2016</t>
  </si>
  <si>
    <t>352/TE/ABRU/2016</t>
  </si>
  <si>
    <t>Jasa Supervisi Penerimaan BBM HSD Bulan September-Oktober Tahun 2016 PT. PLN (Persero) Area Berau</t>
  </si>
  <si>
    <t>355/KIT/ABRU/2016</t>
  </si>
  <si>
    <t>00422/DAN.01.01/MANBRU/2016</t>
  </si>
  <si>
    <t>00424/DAN.01.01/MANBRU/2016</t>
  </si>
  <si>
    <t>00421/DAN.01.01/MANBRU/2016</t>
  </si>
  <si>
    <t>356/KIT/ABRU/2016</t>
  </si>
  <si>
    <t>00098/DAN.01.06/MANBRU/2016</t>
  </si>
  <si>
    <t>00097/DAN.01.06/MANBRU/2016</t>
  </si>
  <si>
    <t>00096/DAN 01.06/MANBRU/2016</t>
  </si>
  <si>
    <t>00095/DAN 01.06/MANBRU/2016</t>
  </si>
  <si>
    <t>00423/DAN 01.06/MANBRU/2016</t>
  </si>
  <si>
    <t>00427/DAN.01.03/MANBRU/2016</t>
  </si>
  <si>
    <t>357/JAR/ABRU/2016</t>
  </si>
  <si>
    <t>Jasa Borong Reconnectorisasi SR di KP Biduk- Biduk</t>
  </si>
  <si>
    <t>CV. SOFWAN SULTHAN</t>
  </si>
  <si>
    <t>Pengadaan Penutup Bushing Trafo PT PLN (Persero) Area Berau Rayon Tanjung Redeb Triwulan IV</t>
  </si>
  <si>
    <t>358/JAR/ABRU/2016</t>
  </si>
  <si>
    <t>359/JAR/ABRU/2016</t>
  </si>
  <si>
    <t>Pengadaan dan Pemasangan Recloser 20KV Jl Mantikas Liang Bunyu Rayon Nunukan Area Berau</t>
  </si>
  <si>
    <r>
      <t>Pengecatan Sentral PLTD Tanjung Batu</t>
    </r>
    <r>
      <rPr>
        <sz val="12"/>
        <rFont val="Calibri"/>
        <family val="2"/>
      </rPr>
      <t xml:space="preserve"> PT PLN (Persero) Area Berau</t>
    </r>
  </si>
  <si>
    <t>00430/DAN.01.01/MANBRU/2016</t>
  </si>
  <si>
    <t>MDU dan Jasa - Pemasangan dan Penambahan Lisensi AMR (110 Pelanggan) Area Berau</t>
  </si>
  <si>
    <t>jasa dan aksesoris - Pengadaan Dan Pemasangan AMRisasi Daya 23 kVa Area Berau</t>
  </si>
  <si>
    <t>008.DIST/AI-NR/BRU/2016/M 0923/KEU.01.01/WKTKU/2016-R 29 Agustus 2016</t>
  </si>
  <si>
    <t>REVISI: 008.DIST/AI-NR/BRU/2016/M 1060/KEU.01.01/WKTKU/2016-R Oktober 2016</t>
  </si>
  <si>
    <t>360/TE/ABRU/2016</t>
  </si>
  <si>
    <t>Penyambungan Baru Pelanggan 3 Phasa di PT PLN (Persero) Wilayah Kalimantan Timur dan Kalimantan Utara Area Berau</t>
  </si>
  <si>
    <t>00433/DAN.01.03/MANBRU/2016</t>
  </si>
  <si>
    <t>00432/DAN.01.03/MANBRU/2016</t>
  </si>
  <si>
    <t>00431/DAN 01.06/MANBRU/2016</t>
  </si>
  <si>
    <t>363/TE/ABRU/2016</t>
  </si>
  <si>
    <t>368/TE/ABRU/2016</t>
  </si>
  <si>
    <t>369/TE/ABRU/2016</t>
  </si>
  <si>
    <t>370/TE/ABRU/2016</t>
  </si>
  <si>
    <t>Pengadaan Segel Sticker Pemutusan PT PLN (Persero) Area Berau Rayon Tanjung Redeb</t>
  </si>
  <si>
    <t>Pengadaan Segel Sticker Pemutusan PT PLN (Persero) Area Berau Rayon Tanjung Selor</t>
  </si>
  <si>
    <t>Pengadaan Segel Sticker Pemutusan PT PLN (Persero) Area Berau Rayon Malinau dan Rayon Nunukan</t>
  </si>
  <si>
    <t>00434/DAN.01.03/MANBRU/2016</t>
  </si>
  <si>
    <t>00435/DAN.01.01/MANBRU/2016</t>
  </si>
  <si>
    <t>00437/DAN.01.03/MANBRU/2016</t>
  </si>
  <si>
    <t>00436/DAN.01.03/MANBRU/2016</t>
  </si>
  <si>
    <t>00438/DAN.01.03/MANBRU/2016</t>
  </si>
  <si>
    <t>Pengadaan Lisensi AMR</t>
  </si>
  <si>
    <t>Pengadaan Sarana Pembacaan Meter dan Billman PT PLN (Persero) Area Berau</t>
  </si>
  <si>
    <t>Pengadaan Segel Plastik Putar DNA</t>
  </si>
  <si>
    <t>Pengadaan Kabel Wiring dan Pembatas Arus</t>
  </si>
  <si>
    <t>373/TE/ABRU/2016</t>
  </si>
  <si>
    <t>374/TE/ABRU/2016</t>
  </si>
  <si>
    <t>Pengadaan Alat Detektor Segel DNA</t>
  </si>
  <si>
    <t>371/TE/ABRU/2016</t>
  </si>
  <si>
    <t>372/TE/ABRU/2016</t>
  </si>
  <si>
    <t>375/KIT/ABRU/2016</t>
  </si>
  <si>
    <t>Pengadaan Sarana Keselamatan dan Keamanan Kerja (K3) Unit-Unit PLTD  PT PLN (Persero) Area Berau</t>
  </si>
  <si>
    <t>00442/DAN.01.01/MANBRU/2016</t>
  </si>
  <si>
    <t>376/KIT/ABRU/2016</t>
  </si>
  <si>
    <t>Pengiriman Pelumas dari PLTD Malinau ke PLTD Lumbis Ogong PT PLN (Persero) Area Berau</t>
  </si>
  <si>
    <t>377/JAR/ABRU/2016</t>
  </si>
  <si>
    <t>SPP 029 AI 2016</t>
  </si>
  <si>
    <t>00444/DAN.01.03/MANBRU/2016</t>
  </si>
  <si>
    <t>Jasa Borong Pemeliharaan Jaringan SUTM, SUTR Desa Beringin Malinau</t>
  </si>
  <si>
    <t>378/JAR/ABRU/2016</t>
  </si>
  <si>
    <t>379/JAR/ABRU/2016</t>
  </si>
  <si>
    <t>Jasa Borong Reconnectorisasi SR di Rayon Tanjung Redeb</t>
  </si>
  <si>
    <t>380/JAR/ABRU/2016</t>
  </si>
  <si>
    <t>Pengadaan Material Pemeliharaan SCADA</t>
  </si>
  <si>
    <t>00448/DAN.01.03/MANBRU/2016</t>
  </si>
  <si>
    <t>00447/DAN.01.06/MANBRU/2016</t>
  </si>
  <si>
    <t>00446/DAN.01.06/MANBRU/2016</t>
  </si>
  <si>
    <t>00445/DAN.01.03/MANBRU/2016</t>
  </si>
  <si>
    <t>381/KIT/ABRU/2016</t>
  </si>
  <si>
    <t>Jasa Borong Ongkos Angkut BBM Emergency PLTD Lumbis Ogong PT PLN (Persero) Area Berau</t>
  </si>
  <si>
    <t>382/KIT/ABRU/2016</t>
  </si>
  <si>
    <t>Jasa Borong Ongkos Angkut BBM Emergency PLTD Sei Menggaris PT PLN (Persero) Area Berau</t>
  </si>
  <si>
    <t>383/KIT/ABRU/2016</t>
  </si>
  <si>
    <t>Jasa Borong Ongkos Angkut BBM Emergency PLTD Sebuku PT PLN (Persero) Area Berau</t>
  </si>
  <si>
    <t>384/KIT/ABRU/2016</t>
  </si>
  <si>
    <t>Jasa Borong Ongkos Angkut BBM Emergency PLTD Tulin Onsoi PT PLN (Persero) Area Berau</t>
  </si>
  <si>
    <t>385/KIT/ABRU/2016</t>
  </si>
  <si>
    <t xml:space="preserve">Perbaikan dan Perluasan Sentral PLTD Tersebar PT PLN (Persero) Area Berau </t>
  </si>
  <si>
    <t>386/KIT/ABRU/2016</t>
  </si>
  <si>
    <t>Pengecatan Lantai Sentral dan Pondasi Mesin PLTD Sei Menggaris PT. PLN (Persero) Area Berau</t>
  </si>
  <si>
    <t>387/KIT/ABRU/2016</t>
  </si>
  <si>
    <t>Pengecatan Lantai Sentral dan Pondasi Mesin PLTD Sei Limau PT. PLN (Persero) Area Berau</t>
  </si>
  <si>
    <t>388/JAR/ABRU/2016</t>
  </si>
  <si>
    <t>389/KIT/ABRU/2016</t>
  </si>
  <si>
    <t>Pengecatan dan Perbaikan Parit PLTD Biduk-Biduk PT PLN (Persero) Area Berau</t>
  </si>
  <si>
    <t>390/KIT/ABRU/2016</t>
  </si>
  <si>
    <t>Relokasi Radiator Mesin MWM 616 V12 dari PLTD Sebatik ke PLTD Bunyu PT. PLN (Persero) Area Berau</t>
  </si>
  <si>
    <t>050.ND/KIT/ABRU/2016</t>
  </si>
  <si>
    <t>SPP 087 AO 2016</t>
  </si>
  <si>
    <t>047.ND/KIT/ABRU/2016</t>
  </si>
  <si>
    <t xml:space="preserve">CV.TRITAMA ENERGI </t>
  </si>
  <si>
    <t>048.ND/KIT/ABRU/2016</t>
  </si>
  <si>
    <t>049.ND/KIT/ABRU/2016</t>
  </si>
  <si>
    <t>051.ND/KIT/ABRU/2016</t>
  </si>
  <si>
    <t>SPP 088 AO 2016</t>
  </si>
  <si>
    <t>114.SPK/DAN.02.01/ABRU/2016</t>
  </si>
  <si>
    <t>JASA BORONG ONGKOS ANGKUT BBM WILAYAH I PLTD SAMBALIUNG PERIODE BULAN JUNI 2016 PT. PLN (Persero) AREA BERAU</t>
  </si>
  <si>
    <t>304.SPK/DAN.02.01/ABRU/2015</t>
  </si>
  <si>
    <t>JASA BORONG ONGKOS ANGKUT BBM WILAYAH II PLTD KUALA LAPANG PERIODE BULAN DESEMBER 2015 PT. PLN (PERSERO) AREA BERAU</t>
  </si>
  <si>
    <t>106.SPK/DAN.02.01/ABRU/2016</t>
  </si>
  <si>
    <t>JASA BORONG ONGKOS ANGKUT BBM WILAYAH II PLTD SEI BILAL PERIODE BULAN MEI 2016 PT. PLN (PERSERO) AREA BERAU</t>
  </si>
  <si>
    <t>161.SPK/DAN.02.01/ABRU/2016</t>
  </si>
  <si>
    <t>JASA BORONG ONGKOS ANGKUT BBM WILAYAH II PLTD SEBATIK PERIODE BULAN JUNI 2016 PT. PLN (PERSERO) AREA BERAU</t>
  </si>
  <si>
    <t>153.SPK/DAN.02.01/ABRU/2016</t>
  </si>
  <si>
    <t>JASA BORONG ONGKOS ANGKUT BBM WILAYAH II PLTD SEI BILAL PERIODE BULAN JUNI 2016 PT. PLN (PERSERO) AREA BERAU</t>
  </si>
  <si>
    <t>163.SPK/DAN.02.01/ABRU/2016</t>
  </si>
  <si>
    <t xml:space="preserve"> JASA BORONG ONGKOS ANGKUT BBM WILAYAH II PLTD LONG BELUAH PERIODE BULAN JUNI 2016 PT. PLN (PERSERO) AREA BERAU</t>
  </si>
  <si>
    <t>178.SPK/DAN.02.01/ABRU/2016</t>
  </si>
  <si>
    <t>JASA BORONG ONGKOS ANGKUT BBM WILAYAH II PLTD LONG PESO PERIODE BULAN JUNI 2016 PT. PLN (PERSERO) AREA BERAU</t>
  </si>
  <si>
    <t>SPP 089 AO 2016</t>
  </si>
  <si>
    <t>SPP 090/AO/BRU/2016</t>
  </si>
  <si>
    <t>September</t>
  </si>
  <si>
    <t>103.SPK/DAN.02.01/ABRU/2016</t>
  </si>
  <si>
    <t>JASA BORONG ONGKOS ANGKUT BBM WILAYAH I PLTD TALISAYAN PERIODE BULAN MEI 2016 PT. PLN (Persero) AREA BERAU</t>
  </si>
  <si>
    <t>150.SPK/DAN.02.01/ABRU/2016</t>
  </si>
  <si>
    <t>JASA BORONG ONGKOS ANGKUT BBM WILAYAH I PLTD TALISAYAN PERIODE BULAN JUNI 2016 PT. PLN (Persero) AREA BERAU</t>
  </si>
  <si>
    <t>SPP 090 AO 2016</t>
  </si>
  <si>
    <t>SPP 091/AO/BRU/2016</t>
  </si>
  <si>
    <t>SPP 091 AO 2016</t>
  </si>
  <si>
    <t>040.ND/KIT/AO/BRU/2016/M</t>
  </si>
  <si>
    <t>164.SPK/DAN.02.01/ABRU/2016</t>
  </si>
  <si>
    <t>JASA BORONG ONGKOS ANGKUT BBM WILAYAH II PLTD MARA PERIODE BULAN JUNI 2016 PT. PLN (Persero) AREA BERAU</t>
  </si>
  <si>
    <t>109.SPP/DAN.02.07/ABRU/2016 28 Sept s/d 12 Okt 2016</t>
  </si>
  <si>
    <t>108.SPP/DAN.02.01/ABRU/2016 28 Sept s/d 27 Oktober 2016</t>
  </si>
  <si>
    <t>107.SPP/DAN.02.07/ABRU/2016 28 Sept s/d 27 Okt 2016</t>
  </si>
  <si>
    <t>294.SPK/DAN.02.07/ABRU/2016 15 Sept s/d 14 Okt 2016</t>
  </si>
  <si>
    <t>CV RAHEN JAYA ABADI</t>
  </si>
  <si>
    <t>106.SPP/DAN.02.03/ABRU/2016 27 September s/d 25 November 2016</t>
  </si>
  <si>
    <t>105.SPP/DAN.02.01/ABRU/201 27 Sept s/d 1 Oktober 2016</t>
  </si>
  <si>
    <t>110.SPP/DAN.02.01/ABRU/2016 5 Okt s/d 3 Nov 2016</t>
  </si>
  <si>
    <t>112.SPP/DAN.02.01/ABRU/2016 10 Okt s/d 8 Nov 2016</t>
  </si>
  <si>
    <t>113.SPP/DAN.02.03/ABRU/2016 18 Okt s/d 1 Des 2016</t>
  </si>
  <si>
    <t>114.SPP/DAN.02.03/ABRU/2016 18 Okt s/d 16 November 2016</t>
  </si>
  <si>
    <t>115.SPP/DAN.02.03/ABRU/2016 18 Okt s/d 31 Des 2016</t>
  </si>
  <si>
    <t>116.SPP/DAN.02.03/ABRU/2016</t>
  </si>
  <si>
    <t>118.SPP/DAN.02.03/ABRU/2016</t>
  </si>
  <si>
    <t>117.SPP/DAN.02.03/ABRU/2016 19 Okt s/d 31 Des 2016</t>
  </si>
  <si>
    <t>00417/DAN.01.01/MANBRU/2016</t>
  </si>
  <si>
    <t>PT. ALDO PRATAMA MANDIRI</t>
  </si>
  <si>
    <t>340.SPK/DAN.02.01/ABRU/2016 5 Okt s/d 3 Nov 2016</t>
  </si>
  <si>
    <t>341.SPK/DAN.02.01/ABRU/2016 5 Okt s/d 18 Nov 2016</t>
  </si>
  <si>
    <t>342.SPK/DAN.02.01/ABRU/2016 11 Okt s/d 9 Nov 2016</t>
  </si>
  <si>
    <t>CV. LAMALAT PUTRA</t>
  </si>
  <si>
    <t>263.SPK/DAN.02.01/ABRU/2016 23 Agst s/d 21 Okt 2016</t>
  </si>
  <si>
    <t>344.SPK/DAN.02.01/ABRU/2016 20 Okt s/d 18 Nov 2016</t>
  </si>
  <si>
    <t>345.SPK/DAN.02.03/ABRU/2016 24 Okt s/d 22 Des 2016</t>
  </si>
  <si>
    <t>346.SPK/DAN.02.01/ABRU/2016 24 Okt s/d 22 Nov 2016</t>
  </si>
  <si>
    <t>348.SPK/DAN.02.01/ABRU/2016 24 Okt s/d 22 Des 2016</t>
  </si>
  <si>
    <t>349.SPK/DAN.02.01/ABRU/2016 24 Okt s/d 22 Nov 2016</t>
  </si>
  <si>
    <t>119.SPP/DAN.02.01/ABRU/2016 19 Okt s/d 17 Nov 2016</t>
  </si>
  <si>
    <t>308.SPK/DAN.02.01/ABRU/2016 27 Sept s/d 26 Okt 2016</t>
  </si>
  <si>
    <t>REKAP MONITORING SKKO HAR OKTOBER 2016</t>
  </si>
  <si>
    <t>00453/DAN.01.03/MANBRU/2016</t>
  </si>
  <si>
    <t>067.ND/KEU.00.02/TE/ABRU/2016</t>
  </si>
  <si>
    <t xml:space="preserve">PEMBAYARAN BIAYA OPRASIONAL P2TL MANDIRI BULAN JUNI - JULI 2016 PT.PLN (Persero) AREA BERAU </t>
  </si>
  <si>
    <t>044.ND/KEU.00.02/TE/ABRU/2016</t>
  </si>
  <si>
    <t>00458/DAN.01.01/MANBRU/2016</t>
  </si>
  <si>
    <t>00457/DAN.01.01/MANBRU/2016</t>
  </si>
  <si>
    <t>00456/DAN.01.01/MANBRU/2016</t>
  </si>
  <si>
    <t>00455/DAN.01.01/MANBRU/2016</t>
  </si>
  <si>
    <t>00454/DAN.01.01/MANBRU/2016</t>
  </si>
  <si>
    <t>391/JAR/ABRU/2016</t>
  </si>
  <si>
    <t>Pengadaan Material Fast Moving</t>
  </si>
  <si>
    <t>392/JAR/ABRU/2016</t>
  </si>
  <si>
    <t>Jasa Borong Pemasangan LBS Motorized PT PLN (Persero) Area Berau</t>
  </si>
  <si>
    <t>393/JAR/ABRU/2016</t>
  </si>
  <si>
    <t>Jasa Borong Pemasangan LBS Motorized untuk Optimalisasi PLTU SAS</t>
  </si>
  <si>
    <t>00460/DAN.01.03/MANBRU/2016</t>
  </si>
  <si>
    <t>00459/DAN.01.01/MANBRU/2016</t>
  </si>
  <si>
    <t>011.KIT/AO/BRU/2016/M</t>
  </si>
  <si>
    <t>1098/KEU.01.02/WKTKU/2016-R</t>
  </si>
  <si>
    <t>PRK.2016.WKT-4.3.53213.106</t>
  </si>
  <si>
    <t>Pengadaan Material dan Jasa untuk mengatasi gangguan di PLTD tersebar</t>
  </si>
  <si>
    <t>Relokasi dan Pengadaan Material Perbaikan Proteksi Mesin PLTD tersebar</t>
  </si>
  <si>
    <t>003.KIT/AO-R/BRU/2016/M</t>
  </si>
  <si>
    <t>1099/KEU.01.02/WKTKU/2016-R</t>
  </si>
  <si>
    <t>Sewa Emergency 11 April 2015 - 10 Oktober 2016</t>
  </si>
  <si>
    <t>Sewa Emergency 11 Oktober 2016 - 10 Oktober 2017</t>
  </si>
  <si>
    <t>SPP 060 AO BRU</t>
  </si>
  <si>
    <t>234.SPK/DAN.02.03/ABRU/2016 1 Agustus/d 31 Desember 2016</t>
  </si>
  <si>
    <t>SKKI 2016</t>
  </si>
  <si>
    <t>Pengangkutan Limbah B3 PLTD Malinau dan PLTD Tidung Pala PT PLN (Persero) Area Berau</t>
  </si>
  <si>
    <t>394/KIT/ABRU/2016</t>
  </si>
  <si>
    <t>SPP 146/AO/BRU/2015</t>
  </si>
  <si>
    <t>395/KIT/ABRU/2016</t>
  </si>
  <si>
    <t>Pengecatan Pagar Besi Depan &amp; Pinggir Jalan Masuk Sentral PLTD Tanjung Selor PT PLN (Persero) Area Berau</t>
  </si>
  <si>
    <t>Pengecatan ruang Kontrol Cubikel 20 kV PLTD Malinau PT PLN (Persero) Area Berau</t>
  </si>
  <si>
    <t>396/KIT/ABRU/2016</t>
  </si>
  <si>
    <t>398/KIT/ABRU/2016</t>
  </si>
  <si>
    <t>Pengadaan Sarana dan Peralatan PLTD Tersebar PT PLN (Persero) Area Berau</t>
  </si>
  <si>
    <t>Pemantauan Lingkungan Ambien, Emisi dan Air Limbah Semester II Tahun 2016 Lokasi Unit-Unit PLTD PT PLN (Persero) Area Berau</t>
  </si>
  <si>
    <t>397/KIT/ABRU/2016</t>
  </si>
  <si>
    <t>400/JAR/ABRU/2016</t>
  </si>
  <si>
    <t>Pengadaan Kamera Pocket dan Cable Schoon untuk Operasional PDKB AreaBerau</t>
  </si>
  <si>
    <t>00464/DAN.01.03/MANBRU/2016</t>
  </si>
  <si>
    <t>401/KIT/ABRU/2016</t>
  </si>
  <si>
    <t>Pengadaan Accu 200 AH PLTD Tidung Pala PT PLN (Persero) Area Berau</t>
  </si>
  <si>
    <t>402/KIT/ABRU/2016</t>
  </si>
  <si>
    <t>Pengadaan Hydrothermometer dan Gelas Ukur PT PLN (Persero) Area Berau</t>
  </si>
  <si>
    <t>00468/DAN.01.01/MANBRU/2016</t>
  </si>
  <si>
    <t>00467/DAN.01.01/MANBRU/2016</t>
  </si>
  <si>
    <t>00466/DAN.01.01/MANBRU/2016</t>
  </si>
  <si>
    <t>403/KIT/ABRU/2016</t>
  </si>
  <si>
    <t>Pengadaan Accu 150 AH PLTD Atap PT PLN (Persero) Area Berau</t>
  </si>
  <si>
    <t>SPP 092 AO 2016</t>
  </si>
  <si>
    <t>SPP 094 AO 2016</t>
  </si>
  <si>
    <t>019.SPK/DAN.02.01/ABRU/2016</t>
  </si>
  <si>
    <t>JASA BORONG ONGKOS ANGKUT BBM WILAYAH II PLTD TIDUNG PALE PERIODE BULAN JANUARI 2016 PT. PLN (PERSERO) AREA BERAU</t>
  </si>
  <si>
    <t>133.SPK/DAN.02.01/ABRU/2016</t>
  </si>
  <si>
    <t>JASA BORONG ONGKOS ANGKUT BBM WILAYAH II PLTD TIDUNG PALE PERIODE BULAN MEI 2016 PT. PLN (PERSERO) AREA BERAU</t>
  </si>
  <si>
    <t>166.SPK/DAN.02.01/ABRU/2016</t>
  </si>
  <si>
    <t>JASA BORONG ONGKOS ANGKUT BBM WILAYAH II PLTD TIDUNG PALE PERIODE BULAN JULI 2016 PT. PLN (PERSERO) AREA BERAU</t>
  </si>
  <si>
    <t>112.SPK/DAN.02.01/ABRU/2016</t>
  </si>
  <si>
    <t>JASA BORONG ONGKOS ANGKUT BBM WILAYAH II PLTD KUALA LAPANG PERIODE BULAN MEI 2016 PT. PLN (PERSERO) AREA BERAU</t>
  </si>
  <si>
    <t>165.SPK/DAN.02.01/ABRU/2016</t>
  </si>
  <si>
    <t>JASA BORONG ONGKOS ANGKUT BBM WILAYAH II PLTD KUALA LAPANG PERIODE BULAN JUNI 2016 PT. PLN (PERSERO) AREA BERAU</t>
  </si>
  <si>
    <t>Pengadaan Material CT TM untuk Penyambungan Baru Pelanggan TM</t>
  </si>
  <si>
    <t>404/TE/ABRU/2016</t>
  </si>
  <si>
    <t>405/TE/ABRU/2016</t>
  </si>
  <si>
    <t>Pengiriman Material APP Dan Aksesoris PT PLN (Persero) Area Berau</t>
  </si>
  <si>
    <t>0458/DAN.02.03/WKTKU/2016</t>
  </si>
  <si>
    <t>095.PJ/DAN.02.03/DJBB/2015</t>
  </si>
  <si>
    <t>Pengadaan Meter Statik Energi Listrik Fasa Tiga</t>
  </si>
  <si>
    <t>PT. EDMI INDONESIA</t>
  </si>
  <si>
    <t>406/TE/ABRU/2016</t>
  </si>
  <si>
    <t>168.SPK/DAN.02.03/ABRU/2016 6 Juni 2016 s/d 3 Sept 2016</t>
  </si>
  <si>
    <t>Pengadaan Material JTR</t>
  </si>
  <si>
    <t>407/JAR/ABRU/2016</t>
  </si>
  <si>
    <t>408/TU/ABRU/2016</t>
  </si>
  <si>
    <t>Pemasangan CCTV  PT PLN (Persero) Area Berau</t>
  </si>
  <si>
    <t>Pengadaan AC PT PLN (Persero) Area Berau</t>
  </si>
  <si>
    <t>409/TU/ABRU/2016</t>
  </si>
  <si>
    <t>PT DUTA ENERGI MULIATAMA</t>
  </si>
  <si>
    <t>031.SPP/DAN.02.03/ABRU/2016 30 Mei 2016 s/d 28 Juni 2016</t>
  </si>
  <si>
    <t>226.SPK/DAN.02.03/ABRU/2016 29 Juli 2016 s/d 26 Sept 2016</t>
  </si>
  <si>
    <t>183.SPK/DAN.02.03/ABRU/2016 27 Juni s/d 24 September 2016</t>
  </si>
  <si>
    <t>181.SPK/DAN.02.03/ABRU/2016 27 Juni s/d 24 September 2016</t>
  </si>
  <si>
    <t>141.SPK/DAN.02.03/ABRU/2016 01 Juni s/d 29 Agustus 2016</t>
  </si>
  <si>
    <t>142.SPK/DAN.02.03/ABRU/2016 01 Juni s/d 28 Sept 2016</t>
  </si>
  <si>
    <t>410/KIT/ABRU/2015</t>
  </si>
  <si>
    <t>Pengadaan Material Gangguan PLTD Tersebar  PT PLN (Persero) Area Berau</t>
  </si>
  <si>
    <t>00469/DAN.01.03/MANBRU/2016</t>
  </si>
  <si>
    <t>00470/DAN.01.03/MANBRU/2016</t>
  </si>
  <si>
    <t>412/TU/ABRU/2016</t>
  </si>
  <si>
    <t>411/TU/ABRU/2016</t>
  </si>
  <si>
    <t>Pemeliharaan tempat parkir motor &amp; mobil &amp; kanopi mushola serta pembuatan bak pembakaran sampah PT PLN (Persero) Area Berau</t>
  </si>
  <si>
    <t>00473/DAN.01.06/MANBRU/2016</t>
  </si>
  <si>
    <t>Pengadaan Keyboard, Mouse, Dan Sambungan USB PT PLN (Persero) Area Berau</t>
  </si>
  <si>
    <t>413/JAR/ABRU/2016</t>
  </si>
  <si>
    <t>Pemeliharaan Kubikel UT</t>
  </si>
  <si>
    <t>00474/DAN.01.03/MANBRU/2016</t>
  </si>
  <si>
    <t xml:space="preserve">00452/DAN.01.03/MANBRU/2016 </t>
  </si>
  <si>
    <t xml:space="preserve">    </t>
  </si>
  <si>
    <t>00475/DAN.01.03/MANBRU/2016</t>
  </si>
  <si>
    <t>00472/DAN.01.03/MANBRU/2016</t>
  </si>
  <si>
    <t>00476/DAN.01.01/MANBRU/2016</t>
  </si>
  <si>
    <t>414/KIT/ABRU/2016</t>
  </si>
  <si>
    <t>Pengangkutan Limbah B3 PLTD Sei Bilal Nunukan dan PLTD Sebatik PT PLN (Persero) Area Berau</t>
  </si>
  <si>
    <t>00478/DAN.01.01/MANBRU/2016</t>
  </si>
  <si>
    <t>00477/DAN.01.01/MANBRU/2016</t>
  </si>
  <si>
    <t>415/KIT/ABRU/2016</t>
  </si>
  <si>
    <t>Pengadaan Jasa dan Material Gangguan Mesin PLTD di Unit Tersebar PT. PLN (Persero) Area Berau</t>
  </si>
  <si>
    <t>416/KIT/ABRU/2016</t>
  </si>
  <si>
    <t>Pengadaan Material untuk mengatasi Gangguan Mesin MTU 12V2000G65 PT. PLN (Persero) Area Berau</t>
  </si>
  <si>
    <t>417/KIT/ABRU/2016</t>
  </si>
  <si>
    <t>Pengadaan Material Gangguan dan Perbaikan Governor Mesin Daihatsu 6DL28 PT. PLN (Persero) Area Berau</t>
  </si>
  <si>
    <t>418/KIT/ABRU/2016</t>
  </si>
  <si>
    <t>Pengadaan Material untuk Mengatasi Gangguan Mesin Deutz MWM 616V16 PLTD Sei Buaya dan Komatsu SAA6D170 PLTD Tidung Pale PT. PLN (Persero) Area Berau</t>
  </si>
  <si>
    <t>419/KIT/ABRU/2016</t>
  </si>
  <si>
    <t>Pengadaan Jasa dan Material Mengatasi Gangguan Mesin Cummins QSX 15G8 SN. 79418324 PLTD Talisayan PT. PLN (Persero) Area Berau</t>
  </si>
  <si>
    <t>420/KIT/ABRU/2016</t>
  </si>
  <si>
    <t>Pengadaan Jasa Mengatasi Gangguan Mesin Deutz MWM TBD 620 SN. 220363636 PLTD Sei Bilal PT. PLN (Persero) Area Berau</t>
  </si>
  <si>
    <t>421/KIT/ABRU/2016</t>
  </si>
  <si>
    <t>Pengadaan Material Cadang untuk Mesin Cummins KTA 50 G3 PLTD Malinau PT. PLN (Persero) Area Berau</t>
  </si>
  <si>
    <t>422/KIT/ABRU/2016</t>
  </si>
  <si>
    <t>Pengadaan Filter untuk Mesin PLTD Tersebar PT. PLN (Persero) Area Berau</t>
  </si>
  <si>
    <t>423/KIT/ABRU/2016</t>
  </si>
  <si>
    <t>Pengadaan Jasa dan Material Mengatasi Gangguan Mesin Perkins 4008TA G2A PLTD Talisayan PT. PLN (Persero) Area Berau</t>
  </si>
  <si>
    <t>361/TE/ABRU/2016</t>
  </si>
  <si>
    <t>425/JAR/ABRU/2016</t>
  </si>
  <si>
    <t>Jasa Borong Perintisan Jaringan di PT PLN (Persero) Area Berau</t>
  </si>
  <si>
    <t>005.DIST/AO/BRU/2016/M</t>
  </si>
  <si>
    <t>426/TE/ABRU/2016</t>
  </si>
  <si>
    <t>362/TE/ABRU/2016</t>
  </si>
  <si>
    <t>Pemasangan Box APP Pelanggan TR Pengukuran Langsung Daya 23 kVa</t>
  </si>
  <si>
    <t>008.DIST/AI-NR/BRU/2016/M</t>
  </si>
  <si>
    <t>427/KIT/ABRU/2016</t>
  </si>
  <si>
    <t>Pembuatan Spanduk dan Papan Nama PLTD Krayan PT. PLN (Persero) Area Berau</t>
  </si>
  <si>
    <t>428/KIT/ABRU/2016</t>
  </si>
  <si>
    <t>Pengiriman Special Tool Mesin Deutz BV8M PLTD Sambaliung  PT. PLN (Persero) Area Berau</t>
  </si>
  <si>
    <t>429/KIT/ABRU/2016</t>
  </si>
  <si>
    <t>Pengadaan Accu 200 aH untuk PLTD Malinau PT. PLN (Persero) Area Berau</t>
  </si>
  <si>
    <t>430/KIT/ABRU/2016</t>
  </si>
  <si>
    <t xml:space="preserve">Pengadaan Jasa Rewinding Main Stator Generator Mesin Mercedes OM407 PLTD Biduk-Biduk PT. PLN (Persero) Area Berau </t>
  </si>
  <si>
    <t>431/KIT/ABRU/2016</t>
  </si>
  <si>
    <t xml:space="preserve">Pengadaan Automatic Voltage Regulator PLTD Tersebar  PT. PLN (Persero) Area Berau </t>
  </si>
  <si>
    <t>432/KIT/ABRU/2016</t>
  </si>
  <si>
    <t>Pembuatan Pondasi Trafo Step Up di PLTD Tersebar PT. PLN (Persero) Area Berau</t>
  </si>
  <si>
    <t>433/KIT/ABRU/2016</t>
  </si>
  <si>
    <t>Pengiriman Cylinder Head dan Kipas Radiator Mesin Deutz BV8M dari PLTD Gunung Sitoli ke PLTD Sambaliung PT. PLN (Persero) Area Berau</t>
  </si>
  <si>
    <t>00486/DAN.01.01/MANBRU/2016</t>
  </si>
  <si>
    <t>00485/DAN.01.01/MANBRU/2016</t>
  </si>
  <si>
    <t>00484/DAN.01.01/MANBRU/2016</t>
  </si>
  <si>
    <t>00483/DAN.01.01/MANBRU/2016</t>
  </si>
  <si>
    <t>00482/DAN.01.01/MANBRU/2016</t>
  </si>
  <si>
    <t>00481/DAN.01.01/MANBRU/2016</t>
  </si>
  <si>
    <t>00480/DAN.01.01/MANBRU/2016</t>
  </si>
  <si>
    <t>00479/DAN.01.01/MANBRU/2016</t>
  </si>
  <si>
    <t>350.SPK/DAN.02.03/ABRU/2016 24 Oktober s/d 22 Desember 2016</t>
  </si>
  <si>
    <t>SPP 003 AI 2016</t>
  </si>
  <si>
    <t>SPP 022 AI 2016</t>
  </si>
  <si>
    <t>SPP 009 AI 2016</t>
  </si>
  <si>
    <t>SPP 010 AI 2016</t>
  </si>
  <si>
    <t>SPP 002 AI 2016</t>
  </si>
  <si>
    <t>SPP 004 AI 2016</t>
  </si>
  <si>
    <t>SPP 006 AI 2016</t>
  </si>
  <si>
    <t>SPP 013 AI 2016</t>
  </si>
  <si>
    <t>SPP 026 AI 2016</t>
  </si>
  <si>
    <t>SPP 030 AI 2016</t>
  </si>
  <si>
    <t>SPP 031 AI 2016</t>
  </si>
  <si>
    <t>SPP 032 AI 2016</t>
  </si>
  <si>
    <t>Pengadaan Meter Statik Energi Listrik Fasa Tiga; Pengukuran Langsung Kelas 1</t>
  </si>
  <si>
    <t>435/TU/ABRU/2016</t>
  </si>
  <si>
    <t>Pengadaan Box untuk sarana Penyimpanan kWh Meter di Rayon Nunukan</t>
  </si>
  <si>
    <t>436/TU/ABRU/2016</t>
  </si>
  <si>
    <t>Pengadaan Box untuk sarana Penyimpanan kWh Meter di Rayon Malinau</t>
  </si>
  <si>
    <t>00493/DAN.01.03/MANBRU/2016</t>
  </si>
  <si>
    <t>00492/DAN.01.01/MANBRU/2016</t>
  </si>
  <si>
    <t>00490/DAN.01.01/MANBRU/2016</t>
  </si>
  <si>
    <t>00489/DAN.01.01/MANBRU/2016</t>
  </si>
  <si>
    <t>00488/DAN.01.01/MANBRU/2016</t>
  </si>
  <si>
    <t>00494/DAN.01.03/MANBRU/2016</t>
  </si>
  <si>
    <t>00491/DAN.01.01/MANBRU/2016</t>
  </si>
  <si>
    <t xml:space="preserve">PEMBAYARAN PREMI PIKET HARI IDUL ADHA TAHUN 2016 PT.PLN (Persero) AREA BERAU </t>
  </si>
  <si>
    <t>SPP 095 AO 2016</t>
  </si>
  <si>
    <t>054.ND/KIT/ABRU/2016</t>
  </si>
  <si>
    <t>PEMBELIAN MINYAK PELUMAS UNTUK OPRASIONAL EMERGENCY PLTD KRAYAN HULU PT. PLN (Persero) AREA BERAU</t>
  </si>
  <si>
    <t>055.ND/KIT/ABRU/2016</t>
  </si>
  <si>
    <t>053.ND/KIT/ABRU/2016</t>
  </si>
  <si>
    <t>052.ND/KIT/ABRU/2016</t>
  </si>
  <si>
    <t>036.ND/KIT/ABRU/2016</t>
  </si>
  <si>
    <t xml:space="preserve">CV.JAYA ANGKASA MANDIRI  </t>
  </si>
  <si>
    <t>079.SPK/DAN.02.01/ABRU/2016</t>
  </si>
  <si>
    <t>060.SPK/DAN.02.01/ABRU/2016</t>
  </si>
  <si>
    <t>020.SPK/DAN.02.01/ABRU/2016</t>
  </si>
  <si>
    <t>038.SPK/DAN.02.01/ABRU/2016</t>
  </si>
  <si>
    <t>SPP 096 AO 2016</t>
  </si>
  <si>
    <t>SPP 097 AO 2016</t>
  </si>
  <si>
    <t>240.SPP/DAN.02.01/ABRU/2016; 130.ADD/DAN.02.01/ABRU/2016; s/d 31 Agustus 2016</t>
  </si>
  <si>
    <t>154.SPB/DAN.02.01/ABRU/2016</t>
  </si>
  <si>
    <t>041.SPP/DAN.02.01/ABRU/2016</t>
  </si>
  <si>
    <t>156.SPB/DAN.02.01/ABRU/2016</t>
  </si>
  <si>
    <t>SPP 083 AO 2017</t>
  </si>
  <si>
    <t>037/ND/KIT/ABRU/2016</t>
  </si>
  <si>
    <t>SPP 098 AO 2016</t>
  </si>
  <si>
    <t>039/ND/KIT/ABRU/2016</t>
  </si>
  <si>
    <t>041/ND/KIT/ABRU/2016</t>
  </si>
  <si>
    <t>040/ND/KIT/ABRU/2016</t>
  </si>
  <si>
    <t>046.ND/KIT/ABRU/2016</t>
  </si>
  <si>
    <t xml:space="preserve">PT. PRIMA ARTA MULIA </t>
  </si>
  <si>
    <t>SPP 099 AO 2016</t>
  </si>
  <si>
    <t>064.SPP/DAN.02.03/ABRU/2016 27 Juni s/d 26 Juli 2016</t>
  </si>
  <si>
    <t>SPP 100 AO 2016</t>
  </si>
  <si>
    <t>042.SPP/DAN.02.01/ABRU/2016</t>
  </si>
  <si>
    <t>057.ND/KIT/ABRU/2016</t>
  </si>
  <si>
    <t>SPP 101 AO 2016</t>
  </si>
  <si>
    <t>437/TE/ABRU/2016</t>
  </si>
  <si>
    <t>Pegadaan Terminasi Single Core Indoor</t>
  </si>
  <si>
    <t>SPP 102/AO/BRU/2016</t>
  </si>
  <si>
    <t>Oktober</t>
  </si>
  <si>
    <t>001.SPP/DAN.02.01/ABRU/2016</t>
  </si>
  <si>
    <t>JASA ONGKOS ANGKUT PELUMAS UNTUK SEMESTER I PLTD TERSEBAR PT. PLN (PERSERO) AREA BERAU</t>
  </si>
  <si>
    <t>SPP 102 AO 2016</t>
  </si>
  <si>
    <t>SPP 034 AI 2016</t>
  </si>
  <si>
    <t>SPP 033 AI 2016</t>
  </si>
  <si>
    <t>012.KIT/AO/BRU/2016/M</t>
  </si>
  <si>
    <t>1173/KEU.01.02/WKTKU/2016-R</t>
  </si>
  <si>
    <t>PRK.2016.WKT-4.3.53213.99</t>
  </si>
  <si>
    <t>PENGADAAN APAR PLN AREA BERAU</t>
  </si>
  <si>
    <t>009.DIST/AI-R/BRU/2016/M</t>
  </si>
  <si>
    <t>1148/KEU.01.01/WKTKU/2016-R</t>
  </si>
  <si>
    <t>PRK.2016.WKT-4.3.31</t>
  </si>
  <si>
    <t>Pembangunan Jaringan SUTM untuk Evakuasi Daya PLTU Teluk di PLN Area Berau</t>
  </si>
  <si>
    <t>00022/SKKI/KEU.01.01/KDIVMUM/2016</t>
  </si>
  <si>
    <t>Pembangunan Gedung Kantor Pelayanan PLN Krayan</t>
  </si>
  <si>
    <t>288/TU/ABRU/2016</t>
  </si>
  <si>
    <t>Pembangunan Gedung Kantor Krayan</t>
  </si>
  <si>
    <t>SKKI GD. PLN KRAYAN 2016</t>
  </si>
  <si>
    <t>438/TE/ABRU/2016</t>
  </si>
  <si>
    <t>Pengadaan Kabel SKTM Single Core Indoor</t>
  </si>
  <si>
    <t>015.PJ/DAN.02.03/ABRU/2016 28 Sept s/d 16 Des 2016</t>
  </si>
  <si>
    <t>CV. RIANG KRAYAN</t>
  </si>
  <si>
    <t>439/TE/ABRU/2016</t>
  </si>
  <si>
    <t>Pengadaan Material kWh meter Prabayar 3 Phasa</t>
  </si>
  <si>
    <t>382.SPK/DAN.02.03/ABRU/2016 14 Nov 2016 s/d 11 Feb 2017</t>
  </si>
  <si>
    <t>132.SPP/DAN.02.03/ABRU/2016 11 Nov s/d 10 Des 2016</t>
  </si>
  <si>
    <t>124.SPP/DAN.02.03/ABRU/2016 9 Nov s/d 8 Des 2016</t>
  </si>
  <si>
    <t>131.SPP/DAN.02.03/ABRU/2016 11 Nov s/d 10 Des 2016</t>
  </si>
  <si>
    <t>440/TU/ABRU/2016</t>
  </si>
  <si>
    <t>Pengadaan Proyektor untuk kantor PT PLN (Persero) Area Berau</t>
  </si>
  <si>
    <t>00497/DAN.01.03/MANBRU/2016</t>
  </si>
  <si>
    <t>441/TE/ABRU/2016</t>
  </si>
  <si>
    <t xml:space="preserve">Pengadaan Peralatan Pemeliharaan </t>
  </si>
  <si>
    <t>442/TE/ABRU/2016</t>
  </si>
  <si>
    <t>Pengadaan Material Emergency</t>
  </si>
  <si>
    <t>SPP 035 AI 2016</t>
  </si>
  <si>
    <t>SPP 036 AI 2016</t>
  </si>
  <si>
    <t>SPP 037 AI 2016</t>
  </si>
  <si>
    <t>SPP 103/AO/BRU/2016</t>
  </si>
  <si>
    <t>SPP 103 AO 2016</t>
  </si>
  <si>
    <t>s.d Oktober</t>
  </si>
  <si>
    <t>SURVEILLANCE AUDIT 5 FOR ISO 9001 : 2008 PT. PLN (PERSERO) AREA BERAU</t>
  </si>
  <si>
    <t>FOLLOW-UP AUDIT  FOR ISO 9001 : 2008 PT. PLN (PERSERO) AREA BERAU</t>
  </si>
  <si>
    <t xml:space="preserve">CV. STARINDO TITIAN UTAMA </t>
  </si>
  <si>
    <t>SPP 104 AO 2016</t>
  </si>
  <si>
    <t>058.ND/KIT/ABRU/2016</t>
  </si>
  <si>
    <t>061.ND/KIT/ABRU/2016</t>
  </si>
  <si>
    <t>062.ND/KIT/ABRU/2016</t>
  </si>
  <si>
    <t>060.ND/KIT/ABRU/2016</t>
  </si>
  <si>
    <t>SPP 105 AO 2016</t>
  </si>
  <si>
    <t>443/KIT/ABRU/2016</t>
  </si>
  <si>
    <t>010.DIST/AI-R/BRU/2016/M</t>
  </si>
  <si>
    <t>1182/KEU.01.01/WKTKU/2016-R</t>
  </si>
  <si>
    <t>PRK.2016.WKT-1.3.20</t>
  </si>
  <si>
    <t>Pengadaan Alat Lightning Arrester dan Leaking Tester Area Tersebar</t>
  </si>
  <si>
    <t>444/JAR/ABRU/2016</t>
  </si>
  <si>
    <t xml:space="preserve">Pengadaan Leaking Tester PT PLN (Persero) Area Berau </t>
  </si>
  <si>
    <t>445/JAR/ABRU/2016</t>
  </si>
  <si>
    <t>Jasa Borong Perlengkapan Material MVTIC Feeder Express PLTU Teluk</t>
  </si>
  <si>
    <t>447/KIT/ABRU/2016</t>
  </si>
  <si>
    <t>Pengadaan Material Gangguan Mesin PLTD di Unit Tersebar PT. PLN (Persero) Area Berau</t>
  </si>
  <si>
    <t>00500/DAN.01.03/MANBRU/2016</t>
  </si>
  <si>
    <t>Pengadaan Material Gangguan Mesin Pembangkit PLTD Biduk - Biduk &amp; PLTD Tubaan PT PLN (Persero) Area Berau</t>
  </si>
  <si>
    <t>Pengadaan Tabung dan Aksesoris APAR serta Perlengkapan Fireman PT. PLN (Persero) Area Berau</t>
  </si>
  <si>
    <t>446/KIT/ABRU/2016</t>
  </si>
  <si>
    <t>448/KIT/ABRU/2016</t>
  </si>
  <si>
    <t>449/KIT/ABRU/2016</t>
  </si>
  <si>
    <t>Pengadaan Material Tambah Mengatasi Gangguan Mesin Perkins 4008TA G2A PLTD Talisayan PT. PLN (Persero) Area Berau</t>
  </si>
  <si>
    <t>450/KIT/ABRU/2016</t>
  </si>
  <si>
    <t>Pengadaan Jasa Mengatasi Derating Mesin MAN D2866 LE201 di PLTD Tubaan PT. PLN (Persero) Area Berau</t>
  </si>
  <si>
    <t>00501/DAN.01.03/MANBRU/2016</t>
  </si>
  <si>
    <t>313.SPK/DAN.02.01/ABRU/2016 30 September s/d 29 Oktober 2016</t>
  </si>
  <si>
    <t>306.SPK/DAN.02.01/ABRU/2016 27 September s/d 26 Oktober 2016</t>
  </si>
  <si>
    <t>451/KIT/ABRU/2016</t>
  </si>
  <si>
    <t>452/KIT/ABRU/2016</t>
  </si>
  <si>
    <t>Pekerjaan Service Radiator Mesin Mercy MTU OM477 6R AA32 PLTD Derawan PT. PLN (Persero) Area Berau</t>
  </si>
  <si>
    <t>Pekerjaan Service Radiator Mesin Cummins 6CT 8.3G PLTD Derawan PT. PLN (Persero) Area Berau</t>
  </si>
  <si>
    <t>453/JAR/ABRU/2016</t>
  </si>
  <si>
    <t>Jasa Borong Pengiriman Material Distribusi  PT PLN (Persero) Area Berau</t>
  </si>
  <si>
    <t>Renovasi Gedung Area Berau PT PLN (Persero) Area Berau</t>
  </si>
  <si>
    <t>454/TU/ABRU/2016</t>
  </si>
  <si>
    <t>00502/DAN.01.01/MANBRU/2016</t>
  </si>
  <si>
    <t>00504/DAN.01.01/MANBRU/2016</t>
  </si>
  <si>
    <t>00505/DAN.01.01/MANBRU/2016</t>
  </si>
  <si>
    <t>00503/DAN.01.01/MANBRU/2016</t>
  </si>
  <si>
    <t>00509/DAN.01.01/MANBRU/2016</t>
  </si>
  <si>
    <t>00510/DAN.01.06/MANBRU/2016</t>
  </si>
  <si>
    <t>00506/DAN.01.03/MANBRU/2016</t>
  </si>
  <si>
    <t>455/TUL/ABRU/2016</t>
  </si>
  <si>
    <t>00511/DAN.01.06/MANBRU/2016</t>
  </si>
  <si>
    <t>Pengadaan Neon Box (Board Papan Nama) PT PLN (Persero) Area Berau Lokasi TulinOnsoi, Sebuku, Sei Menggaris, Pimping &amp; Sekatak Buji</t>
  </si>
  <si>
    <t>456/KIT/ABRU/2016</t>
  </si>
  <si>
    <t>PT. INTEGRA AUTOMA SOLUSI</t>
  </si>
  <si>
    <t>078.ND/KEU.00.02/TE/ABRU/2016</t>
  </si>
  <si>
    <t>SPP 038 AI 2016</t>
  </si>
  <si>
    <t>SPP 039 AI 2016</t>
  </si>
  <si>
    <t>SPP 040 AI 2016</t>
  </si>
  <si>
    <t>SPP 041 AI 2016</t>
  </si>
  <si>
    <t>SPP 041 AO 2016</t>
  </si>
  <si>
    <t>059.ND/KIT/ABRU/2016</t>
  </si>
  <si>
    <t>SPP 106 AO 2016</t>
  </si>
  <si>
    <t>215.SPK/DAN.02.01/ABRU/2016</t>
  </si>
  <si>
    <t>JASA BORONG ONGKOS ANGKUT BBM WILAYAH II PLTD MARA PERIODE BULAN JULI 2016 PT. PLN (PERSERO) AREA BERAU</t>
  </si>
  <si>
    <t>250.SPK/DAN.02.01/ABRU/2016</t>
  </si>
  <si>
    <t>JASA BORONG ONGKOS ANGKUT BBM WILAYAH II PLTD MARA PERIODE BULAN AGUSTUS 2016 PT. PLN (PERSERO) AREA BERAU</t>
  </si>
  <si>
    <t>079.ND/KEU.00.02/TE/ABRU/2016</t>
  </si>
  <si>
    <t xml:space="preserve">CV. PANCA PRIMA  </t>
  </si>
  <si>
    <t>SPP 107 AO 2016</t>
  </si>
  <si>
    <t>247.SPK/DAN.02.01/ABRU/2016</t>
  </si>
  <si>
    <t>JASA BORONG ONGKOS ANGKUT BBM WILAYAH II PLTD SEKATAK BUJI PERIODE BULAN AGUSTUS 2016 PT. PLN (PERSERO) AREA BERAU</t>
  </si>
  <si>
    <t>248.SPK/DAN.02.01/ABRU/2016</t>
  </si>
  <si>
    <t>JASA BORONG ONGKOS ANGKUT BBM WILAYAH II PLTD LONG BELUAH PERIODE BULAN AGUSTUS 2016 PT. PLN (PERSERO) AREA BERAU</t>
  </si>
  <si>
    <t>214.SPK/DAN.02.01/ABRU/2016</t>
  </si>
  <si>
    <t>JASA BORONG ONGKOS ANGKUT BBM WILAYAH II PLTD LONG BELUAH PERIODE BULAN JULI 2016 PT. PLN (PERSERO) AREA BERAU</t>
  </si>
  <si>
    <t>458/KIT/ABRU/2016</t>
  </si>
  <si>
    <t>459/KIT/ABRU/2016</t>
  </si>
  <si>
    <t>Sewa kendaraan untuk Pemantauan Lingkungan Semester II Tahun 2016 untuk Unit PLTD PT PLN (Persero) Area Berau</t>
  </si>
  <si>
    <t>Pengadaan Stiker Sampah untuk Unit-Unit PLTD PT PLN (Persero) Area Berau</t>
  </si>
  <si>
    <t>460/KIT/ABRU/2016</t>
  </si>
  <si>
    <t>461/KIT/ABRU/2016</t>
  </si>
  <si>
    <t>462/KIT/ABRU/2016</t>
  </si>
  <si>
    <t>Pengangkutan Limbah dari PLTD Derawan ke Tanjung Redeb PT PLN (Persero) Area Berau</t>
  </si>
  <si>
    <t>Pengangkutan Limbah dari Pelabuhan ke PLTD Sambaliung PT PLN (Persero) Area Berau</t>
  </si>
  <si>
    <t>Pengangkutan Limbah PLTD Merasa PT PLN (Persero) Area Berau</t>
  </si>
  <si>
    <t>realisasi s/d November</t>
  </si>
  <si>
    <t>00471/DAN.01.03/MANBRU/2016</t>
  </si>
  <si>
    <t>396.SPK/DAN.02.03/ABRU/2016 22 November s/d 20 Januari 2017</t>
  </si>
  <si>
    <t>463/TE/ABRU/2016</t>
  </si>
  <si>
    <t>Pengadaan Box Penyimpanan Kunci</t>
  </si>
  <si>
    <t>232.SPK/DAN.02.03/ABRU/2016 29 Juli s/d 26 September 2016</t>
  </si>
  <si>
    <t>Pengadaan Material CT TR untuk Pemeliharaan Pelanggan Pengukuran Tak Langsung</t>
  </si>
  <si>
    <t>SPP 108 AO 2016</t>
  </si>
  <si>
    <t>SPP 109 AO 2016</t>
  </si>
  <si>
    <t>167.SPK/DAN.02.01/ABRU/2016</t>
  </si>
  <si>
    <t>JASA BORONG ONGKOS ANGKUT BBM WILAYAH II PLTD KRAYAN PERIODE BULAN JUNI 2016 PT. PLN (PERSERO) AREA BERAU</t>
  </si>
  <si>
    <t>SPP 110 AO 2016</t>
  </si>
  <si>
    <t>CV. CITRA VICTORIA</t>
  </si>
  <si>
    <t>063.ND/KIT/ABRU/2016</t>
  </si>
  <si>
    <t>SPP 111 AO 2016</t>
  </si>
  <si>
    <t>162.SPK/DAN.02.01/ABRU/2016</t>
  </si>
  <si>
    <t>JASA BORONG ONGKOS ANGKUT BBM WILAYAH II PLTD SEKATAK BUJI PERIODE BULAN JUNI 2016 PT. PLN (PERSERO) AREA BERAU</t>
  </si>
  <si>
    <t>213.SPK/DAN.02.01/ABRU/2016</t>
  </si>
  <si>
    <t>JASA BORONG ONGKOS ANGKUT BBM WILAYAH II PLTD SEKATAK BUJI PERIODE BULAN JULI 2016 PT. PLN (PERSERO) AREA BERAU</t>
  </si>
  <si>
    <t>064.ND/KIT/ABRU/2016</t>
  </si>
  <si>
    <t>SPP 112 AO 2016</t>
  </si>
  <si>
    <t>realisasi sd November</t>
  </si>
  <si>
    <t>464/KIT/ABRU/2016</t>
  </si>
  <si>
    <t>465/KIT/ABRU/2016</t>
  </si>
  <si>
    <t>Pengadaan APAR untuk PLTD Tersebar PT. PLN (Persero) Area Berau</t>
  </si>
  <si>
    <t>Pengisian Alat Pemadam Api Ringan PT. PLN (Persero) Area Berau</t>
  </si>
  <si>
    <t>466/KIT/ABRU/2016</t>
  </si>
  <si>
    <t>Pekerjaan Service Radiator Mesin Deutz BF6M 1015 PLTD Derawan PT. PLN (Persero) Area Berau</t>
  </si>
  <si>
    <t>REKAP MONITORING SKKI 2016 DESEMBER 2016</t>
  </si>
  <si>
    <t>Tanjung Redeb, 30 November 2016</t>
  </si>
  <si>
    <t>00519/DAN.01.01/MANBRU/2016</t>
  </si>
  <si>
    <t>467/KIT/ABRU/2016</t>
  </si>
  <si>
    <t>Rehab Instalasi BBM Solar Lokasi PLTD Talisayan PT PLN (Persero) Area Berau</t>
  </si>
  <si>
    <t>468/KIT/ABRU/2016</t>
  </si>
  <si>
    <t>Pengiriman Material ke Unit-Unit PT PLN (Persero) Area Berau</t>
  </si>
  <si>
    <t>00520/DAN.01.01/MANBRU/2016</t>
  </si>
  <si>
    <t>469/KIT/ABRU/2016</t>
  </si>
  <si>
    <t>Pengadaan Material untuk Mesin Deutz BF6M 1013 PLTD Sekatak Buji PT. PLN (Persero) Area Berau</t>
  </si>
  <si>
    <t>470/JAR/ABRU/2016</t>
  </si>
  <si>
    <t>Jasa Borong Pemasangan SUTM untuk Evakuasi Daya PLTU Teluk Jl. Kelompok Tani Wono Sejati</t>
  </si>
  <si>
    <t>471/KIT/ABRU/2016</t>
  </si>
  <si>
    <t>Rewinding Generator Leroy Somer 670 kVa PLTD Sebatik PT. PLN (Persero) Area Berau</t>
  </si>
  <si>
    <t>472/TUL/ABRU/2016</t>
  </si>
  <si>
    <t>Pengadaan Sarana Peralatan Kerja PT PLN (Persero) Area Berau</t>
  </si>
  <si>
    <t>473/JAR/ABRU/2016</t>
  </si>
  <si>
    <t>Pengadaan Arrester Indoor untuk Pengaman Tegangan Lebih di Kubikel</t>
  </si>
  <si>
    <t>474/JAR/ABRU/2016</t>
  </si>
  <si>
    <t>Pengadaan Terminating dan Jointing Kabel SKTM</t>
  </si>
  <si>
    <t>475/KIT/ABRU/2016</t>
  </si>
  <si>
    <t>Pengadaan Material Proteksi Mesin BF6M1013 PLTD Sekatak Buji PT. PLN (Persero) Area Berau</t>
  </si>
  <si>
    <t>384.SPK/DAN.02.01/ABRU/2016 15 NOP 2016 S/D 14 DEC 2016</t>
  </si>
  <si>
    <t>385.SPK/DAN.02.01/ABRU/2016 15 NOP 2016 S/D 15 DEC 2016</t>
  </si>
  <si>
    <t>386.SPK/DAN.02.01/ABRU/2016 15 NOP 2016 S/D 15 DEC 2016</t>
  </si>
  <si>
    <t>387.SPK/DAN.02.01/ABRU/2016 15 NOP 2016 S/D 15 DEC 2016</t>
  </si>
  <si>
    <t>129.SPP/DAN.02.01/ABRU/2016 10 NOP 2016 S/D 10 DEC 2016</t>
  </si>
  <si>
    <t>388.SPK/DAN.02.01/ABRU/2016 15 NOP 2016 S/D 15 DEC 2016</t>
  </si>
  <si>
    <t>145.SPP/DAN.02.01/ABRU/2016 18 NOPEMBER 2016 S/D 17 DESEMBER 2016</t>
  </si>
  <si>
    <t>PT. MITRA NUSANTARA POWERINDO</t>
  </si>
  <si>
    <t>CV. MULTIGUNA MANDIRI</t>
  </si>
  <si>
    <t>PT. DISTRACO</t>
  </si>
  <si>
    <t>PT. EUROASIATIC</t>
  </si>
  <si>
    <t>CV. MARGASARI UTAMA</t>
  </si>
  <si>
    <t>395.SPK/DAN.02.01/ABRU/2016 22 NOP 2016 S/D 21 DEC 2016</t>
  </si>
  <si>
    <t>081.ND/KEU.00.02/TE/ABRU/2016</t>
  </si>
  <si>
    <t>095.ND/KEU.00.02/TE/ABRU/2016</t>
  </si>
  <si>
    <t>094.ND/KEU.00.02/TE/ABRU/2016</t>
  </si>
  <si>
    <t>038.ND/KIT/ABRU/2016</t>
  </si>
  <si>
    <t>097.ND/KEU.00.02/TE/ABRU/2016</t>
  </si>
  <si>
    <t>096.ND/KEU.00.02/TE/ABRU/2016</t>
  </si>
  <si>
    <t>475/TE/ABRU/2016</t>
  </si>
  <si>
    <t>Pengadaan CT TM Outdoor</t>
  </si>
  <si>
    <t>011.DIST/AO/BRU/2016/M</t>
  </si>
  <si>
    <t>1245/KEU.01.02/WKTKU/2016-R</t>
  </si>
  <si>
    <t>PRK.2016.WKT-4.9.53212.359</t>
  </si>
  <si>
    <t>Pengadaan dan Pemasangan Kubikel 20 kV di GH Dermaga Rayon Nunukan</t>
  </si>
  <si>
    <t>PRK.2016.WKT-4.9.53212.360</t>
  </si>
  <si>
    <t>Pematangan Lahan di PLN Area Berau</t>
  </si>
  <si>
    <t>00524/DAN.01.03/MANBRU/2016</t>
  </si>
  <si>
    <t>00525/DAN.01.03/MANBRU/2016</t>
  </si>
  <si>
    <t>00526/DAN.01.01/MANBRU/2016</t>
  </si>
  <si>
    <t>00527/DAN 01.06/MANBRU/2016</t>
  </si>
  <si>
    <t>00528/DAN.01.01/MANBRU/2016</t>
  </si>
  <si>
    <t>476/KIT/ABRU/2016</t>
  </si>
  <si>
    <t>Pengadaan Material Gangguan Mesin Pembangkit PLTD Tersebar PT PLN (Persero) Area Berau</t>
  </si>
  <si>
    <t>00531/DAN.01.03/MANBRU/2016</t>
  </si>
  <si>
    <t>00530/DAN.01.03/MANBRU/2016</t>
  </si>
  <si>
    <t>00529/DAN.01.01/MANBRU/2016</t>
  </si>
  <si>
    <t>477/JAR/ABRU/2016</t>
  </si>
  <si>
    <t>Jasa Borong Pengiriman Material Kubikel Berau - Sebaung (Nunukan)</t>
  </si>
  <si>
    <t>00537/DAN.01.03/MANBRU/2016</t>
  </si>
  <si>
    <t>00536/DAN.01.03/MANBRU/2016</t>
  </si>
  <si>
    <t>478/JAR/ABRU/2016</t>
  </si>
  <si>
    <t>Pengadaan dan Pemasangan Kubikel 20 kV GH Dermaga Rayon Nunukan</t>
  </si>
  <si>
    <t>479/KIT/ABRU/2016</t>
  </si>
  <si>
    <t>Jasa Supervisi Penerimaan BBM HSD Bulan November-Desember 2016 PT. PLN (Persero) Area Berau</t>
  </si>
  <si>
    <t>481/TU/ABRU/2016</t>
  </si>
  <si>
    <t>Perbaikan Atap Rumah Dinas Asman Pelayanan &amp; Administrasi PT. PLN (Persero) Area Berau</t>
  </si>
  <si>
    <t>343.SPK/DAN.02.01/ABRU/2016 11 Okt s/d 20 Des 2016</t>
  </si>
  <si>
    <t>098.SPP/DAN.02.01/ABRU/2016 23 Sept s/d 20 Des 2016</t>
  </si>
  <si>
    <t>148.SPP/DAN.02.03/ABRU/2016 24 November s/d 23 Desember 2016</t>
  </si>
  <si>
    <t>137.SPP/DAN.02.03/ABRU/2016 14 Nov s/d 28 Des 2016</t>
  </si>
  <si>
    <t>217.SPK/DAN.02.01/ABRU/2016</t>
  </si>
  <si>
    <t>252.SPK/DAN.02.01/ABRU/2016</t>
  </si>
  <si>
    <t>JASA BORONG ONGKOS ANGKUT BBM WILAYAH II PLTD TIDUNG PALE PERIODE BULAN AGUSTUS 2016 PT. PLN (PERSERO) AREA BERAU</t>
  </si>
  <si>
    <t>SPP 113 AO 2016</t>
  </si>
  <si>
    <t>Pengadaan kWh Meter 1 Phase Paska Bayar Untuk Pemeliharaan Meter Buram, Tua, dan Macet PT. PLN (Persero) Area Berau</t>
  </si>
  <si>
    <t>00541/DAN.01.01/MANBRU/2016</t>
  </si>
  <si>
    <t>482/KIT/ABRU/2016</t>
  </si>
  <si>
    <t>Pengadaan Sarana Penerangan untuk PLTD Sambaliung PT. PLN (Persero) Area Berau</t>
  </si>
  <si>
    <t>483/KIT/ABRU/2016</t>
  </si>
  <si>
    <t>Pengadaan Material Elektrik untuk PLTD Tersebar PT. PLN (Persero) Area Berau</t>
  </si>
  <si>
    <t>Perbaikan AVR Conmed untuk PLTD Tersebar PT. PLN (Persero) Area Berau</t>
  </si>
  <si>
    <t>00543/DAN.01.01/MANBRU/2016</t>
  </si>
  <si>
    <t>484/KIT/ABRU/2016</t>
  </si>
  <si>
    <t>00542/DAN.01.01/MANBRU/2016</t>
  </si>
  <si>
    <t>133.SPP/DAN.02.03/ABRU/2016 14 Nov s/d 13 Des 2016</t>
  </si>
  <si>
    <t>121.SPP/DAN.02.03/ABRU/2016 07 Nov s/d 6 Des 2016</t>
  </si>
  <si>
    <t>PT. ALVARO PRIMA SEJAHTERA</t>
  </si>
  <si>
    <t>126.SPP/DAN.02.03/ABRU/2016 10 Nov s/d 9 Des 2016</t>
  </si>
  <si>
    <t>135.SPP/DAN.02.03/ABRU/2016 14 Nov s/d 28 Nov 2016</t>
  </si>
  <si>
    <t>134.SPP/DAN.02.03/ABRU/2016 14 Nov s/d 13 Des 2016</t>
  </si>
  <si>
    <t>149.SPP/DAN.02.03/ABRU/2016 29 Nov s/d 27 Jan 2017</t>
  </si>
  <si>
    <t>378.SPK/DAN.02.03/ABRU/2016 10 Nov s/d 9 Des 2016</t>
  </si>
  <si>
    <t>347.SPK/DAN.02.03/ABRU/2016 24 Okt s/d 22 Nov 2016</t>
  </si>
  <si>
    <t>143.SPP/DAN.02.03/ABRU/2016 16 Nov s/d 10 Des 2016</t>
  </si>
  <si>
    <t>144.SPP/DAN.02.03/ABRU/2016 18 Nov s/d 17 Des 2016</t>
  </si>
  <si>
    <t>155.SPP/DAN.02.03/ABRU/2016 30 Nov s/d 19 Des 2016</t>
  </si>
  <si>
    <t>156.SPP/DAN.02.03/ABRU/2016 30 Nov s/d 19 Des 2016</t>
  </si>
  <si>
    <t>125.SPP/DAN.02.03/ABRU/2016 10 Nov s/d 9 Des 2016</t>
  </si>
  <si>
    <t>120.SPP/DAN.02.03/ABRU/2016 31 Okt s/d 13 Des 2016</t>
  </si>
  <si>
    <t>013.KIT/AO/BRU/2016/M</t>
  </si>
  <si>
    <t>1271/KEU.01.02/WKTKU/2016-R</t>
  </si>
  <si>
    <t>PRK.2016.WKT-4.9.53212.361</t>
  </si>
  <si>
    <t>Relokasi Mesin PLTD Krayan</t>
  </si>
  <si>
    <t>Relokasi 2 Unit Tangki Timbun Kapasitas 6 KL dari PLTD Keledang ke PLTD Sei Menggaris PT. PLN (Persero) Area Berau</t>
  </si>
  <si>
    <t>485/KIT/ABRU/2016</t>
  </si>
  <si>
    <t>486/TU/ABRU/2016</t>
  </si>
  <si>
    <t>140.SPP/DAN.02.03/ABRU/2016 14 Nov s/d 28 Des 2016</t>
  </si>
  <si>
    <t>487/KIT/ABRU/2016</t>
  </si>
  <si>
    <t>Relokasi 3 Unit Mesin 200 kW dan Asesoris dari PLTD Sei Menggaris ke Sabah PT. PLN (Persero) Area Berau</t>
  </si>
  <si>
    <t>488/KIT/ABRU/2016</t>
  </si>
  <si>
    <t>Relokasi 3 Unit Mesin 200 kW dan Asesoris dari Serawak ke PLTD Krayan PT. PLN (Persero) Area Berau</t>
  </si>
  <si>
    <t>489/KIT/ABRU/2016</t>
  </si>
  <si>
    <t>490/KIT/ABRU/2016</t>
  </si>
  <si>
    <t>Pembuatan Sarana Pendukung Mesin dan Asesoris di PLTD Krayan PT. PLN (Persero) Area Berau</t>
  </si>
  <si>
    <t>491/KIT/ABRU/2016</t>
  </si>
  <si>
    <t>Relokasi 3 Unit Mesin 200 kW dan Asesoris dari Sabah ke Serawak PT. PLN (Persero) Area Berau</t>
  </si>
  <si>
    <t>492/JAR/ABRU/2016</t>
  </si>
  <si>
    <t>Jasa Borong Perbaikan Tiang Miring di ULD Gunung Sari Rayon Tanjung Redeb</t>
  </si>
  <si>
    <t>Jasa Borong Pemasangan Siring Ulin di ULD Gunung Sari</t>
  </si>
  <si>
    <t>Jasa Borong Perbaikan Jaringan dan Pemasangan MCCB di Rayon Tanjung Redeb</t>
  </si>
  <si>
    <t>493/JAR/ABRU/2016</t>
  </si>
  <si>
    <t>494/JAR/ABRU/2016</t>
  </si>
  <si>
    <t>495/JAR/ABRU/2016</t>
  </si>
  <si>
    <t>496/JAR/ABRU/2016</t>
  </si>
  <si>
    <t>Pengadaan Fuse Link PLN Rayon Tanjung Selor</t>
  </si>
  <si>
    <t>Pengadaan Material Pemeliharaan Rayon Tanjung Selor</t>
  </si>
  <si>
    <t>00549/DAN.01.01/MANBRU/2016</t>
  </si>
  <si>
    <t>00548/DAN.01.01/MANBRU/2016</t>
  </si>
  <si>
    <t>00547/DAN.01.01/MANBRU/2016</t>
  </si>
  <si>
    <t>00546/DAN.01.01/MANBRU/2016</t>
  </si>
  <si>
    <t>00544/DAN.01.01/MANBRU/2016</t>
  </si>
  <si>
    <t>00550/DAN.01.01/MANBRU/2016</t>
  </si>
  <si>
    <t>497/JAR/ABRU/2016</t>
  </si>
  <si>
    <t>Jasa Borong Pemeliharaan Jaringan SUTM, SUTR &amp; Trafo di KP Sebuku, Tulin Onsoi &amp; Atap</t>
  </si>
  <si>
    <t>00551/DAN.01.03/MANBRU/2016</t>
  </si>
  <si>
    <t>498/JAR/ABRU/2016</t>
  </si>
  <si>
    <t>Pengadaan Handle LV Cell Rayon Tanjung Redeb</t>
  </si>
  <si>
    <t>CV. MUSTIKA SURYA ELECTRIC</t>
  </si>
  <si>
    <t>205.SPK/DAN.02.01/ABRU/2016</t>
  </si>
  <si>
    <t>JASA BORONG ONGKOS ANGKUT BBM WILAYAH I PLTD TANJUNG BATU PERIODE BULAN JULI 2016 PT PLN (PERSERO) AREA BERAU</t>
  </si>
  <si>
    <t>209.SPK/DAN.02.01/ABRU/2016</t>
  </si>
  <si>
    <t>JASA BORONG ONGKOS ANGKUT BBM WILAYAH I PLTD BATU PUTIH PERIODE BULAN JULI 2016 PT PLN (PERSERO) AREA BERAU</t>
  </si>
  <si>
    <t>238.SPK/DAN.02.01/ABRU/2016</t>
  </si>
  <si>
    <t>JASA BORONG ONGKOS ANGKUT BBM WILAYAH I PLTD GUNUNG SARI PERIODE BULAN AGUSTUS 2016 PT PLN (PERSERO) AREA BERAU</t>
  </si>
  <si>
    <t>237.SPK/DAN.02.01/ABRU/2016</t>
  </si>
  <si>
    <t>JASA BORONG ONGKOS ANGKUT BBM WILAYAH I PLTD MERASA PERIODE BULAN AGUSTUS 2016 PT PLN (PERSERO) AREA BERAU</t>
  </si>
  <si>
    <t>SPP 114 AO 2016</t>
  </si>
  <si>
    <t>065.ND/KIT/ABRU/2016</t>
  </si>
  <si>
    <t xml:space="preserve">CV. JAYA ANGKASA MANDIRI </t>
  </si>
  <si>
    <t>056.ND/KIT/ABRU/2016</t>
  </si>
  <si>
    <t>235.SPK/DAN.02.01/ABRU/2016</t>
  </si>
  <si>
    <t>JASA BORONG ONGKOS ANGKUT BBM WILAYAH I PLTD SAMBALIUNG PERIODE BULAN AGUSTUS 2016 PT PLN (PERSERO) AREA BERAU</t>
  </si>
  <si>
    <t>211.SPK/DAN.02.01/ABRU/2016</t>
  </si>
  <si>
    <t>JASA BORONG ONGKOS ANGKUT BBM WILAYAH II PLTD SEI BILAL PERIODE BULAN JULI 2016 PT. PLN (PERSERO) AREA BERAU</t>
  </si>
  <si>
    <t>216.SPK/DAN.02.01/ABRU/2016</t>
  </si>
  <si>
    <t>JASA BORONG ONGKOS ANGKUT BBM WILAYAH II PLTD KUALA LAPANG PERIODE BULAN JULI 2016 PT. PLN (PERSERO) AREA BERAU</t>
  </si>
  <si>
    <t>SPP 115 AO 2016</t>
  </si>
  <si>
    <t>16649DN</t>
  </si>
  <si>
    <t>TRAVEL ACCOMODATION SURVEILLANCE AUDIT 5 FOR ISO 9001 : 2008 PT. PLN (PERSERO) AREA BERAU</t>
  </si>
  <si>
    <t>15112616</t>
  </si>
  <si>
    <t>SURVEILLANCE AUDIT 3 FOR ISO 9001 : 2008 PT. PLN (PERSERO) AREA BERAU</t>
  </si>
  <si>
    <t>16071DN</t>
  </si>
  <si>
    <t>TRAVEL ACCOMODATION SURVEILLANCE AUDIT 3 FOR ISO 9001 : 2008 PT. PLN (PERSERO) AREA BERAU</t>
  </si>
  <si>
    <t>SPP 116 AO 2016</t>
  </si>
  <si>
    <t>085.ND/KEU.00.02/TE/ABRU/2016</t>
  </si>
  <si>
    <t>PEMBAYARANBIAYA OPRASIONAL P2TL MANDIRI BULAN AGUSTUS - SEPTEMBER 2016 PT. PLN (Persero) AREA BERAU</t>
  </si>
  <si>
    <t>066.ND/KIT/ABRU/2016</t>
  </si>
  <si>
    <t>SPP 117 AO 2016</t>
  </si>
  <si>
    <t>SPP 117 AO BRU 2016</t>
  </si>
  <si>
    <t>021.PJ/611/ABRU/2013</t>
  </si>
  <si>
    <t>PENGADAAN MESIN SEWA DIESEL EMERGENCY 250 KW / 315 KVA DI PLTD KRAYAN PERIODE 11 FEBERUARI S/D 10 MARET 2016 PT. PLN (PERSERO) AREA BERAU</t>
  </si>
  <si>
    <t>PENGADAAN MESIN SEWA DIESEL EMERGENCY 250 KW / 315 KVA DI PLTD KRAYAN PERIODE 11 MARET S/D 10 APRIL 2016 PT. PLN (PERSERO) AREA BERAU</t>
  </si>
  <si>
    <t>PENGADAAN MESIN SEWA DIESEL EMERGENCY 250 KW / 315 KVA DI PLTD KRAYAN PERIODE 11 APRIL S/D 10 MEI 2016 PT. PLN (PERSERO) AREA BERAU</t>
  </si>
  <si>
    <t>PENGADAAN MESIN SEWA DIESEL EMERGENCY 250 KW / 315 KVA DI PLTD KRAYAN PERIODE 11 JUNI S/D 10 JULI 2016 PT. PLN (PERSERO) AREA BERAU</t>
  </si>
  <si>
    <t>PENGADAAN MESIN SEWA DIESEL EMERGENCY 250 KW / 315 KVA DI PLTD KRAYAN PERIODE 11 JULI S/D 10 AGUSTUS 2016 PT. PLN (PERSERO) AREA BERAU</t>
  </si>
  <si>
    <t>PENGADAAN MESIN SEWA DIESEL EMERGENCY 250 KW / 315 KVA DI PLTD KRAYAN PERIODE 11 AGUSTUS S/D 10 SEPTEMBER  2016 PT. PLN (PERSERO) AREA BERAU</t>
  </si>
  <si>
    <t>PENGADAAN MESIN SEWA DIESEL EMERGENCY 250 KW / 315 KVA DI PLTD KRAYAN PERIODE 11 SEPTEMBER  S/D 10 OKTOBER 2016 PT. PLN (PERSERO) AREA BERAU</t>
  </si>
  <si>
    <t xml:space="preserve">PT. DISTRACO </t>
  </si>
  <si>
    <t>SPP 118 AO BRU 2016</t>
  </si>
  <si>
    <t>SPP 120 AO 2016</t>
  </si>
  <si>
    <t>PENGADAAN MESIN SEWA DIESEL EMERGENCY 250 KW / 315 KVA DI PLTD KRAYAN PERIODE 11 JANUARI  S/D 10 FEBRUARI 2016 PT. PLN (PERSERO) AREA BERAU</t>
  </si>
  <si>
    <t>PENGADAAN MESIN SEWA DIESEL EMERGENCY 250 KW / 315 KVA DI PLTD KRAYAN PERIODE 11 MEI  S/D 10 JUNI 2016 PT. PLN (PERSERO) AREA BERAU</t>
  </si>
  <si>
    <t>SPP 119 AO BRU 2016</t>
  </si>
  <si>
    <t>085.SPK/DAN.02.01/ABRU/2016</t>
  </si>
  <si>
    <t>PT. SUCOFINDO</t>
  </si>
  <si>
    <t>SPP 119 AO 2016</t>
  </si>
  <si>
    <t>022.SPP/DAN.02.01/ABRU/2016</t>
  </si>
  <si>
    <t>PT.SUCOFINDO</t>
  </si>
  <si>
    <t>044.SPP/DAN.02.01/ABRU/2016</t>
  </si>
  <si>
    <t>275.SPK/DAN.02.01/ABRU/2016</t>
  </si>
  <si>
    <t>JASA BORONG ONGKOS ANGKUT BBM WILAYAH I PLTD SEI BUAYA PERIODE BULAN SEPTEMBER 2016 PT PLN (PERSERO) AREA BERAU</t>
  </si>
  <si>
    <t>SPP 119/AO/BRU/2016</t>
  </si>
  <si>
    <t>November</t>
  </si>
  <si>
    <t xml:space="preserve">PT. RADITYA UTAMA </t>
  </si>
  <si>
    <t>SPP 120/AO/BRU/2016</t>
  </si>
  <si>
    <t>091.ND/KEU.00.02/TE/ABRU/2016</t>
  </si>
  <si>
    <t>090.ND/KEU.00.02/TE/ABRU/2016</t>
  </si>
  <si>
    <t>089.ND/KEU.00.02/TE/ABRU/2016</t>
  </si>
  <si>
    <t>087.ND/KEU.00.02/TE/ABRU/2016</t>
  </si>
  <si>
    <t>PEMBAYARAN BIAYA ENTRY DATA TITIK KOORDINAT PELANGGAN PRABAYAR  PT. PLN (Persero) AREA BERAU</t>
  </si>
  <si>
    <t>TEMPORER AREA BERAU</t>
  </si>
  <si>
    <t>SPP 121 AO 2016</t>
  </si>
  <si>
    <t>243.SPK/DAN.02.01/ABRU/2016</t>
  </si>
  <si>
    <t>JASA BORONG ONGKOS ANGKUT BBM WILAYAH I PLTD BATU PUTIH PERIODE BULAN AGUSTUS 2016 PT PLN (PERSERO) AREA BERAU</t>
  </si>
  <si>
    <t>204.SPK/DAN.02.01/ABRU/2016</t>
  </si>
  <si>
    <t>JASA BORONG ONGKOS ANGKUT BBM WILAYAH I PLTD SEI BUAYA PERIODE BULAN JULI 2016 PT PLN (PERSERO) AREA BERAU</t>
  </si>
  <si>
    <t>241.SPK/DAN.02.01/ABRU/2016</t>
  </si>
  <si>
    <t>JASA BORONG ONGKOS ANGKUT BBM WILAYAH I PLTD TALISAYAN PERIODE BULAN AGUSTUS 2016 PT PLN (PERSERO) AREA BERAU</t>
  </si>
  <si>
    <t>207.SPK/DAN.02.01/ABRU/2016</t>
  </si>
  <si>
    <t>JASA BORONG ONGKOS ANGKUT BBM WILAYAH I PLTD TALISAYAN PERIODE BULAN JULI 2016 PT PLN (PERSERO) AREA BERAU</t>
  </si>
  <si>
    <t>236.SPK/DAN.02.01/ABRU/2016</t>
  </si>
  <si>
    <t>JASA BORONG ONGKOS ANGKUT BBM WILAYAH I PLTD SEI BUAYA PERIODE BULAN AGUSTUS 2016 PT PLN (PERSERO) AREA BERAU</t>
  </si>
  <si>
    <t>242.SPK/DAN.02.01/ABRU/2016</t>
  </si>
  <si>
    <t>JASA BORONG ONGKOS ANGKUT BBM WILAYAH I PLTD BIDUK-BIDUK PERIODE BULAN AGUSTUS 2016 PT PLN (PERSERO) AREA BERAU</t>
  </si>
  <si>
    <t>280.SPK/DAN.02.01/ABRU/2016</t>
  </si>
  <si>
    <t>JASA BORONG ONGKOS ANGKUT BBM WILAYAH I PLTD BIDUK-BIDUK PERIODE BULAN SEPTEMBER 2016 PT PLN (PERSERO) AREA BERAU</t>
  </si>
  <si>
    <t>208.SPK/DAN.02.01/ABRU/2016</t>
  </si>
  <si>
    <t>JASA BORONG ONGKOS ANGKUT BBM WILAYAH I PLTD BIDUK-BIDUK PERIODE BULAN JULI 2016 PT PLN (PERSERO) AREA BERAU</t>
  </si>
  <si>
    <t>288.SPK/DAN.02.01/ABRU/2016</t>
  </si>
  <si>
    <t>JASA BORONG ONGKOS ANGKUT BBM WILAYAH II PLTD MARA PERIODE BULAN SEPTEMBER 2016 PT. PLN (PERSERO) AREA BERAU</t>
  </si>
  <si>
    <t>SPP 122 AO 2016</t>
  </si>
  <si>
    <t>206.SPK/DAN.02.01/ABRU/2016</t>
  </si>
  <si>
    <t>JASA BORONG ONGKOS ANGKUT BBM WILAYAH I PLTD DERAWAN PERIODE BULAN JULI 2016 PT PLN (PERSERO) AREA BERAU</t>
  </si>
  <si>
    <t>SPP 123 AO 2016</t>
  </si>
  <si>
    <t>212.SPK/DAN.02.01/ABRU/2016</t>
  </si>
  <si>
    <t>JASA BORONG ONGKOS ANGKUT BBM WILAYAH II PLTD SEBATIK PERIODE BULAN JULI 2016 PT. PLN (PERSERO) AREA BERAU</t>
  </si>
  <si>
    <t>246.SPK/DAN.02.01/ABRU/2016</t>
  </si>
  <si>
    <t>JASA BORONG ONGKOS ANGKUT BBM WILAYAH II PLTD SEBATIK PERIODE BULAN AGUSTUS 2016 PT. PLN (PERSERO) AREA BERAU</t>
  </si>
  <si>
    <t>285.SPK/DAN.02.01/ABRU/2016</t>
  </si>
  <si>
    <t>JASA BORONG ONGKOS ANGKUT BBM WILAYAH II PLTD SEKATAK BUJI PERIODE BULAN SEPTEMBER 2016 PT. PLN (PERSERO) AREA BERAU</t>
  </si>
  <si>
    <t>286.SPK/DAN.02.01/ABRU/2016</t>
  </si>
  <si>
    <t>JASA BORONG ONGKOS ANGKUT BBM WILAYAH II PLTD LONG BELUAH PERIODE BULAN SEPTEMBER 2016 PT. PLN (PERSERO) AREA BERAU</t>
  </si>
  <si>
    <t>SPP 124 AO 2016</t>
  </si>
  <si>
    <t>040/JAR/ABRU/2016</t>
  </si>
  <si>
    <t>PENGADAAN MATERIAL PENDUKUNG ADMINISTRASI BIDANG LOGISTIK</t>
  </si>
  <si>
    <t>041/JAR/ABRU/2016</t>
  </si>
  <si>
    <t>PENGADAAN SARANA PENDUKUNG UNTUK GH BUJANGGA PT PLN (PERSERO) AREA BERAU</t>
  </si>
  <si>
    <t>042/JAR/ABRU/2016</t>
  </si>
  <si>
    <t>PENGADAAN ACCU UNTUK OPERASIONAL RAYON TANJUNG REDEB</t>
  </si>
  <si>
    <t>SPP 042 AI 2016</t>
  </si>
  <si>
    <t>SPP 043 AI 2016</t>
  </si>
  <si>
    <t>SPP 044 AI 2016</t>
  </si>
  <si>
    <t>SPP 045 AI 2016</t>
  </si>
  <si>
    <t>SPP 046 AI 2016</t>
  </si>
  <si>
    <t>499/JAR/ABRU/2016</t>
  </si>
  <si>
    <t>Pengadaan AC GH KM 12 Tanjung Selor</t>
  </si>
  <si>
    <t xml:space="preserve">                  </t>
  </si>
  <si>
    <t>240.SPP/DAN.02.01/ABRU/2016; 143.ADD/DAN.02.01/ABRU/2016; 1April s/d 31 Agustus 2016</t>
  </si>
  <si>
    <t>Pengadaan Fasilitas Pendukung Program Listrik Perbatasan di PLTD Lumbis Ogong Periode 26 Des 2015 sampai dengan 31 Maret 2016 PT. PLN (Persero) Area Berau</t>
  </si>
  <si>
    <t>500/JAR/ABRU/2016</t>
  </si>
  <si>
    <t>CV.MUTIARA</t>
  </si>
  <si>
    <t>Jasa Borong Pemindahan Material PLN Area Berau</t>
  </si>
  <si>
    <t>501/JAR/ABRU/2016</t>
  </si>
  <si>
    <t>Pengadaan Accu 200 aH untuk Menunjang Sarana Komunikasi ULD Krayan  PT PLN (Persero) Area Berau</t>
  </si>
  <si>
    <t>434.SPK/DAN.02.07/ABRU/2016</t>
  </si>
  <si>
    <t>410.SPK/DAN.02.03/ABRU/2016 29 November s/d 28 Desember 2016</t>
  </si>
  <si>
    <t>PT. CAHAYA PRINASMANDIRI</t>
  </si>
  <si>
    <t>502/TE/ABRU/2016</t>
  </si>
  <si>
    <t>Pengiriman Material APP PT PLN (Persero) Area Berau</t>
  </si>
  <si>
    <t>503/TE/ABRU/2016</t>
  </si>
  <si>
    <t>Sarana Penunjang LIT TR PT PLN (Persero) Area Berau Rayon Nunukan dan Rayon Malinau</t>
  </si>
  <si>
    <t>504/TE/ABRU/2016</t>
  </si>
  <si>
    <t>Sarana Penunjang LIT TR PT PLN (Persero) Area Berau Rayon Tanjung Redeb dan Rayon Tanjung Selor</t>
  </si>
  <si>
    <t>413.SPK/DAN.02.07/ABRU/2016 29 Nov 2016 s/d 28 Des 2016</t>
  </si>
  <si>
    <t>505/TE/ABRU/2016</t>
  </si>
  <si>
    <t>Pengadaan Papan Acrylic untuk Monitoring Kinerja PT PLN (Persero) Area Berau Rayon Tanjung Selor, Rayon Malinau, dan Rayon Nunukan</t>
  </si>
  <si>
    <t>506/TE/ABRU/2016</t>
  </si>
  <si>
    <t>Pengadaan Sepatu Safety Bagian Transaksi Energi PT PLN (Persero) Area Berau Dan PT PLN (Persero) Rayon Malinau</t>
  </si>
  <si>
    <t>507/TE/ABRU/2016</t>
  </si>
  <si>
    <t>Pengadaan Sepatu Safety Bagian Transaksi Energi PT PLN (Persero) Rayon Tanjung Redeb, Rayon Tanjung Selor Rayon Nunukan</t>
  </si>
  <si>
    <t>104.ND/KEU.00.02/TE/ABRU/2016 15 Des 2016</t>
  </si>
  <si>
    <t>152.SPP/DAN.02.01/ABRU/2016 29 NOP 2016 S/D 28 DEC 2016</t>
  </si>
  <si>
    <t>412.SPK/DAN.02.01/ABRU/2016 29 NOP 2016 S/D 28 DEC 2016</t>
  </si>
  <si>
    <t>PRK.2016.WKT-4.3.53225.151</t>
  </si>
  <si>
    <t>443.SPK/DAN.02.01/ABRU/2016 2 DES 2016 S/D 31 DES 2016</t>
  </si>
  <si>
    <t>153.SPP/DAN.02.01/ABRU/2016 29 NOP 2016 S/D 28 DEC 2016</t>
  </si>
  <si>
    <t>105.ND/KEU.00.02/TE/ABRU/2016</t>
  </si>
  <si>
    <t>109.ND/KEU.00.02/TE/ABRU/2016</t>
  </si>
  <si>
    <t>445.SPK/DAN.02.03/ABRU/2016 2 Des s/d 1 Mar 2017</t>
  </si>
  <si>
    <t>PT NIEFA MIEMI UTAMA</t>
  </si>
  <si>
    <t>163.SPP/DAN.02.03/ABRU/2016 15 Des s/d 3 Jan 2017</t>
  </si>
  <si>
    <t>PT. NIEFI MIEMI UTAMA</t>
  </si>
  <si>
    <t>438.SPK/DAN.02.03/ABRU/2016 1 Des s/d 30 Des 2016</t>
  </si>
  <si>
    <t>SPP 047 AI 2016</t>
  </si>
  <si>
    <t>SPP 048 AI 2016</t>
  </si>
  <si>
    <t>SPP 049 AI 2016</t>
  </si>
  <si>
    <t>SPP 050 AI 2016</t>
  </si>
  <si>
    <t>147.SPP/DAN.02.03/ABRU/2016</t>
  </si>
  <si>
    <t>SPP 051 AI 2016</t>
  </si>
  <si>
    <t>SPP 052 AI 2016</t>
  </si>
  <si>
    <t>SPP 053 AI 2016</t>
  </si>
  <si>
    <t>SPP 054 AI 2016</t>
  </si>
  <si>
    <t>SPP 055 AI 2016</t>
  </si>
  <si>
    <t>151.SPP/DAN.02.03/ABRU/2016</t>
  </si>
  <si>
    <t>SPP 056 AI 2016</t>
  </si>
  <si>
    <t>SPP 057 AI 2016</t>
  </si>
  <si>
    <t>106.ND/KEU.00.02/TE/ABRU/2016</t>
  </si>
  <si>
    <t>PT. NQUAD INDONESIA</t>
  </si>
  <si>
    <t>SPP 058 AI 2016</t>
  </si>
  <si>
    <t>SPP 059 AI 2016</t>
  </si>
  <si>
    <t>201.SPK/DAN.02.06/ABRU/2016 01 Juli 2016 - 31 Desember 2016</t>
  </si>
  <si>
    <t>202.SPK/DAN.02.06/ABRU/2016 01 Juli - 30 Juni 2017</t>
  </si>
  <si>
    <t xml:space="preserve">CV. MUSTIKA SURYA ELECTRIC </t>
  </si>
  <si>
    <t>PT. CITRA SURYA PERDANA</t>
  </si>
  <si>
    <t>463.SPK/DAN.02.03/ABRU/2016 27 Desember 2016 s/d 26 Maret 2017</t>
  </si>
  <si>
    <t>SPP 125 AO 2016</t>
  </si>
  <si>
    <t>268.SPB/DAN.02.01/ABRU/2016</t>
  </si>
  <si>
    <t>PENGADAAN PELUMAS MEDITRAN S-40 PLTD LONG BELUAH DAN SEKATAK BUJI SEMESTER II TAHUN 2016 PT. PLN (PERSERO) AREA BERAU</t>
  </si>
  <si>
    <t>269.SPB/DAN.02.01/ABRU/2016</t>
  </si>
  <si>
    <t>PENGADAAN PELUMAS MEDITRAN S-40 PLTD MALINAU, TIDUNG PALE DAN SEI MANGGARIS  SEMESTER II TAHUN 2016 PT. PLN (PERSERO) AREA BERAU</t>
  </si>
  <si>
    <t>270.SPB/DAN.02.01/ABRU/2016</t>
  </si>
  <si>
    <t>PENGADAAN PELUMAS MEDITRAN S-40 PLTD NUNUKAN DAN SEBATIK  SEMESTER II TAHUN 2016 PT. PLN (PERSERO) AREA BERAU</t>
  </si>
  <si>
    <t>PENGADAAN PELUMAS MEDITRAN S-40 PLTD TALISAYAN, TANJUNG BATU, DERAWAN DAN BIDUK-BIDUK SEMESTER II TAHUN 2016 PT. PLN (PERSERO) AREA BERAU</t>
  </si>
  <si>
    <t>272.SPB/DAN.02.01/ABRU/2016</t>
  </si>
  <si>
    <t>PENGADAAN PELUMAS SALYX 420 PLTD TERSEBAR SEMESTER II TAHUN 2016 PT. PLN (PERSERO) AREA BERAU</t>
  </si>
  <si>
    <t>SPP 126 AO 2016</t>
  </si>
  <si>
    <t>312.SPK/DAN.02.01/ABRU/2016</t>
  </si>
  <si>
    <t>SPP 127 AO 2016</t>
  </si>
  <si>
    <t>SPP 130 AO 2016</t>
  </si>
  <si>
    <t>SPP 132 AO 2016</t>
  </si>
  <si>
    <t>SPP 133 AO 2016</t>
  </si>
  <si>
    <t>SPP 134 AO 2016</t>
  </si>
  <si>
    <t>SPP 135 AO 2016</t>
  </si>
  <si>
    <t>SPP 137 AO 2016</t>
  </si>
  <si>
    <t>SPP 139 AO 2016</t>
  </si>
  <si>
    <t>SPP 148 AO 2016</t>
  </si>
  <si>
    <t>SPP 129 AO 2016</t>
  </si>
  <si>
    <t>005.PJ/DAN.02.01/ABRU/2016</t>
  </si>
  <si>
    <t>274.SPK/DAN.02.01/ABRU/2016</t>
  </si>
  <si>
    <t>JASA BORONG ONGKOS ANGKUT BBM WILAYAH I PLTD SAMBALIUNG PERIODE BULAN SEPTEMBER 2016 PT PLN (PERSERO) AREA BERAU</t>
  </si>
  <si>
    <t>251.SPK/DAN.02.01/ABRU/2016</t>
  </si>
  <si>
    <t>JASA BORONG ONGKOS ANGKUT BBM WILAYAH II PLTD KUALA LAPANG PERIODE BULAN AGUSTUS 2016 PT. PLN (PERSERO) AREA BERAU</t>
  </si>
  <si>
    <t>SPP 131 AO 2016</t>
  </si>
  <si>
    <t>PENGADAAN MESIN SEWA DIESEL EMERGENCY 250 KW / 315 KVA DI PLTD KRAYAN PERIODE 11 APRIL 2015  S/D 10  MEI  2015 PT. PLN (PERSERO) AREA BERAU</t>
  </si>
  <si>
    <t>PENGADAAN MESIN SEWA DIESEL EMERGENCY 250 KW / 315 KVA DI PLTD KRAYAN PERIODE 11 MEI 2015  S/D 10  JUNI  2015 PT. PLN (PERSERO) AREA BERAU</t>
  </si>
  <si>
    <t>PENGADAAN MESIN SEWA DIESEL EMERGENCY 250 KW / 315 KVA DI PLTD KRAYAN PERIODE 11 JUNI 2015  S/D 10  JULI 2015 PT. PLN (PERSERO) AREA BERAU</t>
  </si>
  <si>
    <t>PENGADAAN MESIN SEWA DIESEL EMERGENCY 250 KW / 315 KVA DI PLTD KRAYAN PERIODE 11 JULI 2015  S/D 10 AGUSTUS 2015 PT. PLN (PERSERO) AREA BERAU</t>
  </si>
  <si>
    <t>PENGADAAN MESIN SEWA DIESEL EMERGENCY 250 KW / 315 KVA DI PLTD KRAYAN PERIODE 11 AGUSTUS   2015  S/D 10  SEPTEMBER 2015 PT. PLN (PERSERO) AREA BERAU</t>
  </si>
  <si>
    <t>PENGADAAN MESIN SEWA DIESEL EMERGENCY 250 KW / 315 KVA DI PLTD KRAYAN PERIODE 11 SEPTEMBER  2015  S/D 10  OKTOBER 2015 PT. PLN (PERSERO) AREA BERAU</t>
  </si>
  <si>
    <t>PENGADAAN MESIN SEWA DIESEL EMERGENCY 250 KW / 315 KVA DI PLTD KRAYAN PERIODE 11 OKTOBER 2015  S/D 10  NOVEMBER 2015 PT. PLN (PERSERO) AREA BERAU</t>
  </si>
  <si>
    <t>PENGADAAN MESIN SEWA DIESEL EMERGENCY 250 KW / 315 KVA DI PLTD KRAYAN PERIODE 11 NOVEMBER 2015  S/D 10 DESEMBER 2015 PT. PLN (PERSERO) AREA BERAU</t>
  </si>
  <si>
    <t>PENGADAAN MESIN SEWA DIESEL EMERGENCY 250 KW / 315 KVA DI PLTD KRAYAN PERIODE 11 DESEMBER 2015  S/D 10 JANUARI 2016 PT. PLN (PERSERO) AREA BERAU</t>
  </si>
  <si>
    <t>SPP 128 AO 2016</t>
  </si>
  <si>
    <t>221.SPK/DAN.02.01/ABRU/2016</t>
  </si>
  <si>
    <t>138.SPK/DAN.02.01/ABRU/2016</t>
  </si>
  <si>
    <t>293.SPK/DAN.02.01/ABRU/2016</t>
  </si>
  <si>
    <t>127.SPP/DAN.02.01/ABRU/2016</t>
  </si>
  <si>
    <t xml:space="preserve">CV. DUA CAHAYA ANUGERAH </t>
  </si>
  <si>
    <t>289.SPK/DAN.02.01/ABRU/2016</t>
  </si>
  <si>
    <t>JASA BORONG ONGKOS ANGKUT BBM WILAYAH II PLTD KUALA LAPANG PERIODE BULAN SEPTEMBER 2016 PT. PLN (PERSERO) AREA BERAU</t>
  </si>
  <si>
    <t>290.SPK/DAN.02.01/ABRU/2016</t>
  </si>
  <si>
    <t>JASA BORONG ONGKOS ANGKUT BBM WILAYAH II PLTD TIDUNG PALE PERIODE BULAN SEPTEMBER 2016 PT. PLN (PERSERO) AREA BERAU</t>
  </si>
  <si>
    <t>146.SPP/DAN.02.01/ABRU/2016</t>
  </si>
  <si>
    <t>142.SPP/DAN.02.01/ABRU/2016</t>
  </si>
  <si>
    <t>141.SPP/DAN.02.01/ABRU/2016</t>
  </si>
  <si>
    <t>160.SPP/DAN.02.01/ABRU/2016</t>
  </si>
  <si>
    <t>001.PJ/DAN.02.01/ABRU/2015</t>
  </si>
  <si>
    <t>PENGADAAN MATERIAL &amp; JASA HARDIK SO MESIN CUMMINS KTA 50G3 SN. 25340396 DI PLTD MALINAU  PT. PLN ( PERSERO ) AREA BERAU</t>
  </si>
  <si>
    <t>161.SPP/DAN.02.01/ABRU/2016</t>
  </si>
  <si>
    <t>SPP 141 AO 2016</t>
  </si>
  <si>
    <t>379.SPK/DAN.02.07/ARU/2016</t>
  </si>
  <si>
    <t>CV. ANEKA JASA</t>
  </si>
  <si>
    <t>SPP 144 AO 2016</t>
  </si>
  <si>
    <t>279.SPK/DAN.02.01/ABRU/2016</t>
  </si>
  <si>
    <t>JASA BORONG ONGKOS ANGKUT BBM WILAYAH I PLTD TALISAYAN PERIODE BULAN SEPTEMBER 2016 PT PLN (PERSERO) AREA BERAU</t>
  </si>
  <si>
    <t>314.SPK/DAN.02.01/ABRU/2016</t>
  </si>
  <si>
    <t>JASA BORONG ONGKOS ANGKUT BBM WILAYAH I PLTD SAMBALIUNG PERIODE BULAN OKTOBER 2016 PT PLN (PERSERO) AREA BERAU</t>
  </si>
  <si>
    <t>320.SPK/DAN.02.01/ABRU/2016</t>
  </si>
  <si>
    <t>JASA BORONG ONGKOS ANGKUT BBM WILAYAH I PLTD TALISAYAN PERIODE BULAN OKTOBER 2016 PT PLN (PERSERO) AREA BERAU</t>
  </si>
  <si>
    <t>315.SPK/DAN.02.01/ABRU/2016</t>
  </si>
  <si>
    <t>JASA BORONG ONGKOS ANGKUT BBM WILAYAH I PLTD SEI BUAYA PERIODE BULAN OKTOBER 2016 PT PLN (PERSERO) AREA BERAU</t>
  </si>
  <si>
    <t>321.SPK/DAN.02.01/ABRU/2016</t>
  </si>
  <si>
    <t>JASA BORONG ONGKOS ANGKUT BBM WILAYAH I PLTD BIDUK-BIDUK PERIODE BULAN OKTOBER 2016 PT PLN (PERSERO) AREA BERAU</t>
  </si>
  <si>
    <t>324.SPK/DAN.02.01/ABRU/2016</t>
  </si>
  <si>
    <t>JASA BORONG ONGKOS ANGKUT BBM WILAYAH II PLTD SEI BILAL PERIODE BULAN OKTOBER 2016 PT. PLN (PERSERO) AREA BERAU</t>
  </si>
  <si>
    <t>328.SPK/DAN.02.01/ABRU/2016</t>
  </si>
  <si>
    <t>JASA BORONG ONGKOS ANGKUT BBM WILAYAH II PLTD LONG PESO PERIODE BULAN OKTOBER 2016 PT. PLN (PERSERO) AREA BERAU</t>
  </si>
  <si>
    <t>287.SPK/DAN.02.01/ABRU/2016</t>
  </si>
  <si>
    <t>JASA BORONG ONGKOS ANGKUT BBM WILAYAH II PLTD LONG PESO PERIODE BULAN SEPTEMBER 2016 PT. PLN (PERSERO) AREA BERAU</t>
  </si>
  <si>
    <t>325.SPK/DAN.02.01/ABRU/2016</t>
  </si>
  <si>
    <t>JASA BORONG ONGKOS ANGKUT BBM WILAYAH II PLTD SEBATIK PERIODE BULAN OKTOBER 2016 PT. PLN (PERSERO) AREA BERAU</t>
  </si>
  <si>
    <t>283.SPK/DAN.02.01/ABRU/2016</t>
  </si>
  <si>
    <t>JASA BORONG ONGKOS ANGKUT BBM WILAYAH II PLTD SEI BILAL PERIODE BULAN SEPTEMBER 2016 PT. PLN (PERSERO) AREA BERAU</t>
  </si>
  <si>
    <t>245.SPK/DAN.02.01/ABRU/2016</t>
  </si>
  <si>
    <t>JASA BORONG ONGKOS ANGKUT BBM WILAYAH II PLTD SEI BILAL PERIODE BULAN AGUSTUS 2016 PT. PLN (PERSERO) AREA BERAU</t>
  </si>
  <si>
    <t>284.SPK/DAN.02.01/ABRU/2016</t>
  </si>
  <si>
    <t>JASA BORONG ONGKOS ANGKUT BBM WILAYAH II PLTD SEBATIK PERIODE BULAN SEPTEMBER 2016 PT. PLN (PERSERO) AREA BERAU</t>
  </si>
  <si>
    <t>330.SPK/DAN.02.01/ABRU/2016</t>
  </si>
  <si>
    <t>JASA BORONG ONGKOS ANGKUT BBM WILAYAH II PLTD KUALA LAPANG PERIODE BULAN OKTOBER 2016 PT. PLN (PERSERO) AREA BERAU</t>
  </si>
  <si>
    <t>SPP 136 AO 2016</t>
  </si>
  <si>
    <t>SPP 147 AO 2016</t>
  </si>
  <si>
    <t>110.ND/KEU.00.02/TE/ABRU/2016</t>
  </si>
  <si>
    <t>PEMBAYARAN BIAYA OPERASIONAL P2TL MANDIRI BULAN OKTOBER-NOVEMBER 2016 PT. PLN (PERSERO) AREA BERAU</t>
  </si>
  <si>
    <t>SPP 146 AO 2016</t>
  </si>
  <si>
    <t>123.SPP/DAN.02.03/ABRU/2016</t>
  </si>
  <si>
    <t>PT.ABAKUS INFORMINDO SYSTEMS</t>
  </si>
  <si>
    <t>122.SPP/DAN.02.01/ABRU/2016</t>
  </si>
  <si>
    <t>111/ND/KEU.00.02/ABRU/2016</t>
  </si>
  <si>
    <t>277.SPP/DAN.02.01/ABRU/2016</t>
  </si>
  <si>
    <t>JASA BORONG ONGKOS ANGKUT BBM WILAYAH I PLTD TANJUNG BATU PERIODE BULAN SEPTEMBER 2016 PT PLN (PERSERO) AREA BERAU</t>
  </si>
  <si>
    <t>319.SPK/DAN.02.01/ABRU/2016</t>
  </si>
  <si>
    <t>JASA BORONG ONGKOS ANGKUT BBM WILAYAH I PLTD DERAWAN PERIODE BULAN OKTOBER 2016 PT PLN (PERSERO) AREA BERAU</t>
  </si>
  <si>
    <t>317.SPK/DAN.02.01/ABRU/2016</t>
  </si>
  <si>
    <t>JASA BORONG ONGKOS ANGKUT BBM WILAYAH I PLTD GUNUNG SARI PERIODE BULAN OKTOBER 2016 PT PLN (PERSERO) AREA BERAU</t>
  </si>
  <si>
    <t>276.SPK/DAN.02.01/ABRU/2016</t>
  </si>
  <si>
    <t>JASA BORONG ONGKOS ANGKUT BBM WILAYAH I PLTD MERASA PERIODE BULAN OKTOBER 2016 PT PLN (PERSERO) AREA BERAU</t>
  </si>
  <si>
    <t>318.SPK/DAN.02.01/ABRU/2016</t>
  </si>
  <si>
    <t>JASA BORONG ONGKOS ANGKUT BBM WILAYAH I PLTD TANJUNG BATU PERIODE BULAN OKTOBER 2016 PT PLN (PERSERO) AREA BERAU</t>
  </si>
  <si>
    <t>281.SPK/DAN.02.01/ABRU/2016</t>
  </si>
  <si>
    <t>JASA BORONG ONGKOS ANGKUT BBM WILAYAH I PLTD BATU PUTIH PERIODE BULAN SEPTEMBER 2016 PT PLN (PERSERO) AREA BERAU</t>
  </si>
  <si>
    <t>316.SPK/DAN.02.01/ABRU/2016</t>
  </si>
  <si>
    <t>253.SPK/DAN.02.01/ABRU/2016</t>
  </si>
  <si>
    <t>JASA BORONG ONGKOS ANGKUT BBM WILAYAH II PLTD BUNYU PERIODE BULAN AGUSTUS 2016 PT. PLN (PERSERO) AREA BERAU</t>
  </si>
  <si>
    <t>327.SPK/DAN.02.01/ABRU/2016</t>
  </si>
  <si>
    <t>JASA BORONG ONGKOS ANGKUT BBM WILAYAH II PLTD LONG BELUAH PERIODE BULAN OKTOBER 2016 PT. PLN (PERSERO) AREA BERAU</t>
  </si>
  <si>
    <t>329.SPK/DAN.02.01/ABRU/2016</t>
  </si>
  <si>
    <t>JASA BORONG ONGKOS ANGKUT BBM WILAYAH II PLTD MARA PERIODE BULAN OKTOBER 2016 PT. PLN (PERSERO) AREA BERAU</t>
  </si>
  <si>
    <t>SPP 138 AO 2016</t>
  </si>
  <si>
    <t>162.SPP/DAN.02.03/ABRU/2016</t>
  </si>
  <si>
    <t>219A.SPK/DAN.02.01/ABRU/2016</t>
  </si>
  <si>
    <t>JASA BORONG ONGKOS ANGKUT BBM EMERGENCY PLTD LUMBIS OGONG PT. PLN (PERSERO) AREA BERAU</t>
  </si>
  <si>
    <t>061A.SPK/DAN.02.01/ABRU/2016</t>
  </si>
  <si>
    <t>JASA BORONG ONGKOS ANGKUT BBM EMERGENCY PLTD SEI MENGGARIS PT. PLN (PERSERO) AREA BERAU</t>
  </si>
  <si>
    <t>015A.SPP/DAN.02.01/ABRU/2016</t>
  </si>
  <si>
    <t>JASA BORONG ONGKOS ANGKUT BBM EMERGENCY PLTD LUMBIS OGONG PERIODE PT. PLN (PERSERO) AREA BERAU</t>
  </si>
  <si>
    <t>157.SPP/DAN.02.01/ABRU/2016</t>
  </si>
  <si>
    <t>SPP 140 AO 2016</t>
  </si>
  <si>
    <t>389.SPK/DAN.02.01/ABRU/2016</t>
  </si>
  <si>
    <t>159.SPP/DAN.02,01/ABRU/2016</t>
  </si>
  <si>
    <t>240.SPK/DAN.02.01/ABRU/2016</t>
  </si>
  <si>
    <t>JASA BORONG ONGKOS ANGKUT BBM WILAYAH I PLTD DERAWAN PERIODE BULAN AGUSTUS 2016 PT PLN (PERSERO) AREA BERAU</t>
  </si>
  <si>
    <t>356.SPK/DAN.02.01/ABRU/2016</t>
  </si>
  <si>
    <t>JASA BORONG ONGKOS ANGKUT BBM WILAYAH I PLTD TALISAYAN PERIODE BULAN NOVEMBER 2016 PT PLN (PERSERO) AREA BERAU</t>
  </si>
  <si>
    <t>351.SPK/DAN.02.01/ABRU/2016</t>
  </si>
  <si>
    <t>JASA BORONG ONGKOS ANGKUT BBM WILAYAH I PLTD SAMBALIUNG PERIODE BULAN NOPEMBER 2016 PT PLN (PERSERO) AREA BERAU</t>
  </si>
  <si>
    <t>367.SPK/DAN.02.01/ABRU/2016</t>
  </si>
  <si>
    <t>JASA BORONG ONGKOS ANGKUT BBM WILAYAH II PLTD TIDUNG PALE PERIODE BULAN NOPEMBER 2016 PT. PLN (PERSERO) AREA BERAU</t>
  </si>
  <si>
    <t>261.SPK/DAN.02.01/ABRU/2016</t>
  </si>
  <si>
    <t>JASA BORONG ONGKOS ANGKUT BBM WILAYAH II PLTD SEBATIK PERIODE BULAN NOPEMBER 2016 PT. PLN (PERSERO) AREA BERAU</t>
  </si>
  <si>
    <t>JASA BORONG ONGKOS ANGKUT BBM WILAYAH II PLTD KRAYAN PERIODE BULAN MEI 2016 PT. PLN (PERSERO) AREA BERAU</t>
  </si>
  <si>
    <t>366.SPK/DAN.02.01/ABRU/2016</t>
  </si>
  <si>
    <t>JASA BORONG ONGKOS ANGKUT BBM WILAYAH II PLTD KUALA LAPANG PERIODE BULAN NOPEMBER 2016 PT. PLN (PERSERO) AREA BERAU</t>
  </si>
  <si>
    <t>219.SPK/DAN.02.01/ABRU/2016</t>
  </si>
  <si>
    <t>JASA BORONG ONGKOS ANGKUT BBM WILAYAH II PLTD KRAYAN PERIODE BULAN JULI-AGUSTUS 2016 PT. PLN (PERSERO) AREA BERAU</t>
  </si>
  <si>
    <t>291.SPK/DAN.02.01/ABRU/2016</t>
  </si>
  <si>
    <t>JASA BORONG ONGKOS ANGKUT BBM WILAYAH II PLTD KRAYAN PERIODE BULAN SEPTEMBER-OKTOBER 2016 PT. PLN (PERSERO) AREA BERAU</t>
  </si>
  <si>
    <t>249.SPK/DAN.02.01/ABRU/2016</t>
  </si>
  <si>
    <t>JASA BORONG ONGKOS ANGKUT BBM WILAYAH II PLTD LONG PESO PERIODE BULAN AGUSTUS 2016 PT. PLN (PERSERO) AREA BERAU</t>
  </si>
  <si>
    <t>362.SPK/DAN.02.01/ABRU/2016</t>
  </si>
  <si>
    <t>JASA BORONG ONGKOS ANGKUT BBM WILAYAH II PLTD SEKATAK BUJI PERIODE BULAN NOPEMBER 2016 PT. PLN (PERSERO) AREA BERAU</t>
  </si>
  <si>
    <t>CASH CARD</t>
  </si>
  <si>
    <t>355.SPK/DAN.02.01/ABRU/2016</t>
  </si>
  <si>
    <t>JASA BORONG ONGKOS ANGKUT BBM WILAYAH I PLTD DERAWAN PERIODE BULAN NOPEMBER 2016 PT PLN (PERSERO) AREA BERAU</t>
  </si>
  <si>
    <t>353.SPK/DAN.02.01/ABRU/2016</t>
  </si>
  <si>
    <t>JASA BORONG ONGKOS ANGKUT BBM WILAYAH I PLTD MERASA PERIODE BULAN NOPEMBER 2016 PT PLN (PERSERO) AREA BERAU</t>
  </si>
  <si>
    <t>354.SPK/DAN.02.01/ABRU/2016</t>
  </si>
  <si>
    <t>JASA BORONG ONGKOS ANGKUT BBM WILAYAH I PLTD TANJUNG BATU PERIODE BULAN NOPEMBER 2016 PT PLN (PERSERO) AREA BERAU</t>
  </si>
  <si>
    <t>358.SPK/DAN.02.01/ABRU/2016</t>
  </si>
  <si>
    <t>JASA BORONG ONGKOS ANGKUT BBM WILAYAH I PLTD BATU PUTIH PERIODE BULAN NOPEMBER 2016 PT PLN (PERSERO) AREA BERAU</t>
  </si>
  <si>
    <t>239.SPK/DAN.02.01/ABRU/2016</t>
  </si>
  <si>
    <t>JASA BORONG ONGKOS ANGKUT BBM WILAYAH I PLTD TANJUNG BATU PERIODE BULAN AGUSTUS 2016 PT PLN (PERSERO) AREA BERAU</t>
  </si>
  <si>
    <t>150.SPP/DAN.02.01/ABRU/2016</t>
  </si>
  <si>
    <t>061B.SPK/DAN.02.01/ABRU/2016</t>
  </si>
  <si>
    <t>JASA BORONG ONGKOS ANGKUT BBM EMERGENCY PLTD TULIN ONSOI PERIODE BULAN MARET-MEI PT. PLN (PERSERO) AREA BERAU</t>
  </si>
  <si>
    <t>265A.SPK/DAN.02.01/ABRU/2016</t>
  </si>
  <si>
    <t>JASA BORONG ONGKOS ANGKUT BBM EMERGENCY PLTD TULIN ONSOI   PT. PLN (PERSERO) AREA BERAU</t>
  </si>
  <si>
    <t>371.SPK/DAN.02.01/ABRU/2016</t>
  </si>
  <si>
    <t>JASA BORONG ONGKOS ANGKUT BBM EMERGENCY PLTD SEBUKU  PT. PLN (PERSERO) AREA BERAU</t>
  </si>
  <si>
    <t>335B.SPK/DAN.02.01/ABRU/2016</t>
  </si>
  <si>
    <t>220.SPK/DAN.02.01/ABRU/2016</t>
  </si>
  <si>
    <t>JASA BORONG ONGKOS ANGKUT BBM EMERGENCY PLTD SEIMENGGARIS  PT. PLN (PERSERO) AREA BERAU</t>
  </si>
  <si>
    <t>292A.SPK/DAN.02.01/ABRU/2016</t>
  </si>
  <si>
    <t>JASA BORONG ONGKOS ANGKUT BBM EMERGENCY PLTD TULIN ONSOI  PT. PLN (PERSERO) AREA BERAU</t>
  </si>
  <si>
    <t>117.SPK/DAN.02.01/ABRU/2016</t>
  </si>
  <si>
    <t>335A.SPK/DAN.02.01/ABRU/2016</t>
  </si>
  <si>
    <t>331.SPK/DAN.02.01/ABRU/2016</t>
  </si>
  <si>
    <t>JASA BORONG ONGKUS ANGKUT BBM WILAYAH II PLTD TIDUNG PALE PERIODE BULAN OKTOBER 2016 PT. PLN (PERSERO) AREA BERAU</t>
  </si>
  <si>
    <t>370.SPK/DAN.02.01/ABRU/2016</t>
  </si>
  <si>
    <t>031.SPK/DAN.02.01/ABRU/2016</t>
  </si>
  <si>
    <t>JASA BORONG ONGKOS ANGKUT BBM WILAYAH II PLTD SEBATIK BULAN FEBRUARI 2016 PT. PLN (PERSERO) AREA BERAU</t>
  </si>
  <si>
    <t>306.SPK/DAN.02.01/ABRU/2016</t>
  </si>
  <si>
    <t>JASA BORONG ONGKOS ANGKUT BBM WILAYAH II PLTD KRAYAN BULAN DESEMBER 2016 PT. PLN (PERSERO) AREA BERAU</t>
  </si>
  <si>
    <t>129.SPK/DAN.02.01/ABRU/2016</t>
  </si>
  <si>
    <t>397.SPK/DAN.02.01/ABRU/2016</t>
  </si>
  <si>
    <t>PENGADAAN BAHAN BAKAR MINYAK HSD UNTUK OPERASIONAL EMERGENCY PLTD KAYAN HULU PT. PLN (PERSERO) AREA BERAU</t>
  </si>
  <si>
    <t>290A.SPK/DAN.02.01/ABRU/2016</t>
  </si>
  <si>
    <t>223A.SPK/DAN.02.01/ABRU/2016</t>
  </si>
  <si>
    <t>220A.SPK/DAN.02.01/ABRU/2016</t>
  </si>
  <si>
    <t>291A.SPK/DAN.02.01/ABRU/2016</t>
  </si>
  <si>
    <t>JASA BORONG ONGKOS ANGKUT BBM EMERGENCY PLTD SEI MENGGARIS  PT. PLN (PERSERO) AREA BERAU</t>
  </si>
  <si>
    <t>SPP 145 AO 2016</t>
  </si>
  <si>
    <t>JASA BORONG ONGKOS ANGKUT BBM WILAYAH II PLTD ATAP PERIODE BULAN APRIL  PT. PLN (PERSERO) AREA BERAU</t>
  </si>
  <si>
    <t>210.SPK/DAN.02.01/ABRU/2016</t>
  </si>
  <si>
    <t>JASA BORONG ONGKOS ANGKUT BBM WILAYAH I PLTD TUBAAN PERIODE BULAN JULI 2016 PT PLN (PERSERO) AREA BERAU</t>
  </si>
  <si>
    <t>282.SPK/DAN.02.01/ABRU/2016</t>
  </si>
  <si>
    <t>JASA BORONG ONGKOS ANGKUT BBM WILAYAH I PLTD TUBAAN PERIODE BULAN SEPTEMBER 2016 PT PLN (PERSERO) AREA BERAU</t>
  </si>
  <si>
    <t>359.SPK/DAN.02.01/ABRU/2016</t>
  </si>
  <si>
    <t>JASA BORONG ONGKOS ANGKUT BBM WILAYAH I PLTD TUBAAN PERIODE BULAN NOVEMBER 2016 PT PLN (PERSERO) AREA BERAU</t>
  </si>
  <si>
    <t>323.SPK/DAN.02.01/ABRU/2016</t>
  </si>
  <si>
    <t>JASA BORONG ONGKOS ANGKUT BBM WILAYAH I PLTD TUBAAN PERIODE BULAN OKTOBER 2016 PT PLN (PERSERO) AREA BERAU</t>
  </si>
  <si>
    <t>244.SPK/DAN.02.01/ABRU/2016</t>
  </si>
  <si>
    <t>JASA BORONG ONGKOS ANGKUT BBM WILAYAH I PLTD TUBAAN PERIODE BULAN AGUSTUS 2016 PT PLN (PERSERO) AREA BERAU</t>
  </si>
  <si>
    <t>144.SPK/DAN.02.01/ABRU/2016</t>
  </si>
  <si>
    <t>JASA BORONG ONGKOS ANGKUT BBM WILAYAH I PLTD SAMBALIUNG PERIODE BULAN JUNI 2016 PT PLN (PERSERO) AREA BERAU</t>
  </si>
  <si>
    <t>127.SPK/DAN.02.01/ABRU/2016</t>
  </si>
  <si>
    <t>061C.SPK/DAN.02.01/ABRU/2016</t>
  </si>
  <si>
    <t>093A.SPK/DAN.02.01/ABRU/2016</t>
  </si>
  <si>
    <t>257A.SPK/DAN.02.01/ABRU/2016</t>
  </si>
  <si>
    <t>326.SPK/DAN.02.01/ABRU/2016</t>
  </si>
  <si>
    <t>JASA BORONG ONGKOS ANGKUT BBM WILAYAH II PLTD SEKATAK BUJI PERIODE BULAN OKTOBER 2016  PT. PLN (PERSERO) AREA BERAU</t>
  </si>
  <si>
    <t>128.SPK/DAN.02.01/ABRU/2016</t>
  </si>
  <si>
    <t>357.SPK/DAN.02.01/ABRU/2016</t>
  </si>
  <si>
    <t>JASA BORONG ONGKOS ANGKUT BBM WILAYAH I PLTD BIDUK-BIDUK PERIODE BULAN NOVEMBER 2016 PT PLN (PERSERO) AREA BERAU</t>
  </si>
  <si>
    <t>352.SPK/DAN.02.01/ABRU/2016</t>
  </si>
  <si>
    <t>JASA BORONG ONGKOS ANGKUT BBM WILAYAH I PLTD SEI BUAYA PERIODE BULAN NOVEMBER 2016 PT PLN (PERSERO) AREA BERAU</t>
  </si>
  <si>
    <t>436.SPK/DAN.02.01/ABRU/2016</t>
  </si>
  <si>
    <t>433.SPK/DAN.02.01/ABRU/2016</t>
  </si>
  <si>
    <t xml:space="preserve">SPP 148 AO 2016 </t>
  </si>
  <si>
    <t>158.SPP/DAN.02.03/ABRU/2016</t>
  </si>
  <si>
    <t>128.SPP/DAN.02.01/ABRU/2016</t>
  </si>
  <si>
    <t>035.ND/KIT/ABRU/2016</t>
  </si>
  <si>
    <t>136.SPP/DAN.02.01/ABRU/2016 - 10 NOV 2016 - 12 MEI 2017</t>
  </si>
  <si>
    <t>PT. PDMJ</t>
  </si>
  <si>
    <t>380.SPK/DAN.02.01/ABRU/2016 - 10 NOV 2016 - 8 MEI 2017</t>
  </si>
  <si>
    <t>PT SINAR BINTANG ALBAR</t>
  </si>
  <si>
    <t>432.SPK/DAN.02.01/ABRU/2016 01 DES 2016 S/D 30 DEC 2016</t>
  </si>
  <si>
    <t>435.SPK/DAN.02.01/ABRU/2016 01 DES S/D 30 DES 2016</t>
  </si>
  <si>
    <t>411.SPK/DAN.02.01/ABRU/2016 29 NOP S/D 13 DES 2016</t>
  </si>
  <si>
    <t>154.SPP/DAN.02.01/ABRU/2016 30 NOVEMBER 2016 S/D 29 DESEMBER 2016</t>
  </si>
  <si>
    <t xml:space="preserve">458.SPK/DAN.02.01/ABRU/2016 21 DES 2016 S/D </t>
  </si>
  <si>
    <t xml:space="preserve">459.SPK/DAN.02.01/ABRU/2016 21 DES 2016 S/D </t>
  </si>
  <si>
    <t xml:space="preserve">460.SPK/DAN.02.01/ABRU/2016 21 DES 2016 S/D </t>
  </si>
  <si>
    <t xml:space="preserve">462.SPK/DAN.02.01/ABRU/2016 21 DES 2016 S/D </t>
  </si>
  <si>
    <t>PT. REZKI CAHAYA</t>
  </si>
  <si>
    <t xml:space="preserve">461.SPK/DAN.02.01/ABRU/2016 21 DES 2016 S/D </t>
  </si>
</sst>
</file>

<file path=xl/styles.xml><?xml version="1.0" encoding="utf-8"?>
<styleSheet xmlns="http://schemas.openxmlformats.org/spreadsheetml/2006/main">
  <numFmts count="1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[$-F800]dddd\,\ mmmm\ dd\,\ yyyy"/>
    <numFmt numFmtId="166" formatCode="[$-409]d\-mmm\-yyyy;@"/>
    <numFmt numFmtId="167" formatCode="_(* #,##0_);_(* \(#,##0\);_(* &quot;-&quot;??_);_(@_)"/>
    <numFmt numFmtId="168" formatCode="[$-421]dd\ mmmm\ yyyy;@"/>
    <numFmt numFmtId="169" formatCode="m/d/yy;@"/>
    <numFmt numFmtId="170" formatCode="dd/mm/yy;@"/>
    <numFmt numFmtId="171" formatCode="[$-409]d\-mmm\-yy;@"/>
    <numFmt numFmtId="172" formatCode="0.0%"/>
    <numFmt numFmtId="173" formatCode="[$-409]d/mmm/yy;@"/>
    <numFmt numFmtId="174" formatCode="mm/dd/yy;@"/>
    <numFmt numFmtId="175" formatCode="_(* #,##0.000_);_(* \(#,##0.000\);_(* &quot;-&quot;_);_(@_)"/>
    <numFmt numFmtId="176" formatCode="0.00000%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</borders>
  <cellStyleXfs count="75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65" applyNumberFormat="0" applyAlignment="0" applyProtection="0"/>
    <xf numFmtId="0" fontId="8" fillId="29" borderId="66" applyNumberFormat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0" borderId="67" applyNumberFormat="0" applyFill="0" applyAlignment="0" applyProtection="0"/>
    <xf numFmtId="0" fontId="14" fillId="0" borderId="68" applyNumberFormat="0" applyFill="0" applyAlignment="0" applyProtection="0"/>
    <xf numFmtId="0" fontId="15" fillId="0" borderId="69" applyNumberFormat="0" applyFill="0" applyAlignment="0" applyProtection="0"/>
    <xf numFmtId="0" fontId="16" fillId="0" borderId="69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1" borderId="65" applyNumberFormat="0" applyAlignment="0" applyProtection="0"/>
    <xf numFmtId="0" fontId="18" fillId="0" borderId="70" applyNumberFormat="0" applyFill="0" applyAlignment="0" applyProtection="0"/>
    <xf numFmtId="0" fontId="19" fillId="32" borderId="0" applyNumberFormat="0" applyBorder="0" applyAlignment="0" applyProtection="0"/>
    <xf numFmtId="0" fontId="10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0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4" fillId="33" borderId="71" applyNumberFormat="0" applyFont="0" applyAlignment="0" applyProtection="0"/>
    <xf numFmtId="0" fontId="20" fillId="28" borderId="72" applyNumberFormat="0" applyAlignment="0" applyProtection="0"/>
    <xf numFmtId="9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73" applyNumberFormat="0" applyFill="0" applyAlignment="0" applyProtection="0"/>
    <xf numFmtId="0" fontId="23" fillId="0" borderId="0" applyNumberFormat="0" applyFill="0" applyBorder="0" applyAlignment="0" applyProtection="0"/>
  </cellStyleXfs>
  <cellXfs count="2779">
    <xf numFmtId="0" fontId="0" fillId="0" borderId="0" xfId="0"/>
    <xf numFmtId="0" fontId="24" fillId="0" borderId="0" xfId="55" applyFont="1" applyFill="1"/>
    <xf numFmtId="0" fontId="24" fillId="0" borderId="0" xfId="63" applyFont="1"/>
    <xf numFmtId="0" fontId="25" fillId="0" borderId="0" xfId="55" applyFont="1" applyFill="1" applyAlignment="1">
      <alignment horizontal="center"/>
    </xf>
    <xf numFmtId="0" fontId="25" fillId="0" borderId="1" xfId="63" applyFont="1" applyBorder="1" applyAlignment="1">
      <alignment horizontal="center"/>
    </xf>
    <xf numFmtId="0" fontId="25" fillId="0" borderId="1" xfId="55" applyFont="1" applyFill="1" applyBorder="1" applyAlignment="1">
      <alignment horizontal="center"/>
    </xf>
    <xf numFmtId="0" fontId="25" fillId="0" borderId="1" xfId="63" applyFont="1" applyBorder="1" applyAlignment="1">
      <alignment horizontal="center" vertical="center" wrapText="1"/>
    </xf>
    <xf numFmtId="0" fontId="25" fillId="0" borderId="2" xfId="63" applyFont="1" applyBorder="1" applyAlignment="1">
      <alignment horizontal="center"/>
    </xf>
    <xf numFmtId="0" fontId="25" fillId="0" borderId="3" xfId="63" applyFont="1" applyBorder="1" applyAlignment="1">
      <alignment horizontal="center"/>
    </xf>
    <xf numFmtId="0" fontId="25" fillId="0" borderId="0" xfId="63" applyFont="1" applyBorder="1" applyAlignment="1">
      <alignment horizontal="center"/>
    </xf>
    <xf numFmtId="0" fontId="25" fillId="0" borderId="4" xfId="55" applyFont="1" applyFill="1" applyBorder="1" applyAlignment="1">
      <alignment horizontal="center"/>
    </xf>
    <xf numFmtId="0" fontId="25" fillId="0" borderId="5" xfId="55" applyFont="1" applyFill="1" applyBorder="1" applyAlignment="1">
      <alignment horizontal="center"/>
    </xf>
    <xf numFmtId="0" fontId="25" fillId="0" borderId="5" xfId="63" applyFont="1" applyBorder="1" applyAlignment="1">
      <alignment horizontal="center"/>
    </xf>
    <xf numFmtId="0" fontId="25" fillId="0" borderId="6" xfId="63" applyFont="1" applyBorder="1" applyAlignment="1">
      <alignment horizontal="center"/>
    </xf>
    <xf numFmtId="0" fontId="25" fillId="0" borderId="7" xfId="63" applyFont="1" applyBorder="1" applyAlignment="1">
      <alignment horizontal="center" vertical="center" wrapText="1"/>
    </xf>
    <xf numFmtId="0" fontId="24" fillId="0" borderId="8" xfId="63" applyFont="1" applyBorder="1" applyAlignment="1">
      <alignment horizontal="center"/>
    </xf>
    <xf numFmtId="0" fontId="25" fillId="0" borderId="4" xfId="63" applyFont="1" applyBorder="1" applyAlignment="1">
      <alignment horizontal="center"/>
    </xf>
    <xf numFmtId="0" fontId="25" fillId="0" borderId="9" xfId="63" applyFont="1" applyBorder="1" applyAlignment="1">
      <alignment horizontal="center"/>
    </xf>
    <xf numFmtId="0" fontId="25" fillId="0" borderId="10" xfId="63" applyFont="1" applyBorder="1" applyAlignment="1">
      <alignment horizontal="center"/>
    </xf>
    <xf numFmtId="0" fontId="25" fillId="0" borderId="4" xfId="63" applyFont="1" applyBorder="1"/>
    <xf numFmtId="0" fontId="25" fillId="0" borderId="9" xfId="63" applyFont="1" applyBorder="1"/>
    <xf numFmtId="0" fontId="24" fillId="0" borderId="4" xfId="63" applyFont="1" applyBorder="1"/>
    <xf numFmtId="0" fontId="24" fillId="0" borderId="8" xfId="55" applyFont="1" applyFill="1" applyBorder="1" applyAlignment="1">
      <alignment horizontal="center"/>
    </xf>
    <xf numFmtId="0" fontId="24" fillId="34" borderId="11" xfId="55" applyFont="1" applyFill="1" applyBorder="1"/>
    <xf numFmtId="0" fontId="26" fillId="0" borderId="11" xfId="54" applyNumberFormat="1" applyFont="1" applyBorder="1" applyAlignment="1"/>
    <xf numFmtId="0" fontId="24" fillId="0" borderId="11" xfId="54" applyFont="1" applyBorder="1" applyAlignment="1">
      <alignment horizontal="left" vertical="top" wrapText="1"/>
    </xf>
    <xf numFmtId="41" fontId="24" fillId="0" borderId="11" xfId="32" applyFont="1" applyBorder="1"/>
    <xf numFmtId="0" fontId="24" fillId="0" borderId="11" xfId="54" applyFont="1" applyFill="1" applyBorder="1" applyAlignment="1">
      <alignment horizontal="center"/>
    </xf>
    <xf numFmtId="166" fontId="24" fillId="0" borderId="12" xfId="54" applyNumberFormat="1" applyFont="1" applyFill="1" applyBorder="1" applyAlignment="1">
      <alignment horizontal="center" vertical="top"/>
    </xf>
    <xf numFmtId="167" fontId="24" fillId="0" borderId="13" xfId="63" applyNumberFormat="1" applyFont="1" applyBorder="1" applyAlignment="1">
      <alignment vertical="top"/>
    </xf>
    <xf numFmtId="167" fontId="24" fillId="0" borderId="14" xfId="63" applyNumberFormat="1" applyFont="1" applyBorder="1" applyAlignment="1">
      <alignment vertical="top"/>
    </xf>
    <xf numFmtId="168" fontId="24" fillId="0" borderId="14" xfId="63" applyNumberFormat="1" applyFont="1" applyBorder="1" applyAlignment="1">
      <alignment vertical="top"/>
    </xf>
    <xf numFmtId="0" fontId="24" fillId="0" borderId="15" xfId="63" applyFont="1" applyBorder="1"/>
    <xf numFmtId="0" fontId="24" fillId="0" borderId="16" xfId="63" applyFont="1" applyBorder="1"/>
    <xf numFmtId="0" fontId="24" fillId="0" borderId="11" xfId="54" applyFont="1" applyFill="1" applyBorder="1" applyAlignment="1">
      <alignment horizontal="center" vertical="top" wrapText="1"/>
    </xf>
    <xf numFmtId="166" fontId="24" fillId="0" borderId="17" xfId="54" applyNumberFormat="1" applyFont="1" applyFill="1" applyBorder="1" applyAlignment="1">
      <alignment horizontal="center" vertical="top"/>
    </xf>
    <xf numFmtId="167" fontId="24" fillId="0" borderId="17" xfId="63" applyNumberFormat="1" applyFont="1" applyBorder="1" applyAlignment="1">
      <alignment vertical="top"/>
    </xf>
    <xf numFmtId="168" fontId="24" fillId="0" borderId="17" xfId="63" applyNumberFormat="1" applyFont="1" applyBorder="1" applyAlignment="1">
      <alignment vertical="top"/>
    </xf>
    <xf numFmtId="0" fontId="24" fillId="0" borderId="11" xfId="63" applyFont="1" applyBorder="1"/>
    <xf numFmtId="0" fontId="24" fillId="0" borderId="18" xfId="63" applyFont="1" applyBorder="1"/>
    <xf numFmtId="0" fontId="24" fillId="0" borderId="0" xfId="63" applyFont="1" applyBorder="1"/>
    <xf numFmtId="0" fontId="24" fillId="34" borderId="11" xfId="55" applyFont="1" applyFill="1" applyBorder="1" applyAlignment="1">
      <alignment vertical="top"/>
    </xf>
    <xf numFmtId="0" fontId="26" fillId="34" borderId="11" xfId="61" applyNumberFormat="1" applyFont="1" applyFill="1" applyBorder="1" applyAlignment="1"/>
    <xf numFmtId="0" fontId="24" fillId="0" borderId="11" xfId="54" quotePrefix="1" applyFont="1" applyBorder="1" applyAlignment="1">
      <alignment wrapText="1"/>
    </xf>
    <xf numFmtId="0" fontId="24" fillId="0" borderId="11" xfId="54" applyFont="1" applyBorder="1" applyAlignment="1">
      <alignment horizontal="center" vertical="top" wrapText="1"/>
    </xf>
    <xf numFmtId="166" fontId="24" fillId="0" borderId="17" xfId="54" applyNumberFormat="1" applyFont="1" applyBorder="1" applyAlignment="1">
      <alignment horizontal="center" vertical="top"/>
    </xf>
    <xf numFmtId="167" fontId="24" fillId="0" borderId="8" xfId="63" applyNumberFormat="1" applyFont="1" applyFill="1" applyBorder="1" applyAlignment="1">
      <alignment vertical="center"/>
    </xf>
    <xf numFmtId="9" fontId="24" fillId="0" borderId="11" xfId="63" applyNumberFormat="1" applyFont="1" applyBorder="1" applyAlignment="1">
      <alignment horizontal="left" vertical="top"/>
    </xf>
    <xf numFmtId="167" fontId="24" fillId="0" borderId="11" xfId="63" applyNumberFormat="1" applyFont="1" applyBorder="1"/>
    <xf numFmtId="167" fontId="24" fillId="0" borderId="11" xfId="63" applyNumberFormat="1" applyFont="1" applyBorder="1" applyAlignment="1">
      <alignment vertical="top"/>
    </xf>
    <xf numFmtId="0" fontId="27" fillId="0" borderId="11" xfId="59" applyFont="1" applyFill="1" applyBorder="1" applyAlignment="1">
      <alignment horizontal="left" vertical="center"/>
    </xf>
    <xf numFmtId="41" fontId="24" fillId="0" borderId="11" xfId="59" applyNumberFormat="1" applyFont="1" applyFill="1" applyBorder="1" applyAlignment="1">
      <alignment vertical="center"/>
    </xf>
    <xf numFmtId="167" fontId="24" fillId="0" borderId="17" xfId="63" applyNumberFormat="1" applyFont="1" applyFill="1" applyBorder="1" applyAlignment="1">
      <alignment vertical="center"/>
    </xf>
    <xf numFmtId="167" fontId="24" fillId="0" borderId="11" xfId="63" applyNumberFormat="1" applyFont="1" applyFill="1" applyBorder="1"/>
    <xf numFmtId="0" fontId="24" fillId="0" borderId="11" xfId="63" applyFont="1" applyFill="1" applyBorder="1"/>
    <xf numFmtId="0" fontId="24" fillId="35" borderId="0" xfId="63" applyFont="1" applyFill="1"/>
    <xf numFmtId="0" fontId="24" fillId="35" borderId="0" xfId="63" applyFont="1" applyFill="1" applyBorder="1"/>
    <xf numFmtId="167" fontId="24" fillId="0" borderId="12" xfId="63" applyNumberFormat="1" applyFont="1" applyFill="1" applyBorder="1" applyAlignment="1">
      <alignment vertical="center"/>
    </xf>
    <xf numFmtId="41" fontId="24" fillId="0" borderId="12" xfId="29" applyFont="1" applyFill="1" applyBorder="1" applyAlignment="1">
      <alignment horizontal="center" vertical="center"/>
    </xf>
    <xf numFmtId="167" fontId="24" fillId="0" borderId="11" xfId="63" applyNumberFormat="1" applyFont="1" applyFill="1" applyBorder="1" applyAlignment="1">
      <alignment vertical="center"/>
    </xf>
    <xf numFmtId="0" fontId="24" fillId="0" borderId="19" xfId="63" applyFont="1" applyFill="1" applyBorder="1" applyAlignment="1">
      <alignment vertical="center"/>
    </xf>
    <xf numFmtId="167" fontId="24" fillId="0" borderId="19" xfId="63" applyNumberFormat="1" applyFont="1" applyFill="1" applyBorder="1" applyAlignment="1">
      <alignment vertical="center"/>
    </xf>
    <xf numFmtId="0" fontId="24" fillId="0" borderId="20" xfId="63" applyFont="1" applyFill="1" applyBorder="1" applyAlignment="1">
      <alignment vertical="center"/>
    </xf>
    <xf numFmtId="0" fontId="24" fillId="35" borderId="0" xfId="63" applyFont="1" applyFill="1" applyBorder="1" applyAlignment="1">
      <alignment vertical="center"/>
    </xf>
    <xf numFmtId="0" fontId="24" fillId="0" borderId="3" xfId="63" applyFont="1" applyFill="1" applyBorder="1"/>
    <xf numFmtId="41" fontId="25" fillId="35" borderId="4" xfId="59" applyNumberFormat="1" applyFont="1" applyFill="1" applyBorder="1" applyAlignment="1">
      <alignment vertical="center"/>
    </xf>
    <xf numFmtId="0" fontId="25" fillId="35" borderId="4" xfId="54" applyFont="1" applyFill="1" applyBorder="1" applyAlignment="1">
      <alignment horizontal="center"/>
    </xf>
    <xf numFmtId="0" fontId="25" fillId="35" borderId="21" xfId="54" applyFont="1" applyFill="1" applyBorder="1" applyAlignment="1">
      <alignment wrapText="1"/>
    </xf>
    <xf numFmtId="41" fontId="25" fillId="35" borderId="10" xfId="59" applyNumberFormat="1" applyFont="1" applyFill="1" applyBorder="1" applyAlignment="1">
      <alignment vertical="center"/>
    </xf>
    <xf numFmtId="167" fontId="25" fillId="35" borderId="10" xfId="63" applyNumberFormat="1" applyFont="1" applyFill="1" applyBorder="1"/>
    <xf numFmtId="168" fontId="25" fillId="35" borderId="10" xfId="63" applyNumberFormat="1" applyFont="1" applyFill="1" applyBorder="1"/>
    <xf numFmtId="0" fontId="24" fillId="0" borderId="11" xfId="54" applyFont="1" applyFill="1" applyBorder="1" applyAlignment="1">
      <alignment horizontal="center" vertical="center"/>
    </xf>
    <xf numFmtId="0" fontId="24" fillId="0" borderId="11" xfId="54" applyFont="1" applyFill="1" applyBorder="1" applyAlignment="1">
      <alignment vertical="center" wrapText="1"/>
    </xf>
    <xf numFmtId="14" fontId="24" fillId="0" borderId="11" xfId="59" applyNumberFormat="1" applyFont="1" applyFill="1" applyBorder="1" applyAlignment="1">
      <alignment vertical="center"/>
    </xf>
    <xf numFmtId="0" fontId="24" fillId="0" borderId="2" xfId="63" applyFont="1" applyFill="1" applyBorder="1"/>
    <xf numFmtId="167" fontId="24" fillId="0" borderId="2" xfId="63" applyNumberFormat="1" applyFont="1" applyFill="1" applyBorder="1"/>
    <xf numFmtId="167" fontId="25" fillId="35" borderId="4" xfId="63" applyNumberFormat="1" applyFont="1" applyFill="1" applyBorder="1"/>
    <xf numFmtId="0" fontId="24" fillId="0" borderId="11" xfId="54" applyFont="1" applyFill="1" applyBorder="1" applyAlignment="1">
      <alignment horizontal="center" wrapText="1"/>
    </xf>
    <xf numFmtId="0" fontId="24" fillId="0" borderId="2" xfId="63" applyFont="1" applyBorder="1"/>
    <xf numFmtId="41" fontId="24" fillId="0" borderId="0" xfId="63" applyNumberFormat="1" applyFont="1"/>
    <xf numFmtId="0" fontId="28" fillId="0" borderId="15" xfId="59" applyFont="1" applyFill="1" applyBorder="1" applyAlignment="1">
      <alignment horizontal="center" vertical="center"/>
    </xf>
    <xf numFmtId="0" fontId="28" fillId="0" borderId="11" xfId="59" applyFont="1" applyFill="1" applyBorder="1" applyAlignment="1">
      <alignment horizontal="center" vertical="center"/>
    </xf>
    <xf numFmtId="0" fontId="28" fillId="0" borderId="8" xfId="59" applyFont="1" applyFill="1" applyBorder="1" applyAlignment="1">
      <alignment horizontal="center" vertical="center"/>
    </xf>
    <xf numFmtId="0" fontId="27" fillId="0" borderId="11" xfId="59" applyFont="1" applyFill="1" applyBorder="1" applyAlignment="1">
      <alignment horizontal="left" vertical="center" wrapText="1"/>
    </xf>
    <xf numFmtId="41" fontId="25" fillId="36" borderId="5" xfId="63" applyNumberFormat="1" applyFont="1" applyFill="1" applyBorder="1"/>
    <xf numFmtId="41" fontId="25" fillId="0" borderId="5" xfId="63" applyNumberFormat="1" applyFont="1" applyFill="1" applyBorder="1"/>
    <xf numFmtId="41" fontId="25" fillId="0" borderId="6" xfId="63" applyNumberFormat="1" applyFont="1" applyFill="1" applyBorder="1"/>
    <xf numFmtId="41" fontId="25" fillId="36" borderId="6" xfId="63" applyNumberFormat="1" applyFont="1" applyFill="1" applyBorder="1"/>
    <xf numFmtId="0" fontId="24" fillId="0" borderId="0" xfId="63" applyFont="1" applyAlignment="1">
      <alignment horizontal="center"/>
    </xf>
    <xf numFmtId="0" fontId="24" fillId="0" borderId="0" xfId="63" applyFont="1" applyAlignment="1">
      <alignment wrapText="1"/>
    </xf>
    <xf numFmtId="41" fontId="25" fillId="0" borderId="0" xfId="63" applyNumberFormat="1" applyFont="1"/>
    <xf numFmtId="168" fontId="24" fillId="0" borderId="0" xfId="63" applyNumberFormat="1" applyFont="1"/>
    <xf numFmtId="43" fontId="24" fillId="0" borderId="0" xfId="28" applyFont="1" applyAlignment="1">
      <alignment wrapText="1"/>
    </xf>
    <xf numFmtId="0" fontId="25" fillId="0" borderId="3" xfId="55" applyFont="1" applyFill="1" applyBorder="1" applyAlignment="1">
      <alignment horizontal="center"/>
    </xf>
    <xf numFmtId="0" fontId="25" fillId="35" borderId="21" xfId="54" applyFont="1" applyFill="1" applyBorder="1" applyAlignment="1">
      <alignment horizontal="center"/>
    </xf>
    <xf numFmtId="0" fontId="25" fillId="0" borderId="2" xfId="55" applyFont="1" applyFill="1" applyBorder="1" applyAlignment="1">
      <alignment horizontal="center"/>
    </xf>
    <xf numFmtId="0" fontId="25" fillId="0" borderId="22" xfId="55" applyFont="1" applyFill="1" applyBorder="1" applyAlignment="1">
      <alignment horizontal="center"/>
    </xf>
    <xf numFmtId="0" fontId="25" fillId="0" borderId="22" xfId="63" applyFont="1" applyBorder="1" applyAlignment="1">
      <alignment horizontal="center"/>
    </xf>
    <xf numFmtId="0" fontId="25" fillId="0" borderId="2" xfId="63" applyFont="1" applyBorder="1"/>
    <xf numFmtId="0" fontId="25" fillId="0" borderId="3" xfId="63" applyFont="1" applyBorder="1"/>
    <xf numFmtId="0" fontId="24" fillId="0" borderId="0" xfId="63" applyFont="1" applyFill="1" applyBorder="1"/>
    <xf numFmtId="41" fontId="25" fillId="35" borderId="22" xfId="59" applyNumberFormat="1" applyFont="1" applyFill="1" applyBorder="1" applyAlignment="1">
      <alignment vertical="center"/>
    </xf>
    <xf numFmtId="41" fontId="25" fillId="35" borderId="0" xfId="59" applyNumberFormat="1" applyFont="1" applyFill="1" applyBorder="1" applyAlignment="1">
      <alignment vertical="center"/>
    </xf>
    <xf numFmtId="41" fontId="25" fillId="0" borderId="11" xfId="59" applyNumberFormat="1" applyFont="1" applyFill="1" applyBorder="1" applyAlignment="1">
      <alignment vertical="center"/>
    </xf>
    <xf numFmtId="0" fontId="25" fillId="0" borderId="11" xfId="54" applyFont="1" applyFill="1" applyBorder="1" applyAlignment="1">
      <alignment horizontal="center"/>
    </xf>
    <xf numFmtId="0" fontId="25" fillId="0" borderId="11" xfId="54" applyFont="1" applyFill="1" applyBorder="1" applyAlignment="1">
      <alignment wrapText="1"/>
    </xf>
    <xf numFmtId="167" fontId="25" fillId="0" borderId="11" xfId="63" applyNumberFormat="1" applyFont="1" applyFill="1" applyBorder="1"/>
    <xf numFmtId="41" fontId="25" fillId="0" borderId="8" xfId="59" applyNumberFormat="1" applyFont="1" applyFill="1" applyBorder="1" applyAlignment="1">
      <alignment vertical="center"/>
    </xf>
    <xf numFmtId="0" fontId="25" fillId="0" borderId="8" xfId="54" applyFont="1" applyFill="1" applyBorder="1" applyAlignment="1">
      <alignment horizontal="center"/>
    </xf>
    <xf numFmtId="167" fontId="25" fillId="0" borderId="8" xfId="63" applyNumberFormat="1" applyFont="1" applyFill="1" applyBorder="1"/>
    <xf numFmtId="41" fontId="25" fillId="0" borderId="15" xfId="59" applyNumberFormat="1" applyFont="1" applyFill="1" applyBorder="1" applyAlignment="1">
      <alignment vertical="center"/>
    </xf>
    <xf numFmtId="0" fontId="25" fillId="0" borderId="15" xfId="54" applyFont="1" applyFill="1" applyBorder="1" applyAlignment="1">
      <alignment horizontal="center"/>
    </xf>
    <xf numFmtId="0" fontId="25" fillId="0" borderId="15" xfId="54" applyFont="1" applyFill="1" applyBorder="1" applyAlignment="1">
      <alignment wrapText="1"/>
    </xf>
    <xf numFmtId="167" fontId="25" fillId="0" borderId="15" xfId="63" applyNumberFormat="1" applyFont="1" applyFill="1" applyBorder="1"/>
    <xf numFmtId="168" fontId="25" fillId="0" borderId="15" xfId="63" applyNumberFormat="1" applyFont="1" applyFill="1" applyBorder="1"/>
    <xf numFmtId="41" fontId="24" fillId="0" borderId="23" xfId="59" applyNumberFormat="1" applyFont="1" applyFill="1" applyBorder="1" applyAlignment="1">
      <alignment vertical="center"/>
    </xf>
    <xf numFmtId="41" fontId="24" fillId="0" borderId="23" xfId="29" applyFont="1" applyFill="1" applyBorder="1" applyAlignment="1">
      <alignment horizontal="center" vertical="center"/>
    </xf>
    <xf numFmtId="167" fontId="24" fillId="0" borderId="23" xfId="63" applyNumberFormat="1" applyFont="1" applyFill="1" applyBorder="1" applyAlignment="1">
      <alignment vertical="center"/>
    </xf>
    <xf numFmtId="168" fontId="24" fillId="0" borderId="23" xfId="63" applyNumberFormat="1" applyFont="1" applyFill="1" applyBorder="1" applyAlignment="1">
      <alignment vertical="center"/>
    </xf>
    <xf numFmtId="9" fontId="24" fillId="0" borderId="23" xfId="71" applyFont="1" applyFill="1" applyBorder="1" applyAlignment="1">
      <alignment vertical="center"/>
    </xf>
    <xf numFmtId="41" fontId="24" fillId="0" borderId="24" xfId="59" applyNumberFormat="1" applyFont="1" applyFill="1" applyBorder="1" applyAlignment="1">
      <alignment vertical="center"/>
    </xf>
    <xf numFmtId="0" fontId="24" fillId="0" borderId="25" xfId="63" applyFont="1" applyFill="1" applyBorder="1" applyAlignment="1">
      <alignment vertical="center"/>
    </xf>
    <xf numFmtId="0" fontId="27" fillId="0" borderId="25" xfId="59" applyFont="1" applyFill="1" applyBorder="1" applyAlignment="1">
      <alignment horizontal="left" vertical="center"/>
    </xf>
    <xf numFmtId="0" fontId="24" fillId="0" borderId="25" xfId="63" applyFont="1" applyFill="1" applyBorder="1" applyAlignment="1">
      <alignment vertical="center" wrapText="1"/>
    </xf>
    <xf numFmtId="0" fontId="27" fillId="0" borderId="25" xfId="59" applyFont="1" applyFill="1" applyBorder="1" applyAlignment="1">
      <alignment vertical="center"/>
    </xf>
    <xf numFmtId="41" fontId="24" fillId="0" borderId="25" xfId="59" applyNumberFormat="1" applyFont="1" applyFill="1" applyBorder="1" applyAlignment="1">
      <alignment vertical="center"/>
    </xf>
    <xf numFmtId="41" fontId="24" fillId="0" borderId="18" xfId="32" applyFont="1" applyBorder="1"/>
    <xf numFmtId="0" fontId="24" fillId="0" borderId="26" xfId="54" applyFont="1" applyFill="1" applyBorder="1" applyAlignment="1">
      <alignment horizontal="center" vertical="center"/>
    </xf>
    <xf numFmtId="41" fontId="24" fillId="0" borderId="12" xfId="29" applyFont="1" applyFill="1" applyBorder="1" applyAlignment="1">
      <alignment horizontal="center" vertical="top"/>
    </xf>
    <xf numFmtId="0" fontId="24" fillId="0" borderId="24" xfId="63" applyFont="1" applyFill="1" applyBorder="1" applyAlignment="1">
      <alignment horizontal="center" vertical="center"/>
    </xf>
    <xf numFmtId="0" fontId="24" fillId="0" borderId="11" xfId="54" applyFont="1" applyFill="1" applyBorder="1" applyAlignment="1">
      <alignment wrapText="1"/>
    </xf>
    <xf numFmtId="0" fontId="24" fillId="0" borderId="11" xfId="54" applyFont="1" applyFill="1" applyBorder="1" applyAlignment="1">
      <alignment vertical="top" wrapText="1"/>
    </xf>
    <xf numFmtId="0" fontId="24" fillId="0" borderId="11" xfId="54" applyFont="1" applyBorder="1" applyAlignment="1">
      <alignment wrapText="1"/>
    </xf>
    <xf numFmtId="0" fontId="24" fillId="0" borderId="25" xfId="54" applyFont="1" applyFill="1" applyBorder="1" applyAlignment="1">
      <alignment horizontal="center" vertical="center"/>
    </xf>
    <xf numFmtId="0" fontId="24" fillId="0" borderId="25" xfId="54" applyFont="1" applyFill="1" applyBorder="1" applyAlignment="1">
      <alignment vertical="center" wrapText="1"/>
    </xf>
    <xf numFmtId="167" fontId="25" fillId="0" borderId="14" xfId="63" applyNumberFormat="1" applyFont="1" applyFill="1" applyBorder="1"/>
    <xf numFmtId="0" fontId="25" fillId="0" borderId="27" xfId="63" applyFont="1" applyBorder="1" applyAlignment="1">
      <alignment horizontal="center"/>
    </xf>
    <xf numFmtId="41" fontId="25" fillId="0" borderId="25" xfId="59" applyNumberFormat="1" applyFont="1" applyFill="1" applyBorder="1" applyAlignment="1">
      <alignment vertical="center"/>
    </xf>
    <xf numFmtId="41" fontId="24" fillId="0" borderId="18" xfId="32" applyFont="1" applyBorder="1" applyAlignment="1">
      <alignment vertical="center"/>
    </xf>
    <xf numFmtId="167" fontId="24" fillId="0" borderId="13" xfId="63" applyNumberFormat="1" applyFont="1" applyBorder="1" applyAlignment="1">
      <alignment vertical="center"/>
    </xf>
    <xf numFmtId="167" fontId="25" fillId="0" borderId="17" xfId="63" applyNumberFormat="1" applyFont="1" applyFill="1" applyBorder="1" applyAlignment="1">
      <alignment vertical="center"/>
    </xf>
    <xf numFmtId="168" fontId="25" fillId="0" borderId="11" xfId="63" applyNumberFormat="1" applyFont="1" applyFill="1" applyBorder="1" applyAlignment="1">
      <alignment vertical="center"/>
    </xf>
    <xf numFmtId="167" fontId="25" fillId="0" borderId="11" xfId="63" applyNumberFormat="1" applyFont="1" applyFill="1" applyBorder="1" applyAlignment="1">
      <alignment vertical="center"/>
    </xf>
    <xf numFmtId="41" fontId="24" fillId="0" borderId="12" xfId="63" applyNumberFormat="1" applyFont="1" applyBorder="1" applyAlignment="1">
      <alignment vertical="center"/>
    </xf>
    <xf numFmtId="167" fontId="24" fillId="0" borderId="17" xfId="63" applyNumberFormat="1" applyFont="1" applyBorder="1" applyAlignment="1">
      <alignment vertical="center"/>
    </xf>
    <xf numFmtId="167" fontId="24" fillId="0" borderId="25" xfId="63" applyNumberFormat="1" applyFont="1" applyFill="1" applyBorder="1" applyAlignment="1">
      <alignment vertical="center"/>
    </xf>
    <xf numFmtId="168" fontId="24" fillId="0" borderId="25" xfId="63" applyNumberFormat="1" applyFont="1" applyFill="1" applyBorder="1" applyAlignment="1">
      <alignment vertical="center"/>
    </xf>
    <xf numFmtId="41" fontId="24" fillId="0" borderId="11" xfId="59" quotePrefix="1" applyNumberFormat="1" applyFont="1" applyFill="1" applyBorder="1" applyAlignment="1">
      <alignment vertical="center" wrapText="1"/>
    </xf>
    <xf numFmtId="0" fontId="25" fillId="0" borderId="9" xfId="63" applyFont="1" applyBorder="1" applyAlignment="1">
      <alignment horizontal="center"/>
    </xf>
    <xf numFmtId="0" fontId="25" fillId="0" borderId="10" xfId="63" applyFont="1" applyBorder="1" applyAlignment="1">
      <alignment horizontal="center"/>
    </xf>
    <xf numFmtId="0" fontId="25" fillId="0" borderId="1" xfId="63" applyFont="1" applyBorder="1" applyAlignment="1">
      <alignment horizontal="center" vertical="center" wrapText="1"/>
    </xf>
    <xf numFmtId="0" fontId="25" fillId="0" borderId="7" xfId="63" applyFont="1" applyBorder="1" applyAlignment="1">
      <alignment horizontal="center" vertical="center" wrapText="1"/>
    </xf>
    <xf numFmtId="0" fontId="25" fillId="0" borderId="0" xfId="55" applyFont="1" applyFill="1" applyAlignment="1">
      <alignment horizontal="center"/>
    </xf>
    <xf numFmtId="0" fontId="24" fillId="34" borderId="11" xfId="55" applyFont="1" applyFill="1" applyBorder="1" applyAlignment="1">
      <alignment vertical="center"/>
    </xf>
    <xf numFmtId="0" fontId="26" fillId="0" borderId="11" xfId="54" applyNumberFormat="1" applyFont="1" applyBorder="1" applyAlignment="1">
      <alignment vertical="center"/>
    </xf>
    <xf numFmtId="41" fontId="24" fillId="0" borderId="11" xfId="32" applyFont="1" applyBorder="1" applyAlignment="1">
      <alignment vertical="center"/>
    </xf>
    <xf numFmtId="0" fontId="25" fillId="35" borderId="28" xfId="54" applyFont="1" applyFill="1" applyBorder="1" applyAlignment="1">
      <alignment wrapText="1"/>
    </xf>
    <xf numFmtId="169" fontId="24" fillId="0" borderId="2" xfId="63" applyNumberFormat="1" applyFont="1" applyBorder="1" applyAlignment="1">
      <alignment vertical="center"/>
    </xf>
    <xf numFmtId="41" fontId="24" fillId="0" borderId="11" xfId="63" applyNumberFormat="1" applyFont="1" applyBorder="1" applyAlignment="1">
      <alignment vertical="center"/>
    </xf>
    <xf numFmtId="0" fontId="24" fillId="0" borderId="8" xfId="63" applyFont="1" applyBorder="1" applyAlignment="1">
      <alignment horizontal="center" vertical="center" wrapText="1"/>
    </xf>
    <xf numFmtId="0" fontId="24" fillId="0" borderId="2" xfId="63" applyFont="1" applyFill="1" applyBorder="1" applyAlignment="1">
      <alignment horizontal="center" vertical="center"/>
    </xf>
    <xf numFmtId="167" fontId="24" fillId="0" borderId="15" xfId="28" applyNumberFormat="1" applyFont="1" applyFill="1" applyBorder="1" applyAlignment="1">
      <alignment vertical="center"/>
    </xf>
    <xf numFmtId="41" fontId="24" fillId="0" borderId="2" xfId="63" applyNumberFormat="1" applyFont="1" applyFill="1" applyBorder="1" applyAlignment="1">
      <alignment vertical="center"/>
    </xf>
    <xf numFmtId="0" fontId="24" fillId="0" borderId="11" xfId="63" applyFont="1" applyFill="1" applyBorder="1" applyAlignment="1">
      <alignment vertical="center" wrapText="1"/>
    </xf>
    <xf numFmtId="168" fontId="24" fillId="0" borderId="11" xfId="63" applyNumberFormat="1" applyFont="1" applyFill="1" applyBorder="1" applyAlignment="1">
      <alignment horizontal="center" vertical="center"/>
    </xf>
    <xf numFmtId="41" fontId="24" fillId="0" borderId="11" xfId="29" applyFont="1" applyFill="1" applyBorder="1" applyAlignment="1">
      <alignment horizontal="center" vertical="center"/>
    </xf>
    <xf numFmtId="0" fontId="24" fillId="34" borderId="8" xfId="55" applyFont="1" applyFill="1" applyBorder="1" applyAlignment="1">
      <alignment vertical="top"/>
    </xf>
    <xf numFmtId="0" fontId="26" fillId="34" borderId="8" xfId="61" applyNumberFormat="1" applyFont="1" applyFill="1" applyBorder="1" applyAlignment="1"/>
    <xf numFmtId="0" fontId="24" fillId="0" borderId="8" xfId="54" quotePrefix="1" applyFont="1" applyBorder="1" applyAlignment="1">
      <alignment wrapText="1"/>
    </xf>
    <xf numFmtId="41" fontId="24" fillId="0" borderId="8" xfId="32" applyFont="1" applyBorder="1"/>
    <xf numFmtId="41" fontId="24" fillId="0" borderId="29" xfId="32" applyFont="1" applyBorder="1"/>
    <xf numFmtId="0" fontId="24" fillId="0" borderId="8" xfId="54" applyFont="1" applyBorder="1" applyAlignment="1">
      <alignment horizontal="center" vertical="top" wrapText="1"/>
    </xf>
    <xf numFmtId="167" fontId="24" fillId="0" borderId="12" xfId="63" applyNumberFormat="1" applyFont="1" applyBorder="1" applyAlignment="1">
      <alignment vertical="top"/>
    </xf>
    <xf numFmtId="167" fontId="24" fillId="0" borderId="29" xfId="63" applyNumberFormat="1" applyFont="1" applyBorder="1" applyAlignment="1">
      <alignment vertical="top"/>
    </xf>
    <xf numFmtId="167" fontId="24" fillId="0" borderId="8" xfId="63" applyNumberFormat="1" applyFont="1" applyBorder="1" applyAlignment="1">
      <alignment vertical="top"/>
    </xf>
    <xf numFmtId="0" fontId="24" fillId="0" borderId="30" xfId="63" applyFont="1" applyBorder="1"/>
    <xf numFmtId="167" fontId="24" fillId="0" borderId="30" xfId="63" applyNumberFormat="1" applyFont="1" applyBorder="1"/>
    <xf numFmtId="167" fontId="24" fillId="0" borderId="30" xfId="63" applyNumberFormat="1" applyFont="1" applyBorder="1" applyAlignment="1">
      <alignment vertical="top"/>
    </xf>
    <xf numFmtId="41" fontId="25" fillId="0" borderId="11" xfId="63" applyNumberFormat="1" applyFont="1" applyFill="1" applyBorder="1" applyAlignment="1">
      <alignment vertical="center"/>
    </xf>
    <xf numFmtId="41" fontId="24" fillId="0" borderId="11" xfId="63" applyNumberFormat="1" applyFont="1" applyFill="1" applyBorder="1" applyAlignment="1">
      <alignment vertical="center"/>
    </xf>
    <xf numFmtId="0" fontId="24" fillId="0" borderId="8" xfId="63" applyFont="1" applyFill="1" applyBorder="1" applyAlignment="1">
      <alignment vertical="center" wrapText="1"/>
    </xf>
    <xf numFmtId="41" fontId="24" fillId="0" borderId="8" xfId="29" applyFont="1" applyFill="1" applyBorder="1" applyAlignment="1">
      <alignment horizontal="center" vertical="center"/>
    </xf>
    <xf numFmtId="41" fontId="25" fillId="0" borderId="8" xfId="63" applyNumberFormat="1" applyFont="1" applyFill="1" applyBorder="1" applyAlignment="1">
      <alignment vertical="center"/>
    </xf>
    <xf numFmtId="41" fontId="24" fillId="0" borderId="29" xfId="63" applyNumberFormat="1" applyFont="1" applyBorder="1" applyAlignment="1">
      <alignment vertical="center"/>
    </xf>
    <xf numFmtId="41" fontId="24" fillId="0" borderId="29" xfId="29" applyFont="1" applyFill="1" applyBorder="1" applyAlignment="1">
      <alignment horizontal="center" vertical="center"/>
    </xf>
    <xf numFmtId="41" fontId="25" fillId="0" borderId="29" xfId="63" applyNumberFormat="1" applyFont="1" applyFill="1" applyBorder="1" applyAlignment="1">
      <alignment vertical="center"/>
    </xf>
    <xf numFmtId="41" fontId="24" fillId="0" borderId="29" xfId="63" applyNumberFormat="1" applyFont="1" applyFill="1" applyBorder="1" applyAlignment="1">
      <alignment vertical="center"/>
    </xf>
    <xf numFmtId="41" fontId="25" fillId="0" borderId="12" xfId="63" applyNumberFormat="1" applyFont="1" applyFill="1" applyBorder="1" applyAlignment="1">
      <alignment vertical="center"/>
    </xf>
    <xf numFmtId="0" fontId="24" fillId="0" borderId="31" xfId="63" applyFont="1" applyBorder="1" applyAlignment="1">
      <alignment horizontal="center" vertical="center" wrapText="1"/>
    </xf>
    <xf numFmtId="0" fontId="24" fillId="0" borderId="3" xfId="63" applyFont="1" applyFill="1" applyBorder="1" applyAlignment="1">
      <alignment horizontal="center" vertical="center"/>
    </xf>
    <xf numFmtId="0" fontId="24" fillId="0" borderId="20" xfId="63" applyFont="1" applyFill="1" applyBorder="1" applyAlignment="1">
      <alignment horizontal="center" vertical="center"/>
    </xf>
    <xf numFmtId="0" fontId="24" fillId="0" borderId="31" xfId="54" applyFont="1" applyBorder="1" applyAlignment="1">
      <alignment horizontal="center" vertical="top" wrapText="1"/>
    </xf>
    <xf numFmtId="41" fontId="24" fillId="0" borderId="17" xfId="29" applyFont="1" applyFill="1" applyBorder="1" applyAlignment="1">
      <alignment horizontal="center" vertical="center"/>
    </xf>
    <xf numFmtId="0" fontId="24" fillId="0" borderId="19" xfId="63" applyFont="1" applyFill="1" applyBorder="1" applyAlignment="1">
      <alignment vertical="center" wrapText="1"/>
    </xf>
    <xf numFmtId="0" fontId="24" fillId="0" borderId="19" xfId="63" applyFont="1" applyBorder="1"/>
    <xf numFmtId="0" fontId="26" fillId="34" borderId="8" xfId="61" applyNumberFormat="1" applyFont="1" applyFill="1" applyBorder="1" applyAlignment="1">
      <alignment vertical="center"/>
    </xf>
    <xf numFmtId="0" fontId="24" fillId="0" borderId="11" xfId="63" applyFont="1" applyBorder="1" applyAlignment="1">
      <alignment horizontal="center" vertical="center"/>
    </xf>
    <xf numFmtId="0" fontId="24" fillId="0" borderId="11" xfId="63" applyFont="1" applyBorder="1" applyAlignment="1">
      <alignment vertical="center" wrapText="1"/>
    </xf>
    <xf numFmtId="0" fontId="24" fillId="0" borderId="11" xfId="63" applyFont="1" applyBorder="1" applyAlignment="1">
      <alignment horizontal="center" vertical="center" wrapText="1"/>
    </xf>
    <xf numFmtId="41" fontId="24" fillId="0" borderId="8" xfId="32" applyFont="1" applyBorder="1" applyAlignment="1">
      <alignment vertical="center"/>
    </xf>
    <xf numFmtId="167" fontId="24" fillId="0" borderId="11" xfId="63" applyNumberFormat="1" applyFont="1" applyBorder="1" applyAlignment="1">
      <alignment vertical="center"/>
    </xf>
    <xf numFmtId="0" fontId="24" fillId="0" borderId="8" xfId="63" applyFont="1" applyBorder="1" applyAlignment="1">
      <alignment horizontal="left" vertical="center"/>
    </xf>
    <xf numFmtId="0" fontId="24" fillId="0" borderId="8" xfId="63" applyFont="1" applyBorder="1" applyAlignment="1">
      <alignment vertical="center" wrapText="1"/>
    </xf>
    <xf numFmtId="0" fontId="24" fillId="0" borderId="31" xfId="63" applyFont="1" applyBorder="1" applyAlignment="1">
      <alignment horizontal="center" vertical="center"/>
    </xf>
    <xf numFmtId="0" fontId="24" fillId="0" borderId="30" xfId="63" applyFont="1" applyBorder="1" applyAlignment="1">
      <alignment vertical="center" wrapText="1"/>
    </xf>
    <xf numFmtId="0" fontId="24" fillId="0" borderId="11" xfId="63" applyFont="1" applyFill="1" applyBorder="1" applyAlignment="1">
      <alignment horizontal="center" vertical="center" wrapText="1"/>
    </xf>
    <xf numFmtId="0" fontId="24" fillId="0" borderId="11" xfId="63" applyFont="1" applyFill="1" applyBorder="1" applyAlignment="1">
      <alignment horizontal="center" vertical="center"/>
    </xf>
    <xf numFmtId="0" fontId="24" fillId="0" borderId="11" xfId="63" applyFont="1" applyFill="1" applyBorder="1" applyAlignment="1">
      <alignment horizontal="left" vertical="center" wrapText="1"/>
    </xf>
    <xf numFmtId="0" fontId="24" fillId="0" borderId="8" xfId="63" applyFont="1" applyFill="1" applyBorder="1" applyAlignment="1">
      <alignment horizontal="left" vertical="center" wrapText="1"/>
    </xf>
    <xf numFmtId="41" fontId="24" fillId="0" borderId="8" xfId="63" applyNumberFormat="1" applyFont="1" applyFill="1" applyBorder="1" applyAlignment="1">
      <alignment vertical="center"/>
    </xf>
    <xf numFmtId="0" fontId="24" fillId="0" borderId="8" xfId="63" applyFont="1" applyFill="1" applyBorder="1" applyAlignment="1">
      <alignment horizontal="center" vertical="center" wrapText="1"/>
    </xf>
    <xf numFmtId="0" fontId="24" fillId="0" borderId="31" xfId="63" applyFont="1" applyFill="1" applyBorder="1" applyAlignment="1">
      <alignment horizontal="center" vertical="center"/>
    </xf>
    <xf numFmtId="0" fontId="24" fillId="0" borderId="30" xfId="63" applyFont="1" applyFill="1" applyBorder="1" applyAlignment="1">
      <alignment vertical="center" wrapText="1"/>
    </xf>
    <xf numFmtId="0" fontId="24" fillId="0" borderId="15" xfId="63" applyFont="1" applyFill="1" applyBorder="1" applyAlignment="1">
      <alignment vertical="center" wrapText="1"/>
    </xf>
    <xf numFmtId="0" fontId="24" fillId="0" borderId="8" xfId="63" applyFont="1" applyBorder="1" applyAlignment="1">
      <alignment horizontal="left" vertical="center" wrapText="1"/>
    </xf>
    <xf numFmtId="14" fontId="24" fillId="0" borderId="8" xfId="63" applyNumberFormat="1" applyFont="1" applyBorder="1" applyAlignment="1">
      <alignment vertical="center"/>
    </xf>
    <xf numFmtId="0" fontId="24" fillId="0" borderId="29" xfId="63" applyFont="1" applyBorder="1" applyAlignment="1">
      <alignment horizontal="center" vertical="center"/>
    </xf>
    <xf numFmtId="0" fontId="24" fillId="0" borderId="32" xfId="63" applyFont="1" applyFill="1" applyBorder="1" applyAlignment="1">
      <alignment vertical="center" wrapText="1"/>
    </xf>
    <xf numFmtId="0" fontId="24" fillId="34" borderId="11" xfId="63" applyFont="1" applyFill="1" applyBorder="1" applyAlignment="1">
      <alignment horizontal="center" vertical="center" wrapText="1"/>
    </xf>
    <xf numFmtId="0" fontId="24" fillId="0" borderId="18" xfId="63" applyFont="1" applyBorder="1" applyAlignment="1">
      <alignment horizontal="left"/>
    </xf>
    <xf numFmtId="0" fontId="24" fillId="0" borderId="0" xfId="55" applyFont="1" applyFill="1" applyAlignment="1">
      <alignment horizontal="center"/>
    </xf>
    <xf numFmtId="0" fontId="24" fillId="0" borderId="17" xfId="63" applyFont="1" applyBorder="1" applyAlignment="1">
      <alignment horizontal="center" vertical="center"/>
    </xf>
    <xf numFmtId="0" fontId="24" fillId="0" borderId="2" xfId="63" applyFont="1" applyBorder="1" applyAlignment="1">
      <alignment horizontal="center" vertical="center" wrapText="1"/>
    </xf>
    <xf numFmtId="0" fontId="24" fillId="0" borderId="2" xfId="63" applyFont="1" applyFill="1" applyBorder="1" applyAlignment="1">
      <alignment vertical="center" wrapText="1"/>
    </xf>
    <xf numFmtId="0" fontId="24" fillId="34" borderId="11" xfId="63" applyFont="1" applyFill="1" applyBorder="1" applyAlignment="1">
      <alignment vertical="center" wrapText="1"/>
    </xf>
    <xf numFmtId="0" fontId="24" fillId="0" borderId="11" xfId="63" applyFont="1" applyBorder="1" applyAlignment="1">
      <alignment horizontal="left" vertical="center" wrapText="1"/>
    </xf>
    <xf numFmtId="0" fontId="24" fillId="0" borderId="8" xfId="63" applyFont="1" applyFill="1" applyBorder="1" applyAlignment="1">
      <alignment horizontal="center" vertical="center"/>
    </xf>
    <xf numFmtId="0" fontId="24" fillId="0" borderId="8" xfId="63" applyFont="1" applyBorder="1" applyAlignment="1">
      <alignment horizontal="center" vertical="center"/>
    </xf>
    <xf numFmtId="14" fontId="24" fillId="0" borderId="11" xfId="63" applyNumberFormat="1" applyFont="1" applyBorder="1" applyAlignment="1">
      <alignment vertical="center"/>
    </xf>
    <xf numFmtId="41" fontId="24" fillId="0" borderId="8" xfId="63" applyNumberFormat="1" applyFont="1" applyBorder="1" applyAlignment="1">
      <alignment vertical="center"/>
    </xf>
    <xf numFmtId="41" fontId="24" fillId="0" borderId="17" xfId="63" applyNumberFormat="1" applyFont="1" applyBorder="1" applyAlignment="1">
      <alignment vertical="center"/>
    </xf>
    <xf numFmtId="0" fontId="24" fillId="0" borderId="29" xfId="54" applyFont="1" applyFill="1" applyBorder="1" applyAlignment="1">
      <alignment horizontal="center" vertical="center"/>
    </xf>
    <xf numFmtId="41" fontId="24" fillId="0" borderId="12" xfId="32" applyFont="1" applyBorder="1"/>
    <xf numFmtId="14" fontId="24" fillId="0" borderId="12" xfId="63" applyNumberFormat="1" applyFont="1" applyBorder="1" applyAlignment="1">
      <alignment vertical="center"/>
    </xf>
    <xf numFmtId="0" fontId="24" fillId="0" borderId="33" xfId="63" applyFont="1" applyBorder="1"/>
    <xf numFmtId="41" fontId="24" fillId="0" borderId="34" xfId="59" applyNumberFormat="1" applyFont="1" applyFill="1" applyBorder="1" applyAlignment="1">
      <alignment vertical="center"/>
    </xf>
    <xf numFmtId="0" fontId="24" fillId="0" borderId="31" xfId="63" applyFont="1" applyBorder="1" applyAlignment="1">
      <alignment horizontal="left" vertical="center" wrapText="1"/>
    </xf>
    <xf numFmtId="0" fontId="24" fillId="0" borderId="18" xfId="63" applyFont="1" applyBorder="1" applyAlignment="1">
      <alignment horizontal="left" vertical="center" wrapText="1"/>
    </xf>
    <xf numFmtId="0" fontId="24" fillId="0" borderId="3" xfId="63" applyFont="1" applyBorder="1" applyAlignment="1">
      <alignment horizontal="left" vertical="center" wrapText="1"/>
    </xf>
    <xf numFmtId="0" fontId="24" fillId="0" borderId="35" xfId="63" applyFont="1" applyFill="1" applyBorder="1" applyAlignment="1">
      <alignment vertical="center" wrapText="1"/>
    </xf>
    <xf numFmtId="41" fontId="24" fillId="0" borderId="15" xfId="32" applyFont="1" applyBorder="1"/>
    <xf numFmtId="41" fontId="25" fillId="35" borderId="4" xfId="32" applyFont="1" applyFill="1" applyBorder="1"/>
    <xf numFmtId="0" fontId="25" fillId="0" borderId="36" xfId="63" applyFont="1" applyBorder="1" applyAlignment="1">
      <alignment horizontal="center"/>
    </xf>
    <xf numFmtId="0" fontId="25" fillId="0" borderId="37" xfId="63" applyFont="1" applyBorder="1" applyAlignment="1">
      <alignment horizontal="center"/>
    </xf>
    <xf numFmtId="0" fontId="24" fillId="0" borderId="29" xfId="63" applyFont="1" applyBorder="1" applyAlignment="1">
      <alignment vertical="center" wrapText="1"/>
    </xf>
    <xf numFmtId="0" fontId="24" fillId="0" borderId="38" xfId="54" applyFont="1" applyFill="1" applyBorder="1" applyAlignment="1">
      <alignment vertical="center" wrapText="1"/>
    </xf>
    <xf numFmtId="41" fontId="24" fillId="0" borderId="24" xfId="29" applyFont="1" applyFill="1" applyBorder="1" applyAlignment="1">
      <alignment horizontal="center" vertical="center"/>
    </xf>
    <xf numFmtId="0" fontId="24" fillId="0" borderId="34" xfId="63" applyFont="1" applyFill="1" applyBorder="1" applyAlignment="1">
      <alignment horizontal="center" vertical="center"/>
    </xf>
    <xf numFmtId="0" fontId="24" fillId="0" borderId="11" xfId="54" applyFont="1" applyFill="1" applyBorder="1" applyAlignment="1">
      <alignment horizontal="center" vertical="center" wrapText="1"/>
    </xf>
    <xf numFmtId="0" fontId="24" fillId="0" borderId="11" xfId="54" applyFont="1" applyFill="1" applyBorder="1" applyAlignment="1">
      <alignment horizontal="left" vertical="center"/>
    </xf>
    <xf numFmtId="0" fontId="24" fillId="0" borderId="11" xfId="54" applyFont="1" applyFill="1" applyBorder="1" applyAlignment="1">
      <alignment horizontal="left" vertical="center" wrapText="1"/>
    </xf>
    <xf numFmtId="0" fontId="25" fillId="0" borderId="9" xfId="63" applyFont="1" applyBorder="1" applyAlignment="1">
      <alignment horizontal="center"/>
    </xf>
    <xf numFmtId="41" fontId="24" fillId="0" borderId="2" xfId="63" applyNumberFormat="1" applyFont="1" applyBorder="1" applyAlignment="1">
      <alignment vertical="center" wrapText="1"/>
    </xf>
    <xf numFmtId="41" fontId="24" fillId="0" borderId="11" xfId="63" applyNumberFormat="1" applyFont="1" applyBorder="1" applyAlignment="1">
      <alignment vertical="center" wrapText="1"/>
    </xf>
    <xf numFmtId="44" fontId="24" fillId="0" borderId="11" xfId="54" applyNumberFormat="1" applyFont="1" applyFill="1" applyBorder="1" applyAlignment="1">
      <alignment horizontal="left" vertical="center" wrapText="1"/>
    </xf>
    <xf numFmtId="0" fontId="24" fillId="0" borderId="2" xfId="63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center" vertical="center" wrapText="1"/>
    </xf>
    <xf numFmtId="168" fontId="27" fillId="0" borderId="2" xfId="55" applyNumberFormat="1" applyFont="1" applyFill="1" applyBorder="1" applyAlignment="1">
      <alignment horizontal="center" vertical="center" wrapText="1"/>
    </xf>
    <xf numFmtId="43" fontId="27" fillId="0" borderId="25" xfId="28" applyFont="1" applyFill="1" applyBorder="1" applyAlignment="1">
      <alignment horizontal="center" vertical="center"/>
    </xf>
    <xf numFmtId="168" fontId="27" fillId="0" borderId="11" xfId="55" applyNumberFormat="1" applyFont="1" applyFill="1" applyBorder="1" applyAlignment="1">
      <alignment horizontal="center" vertical="center" wrapText="1"/>
    </xf>
    <xf numFmtId="0" fontId="24" fillId="0" borderId="11" xfId="63" applyFont="1" applyFill="1" applyBorder="1" applyAlignment="1">
      <alignment vertical="center"/>
    </xf>
    <xf numFmtId="168" fontId="27" fillId="0" borderId="11" xfId="55" applyNumberFormat="1" applyFont="1" applyFill="1" applyBorder="1" applyAlignment="1">
      <alignment horizontal="center" vertical="center"/>
    </xf>
    <xf numFmtId="41" fontId="24" fillId="0" borderId="8" xfId="59" applyNumberFormat="1" applyFont="1" applyFill="1" applyBorder="1" applyAlignment="1">
      <alignment vertical="center"/>
    </xf>
    <xf numFmtId="168" fontId="27" fillId="0" borderId="8" xfId="55" applyNumberFormat="1" applyFont="1" applyFill="1" applyBorder="1" applyAlignment="1">
      <alignment horizontal="center" vertical="center"/>
    </xf>
    <xf numFmtId="41" fontId="25" fillId="0" borderId="2" xfId="59" applyNumberFormat="1" applyFont="1" applyFill="1" applyBorder="1" applyAlignment="1">
      <alignment vertical="center"/>
    </xf>
    <xf numFmtId="0" fontId="24" fillId="0" borderId="74" xfId="63" applyFont="1" applyFill="1" applyBorder="1" applyAlignment="1">
      <alignment vertical="center" wrapText="1"/>
    </xf>
    <xf numFmtId="41" fontId="25" fillId="0" borderId="74" xfId="59" applyNumberFormat="1" applyFont="1" applyFill="1" applyBorder="1" applyAlignment="1">
      <alignment vertical="center"/>
    </xf>
    <xf numFmtId="41" fontId="25" fillId="0" borderId="75" xfId="59" applyNumberFormat="1" applyFont="1" applyFill="1" applyBorder="1" applyAlignment="1">
      <alignment vertical="center"/>
    </xf>
    <xf numFmtId="41" fontId="24" fillId="0" borderId="74" xfId="59" applyNumberFormat="1" applyFont="1" applyFill="1" applyBorder="1" applyAlignment="1">
      <alignment vertical="center"/>
    </xf>
    <xf numFmtId="44" fontId="24" fillId="0" borderId="0" xfId="55" applyNumberFormat="1" applyFont="1" applyFill="1" applyAlignment="1">
      <alignment horizontal="left"/>
    </xf>
    <xf numFmtId="44" fontId="25" fillId="0" borderId="4" xfId="55" applyNumberFormat="1" applyFont="1" applyFill="1" applyBorder="1" applyAlignment="1">
      <alignment horizontal="left"/>
    </xf>
    <xf numFmtId="44" fontId="25" fillId="0" borderId="3" xfId="55" applyNumberFormat="1" applyFont="1" applyFill="1" applyBorder="1" applyAlignment="1">
      <alignment horizontal="left"/>
    </xf>
    <xf numFmtId="44" fontId="24" fillId="0" borderId="18" xfId="32" applyNumberFormat="1" applyFont="1" applyBorder="1" applyAlignment="1">
      <alignment horizontal="left"/>
    </xf>
    <xf numFmtId="44" fontId="24" fillId="0" borderId="26" xfId="54" applyNumberFormat="1" applyFont="1" applyFill="1" applyBorder="1" applyAlignment="1">
      <alignment horizontal="left" vertical="center"/>
    </xf>
    <xf numFmtId="44" fontId="25" fillId="35" borderId="4" xfId="59" applyNumberFormat="1" applyFont="1" applyFill="1" applyBorder="1" applyAlignment="1">
      <alignment horizontal="left" vertical="center"/>
    </xf>
    <xf numFmtId="44" fontId="25" fillId="0" borderId="15" xfId="59" applyNumberFormat="1" applyFont="1" applyFill="1" applyBorder="1" applyAlignment="1">
      <alignment horizontal="left" vertical="center"/>
    </xf>
    <xf numFmtId="44" fontId="24" fillId="0" borderId="11" xfId="59" applyNumberFormat="1" applyFont="1" applyFill="1" applyBorder="1" applyAlignment="1">
      <alignment horizontal="left" vertical="center"/>
    </xf>
    <xf numFmtId="44" fontId="24" fillId="0" borderId="18" xfId="32" applyNumberFormat="1" applyFont="1" applyBorder="1" applyAlignment="1">
      <alignment horizontal="left" vertical="center"/>
    </xf>
    <xf numFmtId="44" fontId="24" fillId="0" borderId="0" xfId="63" applyNumberFormat="1" applyFont="1" applyAlignment="1">
      <alignment horizontal="left"/>
    </xf>
    <xf numFmtId="0" fontId="24" fillId="0" borderId="74" xfId="63" applyFont="1" applyFill="1" applyBorder="1" applyAlignment="1">
      <alignment horizontal="left" vertical="center" wrapText="1"/>
    </xf>
    <xf numFmtId="0" fontId="25" fillId="0" borderId="0" xfId="63" applyFont="1"/>
    <xf numFmtId="41" fontId="25" fillId="0" borderId="11" xfId="63" applyNumberFormat="1" applyFont="1" applyFill="1" applyBorder="1" applyAlignment="1">
      <alignment vertical="center" wrapText="1"/>
    </xf>
    <xf numFmtId="167" fontId="25" fillId="0" borderId="11" xfId="63" applyNumberFormat="1" applyFont="1" applyFill="1" applyBorder="1" applyAlignment="1">
      <alignment horizontal="center" vertical="center"/>
    </xf>
    <xf numFmtId="0" fontId="27" fillId="0" borderId="8" xfId="59" applyFont="1" applyFill="1" applyBorder="1" applyAlignment="1">
      <alignment vertical="center" wrapText="1"/>
    </xf>
    <xf numFmtId="0" fontId="24" fillId="0" borderId="76" xfId="63" applyFont="1" applyFill="1" applyBorder="1" applyAlignment="1">
      <alignment vertical="center" wrapText="1"/>
    </xf>
    <xf numFmtId="41" fontId="25" fillId="0" borderId="11" xfId="29" applyFont="1" applyFill="1" applyBorder="1" applyAlignment="1">
      <alignment vertical="center"/>
    </xf>
    <xf numFmtId="43" fontId="27" fillId="0" borderId="11" xfId="28" applyFont="1" applyFill="1" applyBorder="1" applyAlignment="1">
      <alignment horizontal="center" vertical="center" wrapText="1"/>
    </xf>
    <xf numFmtId="0" fontId="27" fillId="0" borderId="11" xfId="59" applyFont="1" applyFill="1" applyBorder="1" applyAlignment="1">
      <alignment vertical="center" wrapText="1"/>
    </xf>
    <xf numFmtId="9" fontId="25" fillId="0" borderId="11" xfId="59" applyNumberFormat="1" applyFont="1" applyFill="1" applyBorder="1" applyAlignment="1">
      <alignment vertical="center"/>
    </xf>
    <xf numFmtId="168" fontId="24" fillId="0" borderId="11" xfId="63" applyNumberFormat="1" applyFont="1" applyBorder="1" applyAlignment="1">
      <alignment horizontal="center" vertical="center"/>
    </xf>
    <xf numFmtId="0" fontId="27" fillId="0" borderId="8" xfId="59" applyFont="1" applyFill="1" applyBorder="1" applyAlignment="1">
      <alignment horizontal="left" vertical="center"/>
    </xf>
    <xf numFmtId="0" fontId="24" fillId="0" borderId="8" xfId="55" applyFont="1" applyFill="1" applyBorder="1" applyAlignment="1">
      <alignment horizontal="center" vertical="center"/>
    </xf>
    <xf numFmtId="0" fontId="24" fillId="34" borderId="8" xfId="55" applyFont="1" applyFill="1" applyBorder="1"/>
    <xf numFmtId="0" fontId="24" fillId="0" borderId="8" xfId="54" applyFont="1" applyFill="1" applyBorder="1" applyAlignment="1">
      <alignment horizontal="center" wrapText="1"/>
    </xf>
    <xf numFmtId="0" fontId="24" fillId="0" borderId="8" xfId="54" applyFont="1" applyFill="1" applyBorder="1" applyAlignment="1">
      <alignment horizontal="center" vertical="center"/>
    </xf>
    <xf numFmtId="167" fontId="24" fillId="0" borderId="12" xfId="63" applyNumberFormat="1" applyFont="1" applyBorder="1" applyAlignment="1">
      <alignment vertical="center"/>
    </xf>
    <xf numFmtId="167" fontId="24" fillId="0" borderId="0" xfId="63" applyNumberFormat="1" applyFont="1" applyBorder="1" applyAlignment="1">
      <alignment vertical="top"/>
    </xf>
    <xf numFmtId="167" fontId="24" fillId="0" borderId="8" xfId="63" applyNumberFormat="1" applyFont="1" applyBorder="1" applyAlignment="1">
      <alignment vertical="center"/>
    </xf>
    <xf numFmtId="168" fontId="24" fillId="0" borderId="8" xfId="63" applyNumberFormat="1" applyFont="1" applyBorder="1" applyAlignment="1">
      <alignment horizontal="center" vertical="center"/>
    </xf>
    <xf numFmtId="0" fontId="24" fillId="0" borderId="32" xfId="63" applyFont="1" applyBorder="1"/>
    <xf numFmtId="41" fontId="24" fillId="0" borderId="29" xfId="59" applyNumberFormat="1" applyFont="1" applyFill="1" applyBorder="1" applyAlignment="1">
      <alignment vertical="center"/>
    </xf>
    <xf numFmtId="0" fontId="27" fillId="0" borderId="39" xfId="62" applyFont="1" applyFill="1" applyBorder="1" applyAlignment="1">
      <alignment horizontal="center" vertical="center" wrapText="1"/>
    </xf>
    <xf numFmtId="0" fontId="27" fillId="0" borderId="19" xfId="62" applyFont="1" applyFill="1" applyBorder="1" applyAlignment="1">
      <alignment horizontal="left" vertical="center" wrapText="1"/>
    </xf>
    <xf numFmtId="41" fontId="24" fillId="0" borderId="31" xfId="32" applyFont="1" applyBorder="1"/>
    <xf numFmtId="168" fontId="25" fillId="0" borderId="37" xfId="63" applyNumberFormat="1" applyFont="1" applyBorder="1" applyAlignment="1">
      <alignment horizontal="center"/>
    </xf>
    <xf numFmtId="168" fontId="28" fillId="0" borderId="20" xfId="0" applyNumberFormat="1" applyFont="1" applyFill="1" applyBorder="1" applyAlignment="1">
      <alignment horizontal="center" vertical="center" wrapText="1"/>
    </xf>
    <xf numFmtId="168" fontId="25" fillId="0" borderId="15" xfId="63" applyNumberFormat="1" applyFont="1" applyFill="1" applyBorder="1" applyAlignment="1">
      <alignment horizontal="center"/>
    </xf>
    <xf numFmtId="168" fontId="25" fillId="0" borderId="11" xfId="63" applyNumberFormat="1" applyFont="1" applyFill="1" applyBorder="1" applyAlignment="1">
      <alignment horizontal="center" vertical="center"/>
    </xf>
    <xf numFmtId="168" fontId="25" fillId="0" borderId="11" xfId="59" applyNumberFormat="1" applyFont="1" applyFill="1" applyBorder="1" applyAlignment="1">
      <alignment horizontal="center" vertical="center"/>
    </xf>
    <xf numFmtId="170" fontId="27" fillId="0" borderId="19" xfId="0" applyNumberFormat="1" applyFont="1" applyFill="1" applyBorder="1" applyAlignment="1">
      <alignment horizontal="center" vertical="center" wrapText="1"/>
    </xf>
    <xf numFmtId="41" fontId="28" fillId="0" borderId="11" xfId="29" applyFont="1" applyFill="1" applyBorder="1" applyAlignment="1">
      <alignment horizontal="center" vertical="center" wrapText="1"/>
    </xf>
    <xf numFmtId="167" fontId="25" fillId="0" borderId="8" xfId="63" applyNumberFormat="1" applyFont="1" applyFill="1" applyBorder="1" applyAlignment="1">
      <alignment vertical="center"/>
    </xf>
    <xf numFmtId="0" fontId="25" fillId="0" borderId="9" xfId="63" applyFont="1" applyBorder="1" applyAlignment="1">
      <alignment horizontal="center"/>
    </xf>
    <xf numFmtId="0" fontId="25" fillId="0" borderId="10" xfId="63" applyFont="1" applyBorder="1" applyAlignment="1">
      <alignment horizontal="center"/>
    </xf>
    <xf numFmtId="0" fontId="25" fillId="0" borderId="0" xfId="55" applyFont="1" applyFill="1" applyAlignment="1">
      <alignment horizontal="center"/>
    </xf>
    <xf numFmtId="0" fontId="25" fillId="35" borderId="4" xfId="54" applyFont="1" applyFill="1" applyBorder="1" applyAlignment="1">
      <alignment wrapText="1"/>
    </xf>
    <xf numFmtId="167" fontId="24" fillId="35" borderId="11" xfId="63" applyNumberFormat="1" applyFont="1" applyFill="1" applyBorder="1"/>
    <xf numFmtId="0" fontId="24" fillId="35" borderId="11" xfId="63" applyFont="1" applyFill="1" applyBorder="1"/>
    <xf numFmtId="41" fontId="25" fillId="35" borderId="11" xfId="59" applyNumberFormat="1" applyFont="1" applyFill="1" applyBorder="1" applyAlignment="1">
      <alignment vertical="center"/>
    </xf>
    <xf numFmtId="14" fontId="24" fillId="0" borderId="29" xfId="32" applyNumberFormat="1" applyFont="1" applyBorder="1"/>
    <xf numFmtId="0" fontId="24" fillId="0" borderId="8" xfId="54" applyFont="1" applyFill="1" applyBorder="1" applyAlignment="1">
      <alignment wrapText="1"/>
    </xf>
    <xf numFmtId="0" fontId="27" fillId="0" borderId="8" xfId="59" applyFont="1" applyFill="1" applyBorder="1" applyAlignment="1">
      <alignment horizontal="left" vertical="center" wrapText="1"/>
    </xf>
    <xf numFmtId="14" fontId="24" fillId="0" borderId="8" xfId="59" applyNumberFormat="1" applyFont="1" applyFill="1" applyBorder="1" applyAlignment="1">
      <alignment vertical="center"/>
    </xf>
    <xf numFmtId="41" fontId="24" fillId="0" borderId="31" xfId="32" applyFont="1" applyBorder="1" applyAlignment="1">
      <alignment vertical="center"/>
    </xf>
    <xf numFmtId="0" fontId="25" fillId="0" borderId="8" xfId="54" applyFont="1" applyFill="1" applyBorder="1" applyAlignment="1">
      <alignment horizontal="center" vertical="center"/>
    </xf>
    <xf numFmtId="0" fontId="24" fillId="0" borderId="8" xfId="54" applyFont="1" applyFill="1" applyBorder="1" applyAlignment="1">
      <alignment vertical="center" wrapText="1"/>
    </xf>
    <xf numFmtId="167" fontId="25" fillId="0" borderId="12" xfId="63" applyNumberFormat="1" applyFont="1" applyFill="1" applyBorder="1" applyAlignment="1">
      <alignment vertical="center"/>
    </xf>
    <xf numFmtId="168" fontId="25" fillId="0" borderId="8" xfId="63" applyNumberFormat="1" applyFont="1" applyFill="1" applyBorder="1" applyAlignment="1">
      <alignment vertical="center"/>
    </xf>
    <xf numFmtId="41" fontId="24" fillId="0" borderId="25" xfId="63" applyNumberFormat="1" applyFont="1" applyBorder="1" applyAlignment="1">
      <alignment vertical="center"/>
    </xf>
    <xf numFmtId="0" fontId="24" fillId="0" borderId="29" xfId="63" applyFont="1" applyFill="1" applyBorder="1" applyAlignment="1">
      <alignment horizontal="center" vertical="center"/>
    </xf>
    <xf numFmtId="41" fontId="24" fillId="0" borderId="25" xfId="29" applyFont="1" applyFill="1" applyBorder="1" applyAlignment="1">
      <alignment horizontal="center" vertical="center"/>
    </xf>
    <xf numFmtId="0" fontId="24" fillId="0" borderId="8" xfId="54" applyFont="1" applyFill="1" applyBorder="1" applyAlignment="1">
      <alignment horizontal="left" vertical="center" wrapText="1"/>
    </xf>
    <xf numFmtId="9" fontId="24" fillId="0" borderId="26" xfId="71" applyFont="1" applyFill="1" applyBorder="1" applyAlignment="1">
      <alignment vertical="center"/>
    </xf>
    <xf numFmtId="41" fontId="25" fillId="37" borderId="4" xfId="59" applyNumberFormat="1" applyFont="1" applyFill="1" applyBorder="1" applyAlignment="1">
      <alignment vertical="center"/>
    </xf>
    <xf numFmtId="44" fontId="25" fillId="37" borderId="4" xfId="59" applyNumberFormat="1" applyFont="1" applyFill="1" applyBorder="1" applyAlignment="1">
      <alignment horizontal="left" vertical="center"/>
    </xf>
    <xf numFmtId="0" fontId="25" fillId="37" borderId="5" xfId="54" applyFont="1" applyFill="1" applyBorder="1" applyAlignment="1">
      <alignment horizontal="center"/>
    </xf>
    <xf numFmtId="0" fontId="25" fillId="37" borderId="4" xfId="54" applyFont="1" applyFill="1" applyBorder="1" applyAlignment="1">
      <alignment horizontal="center"/>
    </xf>
    <xf numFmtId="0" fontId="25" fillId="37" borderId="4" xfId="54" applyFont="1" applyFill="1" applyBorder="1" applyAlignment="1">
      <alignment wrapText="1"/>
    </xf>
    <xf numFmtId="167" fontId="25" fillId="37" borderId="4" xfId="63" applyNumberFormat="1" applyFont="1" applyFill="1" applyBorder="1"/>
    <xf numFmtId="168" fontId="25" fillId="37" borderId="4" xfId="63" applyNumberFormat="1" applyFont="1" applyFill="1" applyBorder="1"/>
    <xf numFmtId="0" fontId="24" fillId="37" borderId="11" xfId="63" applyFont="1" applyFill="1" applyBorder="1"/>
    <xf numFmtId="167" fontId="25" fillId="35" borderId="4" xfId="63" applyNumberFormat="1" applyFont="1" applyFill="1" applyBorder="1" applyAlignment="1">
      <alignment vertical="center"/>
    </xf>
    <xf numFmtId="0" fontId="25" fillId="0" borderId="40" xfId="63" applyFont="1" applyBorder="1" applyAlignment="1">
      <alignment horizontal="center"/>
    </xf>
    <xf numFmtId="0" fontId="24" fillId="0" borderId="22" xfId="54" applyFont="1" applyFill="1" applyBorder="1" applyAlignment="1">
      <alignment vertical="center" wrapText="1"/>
    </xf>
    <xf numFmtId="41" fontId="24" fillId="0" borderId="2" xfId="59" applyNumberFormat="1" applyFont="1" applyFill="1" applyBorder="1" applyAlignment="1">
      <alignment vertical="center"/>
    </xf>
    <xf numFmtId="41" fontId="24" fillId="0" borderId="2" xfId="32" applyFont="1" applyBorder="1" applyAlignment="1">
      <alignment vertical="center"/>
    </xf>
    <xf numFmtId="0" fontId="24" fillId="0" borderId="2" xfId="54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vertical="center" wrapText="1"/>
    </xf>
    <xf numFmtId="41" fontId="25" fillId="0" borderId="2" xfId="63" applyNumberFormat="1" applyFont="1" applyFill="1" applyBorder="1" applyAlignment="1">
      <alignment vertical="center" wrapText="1"/>
    </xf>
    <xf numFmtId="167" fontId="25" fillId="0" borderId="22" xfId="63" applyNumberFormat="1" applyFont="1" applyFill="1" applyBorder="1" applyAlignment="1">
      <alignment vertical="center"/>
    </xf>
    <xf numFmtId="168" fontId="25" fillId="0" borderId="2" xfId="63" applyNumberFormat="1" applyFont="1" applyFill="1" applyBorder="1" applyAlignment="1">
      <alignment vertical="center"/>
    </xf>
    <xf numFmtId="9" fontId="25" fillId="0" borderId="2" xfId="59" applyNumberFormat="1" applyFont="1" applyFill="1" applyBorder="1" applyAlignment="1">
      <alignment vertical="center"/>
    </xf>
    <xf numFmtId="167" fontId="25" fillId="0" borderId="2" xfId="63" applyNumberFormat="1" applyFont="1" applyFill="1" applyBorder="1"/>
    <xf numFmtId="0" fontId="25" fillId="0" borderId="9" xfId="63" applyFont="1" applyBorder="1" applyAlignment="1">
      <alignment horizontal="center"/>
    </xf>
    <xf numFmtId="0" fontId="25" fillId="0" borderId="10" xfId="63" applyFont="1" applyBorder="1" applyAlignment="1">
      <alignment horizontal="center"/>
    </xf>
    <xf numFmtId="0" fontId="25" fillId="0" borderId="1" xfId="63" applyFont="1" applyBorder="1" applyAlignment="1">
      <alignment horizontal="center" vertical="center" wrapText="1"/>
    </xf>
    <xf numFmtId="0" fontId="25" fillId="0" borderId="7" xfId="63" applyFont="1" applyBorder="1" applyAlignment="1">
      <alignment horizontal="center" vertical="center" wrapText="1"/>
    </xf>
    <xf numFmtId="0" fontId="24" fillId="34" borderId="18" xfId="55" applyFont="1" applyFill="1" applyBorder="1" applyAlignment="1">
      <alignment vertical="center"/>
    </xf>
    <xf numFmtId="41" fontId="24" fillId="0" borderId="17" xfId="32" applyFont="1" applyBorder="1"/>
    <xf numFmtId="0" fontId="24" fillId="0" borderId="11" xfId="0" applyFont="1" applyBorder="1" applyAlignment="1">
      <alignment vertical="top"/>
    </xf>
    <xf numFmtId="0" fontId="24" fillId="0" borderId="11" xfId="0" applyFont="1" applyBorder="1" applyAlignment="1">
      <alignment vertical="center"/>
    </xf>
    <xf numFmtId="0" fontId="24" fillId="0" borderId="18" xfId="0" applyFont="1" applyBorder="1" applyAlignment="1">
      <alignment vertical="top" wrapText="1"/>
    </xf>
    <xf numFmtId="0" fontId="24" fillId="0" borderId="18" xfId="0" applyFont="1" applyBorder="1" applyAlignment="1">
      <alignment vertical="center" wrapText="1"/>
    </xf>
    <xf numFmtId="41" fontId="26" fillId="0" borderId="11" xfId="28" applyNumberFormat="1" applyFont="1" applyBorder="1" applyAlignment="1">
      <alignment vertical="top"/>
    </xf>
    <xf numFmtId="41" fontId="26" fillId="0" borderId="11" xfId="28" applyNumberFormat="1" applyFont="1" applyBorder="1" applyAlignment="1">
      <alignment vertical="center"/>
    </xf>
    <xf numFmtId="41" fontId="24" fillId="0" borderId="11" xfId="32" applyFont="1" applyBorder="1" applyAlignment="1">
      <alignment horizontal="center" vertical="center"/>
    </xf>
    <xf numFmtId="167" fontId="24" fillId="0" borderId="22" xfId="63" applyNumberFormat="1" applyFont="1" applyFill="1" applyBorder="1" applyAlignment="1">
      <alignment vertical="center"/>
    </xf>
    <xf numFmtId="0" fontId="27" fillId="0" borderId="15" xfId="59" applyFont="1" applyFill="1" applyBorder="1" applyAlignment="1">
      <alignment horizontal="left" vertical="center"/>
    </xf>
    <xf numFmtId="0" fontId="24" fillId="0" borderId="15" xfId="54" applyFont="1" applyFill="1" applyBorder="1" applyAlignment="1">
      <alignment vertical="center" wrapText="1"/>
    </xf>
    <xf numFmtId="41" fontId="24" fillId="0" borderId="15" xfId="59" applyNumberFormat="1" applyFont="1" applyFill="1" applyBorder="1" applyAlignment="1">
      <alignment vertical="center"/>
    </xf>
    <xf numFmtId="41" fontId="24" fillId="0" borderId="15" xfId="32" applyFont="1" applyBorder="1" applyAlignment="1">
      <alignment vertical="center"/>
    </xf>
    <xf numFmtId="44" fontId="24" fillId="0" borderId="15" xfId="59" applyNumberFormat="1" applyFont="1" applyFill="1" applyBorder="1" applyAlignment="1">
      <alignment horizontal="left" vertical="center"/>
    </xf>
    <xf numFmtId="0" fontId="24" fillId="0" borderId="15" xfId="54" applyFont="1" applyFill="1" applyBorder="1" applyAlignment="1">
      <alignment horizontal="center" vertical="center" wrapText="1"/>
    </xf>
    <xf numFmtId="0" fontId="24" fillId="0" borderId="15" xfId="54" applyFont="1" applyFill="1" applyBorder="1" applyAlignment="1">
      <alignment horizontal="left" vertical="center" wrapText="1"/>
    </xf>
    <xf numFmtId="167" fontId="25" fillId="0" borderId="14" xfId="63" applyNumberFormat="1" applyFont="1" applyFill="1" applyBorder="1" applyAlignment="1">
      <alignment vertical="center"/>
    </xf>
    <xf numFmtId="168" fontId="25" fillId="0" borderId="15" xfId="63" applyNumberFormat="1" applyFont="1" applyFill="1" applyBorder="1" applyAlignment="1">
      <alignment vertical="center"/>
    </xf>
    <xf numFmtId="9" fontId="25" fillId="0" borderId="15" xfId="59" applyNumberFormat="1" applyFont="1" applyFill="1" applyBorder="1" applyAlignment="1">
      <alignment vertical="center"/>
    </xf>
    <xf numFmtId="167" fontId="24" fillId="0" borderId="2" xfId="63" applyNumberFormat="1" applyFont="1" applyFill="1" applyBorder="1" applyAlignment="1">
      <alignment vertical="center"/>
    </xf>
    <xf numFmtId="167" fontId="24" fillId="34" borderId="11" xfId="63" applyNumberFormat="1" applyFont="1" applyFill="1" applyBorder="1" applyAlignment="1">
      <alignment vertical="top"/>
    </xf>
    <xf numFmtId="41" fontId="24" fillId="0" borderId="8" xfId="59" applyNumberFormat="1" applyFont="1" applyFill="1" applyBorder="1" applyAlignment="1">
      <alignment vertical="center" wrapText="1"/>
    </xf>
    <xf numFmtId="41" fontId="24" fillId="0" borderId="8" xfId="32" applyFont="1" applyBorder="1" applyAlignment="1">
      <alignment wrapText="1"/>
    </xf>
    <xf numFmtId="41" fontId="24" fillId="0" borderId="11" xfId="59" applyNumberFormat="1" applyFont="1" applyFill="1" applyBorder="1" applyAlignment="1">
      <alignment vertical="center" wrapText="1"/>
    </xf>
    <xf numFmtId="0" fontId="25" fillId="0" borderId="22" xfId="63" applyFont="1" applyBorder="1"/>
    <xf numFmtId="0" fontId="24" fillId="0" borderId="14" xfId="63" applyFont="1" applyBorder="1"/>
    <xf numFmtId="167" fontId="24" fillId="0" borderId="38" xfId="63" applyNumberFormat="1" applyFont="1" applyFill="1" applyBorder="1" applyAlignment="1">
      <alignment vertical="center"/>
    </xf>
    <xf numFmtId="167" fontId="24" fillId="0" borderId="22" xfId="63" applyNumberFormat="1" applyFont="1" applyFill="1" applyBorder="1"/>
    <xf numFmtId="0" fontId="24" fillId="0" borderId="17" xfId="63" applyFont="1" applyBorder="1"/>
    <xf numFmtId="41" fontId="25" fillId="0" borderId="7" xfId="63" applyNumberFormat="1" applyFont="1" applyFill="1" applyBorder="1"/>
    <xf numFmtId="167" fontId="24" fillId="0" borderId="15" xfId="63" applyNumberFormat="1" applyFont="1" applyFill="1" applyBorder="1" applyAlignment="1">
      <alignment vertical="center"/>
    </xf>
    <xf numFmtId="9" fontId="24" fillId="0" borderId="11" xfId="63" applyNumberFormat="1" applyFont="1" applyBorder="1" applyAlignment="1">
      <alignment horizontal="left" vertical="top" wrapText="1"/>
    </xf>
    <xf numFmtId="9" fontId="24" fillId="0" borderId="11" xfId="71" applyFont="1" applyFill="1" applyBorder="1" applyAlignment="1">
      <alignment vertical="center"/>
    </xf>
    <xf numFmtId="0" fontId="25" fillId="0" borderId="15" xfId="63" applyFont="1" applyBorder="1" applyAlignment="1">
      <alignment horizontal="center"/>
    </xf>
    <xf numFmtId="0" fontId="24" fillId="0" borderId="8" xfId="63" applyFont="1" applyBorder="1"/>
    <xf numFmtId="0" fontId="25" fillId="0" borderId="1" xfId="63" applyFont="1" applyBorder="1" applyAlignment="1">
      <alignment horizontal="center" vertical="center" wrapText="1"/>
    </xf>
    <xf numFmtId="0" fontId="25" fillId="0" borderId="7" xfId="63" applyFont="1" applyBorder="1" applyAlignment="1">
      <alignment horizontal="center" vertical="center" wrapText="1"/>
    </xf>
    <xf numFmtId="0" fontId="25" fillId="0" borderId="9" xfId="63" applyFont="1" applyBorder="1" applyAlignment="1">
      <alignment horizontal="center"/>
    </xf>
    <xf numFmtId="0" fontId="25" fillId="0" borderId="10" xfId="63" applyFont="1" applyBorder="1" applyAlignment="1">
      <alignment horizontal="center"/>
    </xf>
    <xf numFmtId="0" fontId="25" fillId="0" borderId="0" xfId="55" applyFont="1" applyFill="1" applyAlignment="1">
      <alignment horizontal="center"/>
    </xf>
    <xf numFmtId="0" fontId="24" fillId="0" borderId="8" xfId="63" applyFont="1" applyFill="1" applyBorder="1" applyAlignment="1">
      <alignment vertical="center"/>
    </xf>
    <xf numFmtId="0" fontId="27" fillId="0" borderId="8" xfId="59" applyFont="1" applyFill="1" applyBorder="1" applyAlignment="1">
      <alignment vertical="center"/>
    </xf>
    <xf numFmtId="0" fontId="24" fillId="0" borderId="23" xfId="63" applyFont="1" applyFill="1" applyBorder="1" applyAlignment="1">
      <alignment vertical="center"/>
    </xf>
    <xf numFmtId="0" fontId="24" fillId="0" borderId="26" xfId="63" applyFont="1" applyFill="1" applyBorder="1" applyAlignment="1">
      <alignment vertical="center"/>
    </xf>
    <xf numFmtId="0" fontId="24" fillId="0" borderId="29" xfId="63" applyFont="1" applyBorder="1"/>
    <xf numFmtId="0" fontId="24" fillId="0" borderId="8" xfId="54" applyFont="1" applyBorder="1" applyAlignment="1">
      <alignment wrapText="1"/>
    </xf>
    <xf numFmtId="0" fontId="24" fillId="0" borderId="11" xfId="54" applyFont="1" applyFill="1" applyBorder="1" applyAlignment="1">
      <alignment horizontal="left"/>
    </xf>
    <xf numFmtId="0" fontId="24" fillId="0" borderId="11" xfId="54" applyFont="1" applyFill="1" applyBorder="1" applyAlignment="1">
      <alignment horizontal="left" wrapText="1"/>
    </xf>
    <xf numFmtId="41" fontId="24" fillId="0" borderId="13" xfId="29" applyFont="1" applyBorder="1" applyAlignment="1">
      <alignment vertical="top"/>
    </xf>
    <xf numFmtId="41" fontId="26" fillId="0" borderId="17" xfId="28" applyNumberFormat="1" applyFont="1" applyBorder="1" applyAlignment="1">
      <alignment vertical="top"/>
    </xf>
    <xf numFmtId="0" fontId="25" fillId="0" borderId="8" xfId="55" applyFont="1" applyFill="1" applyBorder="1" applyAlignment="1">
      <alignment horizontal="center" vertical="center"/>
    </xf>
    <xf numFmtId="0" fontId="25" fillId="0" borderId="18" xfId="55" applyFont="1" applyFill="1" applyBorder="1" applyAlignment="1">
      <alignment vertical="center"/>
    </xf>
    <xf numFmtId="0" fontId="25" fillId="0" borderId="11" xfId="0" applyFont="1" applyFill="1" applyBorder="1" applyAlignment="1">
      <alignment vertical="center"/>
    </xf>
    <xf numFmtId="0" fontId="25" fillId="0" borderId="18" xfId="0" applyFont="1" applyFill="1" applyBorder="1" applyAlignment="1">
      <alignment vertical="center" wrapText="1"/>
    </xf>
    <xf numFmtId="41" fontId="25" fillId="0" borderId="11" xfId="32" applyFont="1" applyFill="1" applyBorder="1"/>
    <xf numFmtId="41" fontId="25" fillId="0" borderId="18" xfId="32" applyFont="1" applyFill="1" applyBorder="1"/>
    <xf numFmtId="41" fontId="25" fillId="0" borderId="12" xfId="29" applyFont="1" applyFill="1" applyBorder="1" applyAlignment="1">
      <alignment horizontal="center" vertical="top"/>
    </xf>
    <xf numFmtId="167" fontId="25" fillId="0" borderId="14" xfId="63" applyNumberFormat="1" applyFont="1" applyFill="1" applyBorder="1" applyAlignment="1">
      <alignment vertical="top"/>
    </xf>
    <xf numFmtId="167" fontId="25" fillId="0" borderId="17" xfId="63" applyNumberFormat="1" applyFont="1" applyFill="1" applyBorder="1" applyAlignment="1">
      <alignment vertical="top"/>
    </xf>
    <xf numFmtId="168" fontId="25" fillId="0" borderId="14" xfId="63" applyNumberFormat="1" applyFont="1" applyFill="1" applyBorder="1" applyAlignment="1">
      <alignment vertical="top"/>
    </xf>
    <xf numFmtId="167" fontId="25" fillId="0" borderId="11" xfId="63" applyNumberFormat="1" applyFont="1" applyFill="1" applyBorder="1" applyAlignment="1">
      <alignment vertical="top"/>
    </xf>
    <xf numFmtId="0" fontId="25" fillId="0" borderId="15" xfId="63" applyFont="1" applyFill="1" applyBorder="1"/>
    <xf numFmtId="41" fontId="25" fillId="0" borderId="17" xfId="32" applyFont="1" applyFill="1" applyBorder="1"/>
    <xf numFmtId="41" fontId="25" fillId="0" borderId="22" xfId="29" applyFont="1" applyFill="1" applyBorder="1" applyAlignment="1">
      <alignment horizontal="center" vertical="top"/>
    </xf>
    <xf numFmtId="0" fontId="25" fillId="0" borderId="0" xfId="63" applyFont="1" applyFill="1"/>
    <xf numFmtId="168" fontId="27" fillId="0" borderId="74" xfId="55" applyNumberFormat="1" applyFont="1" applyFill="1" applyBorder="1" applyAlignment="1">
      <alignment horizontal="center" vertical="center" wrapText="1"/>
    </xf>
    <xf numFmtId="168" fontId="24" fillId="0" borderId="8" xfId="63" applyNumberFormat="1" applyFont="1" applyBorder="1" applyAlignment="1">
      <alignment vertical="center"/>
    </xf>
    <xf numFmtId="41" fontId="27" fillId="0" borderId="11" xfId="30" applyFont="1" applyFill="1" applyBorder="1" applyAlignment="1">
      <alignment horizontal="center" vertical="center" wrapText="1"/>
    </xf>
    <xf numFmtId="167" fontId="24" fillId="34" borderId="11" xfId="63" applyNumberFormat="1" applyFont="1" applyFill="1" applyBorder="1" applyAlignment="1">
      <alignment vertical="center"/>
    </xf>
    <xf numFmtId="0" fontId="27" fillId="0" borderId="23" xfId="0" applyFont="1" applyFill="1" applyBorder="1" applyAlignment="1">
      <alignment horizontal="left" vertical="center" wrapText="1"/>
    </xf>
    <xf numFmtId="0" fontId="0" fillId="0" borderId="23" xfId="0" applyFont="1" applyFill="1" applyBorder="1" applyAlignment="1">
      <alignment horizontal="center" vertical="center" wrapText="1"/>
    </xf>
    <xf numFmtId="167" fontId="2" fillId="34" borderId="39" xfId="28" applyNumberFormat="1" applyFont="1" applyFill="1" applyBorder="1" applyAlignment="1">
      <alignment horizontal="center" vertical="center" wrapText="1"/>
    </xf>
    <xf numFmtId="41" fontId="25" fillId="0" borderId="18" xfId="59" applyNumberFormat="1" applyFont="1" applyFill="1" applyBorder="1" applyAlignment="1">
      <alignment vertical="center"/>
    </xf>
    <xf numFmtId="41" fontId="25" fillId="0" borderId="12" xfId="59" applyNumberFormat="1" applyFont="1" applyFill="1" applyBorder="1" applyAlignment="1">
      <alignment vertical="center"/>
    </xf>
    <xf numFmtId="41" fontId="24" fillId="0" borderId="17" xfId="59" applyNumberFormat="1" applyFont="1" applyFill="1" applyBorder="1" applyAlignment="1">
      <alignment vertical="center"/>
    </xf>
    <xf numFmtId="167" fontId="24" fillId="0" borderId="17" xfId="63" applyNumberFormat="1" applyFont="1" applyFill="1" applyBorder="1" applyAlignment="1">
      <alignment vertical="center"/>
    </xf>
    <xf numFmtId="0" fontId="24" fillId="0" borderId="8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left" vertical="center" wrapText="1"/>
    </xf>
    <xf numFmtId="0" fontId="27" fillId="0" borderId="11" xfId="0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0" fontId="24" fillId="0" borderId="26" xfId="0" applyFont="1" applyFill="1" applyBorder="1" applyAlignment="1">
      <alignment horizontal="left" vertical="center" wrapText="1"/>
    </xf>
    <xf numFmtId="49" fontId="2" fillId="0" borderId="38" xfId="0" applyNumberFormat="1" applyFont="1" applyFill="1" applyBorder="1" applyAlignment="1">
      <alignment horizontal="left" vertical="center" wrapText="1"/>
    </xf>
    <xf numFmtId="0" fontId="27" fillId="0" borderId="24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1" xfId="0" applyFont="1" applyFill="1" applyBorder="1" applyAlignment="1">
      <alignment horizontal="left" vertical="center" wrapText="1"/>
    </xf>
    <xf numFmtId="167" fontId="2" fillId="34" borderId="11" xfId="28" applyNumberFormat="1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left" vertical="center" wrapText="1"/>
    </xf>
    <xf numFmtId="167" fontId="24" fillId="0" borderId="14" xfId="63" applyNumberFormat="1" applyFont="1" applyBorder="1" applyAlignment="1">
      <alignment vertical="center"/>
    </xf>
    <xf numFmtId="41" fontId="27" fillId="0" borderId="19" xfId="3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vertical="center" wrapText="1"/>
    </xf>
    <xf numFmtId="41" fontId="25" fillId="0" borderId="8" xfId="59" applyNumberFormat="1" applyFont="1" applyFill="1" applyBorder="1" applyAlignment="1">
      <alignment vertical="center"/>
    </xf>
    <xf numFmtId="44" fontId="24" fillId="0" borderId="8" xfId="59" applyNumberFormat="1" applyFont="1" applyFill="1" applyBorder="1" applyAlignment="1">
      <alignment horizontal="left" vertical="center"/>
    </xf>
    <xf numFmtId="0" fontId="24" fillId="0" borderId="8" xfId="63" applyFont="1" applyFill="1" applyBorder="1"/>
    <xf numFmtId="0" fontId="28" fillId="0" borderId="31" xfId="59" applyFont="1" applyFill="1" applyBorder="1" applyAlignment="1">
      <alignment horizontal="center" vertical="center"/>
    </xf>
    <xf numFmtId="0" fontId="24" fillId="0" borderId="12" xfId="54" applyFont="1" applyFill="1" applyBorder="1" applyAlignment="1">
      <alignment vertical="center" wrapText="1"/>
    </xf>
    <xf numFmtId="0" fontId="24" fillId="0" borderId="8" xfId="54" applyFont="1" applyFill="1" applyBorder="1" applyAlignment="1">
      <alignment horizontal="center" vertical="center" wrapText="1"/>
    </xf>
    <xf numFmtId="41" fontId="25" fillId="0" borderId="8" xfId="63" applyNumberFormat="1" applyFont="1" applyFill="1" applyBorder="1" applyAlignment="1">
      <alignment vertical="center" wrapText="1"/>
    </xf>
    <xf numFmtId="9" fontId="25" fillId="0" borderId="8" xfId="59" applyNumberFormat="1" applyFont="1" applyFill="1" applyBorder="1" applyAlignment="1">
      <alignment vertical="center"/>
    </xf>
    <xf numFmtId="0" fontId="24" fillId="0" borderId="31" xfId="63" applyFont="1" applyBorder="1" applyAlignment="1">
      <alignment horizontal="center"/>
    </xf>
    <xf numFmtId="0" fontId="24" fillId="0" borderId="9" xfId="63" applyFont="1" applyBorder="1"/>
    <xf numFmtId="0" fontId="24" fillId="0" borderId="3" xfId="63" applyFont="1" applyBorder="1"/>
    <xf numFmtId="41" fontId="25" fillId="35" borderId="18" xfId="59" applyNumberFormat="1" applyFont="1" applyFill="1" applyBorder="1" applyAlignment="1">
      <alignment vertical="center"/>
    </xf>
    <xf numFmtId="0" fontId="24" fillId="0" borderId="17" xfId="63" applyFont="1" applyFill="1" applyBorder="1"/>
    <xf numFmtId="0" fontId="24" fillId="35" borderId="17" xfId="63" applyFont="1" applyFill="1" applyBorder="1"/>
    <xf numFmtId="0" fontId="27" fillId="0" borderId="11" xfId="0" applyFont="1" applyFill="1" applyBorder="1" applyAlignment="1">
      <alignment vertical="center" wrapText="1"/>
    </xf>
    <xf numFmtId="41" fontId="27" fillId="0" borderId="12" xfId="30" applyFont="1" applyFill="1" applyBorder="1" applyAlignment="1">
      <alignment horizontal="center" vertical="center" wrapText="1"/>
    </xf>
    <xf numFmtId="168" fontId="25" fillId="0" borderId="14" xfId="63" applyNumberFormat="1" applyFont="1" applyFill="1" applyBorder="1" applyAlignment="1">
      <alignment horizontal="center" vertical="center"/>
    </xf>
    <xf numFmtId="41" fontId="25" fillId="0" borderId="14" xfId="59" applyNumberFormat="1" applyFont="1" applyFill="1" applyBorder="1" applyAlignment="1">
      <alignment vertical="center"/>
    </xf>
    <xf numFmtId="0" fontId="27" fillId="0" borderId="26" xfId="0" applyFont="1" applyFill="1" applyBorder="1" applyAlignment="1">
      <alignment horizontal="left" vertical="center" wrapText="1"/>
    </xf>
    <xf numFmtId="1" fontId="24" fillId="0" borderId="12" xfId="54" applyNumberFormat="1" applyFont="1" applyFill="1" applyBorder="1" applyAlignment="1">
      <alignment horizontal="center" vertical="top"/>
    </xf>
    <xf numFmtId="1" fontId="24" fillId="0" borderId="0" xfId="55" applyNumberFormat="1" applyFont="1" applyFill="1"/>
    <xf numFmtId="1" fontId="25" fillId="0" borderId="0" xfId="55" applyNumberFormat="1" applyFont="1" applyFill="1" applyAlignment="1">
      <alignment horizontal="center"/>
    </xf>
    <xf numFmtId="1" fontId="25" fillId="0" borderId="5" xfId="55" applyNumberFormat="1" applyFont="1" applyFill="1" applyBorder="1" applyAlignment="1">
      <alignment horizontal="center"/>
    </xf>
    <xf numFmtId="1" fontId="25" fillId="0" borderId="4" xfId="55" applyNumberFormat="1" applyFont="1" applyFill="1" applyBorder="1" applyAlignment="1">
      <alignment horizontal="center"/>
    </xf>
    <xf numFmtId="1" fontId="25" fillId="0" borderId="22" xfId="55" applyNumberFormat="1" applyFont="1" applyFill="1" applyBorder="1" applyAlignment="1">
      <alignment horizontal="center"/>
    </xf>
    <xf numFmtId="1" fontId="25" fillId="0" borderId="12" xfId="29" applyNumberFormat="1" applyFont="1" applyFill="1" applyBorder="1" applyAlignment="1">
      <alignment horizontal="center" vertical="top"/>
    </xf>
    <xf numFmtId="1" fontId="24" fillId="0" borderId="25" xfId="29" applyNumberFormat="1" applyFont="1" applyFill="1" applyBorder="1" applyAlignment="1">
      <alignment horizontal="center" vertical="center"/>
    </xf>
    <xf numFmtId="1" fontId="24" fillId="0" borderId="0" xfId="63" applyNumberFormat="1" applyFont="1" applyAlignment="1">
      <alignment horizontal="center"/>
    </xf>
    <xf numFmtId="1" fontId="24" fillId="0" borderId="0" xfId="63" applyNumberFormat="1" applyFont="1"/>
    <xf numFmtId="0" fontId="0" fillId="37" borderId="41" xfId="0" applyFill="1" applyBorder="1" applyAlignment="1">
      <alignment horizontal="center" vertical="center" wrapText="1"/>
    </xf>
    <xf numFmtId="0" fontId="0" fillId="37" borderId="42" xfId="0" applyFill="1" applyBorder="1" applyAlignment="1">
      <alignment horizontal="center" vertical="center"/>
    </xf>
    <xf numFmtId="0" fontId="0" fillId="37" borderId="42" xfId="0" applyFill="1" applyBorder="1" applyAlignment="1">
      <alignment horizontal="center" vertical="center" wrapText="1"/>
    </xf>
    <xf numFmtId="0" fontId="0" fillId="37" borderId="43" xfId="0" applyFill="1" applyBorder="1" applyAlignment="1">
      <alignment horizontal="center" vertical="center" wrapText="1"/>
    </xf>
    <xf numFmtId="0" fontId="0" fillId="37" borderId="44" xfId="0" applyFill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0" fillId="0" borderId="39" xfId="0" quotePrefix="1" applyFill="1" applyBorder="1" applyAlignment="1">
      <alignment horizontal="center" vertical="center"/>
    </xf>
    <xf numFmtId="0" fontId="0" fillId="0" borderId="19" xfId="0" applyFill="1" applyBorder="1"/>
    <xf numFmtId="164" fontId="0" fillId="0" borderId="19" xfId="0" applyNumberFormat="1" applyFill="1" applyBorder="1"/>
    <xf numFmtId="164" fontId="30" fillId="0" borderId="19" xfId="28" applyNumberFormat="1" applyFont="1" applyFill="1" applyBorder="1" applyAlignment="1">
      <alignment horizontal="center" vertical="center" wrapText="1"/>
    </xf>
    <xf numFmtId="172" fontId="4" fillId="0" borderId="19" xfId="29" applyNumberFormat="1" applyFont="1" applyFill="1" applyBorder="1"/>
    <xf numFmtId="164" fontId="0" fillId="0" borderId="19" xfId="0" applyNumberFormat="1" applyFont="1" applyFill="1" applyBorder="1"/>
    <xf numFmtId="164" fontId="0" fillId="0" borderId="23" xfId="0" applyNumberFormat="1" applyFill="1" applyBorder="1"/>
    <xf numFmtId="0" fontId="0" fillId="0" borderId="45" xfId="0" quotePrefix="1" applyFill="1" applyBorder="1" applyAlignment="1">
      <alignment horizontal="center" vertical="center"/>
    </xf>
    <xf numFmtId="0" fontId="0" fillId="0" borderId="0" xfId="0" applyAlignment="1"/>
    <xf numFmtId="41" fontId="24" fillId="0" borderId="17" xfId="29" applyFont="1" applyBorder="1" applyAlignment="1">
      <alignment vertical="center"/>
    </xf>
    <xf numFmtId="41" fontId="27" fillId="0" borderId="20" xfId="29" applyFont="1" applyFill="1" applyBorder="1" applyAlignment="1">
      <alignment horizontal="center" vertical="center" wrapText="1"/>
    </xf>
    <xf numFmtId="41" fontId="24" fillId="0" borderId="11" xfId="29" applyFont="1" applyBorder="1" applyAlignment="1">
      <alignment vertical="center"/>
    </xf>
    <xf numFmtId="41" fontId="24" fillId="0" borderId="17" xfId="29" applyFont="1" applyFill="1" applyBorder="1" applyAlignment="1">
      <alignment horizontal="center" vertical="top"/>
    </xf>
    <xf numFmtId="0" fontId="27" fillId="0" borderId="45" xfId="0" applyFont="1" applyFill="1" applyBorder="1" applyAlignment="1">
      <alignment horizontal="center" vertical="center" wrapText="1"/>
    </xf>
    <xf numFmtId="0" fontId="24" fillId="34" borderId="31" xfId="55" applyFont="1" applyFill="1" applyBorder="1" applyAlignment="1">
      <alignment vertical="center"/>
    </xf>
    <xf numFmtId="0" fontId="24" fillId="0" borderId="8" xfId="0" applyFont="1" applyBorder="1" applyAlignment="1">
      <alignment vertical="center"/>
    </xf>
    <xf numFmtId="0" fontId="24" fillId="0" borderId="31" xfId="0" applyFont="1" applyBorder="1" applyAlignment="1">
      <alignment vertical="center" wrapText="1"/>
    </xf>
    <xf numFmtId="41" fontId="26" fillId="0" borderId="8" xfId="28" applyNumberFormat="1" applyFont="1" applyBorder="1" applyAlignment="1">
      <alignment vertical="center"/>
    </xf>
    <xf numFmtId="41" fontId="27" fillId="0" borderId="26" xfId="29" applyFont="1" applyFill="1" applyBorder="1" applyAlignment="1">
      <alignment horizontal="center" vertical="center" wrapText="1"/>
    </xf>
    <xf numFmtId="41" fontId="24" fillId="0" borderId="8" xfId="29" applyFont="1" applyBorder="1" applyAlignment="1">
      <alignment vertical="center"/>
    </xf>
    <xf numFmtId="167" fontId="24" fillId="0" borderId="22" xfId="63" applyNumberFormat="1" applyFont="1" applyBorder="1" applyAlignment="1">
      <alignment vertical="top"/>
    </xf>
    <xf numFmtId="168" fontId="25" fillId="0" borderId="8" xfId="63" applyNumberFormat="1" applyFont="1" applyFill="1" applyBorder="1" applyAlignment="1">
      <alignment horizontal="center" vertical="center"/>
    </xf>
    <xf numFmtId="168" fontId="25" fillId="0" borderId="22" xfId="63" applyNumberFormat="1" applyFont="1" applyFill="1" applyBorder="1" applyAlignment="1">
      <alignment horizontal="center" vertical="center"/>
    </xf>
    <xf numFmtId="41" fontId="25" fillId="0" borderId="22" xfId="59" applyNumberFormat="1" applyFont="1" applyFill="1" applyBorder="1" applyAlignment="1">
      <alignment vertical="center"/>
    </xf>
    <xf numFmtId="167" fontId="24" fillId="34" borderId="8" xfId="63" applyNumberFormat="1" applyFont="1" applyFill="1" applyBorder="1" applyAlignment="1">
      <alignment vertical="center"/>
    </xf>
    <xf numFmtId="0" fontId="24" fillId="0" borderId="2" xfId="55" applyFont="1" applyFill="1" applyBorder="1" applyAlignment="1">
      <alignment horizontal="center" vertical="center"/>
    </xf>
    <xf numFmtId="0" fontId="24" fillId="34" borderId="16" xfId="55" applyFont="1" applyFill="1" applyBorder="1" applyAlignment="1">
      <alignment vertical="center"/>
    </xf>
    <xf numFmtId="0" fontId="24" fillId="0" borderId="15" xfId="0" applyFont="1" applyBorder="1" applyAlignment="1">
      <alignment vertical="top"/>
    </xf>
    <xf numFmtId="0" fontId="24" fillId="0" borderId="16" xfId="0" applyFont="1" applyBorder="1" applyAlignment="1">
      <alignment vertical="top" wrapText="1"/>
    </xf>
    <xf numFmtId="41" fontId="26" fillId="0" borderId="15" xfId="28" applyNumberFormat="1" applyFont="1" applyBorder="1" applyAlignment="1">
      <alignment vertical="top"/>
    </xf>
    <xf numFmtId="41" fontId="24" fillId="0" borderId="16" xfId="32" applyFont="1" applyBorder="1"/>
    <xf numFmtId="0" fontId="24" fillId="0" borderId="15" xfId="54" applyFont="1" applyFill="1" applyBorder="1" applyAlignment="1">
      <alignment horizontal="center"/>
    </xf>
    <xf numFmtId="0" fontId="24" fillId="0" borderId="15" xfId="54" applyFont="1" applyFill="1" applyBorder="1" applyAlignment="1">
      <alignment wrapText="1"/>
    </xf>
    <xf numFmtId="41" fontId="24" fillId="0" borderId="22" xfId="29" applyFont="1" applyFill="1" applyBorder="1" applyAlignment="1">
      <alignment horizontal="center" vertical="top"/>
    </xf>
    <xf numFmtId="167" fontId="24" fillId="34" borderId="15" xfId="63" applyNumberFormat="1" applyFont="1" applyFill="1" applyBorder="1" applyAlignment="1">
      <alignment vertical="top"/>
    </xf>
    <xf numFmtId="0" fontId="24" fillId="0" borderId="8" xfId="0" applyFont="1" applyBorder="1" applyAlignment="1">
      <alignment vertical="top"/>
    </xf>
    <xf numFmtId="0" fontId="24" fillId="0" borderId="31" xfId="0" applyFont="1" applyBorder="1" applyAlignment="1">
      <alignment vertical="top" wrapText="1"/>
    </xf>
    <xf numFmtId="41" fontId="26" fillId="0" borderId="8" xfId="28" applyNumberFormat="1" applyFont="1" applyBorder="1" applyAlignment="1">
      <alignment vertical="top"/>
    </xf>
    <xf numFmtId="0" fontId="24" fillId="0" borderId="15" xfId="0" applyFont="1" applyBorder="1" applyAlignment="1">
      <alignment vertical="center"/>
    </xf>
    <xf numFmtId="0" fontId="24" fillId="0" borderId="16" xfId="0" applyFont="1" applyBorder="1" applyAlignment="1">
      <alignment vertical="center" wrapText="1"/>
    </xf>
    <xf numFmtId="41" fontId="26" fillId="0" borderId="15" xfId="28" applyNumberFormat="1" applyFont="1" applyBorder="1" applyAlignment="1">
      <alignment vertical="center"/>
    </xf>
    <xf numFmtId="0" fontId="24" fillId="0" borderId="15" xfId="54" applyFont="1" applyFill="1" applyBorder="1" applyAlignment="1">
      <alignment horizontal="center" vertical="center"/>
    </xf>
    <xf numFmtId="41" fontId="27" fillId="0" borderId="15" xfId="29" applyFont="1" applyFill="1" applyBorder="1" applyAlignment="1">
      <alignment horizontal="center" vertical="center" wrapText="1"/>
    </xf>
    <xf numFmtId="41" fontId="24" fillId="0" borderId="14" xfId="29" applyFont="1" applyBorder="1" applyAlignment="1">
      <alignment vertical="center"/>
    </xf>
    <xf numFmtId="168" fontId="25" fillId="0" borderId="15" xfId="63" applyNumberFormat="1" applyFont="1" applyFill="1" applyBorder="1" applyAlignment="1">
      <alignment horizontal="center" vertical="center"/>
    </xf>
    <xf numFmtId="167" fontId="24" fillId="34" borderId="15" xfId="63" applyNumberFormat="1" applyFont="1" applyFill="1" applyBorder="1" applyAlignment="1">
      <alignment vertical="center"/>
    </xf>
    <xf numFmtId="41" fontId="26" fillId="0" borderId="12" xfId="28" applyNumberFormat="1" applyFont="1" applyBorder="1" applyAlignment="1">
      <alignment vertical="top"/>
    </xf>
    <xf numFmtId="41" fontId="24" fillId="0" borderId="8" xfId="29" applyFont="1" applyFill="1" applyBorder="1" applyAlignment="1">
      <alignment horizontal="center" vertical="top"/>
    </xf>
    <xf numFmtId="41" fontId="24" fillId="0" borderId="0" xfId="29" applyFont="1"/>
    <xf numFmtId="0" fontId="24" fillId="0" borderId="8" xfId="54" applyFont="1" applyFill="1" applyBorder="1" applyAlignment="1">
      <alignment horizontal="center"/>
    </xf>
    <xf numFmtId="0" fontId="24" fillId="0" borderId="15" xfId="63" applyFont="1" applyFill="1" applyBorder="1"/>
    <xf numFmtId="0" fontId="24" fillId="0" borderId="0" xfId="63" applyFont="1" applyFill="1"/>
    <xf numFmtId="0" fontId="24" fillId="0" borderId="40" xfId="55" applyFont="1" applyFill="1" applyBorder="1" applyAlignment="1">
      <alignment horizontal="center" vertical="center"/>
    </xf>
    <xf numFmtId="0" fontId="24" fillId="0" borderId="36" xfId="55" applyFont="1" applyFill="1" applyBorder="1" applyAlignment="1">
      <alignment vertical="center"/>
    </xf>
    <xf numFmtId="0" fontId="24" fillId="0" borderId="40" xfId="0" applyFont="1" applyFill="1" applyBorder="1" applyAlignment="1">
      <alignment vertical="center"/>
    </xf>
    <xf numFmtId="0" fontId="24" fillId="0" borderId="36" xfId="0" applyFont="1" applyFill="1" applyBorder="1" applyAlignment="1">
      <alignment vertical="center" wrapText="1"/>
    </xf>
    <xf numFmtId="41" fontId="26" fillId="0" borderId="40" xfId="28" applyNumberFormat="1" applyFont="1" applyFill="1" applyBorder="1" applyAlignment="1">
      <alignment vertical="center"/>
    </xf>
    <xf numFmtId="41" fontId="24" fillId="0" borderId="40" xfId="32" applyFont="1" applyFill="1" applyBorder="1"/>
    <xf numFmtId="41" fontId="24" fillId="0" borderId="36" xfId="32" applyFont="1" applyFill="1" applyBorder="1"/>
    <xf numFmtId="0" fontId="24" fillId="0" borderId="40" xfId="54" applyFont="1" applyFill="1" applyBorder="1" applyAlignment="1">
      <alignment horizontal="center"/>
    </xf>
    <xf numFmtId="0" fontId="24" fillId="0" borderId="40" xfId="54" applyFont="1" applyFill="1" applyBorder="1" applyAlignment="1">
      <alignment wrapText="1"/>
    </xf>
    <xf numFmtId="41" fontId="26" fillId="0" borderId="27" xfId="28" applyNumberFormat="1" applyFont="1" applyFill="1" applyBorder="1" applyAlignment="1">
      <alignment vertical="center"/>
    </xf>
    <xf numFmtId="167" fontId="24" fillId="0" borderId="27" xfId="63" applyNumberFormat="1" applyFont="1" applyFill="1" applyBorder="1" applyAlignment="1">
      <alignment vertical="top"/>
    </xf>
    <xf numFmtId="168" fontId="24" fillId="0" borderId="27" xfId="63" applyNumberFormat="1" applyFont="1" applyFill="1" applyBorder="1" applyAlignment="1">
      <alignment vertical="top"/>
    </xf>
    <xf numFmtId="41" fontId="31" fillId="0" borderId="40" xfId="28" applyNumberFormat="1" applyFont="1" applyFill="1" applyBorder="1" applyAlignment="1">
      <alignment vertical="center"/>
    </xf>
    <xf numFmtId="0" fontId="24" fillId="0" borderId="40" xfId="63" applyFont="1" applyFill="1" applyBorder="1"/>
    <xf numFmtId="0" fontId="28" fillId="0" borderId="25" xfId="59" applyFont="1" applyFill="1" applyBorder="1" applyAlignment="1">
      <alignment horizontal="center" vertical="center"/>
    </xf>
    <xf numFmtId="0" fontId="24" fillId="0" borderId="25" xfId="54" applyFont="1" applyFill="1" applyBorder="1" applyAlignment="1">
      <alignment horizontal="center"/>
    </xf>
    <xf numFmtId="9" fontId="25" fillId="0" borderId="25" xfId="59" applyNumberFormat="1" applyFont="1" applyFill="1" applyBorder="1" applyAlignment="1">
      <alignment vertical="center"/>
    </xf>
    <xf numFmtId="167" fontId="25" fillId="0" borderId="25" xfId="63" applyNumberFormat="1" applyFont="1" applyFill="1" applyBorder="1"/>
    <xf numFmtId="167" fontId="24" fillId="0" borderId="17" xfId="28" applyNumberFormat="1" applyFont="1" applyFill="1" applyBorder="1" applyAlignment="1">
      <alignment horizontal="center" vertical="top"/>
    </xf>
    <xf numFmtId="14" fontId="24" fillId="0" borderId="11" xfId="32" applyNumberFormat="1" applyFont="1" applyBorder="1"/>
    <xf numFmtId="41" fontId="24" fillId="0" borderId="11" xfId="32" applyFont="1" applyBorder="1" applyAlignment="1">
      <alignment wrapText="1"/>
    </xf>
    <xf numFmtId="171" fontId="24" fillId="34" borderId="11" xfId="55" applyNumberFormat="1" applyFont="1" applyFill="1" applyBorder="1" applyAlignment="1">
      <alignment horizontal="left" vertical="center"/>
    </xf>
    <xf numFmtId="0" fontId="28" fillId="0" borderId="3" xfId="59" applyFont="1" applyFill="1" applyBorder="1" applyAlignment="1">
      <alignment horizontal="center" vertical="center"/>
    </xf>
    <xf numFmtId="0" fontId="27" fillId="0" borderId="0" xfId="59" applyFont="1" applyFill="1" applyBorder="1" applyAlignment="1">
      <alignment horizontal="left" vertical="center"/>
    </xf>
    <xf numFmtId="44" fontId="24" fillId="0" borderId="2" xfId="59" applyNumberFormat="1" applyFont="1" applyFill="1" applyBorder="1" applyAlignment="1">
      <alignment horizontal="left" vertical="center"/>
    </xf>
    <xf numFmtId="171" fontId="24" fillId="34" borderId="8" xfId="55" applyNumberFormat="1" applyFont="1" applyFill="1" applyBorder="1" applyAlignment="1">
      <alignment horizontal="left" vertical="center"/>
    </xf>
    <xf numFmtId="0" fontId="26" fillId="0" borderId="8" xfId="54" applyNumberFormat="1" applyFont="1" applyBorder="1" applyAlignment="1"/>
    <xf numFmtId="0" fontId="24" fillId="0" borderId="8" xfId="54" applyFont="1" applyBorder="1" applyAlignment="1">
      <alignment horizontal="left" vertical="top" wrapText="1"/>
    </xf>
    <xf numFmtId="0" fontId="24" fillId="38" borderId="8" xfId="55" applyFont="1" applyFill="1" applyBorder="1" applyAlignment="1">
      <alignment horizontal="center"/>
    </xf>
    <xf numFmtId="0" fontId="24" fillId="38" borderId="11" xfId="54" applyFont="1" applyFill="1" applyBorder="1" applyAlignment="1">
      <alignment horizontal="left" vertical="center" wrapText="1"/>
    </xf>
    <xf numFmtId="41" fontId="24" fillId="38" borderId="11" xfId="32" applyFont="1" applyFill="1" applyBorder="1"/>
    <xf numFmtId="41" fontId="24" fillId="38" borderId="12" xfId="29" applyFont="1" applyFill="1" applyBorder="1" applyAlignment="1">
      <alignment horizontal="center" vertical="top"/>
    </xf>
    <xf numFmtId="41" fontId="24" fillId="38" borderId="11" xfId="59" applyNumberFormat="1" applyFont="1" applyFill="1" applyBorder="1" applyAlignment="1">
      <alignment vertical="center"/>
    </xf>
    <xf numFmtId="167" fontId="24" fillId="38" borderId="14" xfId="63" applyNumberFormat="1" applyFont="1" applyFill="1" applyBorder="1" applyAlignment="1">
      <alignment vertical="top"/>
    </xf>
    <xf numFmtId="167" fontId="24" fillId="38" borderId="17" xfId="63" applyNumberFormat="1" applyFont="1" applyFill="1" applyBorder="1" applyAlignment="1">
      <alignment vertical="top"/>
    </xf>
    <xf numFmtId="167" fontId="24" fillId="38" borderId="11" xfId="63" applyNumberFormat="1" applyFont="1" applyFill="1" applyBorder="1" applyAlignment="1">
      <alignment vertical="top"/>
    </xf>
    <xf numFmtId="168" fontId="24" fillId="38" borderId="17" xfId="63" applyNumberFormat="1" applyFont="1" applyFill="1" applyBorder="1" applyAlignment="1">
      <alignment vertical="top"/>
    </xf>
    <xf numFmtId="167" fontId="24" fillId="38" borderId="17" xfId="63" applyNumberFormat="1" applyFont="1" applyFill="1" applyBorder="1" applyAlignment="1">
      <alignment vertical="center"/>
    </xf>
    <xf numFmtId="0" fontId="24" fillId="38" borderId="15" xfId="63" applyFont="1" applyFill="1" applyBorder="1"/>
    <xf numFmtId="0" fontId="26" fillId="38" borderId="11" xfId="54" applyNumberFormat="1" applyFont="1" applyFill="1" applyBorder="1" applyAlignment="1"/>
    <xf numFmtId="0" fontId="24" fillId="38" borderId="11" xfId="54" applyFont="1" applyFill="1" applyBorder="1" applyAlignment="1">
      <alignment horizontal="left" vertical="top" wrapText="1"/>
    </xf>
    <xf numFmtId="166" fontId="24" fillId="38" borderId="17" xfId="54" applyNumberFormat="1" applyFont="1" applyFill="1" applyBorder="1" applyAlignment="1">
      <alignment horizontal="center" vertical="top"/>
    </xf>
    <xf numFmtId="0" fontId="24" fillId="38" borderId="11" xfId="63" applyFont="1" applyFill="1" applyBorder="1"/>
    <xf numFmtId="41" fontId="24" fillId="38" borderId="18" xfId="32" applyFont="1" applyFill="1" applyBorder="1"/>
    <xf numFmtId="0" fontId="24" fillId="38" borderId="11" xfId="54" applyFont="1" applyFill="1" applyBorder="1" applyAlignment="1">
      <alignment horizontal="center"/>
    </xf>
    <xf numFmtId="0" fontId="24" fillId="38" borderId="11" xfId="54" applyFont="1" applyFill="1" applyBorder="1" applyAlignment="1">
      <alignment wrapText="1"/>
    </xf>
    <xf numFmtId="167" fontId="25" fillId="38" borderId="17" xfId="63" applyNumberFormat="1" applyFont="1" applyFill="1" applyBorder="1" applyAlignment="1">
      <alignment vertical="center"/>
    </xf>
    <xf numFmtId="168" fontId="25" fillId="38" borderId="11" xfId="63" applyNumberFormat="1" applyFont="1" applyFill="1" applyBorder="1" applyAlignment="1">
      <alignment vertical="center"/>
    </xf>
    <xf numFmtId="168" fontId="25" fillId="38" borderId="11" xfId="63" applyNumberFormat="1" applyFont="1" applyFill="1" applyBorder="1" applyAlignment="1">
      <alignment horizontal="center" vertical="center"/>
    </xf>
    <xf numFmtId="168" fontId="25" fillId="38" borderId="14" xfId="63" applyNumberFormat="1" applyFont="1" applyFill="1" applyBorder="1" applyAlignment="1">
      <alignment horizontal="center" vertical="center"/>
    </xf>
    <xf numFmtId="41" fontId="24" fillId="38" borderId="17" xfId="29" applyFont="1" applyFill="1" applyBorder="1" applyAlignment="1">
      <alignment horizontal="center" vertical="top"/>
    </xf>
    <xf numFmtId="166" fontId="24" fillId="38" borderId="12" xfId="54" applyNumberFormat="1" applyFont="1" applyFill="1" applyBorder="1" applyAlignment="1">
      <alignment horizontal="center" vertical="top"/>
    </xf>
    <xf numFmtId="41" fontId="24" fillId="38" borderId="8" xfId="59" applyNumberFormat="1" applyFont="1" applyFill="1" applyBorder="1" applyAlignment="1">
      <alignment vertical="center"/>
    </xf>
    <xf numFmtId="167" fontId="24" fillId="0" borderId="14" xfId="63" applyNumberFormat="1" applyFont="1" applyFill="1" applyBorder="1" applyAlignment="1">
      <alignment vertical="top"/>
    </xf>
    <xf numFmtId="167" fontId="24" fillId="0" borderId="17" xfId="63" applyNumberFormat="1" applyFont="1" applyFill="1" applyBorder="1" applyAlignment="1">
      <alignment vertical="top"/>
    </xf>
    <xf numFmtId="167" fontId="24" fillId="0" borderId="11" xfId="63" applyNumberFormat="1" applyFont="1" applyFill="1" applyBorder="1" applyAlignment="1">
      <alignment vertical="top"/>
    </xf>
    <xf numFmtId="0" fontId="24" fillId="38" borderId="11" xfId="54" applyFont="1" applyFill="1" applyBorder="1" applyAlignment="1">
      <alignment horizontal="center" wrapText="1"/>
    </xf>
    <xf numFmtId="167" fontId="24" fillId="38" borderId="13" xfId="63" applyNumberFormat="1" applyFont="1" applyFill="1" applyBorder="1" applyAlignment="1">
      <alignment vertical="top"/>
    </xf>
    <xf numFmtId="167" fontId="25" fillId="38" borderId="17" xfId="63" applyNumberFormat="1" applyFont="1" applyFill="1" applyBorder="1" applyAlignment="1">
      <alignment vertical="top"/>
    </xf>
    <xf numFmtId="168" fontId="24" fillId="38" borderId="14" xfId="63" applyNumberFormat="1" applyFont="1" applyFill="1" applyBorder="1" applyAlignment="1">
      <alignment vertical="top"/>
    </xf>
    <xf numFmtId="167" fontId="25" fillId="38" borderId="14" xfId="63" applyNumberFormat="1" applyFont="1" applyFill="1" applyBorder="1" applyAlignment="1">
      <alignment vertical="top"/>
    </xf>
    <xf numFmtId="0" fontId="24" fillId="38" borderId="11" xfId="54" applyFont="1" applyFill="1" applyBorder="1" applyAlignment="1">
      <alignment horizontal="center" vertical="top" wrapText="1"/>
    </xf>
    <xf numFmtId="0" fontId="24" fillId="38" borderId="11" xfId="54" applyFont="1" applyFill="1" applyBorder="1" applyAlignment="1">
      <alignment vertical="top" wrapText="1"/>
    </xf>
    <xf numFmtId="168" fontId="25" fillId="38" borderId="17" xfId="63" applyNumberFormat="1" applyFont="1" applyFill="1" applyBorder="1" applyAlignment="1">
      <alignment horizontal="center" vertical="top"/>
    </xf>
    <xf numFmtId="167" fontId="24" fillId="38" borderId="8" xfId="63" applyNumberFormat="1" applyFont="1" applyFill="1" applyBorder="1" applyAlignment="1">
      <alignment vertical="center"/>
    </xf>
    <xf numFmtId="167" fontId="24" fillId="38" borderId="24" xfId="63" applyNumberFormat="1" applyFont="1" applyFill="1" applyBorder="1" applyAlignment="1">
      <alignment vertical="center"/>
    </xf>
    <xf numFmtId="168" fontId="24" fillId="38" borderId="23" xfId="63" applyNumberFormat="1" applyFont="1" applyFill="1" applyBorder="1" applyAlignment="1">
      <alignment vertical="center"/>
    </xf>
    <xf numFmtId="168" fontId="25" fillId="38" borderId="23" xfId="63" applyNumberFormat="1" applyFont="1" applyFill="1" applyBorder="1" applyAlignment="1">
      <alignment horizontal="center" vertical="center"/>
    </xf>
    <xf numFmtId="167" fontId="25" fillId="38" borderId="8" xfId="63" applyNumberFormat="1" applyFont="1" applyFill="1" applyBorder="1" applyAlignment="1">
      <alignment vertical="center"/>
    </xf>
    <xf numFmtId="0" fontId="27" fillId="38" borderId="45" xfId="0" applyFont="1" applyFill="1" applyBorder="1" applyAlignment="1">
      <alignment horizontal="center" vertical="center" wrapText="1"/>
    </xf>
    <xf numFmtId="0" fontId="24" fillId="38" borderId="11" xfId="54" applyFont="1" applyFill="1" applyBorder="1" applyAlignment="1">
      <alignment horizontal="center" vertical="center"/>
    </xf>
    <xf numFmtId="0" fontId="27" fillId="38" borderId="26" xfId="0" applyFont="1" applyFill="1" applyBorder="1" applyAlignment="1">
      <alignment horizontal="left" vertical="center" wrapText="1"/>
    </xf>
    <xf numFmtId="41" fontId="24" fillId="38" borderId="8" xfId="29" applyFont="1" applyFill="1" applyBorder="1" applyAlignment="1">
      <alignment horizontal="center" vertical="top"/>
    </xf>
    <xf numFmtId="9" fontId="25" fillId="38" borderId="11" xfId="59" applyNumberFormat="1" applyFont="1" applyFill="1" applyBorder="1" applyAlignment="1">
      <alignment vertical="center"/>
    </xf>
    <xf numFmtId="0" fontId="24" fillId="38" borderId="8" xfId="54" applyFont="1" applyFill="1" applyBorder="1" applyAlignment="1">
      <alignment horizontal="center" vertical="center"/>
    </xf>
    <xf numFmtId="167" fontId="24" fillId="38" borderId="46" xfId="63" applyNumberFormat="1" applyFont="1" applyFill="1" applyBorder="1" applyAlignment="1">
      <alignment vertical="top"/>
    </xf>
    <xf numFmtId="167" fontId="24" fillId="38" borderId="22" xfId="63" applyNumberFormat="1" applyFont="1" applyFill="1" applyBorder="1" applyAlignment="1">
      <alignment vertical="top"/>
    </xf>
    <xf numFmtId="167" fontId="24" fillId="38" borderId="12" xfId="63" applyNumberFormat="1" applyFont="1" applyFill="1" applyBorder="1" applyAlignment="1">
      <alignment vertical="top"/>
    </xf>
    <xf numFmtId="167" fontId="25" fillId="38" borderId="12" xfId="63" applyNumberFormat="1" applyFont="1" applyFill="1" applyBorder="1" applyAlignment="1">
      <alignment vertical="center"/>
    </xf>
    <xf numFmtId="168" fontId="25" fillId="38" borderId="8" xfId="63" applyNumberFormat="1" applyFont="1" applyFill="1" applyBorder="1" applyAlignment="1">
      <alignment horizontal="center" vertical="center"/>
    </xf>
    <xf numFmtId="167" fontId="24" fillId="38" borderId="8" xfId="63" applyNumberFormat="1" applyFont="1" applyFill="1" applyBorder="1" applyAlignment="1">
      <alignment vertical="top"/>
    </xf>
    <xf numFmtId="167" fontId="24" fillId="0" borderId="13" xfId="63" applyNumberFormat="1" applyFont="1" applyFill="1" applyBorder="1" applyAlignment="1">
      <alignment vertical="top"/>
    </xf>
    <xf numFmtId="167" fontId="24" fillId="0" borderId="46" xfId="63" applyNumberFormat="1" applyFont="1" applyFill="1" applyBorder="1" applyAlignment="1">
      <alignment vertical="top"/>
    </xf>
    <xf numFmtId="167" fontId="24" fillId="0" borderId="22" xfId="63" applyNumberFormat="1" applyFont="1" applyFill="1" applyBorder="1" applyAlignment="1">
      <alignment vertical="top"/>
    </xf>
    <xf numFmtId="167" fontId="24" fillId="0" borderId="12" xfId="63" applyNumberFormat="1" applyFont="1" applyFill="1" applyBorder="1" applyAlignment="1">
      <alignment vertical="top"/>
    </xf>
    <xf numFmtId="168" fontId="24" fillId="0" borderId="22" xfId="63" applyNumberFormat="1" applyFont="1" applyFill="1" applyBorder="1" applyAlignment="1">
      <alignment vertical="top"/>
    </xf>
    <xf numFmtId="167" fontId="24" fillId="0" borderId="8" xfId="63" applyNumberFormat="1" applyFont="1" applyFill="1" applyBorder="1" applyAlignment="1">
      <alignment vertical="top"/>
    </xf>
    <xf numFmtId="0" fontId="24" fillId="38" borderId="15" xfId="54" applyFont="1" applyFill="1" applyBorder="1" applyAlignment="1">
      <alignment horizontal="center" vertical="center"/>
    </xf>
    <xf numFmtId="0" fontId="24" fillId="38" borderId="16" xfId="54" applyFont="1" applyFill="1" applyBorder="1" applyAlignment="1">
      <alignment wrapText="1"/>
    </xf>
    <xf numFmtId="41" fontId="24" fillId="38" borderId="2" xfId="29" applyFont="1" applyFill="1" applyBorder="1" applyAlignment="1">
      <alignment horizontal="center" vertical="top"/>
    </xf>
    <xf numFmtId="41" fontId="24" fillId="38" borderId="22" xfId="29" applyFont="1" applyFill="1" applyBorder="1" applyAlignment="1">
      <alignment horizontal="center" vertical="top"/>
    </xf>
    <xf numFmtId="167" fontId="24" fillId="38" borderId="47" xfId="63" applyNumberFormat="1" applyFont="1" applyFill="1" applyBorder="1" applyAlignment="1">
      <alignment vertical="top"/>
    </xf>
    <xf numFmtId="167" fontId="25" fillId="38" borderId="14" xfId="63" applyNumberFormat="1" applyFont="1" applyFill="1" applyBorder="1" applyAlignment="1">
      <alignment vertical="center"/>
    </xf>
    <xf numFmtId="168" fontId="25" fillId="38" borderId="15" xfId="63" applyNumberFormat="1" applyFont="1" applyFill="1" applyBorder="1" applyAlignment="1">
      <alignment vertical="center"/>
    </xf>
    <xf numFmtId="168" fontId="25" fillId="38" borderId="15" xfId="63" applyNumberFormat="1" applyFont="1" applyFill="1" applyBorder="1" applyAlignment="1">
      <alignment horizontal="center" vertical="center"/>
    </xf>
    <xf numFmtId="9" fontId="25" fillId="38" borderId="15" xfId="59" applyNumberFormat="1" applyFont="1" applyFill="1" applyBorder="1" applyAlignment="1">
      <alignment vertical="center"/>
    </xf>
    <xf numFmtId="167" fontId="24" fillId="38" borderId="15" xfId="63" applyNumberFormat="1" applyFont="1" applyFill="1" applyBorder="1" applyAlignment="1">
      <alignment vertical="top"/>
    </xf>
    <xf numFmtId="41" fontId="24" fillId="38" borderId="11" xfId="29" applyFont="1" applyFill="1" applyBorder="1" applyAlignment="1">
      <alignment horizontal="center" vertical="top"/>
    </xf>
    <xf numFmtId="0" fontId="24" fillId="38" borderId="18" xfId="54" applyFont="1" applyFill="1" applyBorder="1" applyAlignment="1">
      <alignment wrapText="1"/>
    </xf>
    <xf numFmtId="168" fontId="25" fillId="38" borderId="22" xfId="63" applyNumberFormat="1" applyFont="1" applyFill="1" applyBorder="1" applyAlignment="1">
      <alignment horizontal="center" vertical="center"/>
    </xf>
    <xf numFmtId="9" fontId="24" fillId="0" borderId="8" xfId="63" applyNumberFormat="1" applyFont="1" applyBorder="1" applyAlignment="1">
      <alignment horizontal="left" vertical="top"/>
    </xf>
    <xf numFmtId="167" fontId="24" fillId="0" borderId="17" xfId="28" applyNumberFormat="1" applyFont="1" applyBorder="1" applyAlignment="1">
      <alignment horizontal="center" vertical="top"/>
    </xf>
    <xf numFmtId="167" fontId="25" fillId="0" borderId="22" xfId="28" applyNumberFormat="1" applyFont="1" applyFill="1" applyBorder="1" applyAlignment="1">
      <alignment horizontal="center"/>
    </xf>
    <xf numFmtId="167" fontId="25" fillId="0" borderId="22" xfId="28" applyNumberFormat="1" applyFont="1" applyBorder="1" applyAlignment="1">
      <alignment horizontal="center"/>
    </xf>
    <xf numFmtId="167" fontId="25" fillId="0" borderId="0" xfId="28" applyNumberFormat="1" applyFont="1" applyBorder="1" applyAlignment="1">
      <alignment horizontal="center"/>
    </xf>
    <xf numFmtId="167" fontId="25" fillId="0" borderId="27" xfId="28" applyNumberFormat="1" applyFont="1" applyBorder="1" applyAlignment="1">
      <alignment horizontal="center"/>
    </xf>
    <xf numFmtId="167" fontId="24" fillId="0" borderId="12" xfId="28" applyNumberFormat="1" applyFont="1" applyFill="1" applyBorder="1" applyAlignment="1">
      <alignment horizontal="center" vertical="top"/>
    </xf>
    <xf numFmtId="167" fontId="24" fillId="0" borderId="13" xfId="28" applyNumberFormat="1" applyFont="1" applyBorder="1" applyAlignment="1">
      <alignment vertical="top"/>
    </xf>
    <xf numFmtId="167" fontId="24" fillId="0" borderId="14" xfId="28" applyNumberFormat="1" applyFont="1" applyBorder="1" applyAlignment="1">
      <alignment vertical="top"/>
    </xf>
    <xf numFmtId="167" fontId="24" fillId="0" borderId="17" xfId="28" applyNumberFormat="1" applyFont="1" applyBorder="1" applyAlignment="1">
      <alignment vertical="top"/>
    </xf>
    <xf numFmtId="167" fontId="24" fillId="0" borderId="13" xfId="28" applyNumberFormat="1" applyFont="1" applyBorder="1" applyAlignment="1">
      <alignment vertical="center"/>
    </xf>
    <xf numFmtId="167" fontId="24" fillId="0" borderId="29" xfId="28" applyNumberFormat="1" applyFont="1" applyBorder="1" applyAlignment="1">
      <alignment vertical="top"/>
    </xf>
    <xf numFmtId="167" fontId="25" fillId="35" borderId="10" xfId="28" applyNumberFormat="1" applyFont="1" applyFill="1" applyBorder="1" applyAlignment="1">
      <alignment vertical="center"/>
    </xf>
    <xf numFmtId="0" fontId="25" fillId="39" borderId="8" xfId="55" applyFont="1" applyFill="1" applyBorder="1" applyAlignment="1">
      <alignment horizontal="center"/>
    </xf>
    <xf numFmtId="0" fontId="25" fillId="39" borderId="8" xfId="55" applyFont="1" applyFill="1" applyBorder="1" applyAlignment="1">
      <alignment vertical="top"/>
    </xf>
    <xf numFmtId="0" fontId="31" fillId="39" borderId="8" xfId="61" applyNumberFormat="1" applyFont="1" applyFill="1" applyBorder="1" applyAlignment="1"/>
    <xf numFmtId="41" fontId="25" fillId="39" borderId="8" xfId="32" applyFont="1" applyFill="1" applyBorder="1"/>
    <xf numFmtId="41" fontId="25" fillId="39" borderId="11" xfId="32" applyFont="1" applyFill="1" applyBorder="1"/>
    <xf numFmtId="41" fontId="25" fillId="39" borderId="29" xfId="32" applyFont="1" applyFill="1" applyBorder="1"/>
    <xf numFmtId="167" fontId="25" fillId="39" borderId="14" xfId="63" applyNumberFormat="1" applyFont="1" applyFill="1" applyBorder="1" applyAlignment="1">
      <alignment vertical="top"/>
    </xf>
    <xf numFmtId="167" fontId="25" fillId="39" borderId="17" xfId="63" applyNumberFormat="1" applyFont="1" applyFill="1" applyBorder="1" applyAlignment="1">
      <alignment vertical="top"/>
    </xf>
    <xf numFmtId="167" fontId="25" fillId="40" borderId="40" xfId="63" applyNumberFormat="1" applyFont="1" applyFill="1" applyBorder="1" applyAlignment="1">
      <alignment vertical="top"/>
    </xf>
    <xf numFmtId="0" fontId="24" fillId="34" borderId="25" xfId="63" applyFont="1" applyFill="1" applyBorder="1" applyAlignment="1">
      <alignment vertical="center"/>
    </xf>
    <xf numFmtId="0" fontId="27" fillId="34" borderId="25" xfId="59" applyFont="1" applyFill="1" applyBorder="1" applyAlignment="1">
      <alignment horizontal="left" vertical="center"/>
    </xf>
    <xf numFmtId="0" fontId="24" fillId="34" borderId="25" xfId="63" applyFont="1" applyFill="1" applyBorder="1" applyAlignment="1">
      <alignment vertical="center" wrapText="1"/>
    </xf>
    <xf numFmtId="0" fontId="27" fillId="34" borderId="25" xfId="59" applyFont="1" applyFill="1" applyBorder="1" applyAlignment="1">
      <alignment vertical="center"/>
    </xf>
    <xf numFmtId="41" fontId="24" fillId="34" borderId="25" xfId="59" applyNumberFormat="1" applyFont="1" applyFill="1" applyBorder="1" applyAlignment="1">
      <alignment vertical="center"/>
    </xf>
    <xf numFmtId="41" fontId="24" fillId="34" borderId="11" xfId="32" applyFont="1" applyFill="1" applyBorder="1"/>
    <xf numFmtId="41" fontId="24" fillId="34" borderId="23" xfId="59" applyNumberFormat="1" applyFont="1" applyFill="1" applyBorder="1" applyAlignment="1">
      <alignment vertical="center"/>
    </xf>
    <xf numFmtId="0" fontId="24" fillId="34" borderId="26" xfId="54" applyFont="1" applyFill="1" applyBorder="1" applyAlignment="1">
      <alignment horizontal="center" vertical="center"/>
    </xf>
    <xf numFmtId="0" fontId="24" fillId="34" borderId="25" xfId="54" applyFont="1" applyFill="1" applyBorder="1" applyAlignment="1">
      <alignment horizontal="center" vertical="center"/>
    </xf>
    <xf numFmtId="0" fontId="24" fillId="34" borderId="25" xfId="54" applyFont="1" applyFill="1" applyBorder="1" applyAlignment="1">
      <alignment vertical="center" wrapText="1"/>
    </xf>
    <xf numFmtId="167" fontId="24" fillId="34" borderId="24" xfId="28" applyNumberFormat="1" applyFont="1" applyFill="1" applyBorder="1" applyAlignment="1">
      <alignment horizontal="center" vertical="center"/>
    </xf>
    <xf numFmtId="167" fontId="24" fillId="34" borderId="8" xfId="28" applyNumberFormat="1" applyFont="1" applyFill="1" applyBorder="1" applyAlignment="1">
      <alignment vertical="center"/>
    </xf>
    <xf numFmtId="167" fontId="24" fillId="34" borderId="23" xfId="28" applyNumberFormat="1" applyFont="1" applyFill="1" applyBorder="1" applyAlignment="1">
      <alignment vertical="center"/>
    </xf>
    <xf numFmtId="167" fontId="24" fillId="34" borderId="11" xfId="28" applyNumberFormat="1" applyFont="1" applyFill="1" applyBorder="1" applyAlignment="1">
      <alignment vertical="center"/>
    </xf>
    <xf numFmtId="167" fontId="24" fillId="34" borderId="17" xfId="63" applyNumberFormat="1" applyFont="1" applyFill="1" applyBorder="1" applyAlignment="1">
      <alignment vertical="top"/>
    </xf>
    <xf numFmtId="168" fontId="24" fillId="34" borderId="17" xfId="63" applyNumberFormat="1" applyFont="1" applyFill="1" applyBorder="1" applyAlignment="1">
      <alignment vertical="top"/>
    </xf>
    <xf numFmtId="168" fontId="24" fillId="34" borderId="23" xfId="63" applyNumberFormat="1" applyFont="1" applyFill="1" applyBorder="1" applyAlignment="1">
      <alignment vertical="center"/>
    </xf>
    <xf numFmtId="167" fontId="24" fillId="34" borderId="22" xfId="63" applyNumberFormat="1" applyFont="1" applyFill="1" applyBorder="1" applyAlignment="1">
      <alignment vertical="top"/>
    </xf>
    <xf numFmtId="167" fontId="24" fillId="34" borderId="23" xfId="63" applyNumberFormat="1" applyFont="1" applyFill="1" applyBorder="1" applyAlignment="1">
      <alignment vertical="center"/>
    </xf>
    <xf numFmtId="167" fontId="24" fillId="34" borderId="19" xfId="63" applyNumberFormat="1" applyFont="1" applyFill="1" applyBorder="1" applyAlignment="1">
      <alignment vertical="center"/>
    </xf>
    <xf numFmtId="0" fontId="24" fillId="34" borderId="19" xfId="63" applyFont="1" applyFill="1" applyBorder="1" applyAlignment="1">
      <alignment vertical="center"/>
    </xf>
    <xf numFmtId="0" fontId="24" fillId="34" borderId="20" xfId="63" applyFont="1" applyFill="1" applyBorder="1" applyAlignment="1">
      <alignment vertical="center"/>
    </xf>
    <xf numFmtId="0" fontId="24" fillId="34" borderId="0" xfId="63" applyFont="1" applyFill="1" applyBorder="1" applyAlignment="1">
      <alignment vertical="center"/>
    </xf>
    <xf numFmtId="41" fontId="24" fillId="0" borderId="18" xfId="59" applyNumberFormat="1" applyFont="1" applyFill="1" applyBorder="1" applyAlignment="1">
      <alignment vertical="center"/>
    </xf>
    <xf numFmtId="167" fontId="24" fillId="0" borderId="12" xfId="28" applyNumberFormat="1" applyFont="1" applyFill="1" applyBorder="1" applyAlignment="1">
      <alignment horizontal="center" vertical="center"/>
    </xf>
    <xf numFmtId="41" fontId="24" fillId="0" borderId="2" xfId="32" applyFont="1" applyBorder="1"/>
    <xf numFmtId="167" fontId="25" fillId="38" borderId="22" xfId="63" applyNumberFormat="1" applyFont="1" applyFill="1" applyBorder="1" applyAlignment="1">
      <alignment vertical="center"/>
    </xf>
    <xf numFmtId="0" fontId="24" fillId="38" borderId="2" xfId="63" applyFont="1" applyFill="1" applyBorder="1"/>
    <xf numFmtId="167" fontId="24" fillId="0" borderId="0" xfId="63" applyNumberFormat="1" applyFont="1" applyFill="1" applyBorder="1" applyAlignment="1">
      <alignment vertical="center"/>
    </xf>
    <xf numFmtId="0" fontId="24" fillId="0" borderId="0" xfId="63" applyFont="1" applyFill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24" fillId="34" borderId="3" xfId="55" applyFont="1" applyFill="1" applyBorder="1" applyAlignment="1">
      <alignment vertical="center"/>
    </xf>
    <xf numFmtId="41" fontId="24" fillId="0" borderId="3" xfId="32" applyFont="1" applyBorder="1"/>
    <xf numFmtId="167" fontId="24" fillId="34" borderId="2" xfId="63" applyNumberFormat="1" applyFont="1" applyFill="1" applyBorder="1" applyAlignment="1">
      <alignment vertical="center"/>
    </xf>
    <xf numFmtId="41" fontId="24" fillId="0" borderId="25" xfId="32" applyFont="1" applyBorder="1"/>
    <xf numFmtId="0" fontId="24" fillId="0" borderId="25" xfId="63" applyFont="1" applyBorder="1"/>
    <xf numFmtId="0" fontId="24" fillId="0" borderId="5" xfId="55" applyFont="1" applyFill="1" applyBorder="1" applyAlignment="1">
      <alignment horizontal="center" vertical="center"/>
    </xf>
    <xf numFmtId="0" fontId="24" fillId="34" borderId="6" xfId="55" applyFont="1" applyFill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0" borderId="6" xfId="0" applyFont="1" applyBorder="1" applyAlignment="1">
      <alignment vertical="center" wrapText="1"/>
    </xf>
    <xf numFmtId="41" fontId="26" fillId="0" borderId="5" xfId="28" applyNumberFormat="1" applyFont="1" applyBorder="1" applyAlignment="1">
      <alignment vertical="center"/>
    </xf>
    <xf numFmtId="41" fontId="24" fillId="0" borderId="5" xfId="32" applyFont="1" applyBorder="1" applyAlignment="1">
      <alignment vertical="center"/>
    </xf>
    <xf numFmtId="41" fontId="24" fillId="0" borderId="5" xfId="32" applyFont="1" applyBorder="1"/>
    <xf numFmtId="41" fontId="24" fillId="0" borderId="6" xfId="32" applyFont="1" applyBorder="1"/>
    <xf numFmtId="0" fontId="27" fillId="0" borderId="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left" vertical="center" wrapText="1"/>
    </xf>
    <xf numFmtId="41" fontId="27" fillId="0" borderId="7" xfId="30" applyFont="1" applyFill="1" applyBorder="1" applyAlignment="1">
      <alignment horizontal="center" vertical="center" wrapText="1"/>
    </xf>
    <xf numFmtId="41" fontId="27" fillId="0" borderId="28" xfId="29" applyFont="1" applyFill="1" applyBorder="1" applyAlignment="1">
      <alignment horizontal="center" vertical="center" wrapText="1"/>
    </xf>
    <xf numFmtId="41" fontId="24" fillId="0" borderId="5" xfId="29" applyFont="1" applyBorder="1" applyAlignment="1">
      <alignment vertical="center"/>
    </xf>
    <xf numFmtId="167" fontId="24" fillId="0" borderId="7" xfId="63" applyNumberFormat="1" applyFont="1" applyBorder="1" applyAlignment="1">
      <alignment vertical="top"/>
    </xf>
    <xf numFmtId="167" fontId="24" fillId="0" borderId="7" xfId="63" applyNumberFormat="1" applyFont="1" applyBorder="1" applyAlignment="1">
      <alignment vertical="center"/>
    </xf>
    <xf numFmtId="0" fontId="24" fillId="0" borderId="5" xfId="63" applyFont="1" applyBorder="1"/>
    <xf numFmtId="0" fontId="24" fillId="38" borderId="8" xfId="54" applyFont="1" applyFill="1" applyBorder="1" applyAlignment="1">
      <alignment horizontal="center" vertical="top" wrapText="1"/>
    </xf>
    <xf numFmtId="0" fontId="24" fillId="38" borderId="8" xfId="54" applyFont="1" applyFill="1" applyBorder="1" applyAlignment="1">
      <alignment horizontal="center" wrapText="1"/>
    </xf>
    <xf numFmtId="0" fontId="24" fillId="38" borderId="8" xfId="54" applyFont="1" applyFill="1" applyBorder="1" applyAlignment="1">
      <alignment vertical="top" wrapText="1"/>
    </xf>
    <xf numFmtId="167" fontId="25" fillId="38" borderId="12" xfId="63" applyNumberFormat="1" applyFont="1" applyFill="1" applyBorder="1" applyAlignment="1">
      <alignment vertical="top"/>
    </xf>
    <xf numFmtId="9" fontId="25" fillId="38" borderId="8" xfId="59" applyNumberFormat="1" applyFont="1" applyFill="1" applyBorder="1" applyAlignment="1">
      <alignment vertical="center"/>
    </xf>
    <xf numFmtId="0" fontId="27" fillId="0" borderId="11" xfId="59" applyFont="1" applyFill="1" applyBorder="1" applyAlignment="1">
      <alignment vertical="center"/>
    </xf>
    <xf numFmtId="44" fontId="24" fillId="0" borderId="11" xfId="54" applyNumberFormat="1" applyFont="1" applyFill="1" applyBorder="1" applyAlignment="1">
      <alignment horizontal="left" vertical="center"/>
    </xf>
    <xf numFmtId="167" fontId="25" fillId="38" borderId="11" xfId="63" applyNumberFormat="1" applyFont="1" applyFill="1" applyBorder="1" applyAlignment="1">
      <alignment vertical="top"/>
    </xf>
    <xf numFmtId="167" fontId="24" fillId="38" borderId="11" xfId="63" applyNumberFormat="1" applyFont="1" applyFill="1" applyBorder="1" applyAlignment="1">
      <alignment vertical="center"/>
    </xf>
    <xf numFmtId="168" fontId="24" fillId="38" borderId="11" xfId="63" applyNumberFormat="1" applyFont="1" applyFill="1" applyBorder="1" applyAlignment="1">
      <alignment vertical="center"/>
    </xf>
    <xf numFmtId="167" fontId="25" fillId="38" borderId="11" xfId="63" applyNumberFormat="1" applyFont="1" applyFill="1" applyBorder="1" applyAlignment="1">
      <alignment vertical="center"/>
    </xf>
    <xf numFmtId="166" fontId="24" fillId="38" borderId="11" xfId="54" applyNumberFormat="1" applyFont="1" applyFill="1" applyBorder="1" applyAlignment="1">
      <alignment horizontal="center" vertical="top"/>
    </xf>
    <xf numFmtId="44" fontId="24" fillId="0" borderId="25" xfId="54" applyNumberFormat="1" applyFont="1" applyFill="1" applyBorder="1" applyAlignment="1">
      <alignment horizontal="left" vertical="center"/>
    </xf>
    <xf numFmtId="41" fontId="24" fillId="38" borderId="25" xfId="29" applyFont="1" applyFill="1" applyBorder="1" applyAlignment="1">
      <alignment horizontal="center" vertical="top"/>
    </xf>
    <xf numFmtId="171" fontId="24" fillId="34" borderId="3" xfId="55" applyNumberFormat="1" applyFont="1" applyFill="1" applyBorder="1" applyAlignment="1">
      <alignment horizontal="left" vertical="center"/>
    </xf>
    <xf numFmtId="0" fontId="24" fillId="0" borderId="2" xfId="0" applyFont="1" applyBorder="1" applyAlignment="1">
      <alignment vertical="top"/>
    </xf>
    <xf numFmtId="0" fontId="24" fillId="0" borderId="3" xfId="0" applyFont="1" applyBorder="1" applyAlignment="1">
      <alignment vertical="top" wrapText="1"/>
    </xf>
    <xf numFmtId="41" fontId="26" fillId="0" borderId="2" xfId="28" applyNumberFormat="1" applyFont="1" applyBorder="1" applyAlignment="1">
      <alignment vertical="top"/>
    </xf>
    <xf numFmtId="41" fontId="26" fillId="0" borderId="22" xfId="28" applyNumberFormat="1" applyFont="1" applyBorder="1" applyAlignment="1">
      <alignment vertical="top"/>
    </xf>
    <xf numFmtId="41" fontId="24" fillId="0" borderId="22" xfId="32" applyFont="1" applyBorder="1"/>
    <xf numFmtId="41" fontId="24" fillId="38" borderId="8" xfId="32" applyFont="1" applyFill="1" applyBorder="1"/>
    <xf numFmtId="9" fontId="24" fillId="0" borderId="29" xfId="71" applyFont="1" applyBorder="1" applyAlignment="1">
      <alignment vertical="top"/>
    </xf>
    <xf numFmtId="0" fontId="25" fillId="0" borderId="0" xfId="63" applyFont="1" applyFill="1" applyBorder="1"/>
    <xf numFmtId="0" fontId="25" fillId="0" borderId="2" xfId="63" applyFont="1" applyFill="1" applyBorder="1"/>
    <xf numFmtId="0" fontId="25" fillId="0" borderId="3" xfId="63" applyFont="1" applyFill="1" applyBorder="1"/>
    <xf numFmtId="0" fontId="25" fillId="35" borderId="0" xfId="63" applyFont="1" applyFill="1"/>
    <xf numFmtId="0" fontId="25" fillId="35" borderId="0" xfId="63" applyFont="1" applyFill="1" applyBorder="1"/>
    <xf numFmtId="44" fontId="24" fillId="0" borderId="8" xfId="54" applyNumberFormat="1" applyFont="1" applyFill="1" applyBorder="1" applyAlignment="1">
      <alignment horizontal="left" vertical="center"/>
    </xf>
    <xf numFmtId="166" fontId="24" fillId="38" borderId="8" xfId="54" applyNumberFormat="1" applyFont="1" applyFill="1" applyBorder="1" applyAlignment="1">
      <alignment horizontal="center" vertical="top"/>
    </xf>
    <xf numFmtId="168" fontId="24" fillId="38" borderId="8" xfId="63" applyNumberFormat="1" applyFont="1" applyFill="1" applyBorder="1" applyAlignment="1">
      <alignment vertical="center"/>
    </xf>
    <xf numFmtId="0" fontId="27" fillId="0" borderId="29" xfId="65" applyFont="1" applyFill="1" applyBorder="1" applyAlignment="1">
      <alignment horizontal="left" wrapText="1"/>
    </xf>
    <xf numFmtId="0" fontId="28" fillId="39" borderId="8" xfId="59" applyFont="1" applyFill="1" applyBorder="1" applyAlignment="1">
      <alignment horizontal="center" vertical="center"/>
    </xf>
    <xf numFmtId="41" fontId="25" fillId="39" borderId="8" xfId="59" applyNumberFormat="1" applyFont="1" applyFill="1" applyBorder="1" applyAlignment="1">
      <alignment vertical="center"/>
    </xf>
    <xf numFmtId="0" fontId="25" fillId="39" borderId="8" xfId="54" applyFont="1" applyFill="1" applyBorder="1" applyAlignment="1">
      <alignment horizontal="center"/>
    </xf>
    <xf numFmtId="167" fontId="25" fillId="39" borderId="8" xfId="63" applyNumberFormat="1" applyFont="1" applyFill="1" applyBorder="1"/>
    <xf numFmtId="41" fontId="25" fillId="39" borderId="11" xfId="59" applyNumberFormat="1" applyFont="1" applyFill="1" applyBorder="1" applyAlignment="1">
      <alignment vertical="center"/>
    </xf>
    <xf numFmtId="171" fontId="25" fillId="39" borderId="8" xfId="55" applyNumberFormat="1" applyFont="1" applyFill="1" applyBorder="1" applyAlignment="1">
      <alignment horizontal="left" vertical="center"/>
    </xf>
    <xf numFmtId="0" fontId="28" fillId="39" borderId="8" xfId="59" applyFont="1" applyFill="1" applyBorder="1" applyAlignment="1">
      <alignment horizontal="left" vertical="center"/>
    </xf>
    <xf numFmtId="0" fontId="28" fillId="39" borderId="29" xfId="65" applyFont="1" applyFill="1" applyBorder="1" applyAlignment="1">
      <alignment horizontal="left" wrapText="1"/>
    </xf>
    <xf numFmtId="41" fontId="25" fillId="39" borderId="8" xfId="59" applyNumberFormat="1" applyFont="1" applyFill="1" applyBorder="1" applyAlignment="1">
      <alignment vertical="center" wrapText="1"/>
    </xf>
    <xf numFmtId="14" fontId="25" fillId="39" borderId="8" xfId="59" applyNumberFormat="1" applyFont="1" applyFill="1" applyBorder="1" applyAlignment="1">
      <alignment vertical="center"/>
    </xf>
    <xf numFmtId="167" fontId="25" fillId="39" borderId="11" xfId="63" applyNumberFormat="1" applyFont="1" applyFill="1" applyBorder="1"/>
    <xf numFmtId="0" fontId="25" fillId="39" borderId="11" xfId="63" applyFont="1" applyFill="1" applyBorder="1"/>
    <xf numFmtId="167" fontId="25" fillId="39" borderId="17" xfId="63" applyNumberFormat="1" applyFont="1" applyFill="1" applyBorder="1" applyAlignment="1">
      <alignment vertical="center"/>
    </xf>
    <xf numFmtId="0" fontId="25" fillId="39" borderId="8" xfId="55" applyFont="1" applyFill="1" applyBorder="1" applyAlignment="1">
      <alignment horizontal="center" vertical="center"/>
    </xf>
    <xf numFmtId="0" fontId="25" fillId="39" borderId="11" xfId="55" applyFont="1" applyFill="1" applyBorder="1" applyAlignment="1">
      <alignment vertical="center"/>
    </xf>
    <xf numFmtId="0" fontId="25" fillId="39" borderId="11" xfId="0" applyFont="1" applyFill="1" applyBorder="1" applyAlignment="1">
      <alignment vertical="top"/>
    </xf>
    <xf numFmtId="0" fontId="25" fillId="39" borderId="11" xfId="54" applyFont="1" applyFill="1" applyBorder="1" applyAlignment="1">
      <alignment horizontal="left" vertical="top" wrapText="1"/>
    </xf>
    <xf numFmtId="14" fontId="25" fillId="39" borderId="11" xfId="32" applyNumberFormat="1" applyFont="1" applyFill="1" applyBorder="1"/>
    <xf numFmtId="41" fontId="25" fillId="39" borderId="18" xfId="32" applyFont="1" applyFill="1" applyBorder="1"/>
    <xf numFmtId="0" fontId="25" fillId="39" borderId="11" xfId="54" applyFont="1" applyFill="1" applyBorder="1" applyAlignment="1">
      <alignment horizontal="center"/>
    </xf>
    <xf numFmtId="0" fontId="25" fillId="39" borderId="11" xfId="54" applyFont="1" applyFill="1" applyBorder="1" applyAlignment="1">
      <alignment wrapText="1"/>
    </xf>
    <xf numFmtId="41" fontId="25" fillId="39" borderId="12" xfId="29" applyFont="1" applyFill="1" applyBorder="1" applyAlignment="1">
      <alignment horizontal="center" vertical="top"/>
    </xf>
    <xf numFmtId="168" fontId="25" fillId="39" borderId="14" xfId="63" applyNumberFormat="1" applyFont="1" applyFill="1" applyBorder="1" applyAlignment="1">
      <alignment vertical="top"/>
    </xf>
    <xf numFmtId="0" fontId="25" fillId="39" borderId="15" xfId="63" applyFont="1" applyFill="1" applyBorder="1"/>
    <xf numFmtId="0" fontId="25" fillId="39" borderId="16" xfId="63" applyFont="1" applyFill="1" applyBorder="1"/>
    <xf numFmtId="0" fontId="25" fillId="39" borderId="0" xfId="63" applyFont="1" applyFill="1"/>
    <xf numFmtId="0" fontId="28" fillId="39" borderId="11" xfId="59" applyFont="1" applyFill="1" applyBorder="1" applyAlignment="1">
      <alignment horizontal="center" vertical="center"/>
    </xf>
    <xf numFmtId="167" fontId="24" fillId="39" borderId="11" xfId="63" applyNumberFormat="1" applyFont="1" applyFill="1" applyBorder="1"/>
    <xf numFmtId="0" fontId="24" fillId="39" borderId="11" xfId="63" applyFont="1" applyFill="1" applyBorder="1"/>
    <xf numFmtId="0" fontId="28" fillId="39" borderId="11" xfId="59" applyFont="1" applyFill="1" applyBorder="1" applyAlignment="1">
      <alignment horizontal="left" vertical="center"/>
    </xf>
    <xf numFmtId="0" fontId="28" fillId="39" borderId="11" xfId="59" applyFont="1" applyFill="1" applyBorder="1" applyAlignment="1">
      <alignment horizontal="left" vertical="center" wrapText="1"/>
    </xf>
    <xf numFmtId="0" fontId="25" fillId="39" borderId="11" xfId="54" applyFont="1" applyFill="1" applyBorder="1" applyAlignment="1">
      <alignment horizontal="center" wrapText="1"/>
    </xf>
    <xf numFmtId="0" fontId="25" fillId="39" borderId="11" xfId="54" applyFont="1" applyFill="1" applyBorder="1" applyAlignment="1">
      <alignment vertical="center" wrapText="1"/>
    </xf>
    <xf numFmtId="167" fontId="25" fillId="40" borderId="4" xfId="63" applyNumberFormat="1" applyFont="1" applyFill="1" applyBorder="1" applyAlignment="1">
      <alignment vertical="center"/>
    </xf>
    <xf numFmtId="0" fontId="28" fillId="39" borderId="8" xfId="59" applyFont="1" applyFill="1" applyBorder="1" applyAlignment="1">
      <alignment horizontal="left" vertical="center" wrapText="1"/>
    </xf>
    <xf numFmtId="41" fontId="25" fillId="39" borderId="8" xfId="59" quotePrefix="1" applyNumberFormat="1" applyFont="1" applyFill="1" applyBorder="1" applyAlignment="1">
      <alignment vertical="center" wrapText="1"/>
    </xf>
    <xf numFmtId="41" fontId="25" fillId="39" borderId="31" xfId="32" applyFont="1" applyFill="1" applyBorder="1" applyAlignment="1">
      <alignment vertical="center"/>
    </xf>
    <xf numFmtId="0" fontId="25" fillId="39" borderId="8" xfId="54" applyFont="1" applyFill="1" applyBorder="1" applyAlignment="1">
      <alignment horizontal="center" vertical="center"/>
    </xf>
    <xf numFmtId="0" fontId="25" fillId="39" borderId="8" xfId="54" applyFont="1" applyFill="1" applyBorder="1" applyAlignment="1">
      <alignment vertical="center" wrapText="1"/>
    </xf>
    <xf numFmtId="41" fontId="25" fillId="39" borderId="12" xfId="29" applyFont="1" applyFill="1" applyBorder="1" applyAlignment="1">
      <alignment horizontal="center" vertical="center"/>
    </xf>
    <xf numFmtId="167" fontId="25" fillId="39" borderId="12" xfId="63" applyNumberFormat="1" applyFont="1" applyFill="1" applyBorder="1" applyAlignment="1">
      <alignment vertical="center"/>
    </xf>
    <xf numFmtId="168" fontId="25" fillId="39" borderId="8" xfId="63" applyNumberFormat="1" applyFont="1" applyFill="1" applyBorder="1" applyAlignment="1">
      <alignment vertical="center"/>
    </xf>
    <xf numFmtId="167" fontId="25" fillId="39" borderId="8" xfId="63" applyNumberFormat="1" applyFont="1" applyFill="1" applyBorder="1" applyAlignment="1">
      <alignment vertical="center"/>
    </xf>
    <xf numFmtId="41" fontId="25" fillId="39" borderId="11" xfId="59" quotePrefix="1" applyNumberFormat="1" applyFont="1" applyFill="1" applyBorder="1" applyAlignment="1">
      <alignment vertical="center" wrapText="1"/>
    </xf>
    <xf numFmtId="14" fontId="25" fillId="39" borderId="11" xfId="59" applyNumberFormat="1" applyFont="1" applyFill="1" applyBorder="1" applyAlignment="1">
      <alignment vertical="center"/>
    </xf>
    <xf numFmtId="0" fontId="27" fillId="39" borderId="8" xfId="59" applyFont="1" applyFill="1" applyBorder="1" applyAlignment="1">
      <alignment horizontal="left" vertical="center"/>
    </xf>
    <xf numFmtId="9" fontId="24" fillId="0" borderId="25" xfId="71" applyFont="1" applyFill="1" applyBorder="1" applyAlignment="1">
      <alignment vertical="center"/>
    </xf>
    <xf numFmtId="0" fontId="24" fillId="0" borderId="25" xfId="63" applyFont="1" applyFill="1" applyBorder="1" applyAlignment="1">
      <alignment horizontal="center" vertical="center"/>
    </xf>
    <xf numFmtId="41" fontId="25" fillId="37" borderId="5" xfId="59" applyNumberFormat="1" applyFont="1" applyFill="1" applyBorder="1" applyAlignment="1">
      <alignment vertical="center"/>
    </xf>
    <xf numFmtId="44" fontId="25" fillId="37" borderId="5" xfId="59" applyNumberFormat="1" applyFont="1" applyFill="1" applyBorder="1" applyAlignment="1">
      <alignment horizontal="left" vertical="center"/>
    </xf>
    <xf numFmtId="0" fontId="25" fillId="37" borderId="5" xfId="54" applyFont="1" applyFill="1" applyBorder="1" applyAlignment="1">
      <alignment wrapText="1"/>
    </xf>
    <xf numFmtId="167" fontId="25" fillId="37" borderId="5" xfId="63" applyNumberFormat="1" applyFont="1" applyFill="1" applyBorder="1"/>
    <xf numFmtId="168" fontId="25" fillId="37" borderId="5" xfId="63" applyNumberFormat="1" applyFont="1" applyFill="1" applyBorder="1"/>
    <xf numFmtId="41" fontId="24" fillId="0" borderId="11" xfId="32" applyFont="1" applyFill="1" applyBorder="1"/>
    <xf numFmtId="0" fontId="24" fillId="34" borderId="8" xfId="55" applyFont="1" applyFill="1" applyBorder="1" applyAlignment="1">
      <alignment vertical="center"/>
    </xf>
    <xf numFmtId="0" fontId="24" fillId="0" borderId="30" xfId="54" applyFont="1" applyFill="1" applyBorder="1" applyAlignment="1">
      <alignment vertical="center" wrapText="1"/>
    </xf>
    <xf numFmtId="0" fontId="24" fillId="0" borderId="30" xfId="54" applyFont="1" applyFill="1" applyBorder="1" applyAlignment="1">
      <alignment horizontal="center"/>
    </xf>
    <xf numFmtId="41" fontId="24" fillId="0" borderId="17" xfId="29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8" xfId="0" applyFill="1" applyBorder="1"/>
    <xf numFmtId="164" fontId="0" fillId="0" borderId="48" xfId="0" applyNumberFormat="1" applyFill="1" applyBorder="1"/>
    <xf numFmtId="164" fontId="30" fillId="0" borderId="48" xfId="28" applyNumberFormat="1" applyFont="1" applyFill="1" applyBorder="1" applyAlignment="1">
      <alignment horizontal="center" vertical="center" wrapText="1"/>
    </xf>
    <xf numFmtId="172" fontId="4" fillId="0" borderId="48" xfId="29" applyNumberFormat="1" applyFont="1" applyFill="1" applyBorder="1"/>
    <xf numFmtId="164" fontId="0" fillId="0" borderId="48" xfId="0" applyNumberFormat="1" applyFont="1" applyFill="1" applyBorder="1"/>
    <xf numFmtId="172" fontId="4" fillId="0" borderId="49" xfId="71" applyNumberFormat="1" applyFont="1" applyFill="1" applyBorder="1"/>
    <xf numFmtId="172" fontId="4" fillId="0" borderId="47" xfId="71" applyNumberFormat="1" applyFont="1" applyFill="1" applyBorder="1"/>
    <xf numFmtId="0" fontId="0" fillId="0" borderId="19" xfId="0" quotePrefix="1" applyFill="1" applyBorder="1" applyAlignment="1">
      <alignment vertical="center"/>
    </xf>
    <xf numFmtId="164" fontId="0" fillId="0" borderId="19" xfId="0" applyNumberFormat="1" applyFill="1" applyBorder="1" applyAlignment="1">
      <alignment vertical="center"/>
    </xf>
    <xf numFmtId="172" fontId="4" fillId="0" borderId="19" xfId="29" applyNumberFormat="1" applyFont="1" applyFill="1" applyBorder="1" applyAlignment="1">
      <alignment vertical="center"/>
    </xf>
    <xf numFmtId="164" fontId="0" fillId="0" borderId="19" xfId="0" applyNumberFormat="1" applyFont="1" applyFill="1" applyBorder="1" applyAlignment="1">
      <alignment vertical="center"/>
    </xf>
    <xf numFmtId="172" fontId="4" fillId="0" borderId="13" xfId="71" applyNumberFormat="1" applyFont="1" applyFill="1" applyBorder="1"/>
    <xf numFmtId="0" fontId="0" fillId="0" borderId="23" xfId="0" quotePrefix="1" applyFill="1" applyBorder="1"/>
    <xf numFmtId="164" fontId="30" fillId="0" borderId="23" xfId="28" applyNumberFormat="1" applyFont="1" applyFill="1" applyBorder="1" applyAlignment="1">
      <alignment horizontal="center" vertical="center" wrapText="1"/>
    </xf>
    <xf numFmtId="172" fontId="4" fillId="0" borderId="23" xfId="29" applyNumberFormat="1" applyFont="1" applyFill="1" applyBorder="1"/>
    <xf numFmtId="164" fontId="0" fillId="0" borderId="23" xfId="0" applyNumberFormat="1" applyFont="1" applyFill="1" applyBorder="1"/>
    <xf numFmtId="172" fontId="4" fillId="0" borderId="26" xfId="71" applyNumberFormat="1" applyFont="1" applyFill="1" applyBorder="1"/>
    <xf numFmtId="172" fontId="4" fillId="0" borderId="46" xfId="71" applyNumberFormat="1" applyFont="1" applyFill="1" applyBorder="1"/>
    <xf numFmtId="164" fontId="0" fillId="37" borderId="23" xfId="0" applyNumberFormat="1" applyFill="1" applyBorder="1"/>
    <xf numFmtId="172" fontId="4" fillId="37" borderId="23" xfId="29" applyNumberFormat="1" applyFont="1" applyFill="1" applyBorder="1"/>
    <xf numFmtId="172" fontId="4" fillId="37" borderId="26" xfId="71" applyNumberFormat="1" applyFont="1" applyFill="1" applyBorder="1"/>
    <xf numFmtId="172" fontId="4" fillId="37" borderId="23" xfId="71" applyNumberFormat="1" applyFont="1" applyFill="1" applyBorder="1"/>
    <xf numFmtId="172" fontId="4" fillId="0" borderId="20" xfId="71" applyNumberFormat="1" applyFont="1" applyFill="1" applyBorder="1"/>
    <xf numFmtId="9" fontId="4" fillId="0" borderId="26" xfId="71" applyFont="1" applyFill="1" applyBorder="1"/>
    <xf numFmtId="9" fontId="4" fillId="0" borderId="46" xfId="71" applyFont="1" applyFill="1" applyBorder="1"/>
    <xf numFmtId="164" fontId="0" fillId="37" borderId="19" xfId="0" applyNumberFormat="1" applyFill="1" applyBorder="1"/>
    <xf numFmtId="172" fontId="4" fillId="37" borderId="19" xfId="29" applyNumberFormat="1" applyFont="1" applyFill="1" applyBorder="1"/>
    <xf numFmtId="9" fontId="4" fillId="37" borderId="20" xfId="71" applyFont="1" applyFill="1" applyBorder="1"/>
    <xf numFmtId="9" fontId="4" fillId="37" borderId="19" xfId="71" applyFont="1" applyFill="1" applyBorder="1"/>
    <xf numFmtId="164" fontId="22" fillId="41" borderId="50" xfId="0" applyNumberFormat="1" applyFont="1" applyFill="1" applyBorder="1"/>
    <xf numFmtId="172" fontId="22" fillId="41" borderId="50" xfId="29" applyNumberFormat="1" applyFont="1" applyFill="1" applyBorder="1"/>
    <xf numFmtId="172" fontId="22" fillId="41" borderId="51" xfId="71" applyNumberFormat="1" applyFont="1" applyFill="1" applyBorder="1"/>
    <xf numFmtId="172" fontId="22" fillId="41" borderId="52" xfId="71" applyNumberFormat="1" applyFont="1" applyFill="1" applyBorder="1"/>
    <xf numFmtId="164" fontId="22" fillId="41" borderId="53" xfId="0" applyNumberFormat="1" applyFont="1" applyFill="1" applyBorder="1"/>
    <xf numFmtId="172" fontId="22" fillId="41" borderId="54" xfId="71" applyNumberFormat="1" applyFont="1" applyFill="1" applyBorder="1"/>
    <xf numFmtId="172" fontId="22" fillId="41" borderId="34" xfId="71" applyNumberFormat="1" applyFont="1" applyFill="1" applyBorder="1"/>
    <xf numFmtId="172" fontId="4" fillId="0" borderId="13" xfId="71" applyNumberFormat="1" applyFont="1" applyFill="1" applyBorder="1"/>
    <xf numFmtId="0" fontId="0" fillId="0" borderId="0" xfId="0" applyAlignment="1">
      <alignment vertical="center"/>
    </xf>
    <xf numFmtId="0" fontId="28" fillId="0" borderId="18" xfId="59" applyFont="1" applyFill="1" applyBorder="1" applyAlignment="1">
      <alignment horizontal="center" vertical="center"/>
    </xf>
    <xf numFmtId="0" fontId="28" fillId="39" borderId="3" xfId="59" applyFont="1" applyFill="1" applyBorder="1" applyAlignment="1">
      <alignment horizontal="center" vertical="center"/>
    </xf>
    <xf numFmtId="41" fontId="25" fillId="39" borderId="2" xfId="59" applyNumberFormat="1" applyFont="1" applyFill="1" applyBorder="1" applyAlignment="1">
      <alignment vertical="center"/>
    </xf>
    <xf numFmtId="167" fontId="25" fillId="39" borderId="22" xfId="63" applyNumberFormat="1" applyFont="1" applyFill="1" applyBorder="1" applyAlignment="1">
      <alignment vertical="center"/>
    </xf>
    <xf numFmtId="168" fontId="25" fillId="39" borderId="2" xfId="63" applyNumberFormat="1" applyFont="1" applyFill="1" applyBorder="1" applyAlignment="1">
      <alignment vertical="center"/>
    </xf>
    <xf numFmtId="9" fontId="25" fillId="39" borderId="2" xfId="59" applyNumberFormat="1" applyFont="1" applyFill="1" applyBorder="1" applyAlignment="1">
      <alignment vertical="center"/>
    </xf>
    <xf numFmtId="167" fontId="25" fillId="39" borderId="2" xfId="63" applyNumberFormat="1" applyFont="1" applyFill="1" applyBorder="1"/>
    <xf numFmtId="41" fontId="25" fillId="39" borderId="15" xfId="59" applyNumberFormat="1" applyFont="1" applyFill="1" applyBorder="1" applyAlignment="1">
      <alignment vertical="center"/>
    </xf>
    <xf numFmtId="41" fontId="25" fillId="39" borderId="2" xfId="32" applyFont="1" applyFill="1" applyBorder="1" applyAlignment="1">
      <alignment vertical="center"/>
    </xf>
    <xf numFmtId="0" fontId="24" fillId="0" borderId="11" xfId="63" applyFont="1" applyFill="1" applyBorder="1" applyAlignment="1">
      <alignment wrapText="1"/>
    </xf>
    <xf numFmtId="0" fontId="24" fillId="34" borderId="2" xfId="55" applyFont="1" applyFill="1" applyBorder="1" applyAlignment="1">
      <alignment vertical="center"/>
    </xf>
    <xf numFmtId="0" fontId="25" fillId="39" borderId="15" xfId="55" applyFont="1" applyFill="1" applyBorder="1" applyAlignment="1">
      <alignment vertical="center"/>
    </xf>
    <xf numFmtId="44" fontId="25" fillId="39" borderId="2" xfId="59" applyNumberFormat="1" applyFont="1" applyFill="1" applyBorder="1" applyAlignment="1">
      <alignment horizontal="left" vertical="center"/>
    </xf>
    <xf numFmtId="0" fontId="25" fillId="39" borderId="2" xfId="54" applyFont="1" applyFill="1" applyBorder="1" applyAlignment="1">
      <alignment horizontal="center" vertical="center" wrapText="1"/>
    </xf>
    <xf numFmtId="0" fontId="25" fillId="39" borderId="2" xfId="54" applyFont="1" applyFill="1" applyBorder="1" applyAlignment="1">
      <alignment horizontal="left" vertical="center" wrapText="1"/>
    </xf>
    <xf numFmtId="0" fontId="25" fillId="39" borderId="2" xfId="54" applyFont="1" applyFill="1" applyBorder="1" applyAlignment="1">
      <alignment vertical="center" wrapText="1"/>
    </xf>
    <xf numFmtId="167" fontId="25" fillId="39" borderId="15" xfId="63" applyNumberFormat="1" applyFont="1" applyFill="1" applyBorder="1"/>
    <xf numFmtId="0" fontId="24" fillId="34" borderId="11" xfId="54" applyFont="1" applyFill="1" applyBorder="1" applyAlignment="1">
      <alignment vertical="center" wrapText="1"/>
    </xf>
    <xf numFmtId="41" fontId="24" fillId="39" borderId="11" xfId="32" applyFont="1" applyFill="1" applyBorder="1"/>
    <xf numFmtId="167" fontId="24" fillId="39" borderId="17" xfId="63" applyNumberFormat="1" applyFont="1" applyFill="1" applyBorder="1" applyAlignment="1">
      <alignment vertical="top"/>
    </xf>
    <xf numFmtId="0" fontId="25" fillId="39" borderId="11" xfId="55" applyFont="1" applyFill="1" applyBorder="1"/>
    <xf numFmtId="0" fontId="31" fillId="39" borderId="11" xfId="54" applyNumberFormat="1" applyFont="1" applyFill="1" applyBorder="1" applyAlignment="1"/>
    <xf numFmtId="41" fontId="25" fillId="39" borderId="11" xfId="32" applyFont="1" applyFill="1" applyBorder="1" applyAlignment="1">
      <alignment wrapText="1"/>
    </xf>
    <xf numFmtId="0" fontId="24" fillId="0" borderId="8" xfId="54" applyFont="1" applyFill="1" applyBorder="1" applyAlignment="1">
      <alignment horizontal="center" vertical="top" wrapText="1"/>
    </xf>
    <xf numFmtId="0" fontId="24" fillId="0" borderId="6" xfId="63" applyFont="1" applyFill="1" applyBorder="1" applyAlignment="1">
      <alignment vertical="center"/>
    </xf>
    <xf numFmtId="0" fontId="24" fillId="0" borderId="28" xfId="63" applyFont="1" applyFill="1" applyBorder="1" applyAlignment="1">
      <alignment vertical="center" wrapText="1"/>
    </xf>
    <xf numFmtId="0" fontId="27" fillId="0" borderId="7" xfId="59" applyFont="1" applyFill="1" applyBorder="1" applyAlignment="1">
      <alignment vertical="center"/>
    </xf>
    <xf numFmtId="41" fontId="24" fillId="0" borderId="5" xfId="59" applyNumberFormat="1" applyFont="1" applyFill="1" applyBorder="1" applyAlignment="1">
      <alignment vertical="center"/>
    </xf>
    <xf numFmtId="0" fontId="24" fillId="0" borderId="0" xfId="54" applyFont="1" applyFill="1" applyBorder="1" applyAlignment="1">
      <alignment horizontal="center" vertical="center"/>
    </xf>
    <xf numFmtId="0" fontId="24" fillId="0" borderId="5" xfId="54" applyFont="1" applyFill="1" applyBorder="1" applyAlignment="1">
      <alignment horizontal="center" vertical="center"/>
    </xf>
    <xf numFmtId="0" fontId="24" fillId="0" borderId="28" xfId="54" applyFont="1" applyFill="1" applyBorder="1" applyAlignment="1">
      <alignment horizontal="center" vertical="center"/>
    </xf>
    <xf numFmtId="0" fontId="24" fillId="0" borderId="28" xfId="54" applyFont="1" applyFill="1" applyBorder="1" applyAlignment="1">
      <alignment vertical="center" wrapText="1"/>
    </xf>
    <xf numFmtId="41" fontId="24" fillId="0" borderId="0" xfId="29" applyFont="1" applyFill="1" applyBorder="1" applyAlignment="1">
      <alignment horizontal="center" vertical="center"/>
    </xf>
    <xf numFmtId="168" fontId="24" fillId="0" borderId="0" xfId="63" applyNumberFormat="1" applyFont="1" applyFill="1" applyBorder="1" applyAlignment="1">
      <alignment vertical="center"/>
    </xf>
    <xf numFmtId="9" fontId="24" fillId="0" borderId="0" xfId="71" applyFont="1" applyFill="1" applyBorder="1" applyAlignment="1">
      <alignment vertical="center"/>
    </xf>
    <xf numFmtId="0" fontId="24" fillId="39" borderId="25" xfId="63" applyFont="1" applyFill="1" applyBorder="1" applyAlignment="1">
      <alignment vertical="center"/>
    </xf>
    <xf numFmtId="0" fontId="24" fillId="39" borderId="25" xfId="63" applyFont="1" applyFill="1" applyBorder="1" applyAlignment="1">
      <alignment vertical="center" wrapText="1"/>
    </xf>
    <xf numFmtId="0" fontId="27" fillId="39" borderId="25" xfId="59" applyFont="1" applyFill="1" applyBorder="1" applyAlignment="1">
      <alignment vertical="center"/>
    </xf>
    <xf numFmtId="0" fontId="24" fillId="39" borderId="25" xfId="54" applyFont="1" applyFill="1" applyBorder="1" applyAlignment="1">
      <alignment horizontal="center" vertical="center"/>
    </xf>
    <xf numFmtId="0" fontId="24" fillId="39" borderId="25" xfId="54" applyFont="1" applyFill="1" applyBorder="1" applyAlignment="1">
      <alignment vertical="center" wrapText="1"/>
    </xf>
    <xf numFmtId="167" fontId="24" fillId="39" borderId="8" xfId="63" applyNumberFormat="1" applyFont="1" applyFill="1" applyBorder="1" applyAlignment="1">
      <alignment vertical="center"/>
    </xf>
    <xf numFmtId="167" fontId="24" fillId="39" borderId="23" xfId="63" applyNumberFormat="1" applyFont="1" applyFill="1" applyBorder="1" applyAlignment="1">
      <alignment vertical="center"/>
    </xf>
    <xf numFmtId="168" fontId="24" fillId="39" borderId="23" xfId="63" applyNumberFormat="1" applyFont="1" applyFill="1" applyBorder="1" applyAlignment="1">
      <alignment vertical="center"/>
    </xf>
    <xf numFmtId="9" fontId="24" fillId="39" borderId="23" xfId="71" applyFont="1" applyFill="1" applyBorder="1" applyAlignment="1">
      <alignment vertical="center"/>
    </xf>
    <xf numFmtId="167" fontId="24" fillId="39" borderId="19" xfId="63" applyNumberFormat="1" applyFont="1" applyFill="1" applyBorder="1" applyAlignment="1">
      <alignment vertical="center"/>
    </xf>
    <xf numFmtId="0" fontId="24" fillId="39" borderId="19" xfId="63" applyFont="1" applyFill="1" applyBorder="1" applyAlignment="1">
      <alignment vertical="center"/>
    </xf>
    <xf numFmtId="0" fontId="24" fillId="39" borderId="20" xfId="63" applyFont="1" applyFill="1" applyBorder="1" applyAlignment="1">
      <alignment vertical="center"/>
    </xf>
    <xf numFmtId="0" fontId="24" fillId="39" borderId="0" xfId="63" applyFont="1" applyFill="1" applyBorder="1" applyAlignment="1">
      <alignment vertical="center"/>
    </xf>
    <xf numFmtId="41" fontId="25" fillId="39" borderId="25" xfId="59" applyNumberFormat="1" applyFont="1" applyFill="1" applyBorder="1" applyAlignment="1">
      <alignment vertical="center"/>
    </xf>
    <xf numFmtId="41" fontId="24" fillId="0" borderId="12" xfId="59" applyNumberFormat="1" applyFont="1" applyFill="1" applyBorder="1" applyAlignment="1">
      <alignment vertical="center"/>
    </xf>
    <xf numFmtId="0" fontId="24" fillId="0" borderId="8" xfId="54" applyFont="1" applyFill="1" applyBorder="1" applyAlignment="1">
      <alignment horizontal="left" vertical="center"/>
    </xf>
    <xf numFmtId="0" fontId="27" fillId="0" borderId="3" xfId="0" applyFont="1" applyFill="1" applyBorder="1" applyAlignment="1">
      <alignment horizontal="center" vertical="center" wrapText="1"/>
    </xf>
    <xf numFmtId="0" fontId="24" fillId="0" borderId="2" xfId="54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 wrapText="1"/>
    </xf>
    <xf numFmtId="41" fontId="24" fillId="0" borderId="2" xfId="29" applyFont="1" applyFill="1" applyBorder="1" applyAlignment="1">
      <alignment horizontal="center" vertical="top"/>
    </xf>
    <xf numFmtId="9" fontId="25" fillId="0" borderId="22" xfId="59" applyNumberFormat="1" applyFont="1" applyFill="1" applyBorder="1" applyAlignment="1">
      <alignment vertical="center"/>
    </xf>
    <xf numFmtId="167" fontId="24" fillId="0" borderId="2" xfId="63" applyNumberFormat="1" applyFont="1" applyFill="1" applyBorder="1" applyAlignment="1">
      <alignment vertical="top"/>
    </xf>
    <xf numFmtId="0" fontId="24" fillId="0" borderId="3" xfId="55" applyFont="1" applyFill="1" applyBorder="1" applyAlignment="1">
      <alignment vertical="center"/>
    </xf>
    <xf numFmtId="0" fontId="24" fillId="0" borderId="2" xfId="0" applyFont="1" applyFill="1" applyBorder="1" applyAlignment="1">
      <alignment vertical="top"/>
    </xf>
    <xf numFmtId="0" fontId="24" fillId="0" borderId="3" xfId="0" applyFont="1" applyFill="1" applyBorder="1" applyAlignment="1">
      <alignment vertical="top" wrapText="1"/>
    </xf>
    <xf numFmtId="41" fontId="26" fillId="0" borderId="2" xfId="28" applyNumberFormat="1" applyFont="1" applyFill="1" applyBorder="1" applyAlignment="1">
      <alignment vertical="top"/>
    </xf>
    <xf numFmtId="41" fontId="24" fillId="0" borderId="22" xfId="32" applyFont="1" applyFill="1" applyBorder="1"/>
    <xf numFmtId="41" fontId="24" fillId="0" borderId="2" xfId="32" applyFont="1" applyFill="1" applyBorder="1"/>
    <xf numFmtId="41" fontId="24" fillId="0" borderId="3" xfId="32" applyFont="1" applyFill="1" applyBorder="1"/>
    <xf numFmtId="0" fontId="24" fillId="0" borderId="18" xfId="54" applyFont="1" applyFill="1" applyBorder="1" applyAlignment="1">
      <alignment wrapText="1"/>
    </xf>
    <xf numFmtId="41" fontId="24" fillId="0" borderId="11" xfId="29" applyFont="1" applyFill="1" applyBorder="1" applyAlignment="1">
      <alignment horizontal="center" vertical="top"/>
    </xf>
    <xf numFmtId="0" fontId="0" fillId="0" borderId="55" xfId="0" applyFill="1" applyBorder="1" applyAlignment="1">
      <alignment horizontal="center" vertical="center"/>
    </xf>
    <xf numFmtId="41" fontId="24" fillId="0" borderId="13" xfId="29" applyFont="1" applyBorder="1" applyAlignment="1">
      <alignment vertical="center"/>
    </xf>
    <xf numFmtId="9" fontId="24" fillId="0" borderId="14" xfId="71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5" fillId="0" borderId="9" xfId="63" applyFont="1" applyBorder="1" applyAlignment="1">
      <alignment horizontal="center"/>
    </xf>
    <xf numFmtId="0" fontId="25" fillId="0" borderId="10" xfId="63" applyFont="1" applyBorder="1" applyAlignment="1">
      <alignment horizontal="center"/>
    </xf>
    <xf numFmtId="0" fontId="25" fillId="0" borderId="56" xfId="55" applyFont="1" applyFill="1" applyBorder="1" applyAlignment="1">
      <alignment horizontal="center"/>
    </xf>
    <xf numFmtId="41" fontId="24" fillId="0" borderId="15" xfId="59" applyNumberFormat="1" applyFont="1" applyFill="1" applyBorder="1" applyAlignment="1">
      <alignment vertical="center" wrapText="1"/>
    </xf>
    <xf numFmtId="41" fontId="24" fillId="0" borderId="29" xfId="29" applyFont="1" applyBorder="1" applyAlignment="1">
      <alignment horizontal="center" vertical="top"/>
    </xf>
    <xf numFmtId="0" fontId="24" fillId="0" borderId="11" xfId="55" applyFont="1" applyFill="1" applyBorder="1" applyAlignment="1">
      <alignment horizontal="center" vertical="center"/>
    </xf>
    <xf numFmtId="41" fontId="27" fillId="0" borderId="17" xfId="30" applyFont="1" applyFill="1" applyBorder="1" applyAlignment="1">
      <alignment horizontal="center" vertical="center" wrapText="1"/>
    </xf>
    <xf numFmtId="41" fontId="27" fillId="0" borderId="30" xfId="29" applyFont="1" applyFill="1" applyBorder="1" applyAlignment="1">
      <alignment horizontal="center" vertical="center" wrapText="1"/>
    </xf>
    <xf numFmtId="0" fontId="0" fillId="0" borderId="19" xfId="0" quotePrefix="1" applyFill="1" applyBorder="1"/>
    <xf numFmtId="0" fontId="0" fillId="0" borderId="31" xfId="0" quotePrefix="1" applyFill="1" applyBorder="1" applyAlignment="1">
      <alignment horizontal="center" vertical="center"/>
    </xf>
    <xf numFmtId="0" fontId="25" fillId="0" borderId="1" xfId="63" applyFont="1" applyBorder="1" applyAlignment="1">
      <alignment horizontal="center" wrapText="1"/>
    </xf>
    <xf numFmtId="0" fontId="25" fillId="0" borderId="57" xfId="63" applyFont="1" applyBorder="1" applyAlignment="1">
      <alignment horizontal="center" vertical="center"/>
    </xf>
    <xf numFmtId="0" fontId="25" fillId="0" borderId="7" xfId="63" applyFont="1" applyBorder="1" applyAlignment="1">
      <alignment horizontal="center" vertical="center"/>
    </xf>
    <xf numFmtId="0" fontId="25" fillId="0" borderId="8" xfId="63" applyFont="1" applyBorder="1" applyAlignment="1">
      <alignment horizontal="center"/>
    </xf>
    <xf numFmtId="0" fontId="24" fillId="0" borderId="4" xfId="63" applyFont="1" applyBorder="1" applyAlignment="1">
      <alignment horizontal="center"/>
    </xf>
    <xf numFmtId="0" fontId="32" fillId="0" borderId="40" xfId="63" applyFont="1" applyFill="1" applyBorder="1"/>
    <xf numFmtId="0" fontId="24" fillId="2" borderId="40" xfId="59" applyFont="1" applyFill="1" applyBorder="1" applyAlignment="1">
      <alignment horizontal="left" vertical="center"/>
    </xf>
    <xf numFmtId="0" fontId="24" fillId="0" borderId="40" xfId="63" applyFont="1" applyFill="1" applyBorder="1" applyAlignment="1">
      <alignment wrapText="1"/>
    </xf>
    <xf numFmtId="0" fontId="24" fillId="34" borderId="40" xfId="63" applyFont="1" applyFill="1" applyBorder="1" applyAlignment="1">
      <alignment wrapText="1"/>
    </xf>
    <xf numFmtId="41" fontId="24" fillId="2" borderId="40" xfId="59" applyNumberFormat="1" applyFont="1" applyFill="1" applyBorder="1" applyAlignment="1">
      <alignment vertical="center"/>
    </xf>
    <xf numFmtId="0" fontId="24" fillId="0" borderId="40" xfId="55" applyFont="1" applyFill="1" applyBorder="1" applyAlignment="1">
      <alignment horizontal="center" vertical="center" wrapText="1"/>
    </xf>
    <xf numFmtId="0" fontId="24" fillId="2" borderId="40" xfId="59" applyFont="1" applyFill="1" applyBorder="1" applyAlignment="1">
      <alignment horizontal="left" vertical="center" wrapText="1"/>
    </xf>
    <xf numFmtId="0" fontId="24" fillId="0" borderId="40" xfId="63" applyFont="1" applyFill="1" applyBorder="1" applyAlignment="1">
      <alignment horizontal="left"/>
    </xf>
    <xf numFmtId="41" fontId="24" fillId="0" borderId="40" xfId="29" applyFont="1" applyFill="1" applyBorder="1" applyAlignment="1">
      <alignment horizontal="center"/>
    </xf>
    <xf numFmtId="41" fontId="24" fillId="0" borderId="40" xfId="29" applyFont="1" applyFill="1" applyBorder="1"/>
    <xf numFmtId="173" fontId="24" fillId="0" borderId="11" xfId="32" applyNumberFormat="1" applyFont="1" applyFill="1" applyBorder="1"/>
    <xf numFmtId="9" fontId="24" fillId="0" borderId="11" xfId="32" applyNumberFormat="1" applyFont="1" applyFill="1" applyBorder="1"/>
    <xf numFmtId="167" fontId="24" fillId="0" borderId="40" xfId="63" applyNumberFormat="1" applyFont="1" applyFill="1" applyBorder="1"/>
    <xf numFmtId="41" fontId="24" fillId="0" borderId="40" xfId="63" applyNumberFormat="1" applyFont="1" applyFill="1" applyBorder="1"/>
    <xf numFmtId="0" fontId="32" fillId="35" borderId="0" xfId="63" applyFont="1" applyFill="1"/>
    <xf numFmtId="0" fontId="24" fillId="2" borderId="11" xfId="59" applyFont="1" applyFill="1" applyBorder="1" applyAlignment="1">
      <alignment horizontal="left" vertical="center"/>
    </xf>
    <xf numFmtId="0" fontId="24" fillId="2" borderId="11" xfId="59" applyFont="1" applyFill="1" applyBorder="1" applyAlignment="1">
      <alignment vertical="center"/>
    </xf>
    <xf numFmtId="41" fontId="24" fillId="2" borderId="11" xfId="59" applyNumberFormat="1" applyFont="1" applyFill="1" applyBorder="1" applyAlignment="1">
      <alignment vertical="center"/>
    </xf>
    <xf numFmtId="0" fontId="24" fillId="0" borderId="11" xfId="63" applyFont="1" applyFill="1" applyBorder="1" applyAlignment="1">
      <alignment horizontal="left"/>
    </xf>
    <xf numFmtId="41" fontId="24" fillId="0" borderId="11" xfId="29" applyFont="1" applyFill="1" applyBorder="1" applyAlignment="1">
      <alignment horizontal="center"/>
    </xf>
    <xf numFmtId="41" fontId="24" fillId="0" borderId="11" xfId="29" applyFont="1" applyFill="1" applyBorder="1"/>
    <xf numFmtId="167" fontId="24" fillId="0" borderId="15" xfId="63" applyNumberFormat="1" applyFont="1" applyFill="1" applyBorder="1"/>
    <xf numFmtId="0" fontId="32" fillId="0" borderId="11" xfId="63" applyFont="1" applyFill="1" applyBorder="1"/>
    <xf numFmtId="0" fontId="24" fillId="0" borderId="11" xfId="59" applyFont="1" applyFill="1" applyBorder="1" applyAlignment="1">
      <alignment horizontal="left" vertical="center"/>
    </xf>
    <xf numFmtId="0" fontId="24" fillId="0" borderId="11" xfId="59" applyFont="1" applyFill="1" applyBorder="1" applyAlignment="1">
      <alignment vertical="center" wrapText="1"/>
    </xf>
    <xf numFmtId="173" fontId="24" fillId="0" borderId="11" xfId="63" applyNumberFormat="1" applyFont="1" applyFill="1" applyBorder="1"/>
    <xf numFmtId="41" fontId="30" fillId="0" borderId="11" xfId="29" applyFont="1" applyFill="1" applyBorder="1" applyAlignment="1">
      <alignment vertical="top" wrapText="1"/>
    </xf>
    <xf numFmtId="167" fontId="24" fillId="0" borderId="11" xfId="28" applyNumberFormat="1" applyFont="1" applyFill="1" applyBorder="1"/>
    <xf numFmtId="41" fontId="24" fillId="0" borderId="11" xfId="63" applyNumberFormat="1" applyFont="1" applyFill="1" applyBorder="1"/>
    <xf numFmtId="0" fontId="32" fillId="0" borderId="0" xfId="63" applyFont="1" applyFill="1"/>
    <xf numFmtId="167" fontId="24" fillId="0" borderId="11" xfId="50" applyNumberFormat="1" applyFont="1" applyFill="1" applyBorder="1" applyAlignment="1">
      <alignment horizontal="left" vertical="center"/>
    </xf>
    <xf numFmtId="0" fontId="24" fillId="0" borderId="11" xfId="59" applyFont="1" applyFill="1" applyBorder="1" applyAlignment="1">
      <alignment vertical="center"/>
    </xf>
    <xf numFmtId="0" fontId="32" fillId="38" borderId="0" xfId="63" applyFont="1" applyFill="1"/>
    <xf numFmtId="0" fontId="24" fillId="0" borderId="11" xfId="55" applyFont="1" applyFill="1" applyBorder="1" applyAlignment="1">
      <alignment horizontal="center" vertical="center" wrapText="1"/>
    </xf>
    <xf numFmtId="0" fontId="24" fillId="0" borderId="11" xfId="63" applyFont="1" applyFill="1" applyBorder="1" applyAlignment="1">
      <alignment horizontal="left" vertical="center"/>
    </xf>
    <xf numFmtId="41" fontId="24" fillId="0" borderId="11" xfId="29" applyFont="1" applyFill="1" applyBorder="1" applyAlignment="1">
      <alignment vertical="center"/>
    </xf>
    <xf numFmtId="167" fontId="24" fillId="0" borderId="11" xfId="28" applyNumberFormat="1" applyFont="1" applyFill="1" applyBorder="1" applyAlignment="1">
      <alignment vertical="center"/>
    </xf>
    <xf numFmtId="41" fontId="24" fillId="0" borderId="11" xfId="63" applyNumberFormat="1" applyFont="1" applyBorder="1"/>
    <xf numFmtId="0" fontId="24" fillId="0" borderId="11" xfId="61" applyFont="1" applyFill="1" applyBorder="1" applyAlignment="1">
      <alignment horizontal="left" wrapText="1"/>
    </xf>
    <xf numFmtId="41" fontId="24" fillId="0" borderId="11" xfId="32" applyFont="1" applyFill="1" applyBorder="1" applyAlignment="1">
      <alignment horizontal="left"/>
    </xf>
    <xf numFmtId="0" fontId="24" fillId="0" borderId="11" xfId="63" applyFont="1" applyFill="1" applyBorder="1" applyAlignment="1">
      <alignment horizontal="center"/>
    </xf>
    <xf numFmtId="0" fontId="32" fillId="0" borderId="0" xfId="63" applyFont="1"/>
    <xf numFmtId="0" fontId="24" fillId="2" borderId="11" xfId="59" applyFont="1" applyFill="1" applyBorder="1" applyAlignment="1">
      <alignment vertical="center" wrapText="1"/>
    </xf>
    <xf numFmtId="0" fontId="32" fillId="0" borderId="25" xfId="63" applyFont="1" applyFill="1" applyBorder="1"/>
    <xf numFmtId="167" fontId="24" fillId="0" borderId="25" xfId="50" applyNumberFormat="1" applyFont="1" applyFill="1" applyBorder="1" applyAlignment="1">
      <alignment horizontal="left" vertical="center"/>
    </xf>
    <xf numFmtId="0" fontId="24" fillId="0" borderId="25" xfId="63" applyFont="1" applyFill="1" applyBorder="1" applyAlignment="1">
      <alignment wrapText="1"/>
    </xf>
    <xf numFmtId="0" fontId="24" fillId="2" borderId="25" xfId="59" applyFont="1" applyFill="1" applyBorder="1" applyAlignment="1">
      <alignment vertical="center" wrapText="1"/>
    </xf>
    <xf numFmtId="41" fontId="24" fillId="2" borderId="25" xfId="59" applyNumberFormat="1" applyFont="1" applyFill="1" applyBorder="1" applyAlignment="1">
      <alignment vertical="center"/>
    </xf>
    <xf numFmtId="0" fontId="24" fillId="0" borderId="25" xfId="63" applyFont="1" applyFill="1" applyBorder="1"/>
    <xf numFmtId="0" fontId="25" fillId="36" borderId="4" xfId="63" applyFont="1" applyFill="1" applyBorder="1"/>
    <xf numFmtId="0" fontId="25" fillId="36" borderId="4" xfId="63" applyFont="1" applyFill="1" applyBorder="1" applyAlignment="1">
      <alignment wrapText="1"/>
    </xf>
    <xf numFmtId="41" fontId="25" fillId="36" borderId="4" xfId="63" applyNumberFormat="1" applyFont="1" applyFill="1" applyBorder="1"/>
    <xf numFmtId="164" fontId="22" fillId="41" borderId="19" xfId="0" applyNumberFormat="1" applyFont="1" applyFill="1" applyBorder="1"/>
    <xf numFmtId="172" fontId="22" fillId="41" borderId="19" xfId="29" applyNumberFormat="1" applyFont="1" applyFill="1" applyBorder="1"/>
    <xf numFmtId="172" fontId="22" fillId="41" borderId="20" xfId="71" applyNumberFormat="1" applyFont="1" applyFill="1" applyBorder="1"/>
    <xf numFmtId="172" fontId="22" fillId="41" borderId="13" xfId="71" applyNumberFormat="1" applyFont="1" applyFill="1" applyBorder="1"/>
    <xf numFmtId="164" fontId="22" fillId="41" borderId="23" xfId="0" applyNumberFormat="1" applyFont="1" applyFill="1" applyBorder="1"/>
    <xf numFmtId="172" fontId="22" fillId="41" borderId="46" xfId="71" applyNumberFormat="1" applyFont="1" applyFill="1" applyBorder="1"/>
    <xf numFmtId="0" fontId="24" fillId="39" borderId="8" xfId="55" applyFont="1" applyFill="1" applyBorder="1" applyAlignment="1">
      <alignment horizontal="center"/>
    </xf>
    <xf numFmtId="0" fontId="24" fillId="39" borderId="8" xfId="55" applyFont="1" applyFill="1" applyBorder="1"/>
    <xf numFmtId="0" fontId="27" fillId="39" borderId="31" xfId="62" applyFont="1" applyFill="1" applyBorder="1" applyAlignment="1">
      <alignment horizontal="center" vertical="center" wrapText="1"/>
    </xf>
    <xf numFmtId="0" fontId="27" fillId="39" borderId="29" xfId="62" applyFont="1" applyFill="1" applyBorder="1" applyAlignment="1">
      <alignment horizontal="left" vertical="center" wrapText="1"/>
    </xf>
    <xf numFmtId="41" fontId="24" fillId="39" borderId="8" xfId="32" applyFont="1" applyFill="1" applyBorder="1"/>
    <xf numFmtId="14" fontId="24" fillId="39" borderId="29" xfId="32" applyNumberFormat="1" applyFont="1" applyFill="1" applyBorder="1"/>
    <xf numFmtId="0" fontId="24" fillId="39" borderId="8" xfId="54" applyFont="1" applyFill="1" applyBorder="1" applyAlignment="1">
      <alignment horizontal="center" vertical="center" wrapText="1"/>
    </xf>
    <xf numFmtId="0" fontId="24" fillId="39" borderId="8" xfId="54" applyFont="1" applyFill="1" applyBorder="1" applyAlignment="1">
      <alignment horizontal="center" vertical="center"/>
    </xf>
    <xf numFmtId="41" fontId="24" fillId="39" borderId="29" xfId="29" applyFont="1" applyFill="1" applyBorder="1" applyAlignment="1">
      <alignment horizontal="center" vertical="center"/>
    </xf>
    <xf numFmtId="168" fontId="24" fillId="39" borderId="8" xfId="63" applyNumberFormat="1" applyFont="1" applyFill="1" applyBorder="1" applyAlignment="1">
      <alignment horizontal="center" vertical="center"/>
    </xf>
    <xf numFmtId="0" fontId="24" fillId="39" borderId="8" xfId="63" applyFont="1" applyFill="1" applyBorder="1"/>
    <xf numFmtId="0" fontId="24" fillId="39" borderId="32" xfId="63" applyFont="1" applyFill="1" applyBorder="1"/>
    <xf numFmtId="0" fontId="24" fillId="39" borderId="0" xfId="63" applyFont="1" applyFill="1"/>
    <xf numFmtId="41" fontId="25" fillId="39" borderId="8" xfId="63" applyNumberFormat="1" applyFont="1" applyFill="1" applyBorder="1" applyAlignment="1">
      <alignment vertical="center"/>
    </xf>
    <xf numFmtId="167" fontId="25" fillId="39" borderId="11" xfId="63" applyNumberFormat="1" applyFont="1" applyFill="1" applyBorder="1" applyAlignment="1">
      <alignment vertical="center"/>
    </xf>
    <xf numFmtId="0" fontId="24" fillId="39" borderId="8" xfId="55" applyFont="1" applyFill="1" applyBorder="1" applyAlignment="1">
      <alignment horizontal="center" vertical="center"/>
    </xf>
    <xf numFmtId="0" fontId="24" fillId="39" borderId="18" xfId="55" applyFont="1" applyFill="1" applyBorder="1" applyAlignment="1">
      <alignment vertical="center"/>
    </xf>
    <xf numFmtId="0" fontId="24" fillId="39" borderId="18" xfId="0" applyFont="1" applyFill="1" applyBorder="1" applyAlignment="1">
      <alignment vertical="top" wrapText="1"/>
    </xf>
    <xf numFmtId="41" fontId="26" fillId="39" borderId="11" xfId="28" applyNumberFormat="1" applyFont="1" applyFill="1" applyBorder="1" applyAlignment="1">
      <alignment vertical="top"/>
    </xf>
    <xf numFmtId="14" fontId="24" fillId="39" borderId="11" xfId="59" applyNumberFormat="1" applyFont="1" applyFill="1" applyBorder="1" applyAlignment="1">
      <alignment vertical="center"/>
    </xf>
    <xf numFmtId="41" fontId="24" fillId="39" borderId="18" xfId="32" applyFont="1" applyFill="1" applyBorder="1"/>
    <xf numFmtId="0" fontId="24" fillId="39" borderId="11" xfId="54" applyFont="1" applyFill="1" applyBorder="1" applyAlignment="1">
      <alignment horizontal="center" wrapText="1"/>
    </xf>
    <xf numFmtId="0" fontId="24" fillId="39" borderId="11" xfId="54" applyFont="1" applyFill="1" applyBorder="1" applyAlignment="1">
      <alignment horizontal="center"/>
    </xf>
    <xf numFmtId="0" fontId="24" fillId="39" borderId="11" xfId="54" applyFont="1" applyFill="1" applyBorder="1" applyAlignment="1">
      <alignment wrapText="1"/>
    </xf>
    <xf numFmtId="167" fontId="24" fillId="39" borderId="14" xfId="63" applyNumberFormat="1" applyFont="1" applyFill="1" applyBorder="1" applyAlignment="1">
      <alignment vertical="top"/>
    </xf>
    <xf numFmtId="168" fontId="24" fillId="39" borderId="14" xfId="63" applyNumberFormat="1" applyFont="1" applyFill="1" applyBorder="1" applyAlignment="1">
      <alignment vertical="top"/>
    </xf>
    <xf numFmtId="0" fontId="24" fillId="39" borderId="15" xfId="63" applyFont="1" applyFill="1" applyBorder="1"/>
    <xf numFmtId="167" fontId="25" fillId="39" borderId="11" xfId="63" applyNumberFormat="1" applyFont="1" applyFill="1" applyBorder="1" applyAlignment="1">
      <alignment vertical="top"/>
    </xf>
    <xf numFmtId="41" fontId="24" fillId="0" borderId="8" xfId="63" applyNumberFormat="1" applyFont="1" applyFill="1" applyBorder="1" applyAlignment="1">
      <alignment vertical="center" wrapText="1"/>
    </xf>
    <xf numFmtId="174" fontId="24" fillId="0" borderId="15" xfId="59" applyNumberFormat="1" applyFont="1" applyFill="1" applyBorder="1" applyAlignment="1">
      <alignment vertical="center"/>
    </xf>
    <xf numFmtId="0" fontId="27" fillId="39" borderId="19" xfId="62" applyFont="1" applyFill="1" applyBorder="1" applyAlignment="1">
      <alignment horizontal="left" vertical="center" wrapText="1"/>
    </xf>
    <xf numFmtId="41" fontId="24" fillId="39" borderId="29" xfId="32" applyFont="1" applyFill="1" applyBorder="1"/>
    <xf numFmtId="41" fontId="24" fillId="39" borderId="31" xfId="32" applyFont="1" applyFill="1" applyBorder="1"/>
    <xf numFmtId="0" fontId="24" fillId="39" borderId="8" xfId="54" applyFont="1" applyFill="1" applyBorder="1" applyAlignment="1">
      <alignment horizontal="center" wrapText="1"/>
    </xf>
    <xf numFmtId="167" fontId="24" fillId="39" borderId="11" xfId="63" applyNumberFormat="1" applyFont="1" applyFill="1" applyBorder="1" applyAlignment="1">
      <alignment vertical="center"/>
    </xf>
    <xf numFmtId="0" fontId="25" fillId="39" borderId="8" xfId="55" applyFont="1" applyFill="1" applyBorder="1"/>
    <xf numFmtId="0" fontId="28" fillId="39" borderId="39" xfId="62" applyFont="1" applyFill="1" applyBorder="1" applyAlignment="1">
      <alignment horizontal="center" vertical="center" wrapText="1"/>
    </xf>
    <xf numFmtId="0" fontId="28" fillId="39" borderId="19" xfId="62" applyFont="1" applyFill="1" applyBorder="1" applyAlignment="1">
      <alignment horizontal="left" vertical="center" wrapText="1"/>
    </xf>
    <xf numFmtId="41" fontId="25" fillId="39" borderId="31" xfId="32" applyFont="1" applyFill="1" applyBorder="1"/>
    <xf numFmtId="0" fontId="25" fillId="39" borderId="8" xfId="54" applyFont="1" applyFill="1" applyBorder="1" applyAlignment="1">
      <alignment horizontal="center" wrapText="1"/>
    </xf>
    <xf numFmtId="0" fontId="25" fillId="39" borderId="8" xfId="54" applyFont="1" applyFill="1" applyBorder="1" applyAlignment="1">
      <alignment horizontal="left" vertical="center" wrapText="1"/>
    </xf>
    <xf numFmtId="41" fontId="25" fillId="39" borderId="29" xfId="29" applyFont="1" applyFill="1" applyBorder="1" applyAlignment="1">
      <alignment horizontal="center" vertical="center"/>
    </xf>
    <xf numFmtId="168" fontId="25" fillId="39" borderId="8" xfId="63" applyNumberFormat="1" applyFont="1" applyFill="1" applyBorder="1" applyAlignment="1">
      <alignment horizontal="center" vertical="center"/>
    </xf>
    <xf numFmtId="0" fontId="25" fillId="39" borderId="32" xfId="63" applyFont="1" applyFill="1" applyBorder="1"/>
    <xf numFmtId="41" fontId="25" fillId="0" borderId="31" xfId="59" applyNumberFormat="1" applyFont="1" applyFill="1" applyBorder="1" applyAlignment="1">
      <alignment vertical="center"/>
    </xf>
    <xf numFmtId="41" fontId="24" fillId="0" borderId="8" xfId="29" applyFont="1" applyBorder="1" applyAlignment="1">
      <alignment horizontal="center" vertical="top"/>
    </xf>
    <xf numFmtId="41" fontId="24" fillId="0" borderId="11" xfId="29" applyFont="1" applyBorder="1" applyAlignment="1">
      <alignment horizontal="center" vertical="top"/>
    </xf>
    <xf numFmtId="9" fontId="25" fillId="0" borderId="18" xfId="59" applyNumberFormat="1" applyFont="1" applyFill="1" applyBorder="1" applyAlignment="1">
      <alignment vertical="center"/>
    </xf>
    <xf numFmtId="9" fontId="24" fillId="0" borderId="12" xfId="63" applyNumberFormat="1" applyFont="1" applyBorder="1" applyAlignment="1">
      <alignment horizontal="left" vertical="top"/>
    </xf>
    <xf numFmtId="0" fontId="28" fillId="0" borderId="0" xfId="59" applyFont="1" applyFill="1" applyBorder="1" applyAlignment="1">
      <alignment horizontal="center" vertical="center"/>
    </xf>
    <xf numFmtId="0" fontId="28" fillId="0" borderId="22" xfId="59" applyFont="1" applyFill="1" applyBorder="1" applyAlignment="1">
      <alignment horizontal="center" vertical="center"/>
    </xf>
    <xf numFmtId="41" fontId="25" fillId="0" borderId="3" xfId="59" applyNumberFormat="1" applyFont="1" applyFill="1" applyBorder="1" applyAlignment="1">
      <alignment vertical="center"/>
    </xf>
    <xf numFmtId="0" fontId="25" fillId="0" borderId="2" xfId="54" applyFont="1" applyFill="1" applyBorder="1" applyAlignment="1">
      <alignment horizontal="center"/>
    </xf>
    <xf numFmtId="41" fontId="25" fillId="0" borderId="0" xfId="59" applyNumberFormat="1" applyFont="1" applyFill="1" applyBorder="1" applyAlignment="1">
      <alignment vertical="center"/>
    </xf>
    <xf numFmtId="41" fontId="24" fillId="0" borderId="11" xfId="32" applyFont="1" applyFill="1" applyBorder="1" applyAlignment="1">
      <alignment vertical="center"/>
    </xf>
    <xf numFmtId="9" fontId="24" fillId="0" borderId="11" xfId="59" applyNumberFormat="1" applyFont="1" applyFill="1" applyBorder="1" applyAlignment="1">
      <alignment vertical="center"/>
    </xf>
    <xf numFmtId="167" fontId="24" fillId="0" borderId="0" xfId="63" applyNumberFormat="1" applyFont="1"/>
    <xf numFmtId="41" fontId="24" fillId="0" borderId="0" xfId="63" applyNumberFormat="1" applyFont="1" applyAlignment="1">
      <alignment horizontal="center"/>
    </xf>
    <xf numFmtId="41" fontId="25" fillId="39" borderId="8" xfId="32" applyFont="1" applyFill="1" applyBorder="1" applyAlignment="1">
      <alignment wrapText="1"/>
    </xf>
    <xf numFmtId="14" fontId="25" fillId="39" borderId="29" xfId="32" applyNumberFormat="1" applyFont="1" applyFill="1" applyBorder="1"/>
    <xf numFmtId="9" fontId="25" fillId="39" borderId="14" xfId="71" applyFont="1" applyFill="1" applyBorder="1" applyAlignment="1">
      <alignment vertical="top"/>
    </xf>
    <xf numFmtId="0" fontId="25" fillId="0" borderId="27" xfId="63" applyFont="1" applyBorder="1" applyAlignment="1">
      <alignment horizontal="center"/>
    </xf>
    <xf numFmtId="0" fontId="24" fillId="39" borderId="8" xfId="54" applyFont="1" applyFill="1" applyBorder="1" applyAlignment="1">
      <alignment horizontal="left" vertical="top" wrapText="1"/>
    </xf>
    <xf numFmtId="0" fontId="24" fillId="39" borderId="8" xfId="54" applyFont="1" applyFill="1" applyBorder="1" applyAlignment="1">
      <alignment horizontal="center" vertical="top" wrapText="1"/>
    </xf>
    <xf numFmtId="0" fontId="24" fillId="39" borderId="29" xfId="63" applyFont="1" applyFill="1" applyBorder="1"/>
    <xf numFmtId="0" fontId="24" fillId="39" borderId="30" xfId="63" applyFont="1" applyFill="1" applyBorder="1"/>
    <xf numFmtId="0" fontId="24" fillId="39" borderId="0" xfId="63" applyFont="1" applyFill="1" applyBorder="1"/>
    <xf numFmtId="0" fontId="31" fillId="39" borderId="8" xfId="54" applyNumberFormat="1" applyFont="1" applyFill="1" applyBorder="1" applyAlignment="1"/>
    <xf numFmtId="0" fontId="25" fillId="39" borderId="11" xfId="0" applyFont="1" applyFill="1" applyBorder="1" applyAlignment="1">
      <alignment vertical="center"/>
    </xf>
    <xf numFmtId="0" fontId="25" fillId="39" borderId="18" xfId="55" applyFont="1" applyFill="1" applyBorder="1" applyAlignment="1">
      <alignment vertical="center"/>
    </xf>
    <xf numFmtId="0" fontId="25" fillId="39" borderId="18" xfId="0" applyFont="1" applyFill="1" applyBorder="1" applyAlignment="1">
      <alignment vertical="center" wrapText="1"/>
    </xf>
    <xf numFmtId="41" fontId="31" fillId="39" borderId="11" xfId="28" applyNumberFormat="1" applyFont="1" applyFill="1" applyBorder="1" applyAlignment="1">
      <alignment vertical="center"/>
    </xf>
    <xf numFmtId="41" fontId="25" fillId="39" borderId="17" xfId="32" applyFont="1" applyFill="1" applyBorder="1"/>
    <xf numFmtId="9" fontId="25" fillId="39" borderId="11" xfId="59" applyNumberFormat="1" applyFont="1" applyFill="1" applyBorder="1" applyAlignment="1">
      <alignment vertical="center"/>
    </xf>
    <xf numFmtId="41" fontId="25" fillId="39" borderId="11" xfId="32" applyFont="1" applyFill="1" applyBorder="1" applyAlignment="1">
      <alignment horizontal="center" vertical="center"/>
    </xf>
    <xf numFmtId="0" fontId="25" fillId="39" borderId="18" xfId="0" applyFont="1" applyFill="1" applyBorder="1" applyAlignment="1">
      <alignment vertical="top" wrapText="1"/>
    </xf>
    <xf numFmtId="41" fontId="31" fillId="39" borderId="11" xfId="28" applyNumberFormat="1" applyFont="1" applyFill="1" applyBorder="1" applyAlignment="1">
      <alignment vertical="top"/>
    </xf>
    <xf numFmtId="0" fontId="25" fillId="39" borderId="4" xfId="55" applyFont="1" applyFill="1" applyBorder="1" applyAlignment="1">
      <alignment horizontal="center" vertical="center"/>
    </xf>
    <xf numFmtId="0" fontId="25" fillId="39" borderId="9" xfId="55" applyFont="1" applyFill="1" applyBorder="1" applyAlignment="1">
      <alignment vertical="center"/>
    </xf>
    <xf numFmtId="0" fontId="25" fillId="39" borderId="4" xfId="0" applyFont="1" applyFill="1" applyBorder="1" applyAlignment="1">
      <alignment vertical="top"/>
    </xf>
    <xf numFmtId="0" fontId="25" fillId="39" borderId="9" xfId="0" applyFont="1" applyFill="1" applyBorder="1" applyAlignment="1">
      <alignment vertical="top" wrapText="1"/>
    </xf>
    <xf numFmtId="41" fontId="31" fillId="39" borderId="4" xfId="28" applyNumberFormat="1" applyFont="1" applyFill="1" applyBorder="1" applyAlignment="1">
      <alignment vertical="top"/>
    </xf>
    <xf numFmtId="41" fontId="25" fillId="39" borderId="4" xfId="32" applyFont="1" applyFill="1" applyBorder="1"/>
    <xf numFmtId="41" fontId="25" fillId="39" borderId="9" xfId="32" applyFont="1" applyFill="1" applyBorder="1"/>
    <xf numFmtId="0" fontId="25" fillId="39" borderId="4" xfId="54" applyFont="1" applyFill="1" applyBorder="1" applyAlignment="1">
      <alignment horizontal="center"/>
    </xf>
    <xf numFmtId="0" fontId="25" fillId="39" borderId="9" xfId="54" applyFont="1" applyFill="1" applyBorder="1" applyAlignment="1">
      <alignment wrapText="1"/>
    </xf>
    <xf numFmtId="41" fontId="25" fillId="39" borderId="4" xfId="29" applyFont="1" applyFill="1" applyBorder="1" applyAlignment="1">
      <alignment horizontal="center" vertical="top"/>
    </xf>
    <xf numFmtId="167" fontId="25" fillId="39" borderId="10" xfId="63" applyNumberFormat="1" applyFont="1" applyFill="1" applyBorder="1" applyAlignment="1">
      <alignment vertical="top"/>
    </xf>
    <xf numFmtId="168" fontId="25" fillId="39" borderId="10" xfId="63" applyNumberFormat="1" applyFont="1" applyFill="1" applyBorder="1" applyAlignment="1">
      <alignment vertical="top"/>
    </xf>
    <xf numFmtId="0" fontId="25" fillId="39" borderId="4" xfId="63" applyFont="1" applyFill="1" applyBorder="1"/>
    <xf numFmtId="0" fontId="27" fillId="39" borderId="29" xfId="65" applyFont="1" applyFill="1" applyBorder="1" applyAlignment="1">
      <alignment horizontal="left" wrapText="1"/>
    </xf>
    <xf numFmtId="41" fontId="24" fillId="39" borderId="8" xfId="59" applyNumberFormat="1" applyFont="1" applyFill="1" applyBorder="1" applyAlignment="1">
      <alignment vertical="center"/>
    </xf>
    <xf numFmtId="41" fontId="24" fillId="39" borderId="8" xfId="59" applyNumberFormat="1" applyFont="1" applyFill="1" applyBorder="1" applyAlignment="1">
      <alignment vertical="center" wrapText="1"/>
    </xf>
    <xf numFmtId="14" fontId="24" fillId="39" borderId="8" xfId="59" applyNumberFormat="1" applyFont="1" applyFill="1" applyBorder="1" applyAlignment="1">
      <alignment vertical="center"/>
    </xf>
    <xf numFmtId="41" fontId="25" fillId="0" borderId="17" xfId="59" applyNumberFormat="1" applyFont="1" applyFill="1" applyBorder="1" applyAlignment="1">
      <alignment vertical="center"/>
    </xf>
    <xf numFmtId="0" fontId="25" fillId="0" borderId="27" xfId="63" applyFont="1" applyBorder="1" applyAlignment="1">
      <alignment horizontal="center"/>
    </xf>
    <xf numFmtId="171" fontId="24" fillId="39" borderId="2" xfId="55" applyNumberFormat="1" applyFont="1" applyFill="1" applyBorder="1" applyAlignment="1">
      <alignment horizontal="left" vertical="center"/>
    </xf>
    <xf numFmtId="41" fontId="24" fillId="39" borderId="2" xfId="59" applyNumberFormat="1" applyFont="1" applyFill="1" applyBorder="1" applyAlignment="1">
      <alignment vertical="center"/>
    </xf>
    <xf numFmtId="44" fontId="24" fillId="39" borderId="2" xfId="59" applyNumberFormat="1" applyFont="1" applyFill="1" applyBorder="1" applyAlignment="1">
      <alignment horizontal="left" vertical="center"/>
    </xf>
    <xf numFmtId="0" fontId="24" fillId="39" borderId="2" xfId="54" applyFont="1" applyFill="1" applyBorder="1" applyAlignment="1">
      <alignment horizontal="center" vertical="center" wrapText="1"/>
    </xf>
    <xf numFmtId="0" fontId="24" fillId="39" borderId="2" xfId="54" applyFont="1" applyFill="1" applyBorder="1" applyAlignment="1">
      <alignment horizontal="left" vertical="center" wrapText="1"/>
    </xf>
    <xf numFmtId="0" fontId="24" fillId="39" borderId="2" xfId="54" applyFont="1" applyFill="1" applyBorder="1" applyAlignment="1">
      <alignment vertical="center" wrapText="1"/>
    </xf>
    <xf numFmtId="41" fontId="24" fillId="39" borderId="11" xfId="32" applyFont="1" applyFill="1" applyBorder="1" applyAlignment="1">
      <alignment wrapText="1"/>
    </xf>
    <xf numFmtId="14" fontId="24" fillId="39" borderId="11" xfId="32" applyNumberFormat="1" applyFont="1" applyFill="1" applyBorder="1"/>
    <xf numFmtId="167" fontId="24" fillId="39" borderId="29" xfId="63" applyNumberFormat="1" applyFont="1" applyFill="1" applyBorder="1" applyAlignment="1">
      <alignment vertical="top"/>
    </xf>
    <xf numFmtId="41" fontId="24" fillId="39" borderId="8" xfId="32" applyFont="1" applyFill="1" applyBorder="1" applyAlignment="1">
      <alignment wrapText="1"/>
    </xf>
    <xf numFmtId="0" fontId="24" fillId="39" borderId="8" xfId="54" applyFont="1" applyFill="1" applyBorder="1" applyAlignment="1">
      <alignment horizontal="left" vertical="center"/>
    </xf>
    <xf numFmtId="167" fontId="24" fillId="39" borderId="0" xfId="63" applyNumberFormat="1" applyFont="1" applyFill="1" applyBorder="1" applyAlignment="1">
      <alignment vertical="top"/>
    </xf>
    <xf numFmtId="41" fontId="26" fillId="0" borderId="17" xfId="28" applyNumberFormat="1" applyFont="1" applyBorder="1" applyAlignment="1">
      <alignment vertical="center"/>
    </xf>
    <xf numFmtId="0" fontId="24" fillId="0" borderId="15" xfId="63" applyFont="1" applyBorder="1" applyAlignment="1">
      <alignment vertical="top"/>
    </xf>
    <xf numFmtId="0" fontId="24" fillId="0" borderId="11" xfId="54" quotePrefix="1" applyFont="1" applyFill="1" applyBorder="1" applyAlignment="1">
      <alignment horizontal="center" wrapText="1"/>
    </xf>
    <xf numFmtId="0" fontId="25" fillId="0" borderId="2" xfId="54" applyFont="1" applyFill="1" applyBorder="1" applyAlignment="1">
      <alignment wrapText="1"/>
    </xf>
    <xf numFmtId="41" fontId="25" fillId="0" borderId="5" xfId="59" applyNumberFormat="1" applyFont="1" applyFill="1" applyBorder="1" applyAlignment="1">
      <alignment vertical="center"/>
    </xf>
    <xf numFmtId="0" fontId="24" fillId="0" borderId="29" xfId="63" applyFont="1" applyFill="1" applyBorder="1" applyAlignment="1">
      <alignment vertical="center" wrapText="1"/>
    </xf>
    <xf numFmtId="0" fontId="25" fillId="39" borderId="0" xfId="63" applyFont="1" applyFill="1" applyBorder="1"/>
    <xf numFmtId="0" fontId="25" fillId="39" borderId="11" xfId="54" applyFont="1" applyFill="1" applyBorder="1" applyAlignment="1">
      <alignment horizontal="center" vertical="top" wrapText="1"/>
    </xf>
    <xf numFmtId="0" fontId="25" fillId="0" borderId="27" xfId="63" applyFont="1" applyBorder="1" applyAlignment="1">
      <alignment horizontal="center"/>
    </xf>
    <xf numFmtId="14" fontId="24" fillId="0" borderId="15" xfId="32" applyNumberFormat="1" applyFont="1" applyBorder="1"/>
    <xf numFmtId="0" fontId="24" fillId="0" borderId="3" xfId="55" applyFont="1" applyFill="1" applyBorder="1" applyAlignment="1">
      <alignment horizontal="center"/>
    </xf>
    <xf numFmtId="0" fontId="27" fillId="0" borderId="0" xfId="62" applyFont="1" applyFill="1" applyBorder="1" applyAlignment="1">
      <alignment horizontal="center" vertical="center" wrapText="1"/>
    </xf>
    <xf numFmtId="0" fontId="27" fillId="0" borderId="0" xfId="62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center" wrapText="1"/>
    </xf>
    <xf numFmtId="167" fontId="24" fillId="0" borderId="22" xfId="63" applyNumberFormat="1" applyFont="1" applyBorder="1" applyAlignment="1">
      <alignment vertical="center"/>
    </xf>
    <xf numFmtId="168" fontId="24" fillId="0" borderId="22" xfId="63" applyNumberFormat="1" applyFont="1" applyBorder="1" applyAlignment="1">
      <alignment horizontal="center" vertical="center"/>
    </xf>
    <xf numFmtId="41" fontId="24" fillId="0" borderId="2" xfId="32" applyFont="1" applyBorder="1" applyAlignment="1">
      <alignment wrapText="1"/>
    </xf>
    <xf numFmtId="14" fontId="24" fillId="0" borderId="0" xfId="32" applyNumberFormat="1" applyFont="1" applyBorder="1"/>
    <xf numFmtId="0" fontId="24" fillId="0" borderId="0" xfId="54" applyFont="1" applyFill="1" applyBorder="1" applyAlignment="1">
      <alignment horizontal="left" vertical="center" wrapText="1"/>
    </xf>
    <xf numFmtId="41" fontId="24" fillId="0" borderId="22" xfId="63" applyNumberFormat="1" applyFont="1" applyBorder="1" applyAlignment="1">
      <alignment vertical="center"/>
    </xf>
    <xf numFmtId="14" fontId="24" fillId="0" borderId="2" xfId="59" applyNumberFormat="1" applyFont="1" applyFill="1" applyBorder="1" applyAlignment="1">
      <alignment vertical="center"/>
    </xf>
    <xf numFmtId="0" fontId="24" fillId="39" borderId="22" xfId="54" applyFont="1" applyFill="1" applyBorder="1" applyAlignment="1">
      <alignment vertical="center" wrapText="1"/>
    </xf>
    <xf numFmtId="0" fontId="24" fillId="39" borderId="11" xfId="55" applyFont="1" applyFill="1" applyBorder="1" applyAlignment="1">
      <alignment vertical="center"/>
    </xf>
    <xf numFmtId="0" fontId="24" fillId="39" borderId="8" xfId="54" applyFont="1" applyFill="1" applyBorder="1" applyAlignment="1">
      <alignment horizontal="left" vertical="center" wrapText="1"/>
    </xf>
    <xf numFmtId="14" fontId="24" fillId="0" borderId="11" xfId="32" applyNumberFormat="1" applyFont="1" applyBorder="1" applyAlignment="1">
      <alignment vertical="center"/>
    </xf>
    <xf numFmtId="41" fontId="24" fillId="0" borderId="1" xfId="59" applyNumberFormat="1" applyFont="1" applyFill="1" applyBorder="1" applyAlignment="1">
      <alignment vertical="center" wrapText="1"/>
    </xf>
    <xf numFmtId="14" fontId="24" fillId="0" borderId="1" xfId="59" applyNumberFormat="1" applyFont="1" applyFill="1" applyBorder="1" applyAlignment="1">
      <alignment vertical="center"/>
    </xf>
    <xf numFmtId="44" fontId="24" fillId="0" borderId="1" xfId="59" applyNumberFormat="1" applyFont="1" applyFill="1" applyBorder="1" applyAlignment="1">
      <alignment vertical="center"/>
    </xf>
    <xf numFmtId="41" fontId="28" fillId="0" borderId="19" xfId="30" applyFont="1" applyFill="1" applyBorder="1" applyAlignment="1">
      <alignment horizontal="center" vertical="center" wrapText="1"/>
    </xf>
    <xf numFmtId="41" fontId="24" fillId="0" borderId="2" xfId="59" applyNumberFormat="1" applyFont="1" applyFill="1" applyBorder="1" applyAlignment="1">
      <alignment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vertical="center" wrapText="1"/>
    </xf>
    <xf numFmtId="41" fontId="4" fillId="0" borderId="19" xfId="3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vertical="center" wrapText="1"/>
    </xf>
    <xf numFmtId="9" fontId="25" fillId="0" borderId="11" xfId="71" applyFont="1" applyFill="1" applyBorder="1" applyAlignment="1">
      <alignment vertical="center"/>
    </xf>
    <xf numFmtId="0" fontId="27" fillId="0" borderId="19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vertical="center" wrapText="1"/>
    </xf>
    <xf numFmtId="0" fontId="27" fillId="0" borderId="19" xfId="0" applyFont="1" applyFill="1" applyBorder="1" applyAlignment="1">
      <alignment horizontal="left" vertical="center" wrapText="1"/>
    </xf>
    <xf numFmtId="0" fontId="27" fillId="0" borderId="23" xfId="0" applyFont="1" applyFill="1" applyBorder="1" applyAlignment="1">
      <alignment vertical="center" wrapText="1"/>
    </xf>
    <xf numFmtId="0" fontId="25" fillId="39" borderId="18" xfId="63" applyFont="1" applyFill="1" applyBorder="1"/>
    <xf numFmtId="9" fontId="25" fillId="39" borderId="17" xfId="71" applyFont="1" applyFill="1" applyBorder="1" applyAlignment="1">
      <alignment vertical="top"/>
    </xf>
    <xf numFmtId="0" fontId="24" fillId="0" borderId="22" xfId="63" applyFont="1" applyFill="1" applyBorder="1" applyAlignment="1">
      <alignment vertical="center" wrapText="1"/>
    </xf>
    <xf numFmtId="41" fontId="24" fillId="0" borderId="2" xfId="59" quotePrefix="1" applyNumberFormat="1" applyFont="1" applyFill="1" applyBorder="1" applyAlignment="1">
      <alignment vertical="center" wrapText="1"/>
    </xf>
    <xf numFmtId="168" fontId="27" fillId="0" borderId="2" xfId="55" applyNumberFormat="1" applyFont="1" applyFill="1" applyBorder="1" applyAlignment="1">
      <alignment horizontal="center" vertical="center"/>
    </xf>
    <xf numFmtId="168" fontId="25" fillId="0" borderId="2" xfId="63" applyNumberFormat="1" applyFont="1" applyFill="1" applyBorder="1" applyAlignment="1">
      <alignment horizontal="center" vertical="center"/>
    </xf>
    <xf numFmtId="167" fontId="25" fillId="0" borderId="2" xfId="63" applyNumberFormat="1" applyFont="1" applyFill="1" applyBorder="1" applyAlignment="1">
      <alignment vertical="center"/>
    </xf>
    <xf numFmtId="0" fontId="27" fillId="34" borderId="11" xfId="59" applyFont="1" applyFill="1" applyBorder="1" applyAlignment="1">
      <alignment horizontal="left" vertical="center"/>
    </xf>
    <xf numFmtId="9" fontId="25" fillId="0" borderId="14" xfId="71" applyFont="1" applyBorder="1" applyAlignment="1">
      <alignment vertical="top"/>
    </xf>
    <xf numFmtId="0" fontId="28" fillId="39" borderId="4" xfId="59" applyFont="1" applyFill="1" applyBorder="1" applyAlignment="1">
      <alignment horizontal="center" vertical="center"/>
    </xf>
    <xf numFmtId="0" fontId="28" fillId="39" borderId="9" xfId="59" applyFont="1" applyFill="1" applyBorder="1" applyAlignment="1">
      <alignment vertical="center"/>
    </xf>
    <xf numFmtId="0" fontId="28" fillId="39" borderId="10" xfId="59" applyFont="1" applyFill="1" applyBorder="1" applyAlignment="1">
      <alignment vertical="center"/>
    </xf>
    <xf numFmtId="41" fontId="25" fillId="39" borderId="4" xfId="59" applyNumberFormat="1" applyFont="1" applyFill="1" applyBorder="1" applyAlignment="1">
      <alignment vertical="center"/>
    </xf>
    <xf numFmtId="0" fontId="25" fillId="39" borderId="4" xfId="54" applyFont="1" applyFill="1" applyBorder="1" applyAlignment="1">
      <alignment wrapText="1"/>
    </xf>
    <xf numFmtId="167" fontId="25" fillId="39" borderId="10" xfId="63" applyNumberFormat="1" applyFont="1" applyFill="1" applyBorder="1" applyAlignment="1">
      <alignment vertical="center"/>
    </xf>
    <xf numFmtId="167" fontId="25" fillId="39" borderId="4" xfId="63" applyNumberFormat="1" applyFont="1" applyFill="1" applyBorder="1"/>
    <xf numFmtId="0" fontId="28" fillId="0" borderId="11" xfId="59" applyFont="1" applyFill="1" applyBorder="1" applyAlignment="1">
      <alignment horizontal="left" vertical="center"/>
    </xf>
    <xf numFmtId="0" fontId="25" fillId="0" borderId="0" xfId="55" applyFont="1" applyFill="1"/>
    <xf numFmtId="171" fontId="25" fillId="38" borderId="8" xfId="55" applyNumberFormat="1" applyFont="1" applyFill="1" applyBorder="1" applyAlignment="1">
      <alignment horizontal="left" vertical="center"/>
    </xf>
    <xf numFmtId="0" fontId="25" fillId="38" borderId="11" xfId="55" applyFont="1" applyFill="1" applyBorder="1"/>
    <xf numFmtId="0" fontId="28" fillId="0" borderId="25" xfId="59" applyFont="1" applyFill="1" applyBorder="1" applyAlignment="1">
      <alignment horizontal="left" vertical="center"/>
    </xf>
    <xf numFmtId="0" fontId="28" fillId="0" borderId="8" xfId="59" applyFont="1" applyFill="1" applyBorder="1" applyAlignment="1">
      <alignment horizontal="left" vertical="center"/>
    </xf>
    <xf numFmtId="0" fontId="28" fillId="0" borderId="15" xfId="59" applyFont="1" applyFill="1" applyBorder="1" applyAlignment="1">
      <alignment horizontal="left" vertical="center"/>
    </xf>
    <xf numFmtId="0" fontId="25" fillId="0" borderId="11" xfId="63" applyFont="1" applyBorder="1"/>
    <xf numFmtId="0" fontId="25" fillId="34" borderId="11" xfId="55" applyFont="1" applyFill="1" applyBorder="1"/>
    <xf numFmtId="0" fontId="25" fillId="34" borderId="8" xfId="55" applyFont="1" applyFill="1" applyBorder="1"/>
    <xf numFmtId="0" fontId="28" fillId="39" borderId="25" xfId="59" applyFont="1" applyFill="1" applyBorder="1" applyAlignment="1">
      <alignment horizontal="left" vertical="center"/>
    </xf>
    <xf numFmtId="0" fontId="28" fillId="0" borderId="28" xfId="59" applyFont="1" applyFill="1" applyBorder="1" applyAlignment="1">
      <alignment horizontal="left" vertical="center"/>
    </xf>
    <xf numFmtId="0" fontId="25" fillId="34" borderId="11" xfId="55" applyFont="1" applyFill="1" applyBorder="1" applyAlignment="1">
      <alignment vertical="center"/>
    </xf>
    <xf numFmtId="0" fontId="25" fillId="0" borderId="0" xfId="63" applyFont="1" applyBorder="1"/>
    <xf numFmtId="0" fontId="25" fillId="0" borderId="0" xfId="63" applyFont="1" applyAlignment="1">
      <alignment horizontal="center"/>
    </xf>
    <xf numFmtId="0" fontId="27" fillId="0" borderId="30" xfId="0" applyFont="1" applyFill="1" applyBorder="1" applyAlignment="1">
      <alignment horizontal="left" vertical="center" wrapText="1"/>
    </xf>
    <xf numFmtId="171" fontId="25" fillId="39" borderId="11" xfId="55" applyNumberFormat="1" applyFont="1" applyFill="1" applyBorder="1" applyAlignment="1">
      <alignment horizontal="left" vertical="center"/>
    </xf>
    <xf numFmtId="0" fontId="28" fillId="39" borderId="30" xfId="0" applyFont="1" applyFill="1" applyBorder="1" applyAlignment="1">
      <alignment horizontal="left" vertical="center" wrapText="1"/>
    </xf>
    <xf numFmtId="0" fontId="25" fillId="39" borderId="22" xfId="54" applyFont="1" applyFill="1" applyBorder="1" applyAlignment="1">
      <alignment vertical="center" wrapText="1"/>
    </xf>
    <xf numFmtId="167" fontId="25" fillId="39" borderId="12" xfId="42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center" vertical="center" wrapText="1"/>
    </xf>
    <xf numFmtId="41" fontId="4" fillId="0" borderId="0" xfId="3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4" fillId="34" borderId="8" xfId="55" applyFont="1" applyFill="1" applyBorder="1" applyAlignment="1">
      <alignment horizontal="center"/>
    </xf>
    <xf numFmtId="0" fontId="24" fillId="34" borderId="0" xfId="63" applyFont="1" applyFill="1"/>
    <xf numFmtId="0" fontId="24" fillId="34" borderId="8" xfId="54" quotePrefix="1" applyFont="1" applyFill="1" applyBorder="1" applyAlignment="1">
      <alignment wrapText="1"/>
    </xf>
    <xf numFmtId="41" fontId="24" fillId="34" borderId="8" xfId="32" applyFont="1" applyFill="1" applyBorder="1"/>
    <xf numFmtId="41" fontId="24" fillId="34" borderId="29" xfId="32" applyFont="1" applyFill="1" applyBorder="1"/>
    <xf numFmtId="14" fontId="24" fillId="34" borderId="11" xfId="32" applyNumberFormat="1" applyFont="1" applyFill="1" applyBorder="1" applyAlignment="1">
      <alignment vertical="center"/>
    </xf>
    <xf numFmtId="44" fontId="24" fillId="34" borderId="11" xfId="54" applyNumberFormat="1" applyFont="1" applyFill="1" applyBorder="1" applyAlignment="1">
      <alignment horizontal="left" vertical="center"/>
    </xf>
    <xf numFmtId="0" fontId="24" fillId="34" borderId="8" xfId="54" applyFont="1" applyFill="1" applyBorder="1" applyAlignment="1">
      <alignment wrapText="1"/>
    </xf>
    <xf numFmtId="41" fontId="24" fillId="34" borderId="29" xfId="29" applyFont="1" applyFill="1" applyBorder="1" applyAlignment="1">
      <alignment horizontal="center" vertical="top"/>
    </xf>
    <xf numFmtId="41" fontId="24" fillId="34" borderId="11" xfId="29" applyFont="1" applyFill="1" applyBorder="1" applyAlignment="1">
      <alignment horizontal="center" vertical="top"/>
    </xf>
    <xf numFmtId="167" fontId="24" fillId="34" borderId="12" xfId="63" applyNumberFormat="1" applyFont="1" applyFill="1" applyBorder="1" applyAlignment="1">
      <alignment vertical="top"/>
    </xf>
    <xf numFmtId="167" fontId="24" fillId="34" borderId="29" xfId="63" applyNumberFormat="1" applyFont="1" applyFill="1" applyBorder="1" applyAlignment="1">
      <alignment vertical="top"/>
    </xf>
    <xf numFmtId="167" fontId="24" fillId="34" borderId="30" xfId="63" applyNumberFormat="1" applyFont="1" applyFill="1" applyBorder="1" applyAlignment="1">
      <alignment vertical="top"/>
    </xf>
    <xf numFmtId="9" fontId="25" fillId="34" borderId="18" xfId="59" applyNumberFormat="1" applyFont="1" applyFill="1" applyBorder="1" applyAlignment="1">
      <alignment vertical="center"/>
    </xf>
    <xf numFmtId="167" fontId="24" fillId="34" borderId="8" xfId="63" applyNumberFormat="1" applyFont="1" applyFill="1" applyBorder="1" applyAlignment="1">
      <alignment vertical="top"/>
    </xf>
    <xf numFmtId="9" fontId="24" fillId="34" borderId="12" xfId="63" applyNumberFormat="1" applyFont="1" applyFill="1" applyBorder="1" applyAlignment="1">
      <alignment horizontal="left" vertical="top"/>
    </xf>
    <xf numFmtId="41" fontId="24" fillId="34" borderId="11" xfId="59" applyNumberFormat="1" applyFont="1" applyFill="1" applyBorder="1" applyAlignment="1">
      <alignment vertical="center" wrapText="1"/>
    </xf>
    <xf numFmtId="14" fontId="24" fillId="0" borderId="29" xfId="32" applyNumberFormat="1" applyFont="1" applyBorder="1" applyAlignment="1">
      <alignment horizontal="right"/>
    </xf>
    <xf numFmtId="0" fontId="24" fillId="0" borderId="8" xfId="54" applyFont="1" applyFill="1" applyBorder="1" applyAlignment="1">
      <alignment horizontal="left" vertical="top" wrapText="1"/>
    </xf>
    <xf numFmtId="0" fontId="25" fillId="39" borderId="4" xfId="0" applyFont="1" applyFill="1" applyBorder="1" applyAlignment="1">
      <alignment vertical="center"/>
    </xf>
    <xf numFmtId="0" fontId="25" fillId="39" borderId="9" xfId="0" applyFont="1" applyFill="1" applyBorder="1" applyAlignment="1">
      <alignment vertical="center" wrapText="1"/>
    </xf>
    <xf numFmtId="41" fontId="31" fillId="39" borderId="4" xfId="28" applyNumberFormat="1" applyFont="1" applyFill="1" applyBorder="1" applyAlignment="1">
      <alignment vertical="center"/>
    </xf>
    <xf numFmtId="41" fontId="24" fillId="0" borderId="8" xfId="54" applyNumberFormat="1" applyFont="1" applyFill="1" applyBorder="1" applyAlignment="1">
      <alignment horizontal="left" vertical="top" wrapText="1"/>
    </xf>
    <xf numFmtId="41" fontId="24" fillId="0" borderId="29" xfId="54" applyNumberFormat="1" applyFont="1" applyFill="1" applyBorder="1" applyAlignment="1">
      <alignment horizontal="left" vertical="top" wrapText="1"/>
    </xf>
    <xf numFmtId="0" fontId="25" fillId="0" borderId="9" xfId="63" applyFont="1" applyBorder="1" applyAlignment="1">
      <alignment horizontal="center"/>
    </xf>
    <xf numFmtId="0" fontId="25" fillId="0" borderId="10" xfId="63" applyFont="1" applyBorder="1" applyAlignment="1">
      <alignment horizontal="center"/>
    </xf>
    <xf numFmtId="0" fontId="25" fillId="0" borderId="1" xfId="63" applyFont="1" applyBorder="1" applyAlignment="1">
      <alignment horizontal="center" vertical="center" wrapText="1"/>
    </xf>
    <xf numFmtId="0" fontId="25" fillId="0" borderId="7" xfId="63" applyFont="1" applyBorder="1" applyAlignment="1">
      <alignment horizontal="center" vertical="center" wrapText="1"/>
    </xf>
    <xf numFmtId="0" fontId="25" fillId="0" borderId="0" xfId="55" applyFont="1" applyFill="1" applyAlignment="1">
      <alignment horizontal="center"/>
    </xf>
    <xf numFmtId="0" fontId="25" fillId="0" borderId="27" xfId="63" applyFont="1" applyBorder="1" applyAlignment="1">
      <alignment horizontal="center"/>
    </xf>
    <xf numFmtId="0" fontId="25" fillId="0" borderId="30" xfId="63" applyFont="1" applyBorder="1"/>
    <xf numFmtId="167" fontId="25" fillId="0" borderId="30" xfId="63" applyNumberFormat="1" applyFont="1" applyBorder="1"/>
    <xf numFmtId="167" fontId="25" fillId="0" borderId="30" xfId="63" applyNumberFormat="1" applyFont="1" applyBorder="1" applyAlignment="1">
      <alignment vertical="top"/>
    </xf>
    <xf numFmtId="41" fontId="25" fillId="0" borderId="0" xfId="29" applyFont="1"/>
    <xf numFmtId="0" fontId="25" fillId="39" borderId="8" xfId="54" quotePrefix="1" applyFont="1" applyFill="1" applyBorder="1" applyAlignment="1">
      <alignment wrapText="1"/>
    </xf>
    <xf numFmtId="167" fontId="25" fillId="39" borderId="8" xfId="63" applyNumberFormat="1" applyFont="1" applyFill="1" applyBorder="1" applyAlignment="1">
      <alignment vertical="top"/>
    </xf>
    <xf numFmtId="0" fontId="25" fillId="39" borderId="29" xfId="63" applyFont="1" applyFill="1" applyBorder="1"/>
    <xf numFmtId="167" fontId="24" fillId="0" borderId="14" xfId="63" applyNumberFormat="1" applyFont="1" applyFill="1" applyBorder="1" applyAlignment="1">
      <alignment vertical="center"/>
    </xf>
    <xf numFmtId="0" fontId="25" fillId="0" borderId="14" xfId="63" applyFont="1" applyBorder="1" applyAlignment="1">
      <alignment horizontal="center"/>
    </xf>
    <xf numFmtId="0" fontId="28" fillId="39" borderId="15" xfId="59" applyFont="1" applyFill="1" applyBorder="1" applyAlignment="1">
      <alignment horizontal="center" vertical="center"/>
    </xf>
    <xf numFmtId="0" fontId="28" fillId="39" borderId="15" xfId="59" applyFont="1" applyFill="1" applyBorder="1" applyAlignment="1">
      <alignment horizontal="left" vertical="center"/>
    </xf>
    <xf numFmtId="0" fontId="25" fillId="39" borderId="15" xfId="54" applyFont="1" applyFill="1" applyBorder="1" applyAlignment="1">
      <alignment horizontal="center"/>
    </xf>
    <xf numFmtId="0" fontId="24" fillId="0" borderId="15" xfId="55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left" vertical="center" wrapText="1"/>
    </xf>
    <xf numFmtId="41" fontId="27" fillId="0" borderId="14" xfId="30" applyFont="1" applyFill="1" applyBorder="1" applyAlignment="1">
      <alignment horizontal="center" vertical="center" wrapText="1"/>
    </xf>
    <xf numFmtId="41" fontId="27" fillId="0" borderId="32" xfId="29" applyFont="1" applyFill="1" applyBorder="1" applyAlignment="1">
      <alignment horizontal="center" vertical="center" wrapText="1"/>
    </xf>
    <xf numFmtId="41" fontId="24" fillId="0" borderId="15" xfId="29" applyFont="1" applyBorder="1" applyAlignment="1">
      <alignment vertical="center"/>
    </xf>
    <xf numFmtId="168" fontId="25" fillId="0" borderId="17" xfId="63" applyNumberFormat="1" applyFont="1" applyFill="1" applyBorder="1" applyAlignment="1">
      <alignment horizontal="center" vertical="center"/>
    </xf>
    <xf numFmtId="9" fontId="25" fillId="0" borderId="17" xfId="59" applyNumberFormat="1" applyFont="1" applyFill="1" applyBorder="1" applyAlignment="1">
      <alignment vertical="center"/>
    </xf>
    <xf numFmtId="167" fontId="25" fillId="41" borderId="4" xfId="63" applyNumberFormat="1" applyFont="1" applyFill="1" applyBorder="1" applyAlignment="1">
      <alignment vertical="center"/>
    </xf>
    <xf numFmtId="0" fontId="0" fillId="0" borderId="19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9" fontId="25" fillId="0" borderId="2" xfId="71" applyFont="1" applyFill="1" applyBorder="1" applyAlignment="1">
      <alignment vertical="center"/>
    </xf>
    <xf numFmtId="0" fontId="25" fillId="0" borderId="27" xfId="63" applyFont="1" applyBorder="1" applyAlignment="1">
      <alignment horizontal="center"/>
    </xf>
    <xf numFmtId="14" fontId="24" fillId="0" borderId="15" xfId="59" applyNumberFormat="1" applyFont="1" applyFill="1" applyBorder="1" applyAlignment="1">
      <alignment vertical="center"/>
    </xf>
    <xf numFmtId="0" fontId="27" fillId="39" borderId="15" xfId="59" applyFont="1" applyFill="1" applyBorder="1" applyAlignment="1">
      <alignment horizontal="left" vertical="center" wrapText="1"/>
    </xf>
    <xf numFmtId="41" fontId="24" fillId="39" borderId="15" xfId="59" applyNumberFormat="1" applyFont="1" applyFill="1" applyBorder="1" applyAlignment="1">
      <alignment vertical="center"/>
    </xf>
    <xf numFmtId="41" fontId="24" fillId="39" borderId="15" xfId="59" applyNumberFormat="1" applyFont="1" applyFill="1" applyBorder="1" applyAlignment="1">
      <alignment vertical="center" wrapText="1"/>
    </xf>
    <xf numFmtId="14" fontId="24" fillId="39" borderId="15" xfId="59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5" fillId="0" borderId="1" xfId="63" applyFont="1" applyBorder="1" applyAlignment="1">
      <alignment horizontal="center" vertical="center" wrapText="1"/>
    </xf>
    <xf numFmtId="0" fontId="25" fillId="0" borderId="1" xfId="63" applyFont="1" applyBorder="1" applyAlignment="1">
      <alignment horizontal="center" vertical="center"/>
    </xf>
    <xf numFmtId="0" fontId="25" fillId="0" borderId="10" xfId="63" applyFont="1" applyBorder="1" applyAlignment="1">
      <alignment horizontal="center" vertical="center"/>
    </xf>
    <xf numFmtId="0" fontId="25" fillId="0" borderId="7" xfId="63" applyFont="1" applyBorder="1" applyAlignment="1">
      <alignment horizontal="center" vertical="center" wrapText="1"/>
    </xf>
    <xf numFmtId="0" fontId="25" fillId="0" borderId="27" xfId="63" applyFont="1" applyBorder="1" applyAlignment="1">
      <alignment horizontal="center"/>
    </xf>
    <xf numFmtId="0" fontId="0" fillId="0" borderId="2" xfId="0" applyFont="1" applyFill="1" applyBorder="1" applyAlignment="1">
      <alignment vertical="center" wrapText="1"/>
    </xf>
    <xf numFmtId="0" fontId="0" fillId="0" borderId="39" xfId="0" applyFont="1" applyFill="1" applyBorder="1" applyAlignment="1">
      <alignment vertical="center" wrapText="1"/>
    </xf>
    <xf numFmtId="41" fontId="4" fillId="0" borderId="13" xfId="3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vertical="center" wrapText="1"/>
    </xf>
    <xf numFmtId="41" fontId="4" fillId="0" borderId="23" xfId="30" applyFont="1" applyFill="1" applyBorder="1" applyAlignment="1">
      <alignment horizontal="center" vertical="center" wrapText="1"/>
    </xf>
    <xf numFmtId="41" fontId="4" fillId="0" borderId="46" xfId="30" applyFont="1" applyFill="1" applyBorder="1" applyAlignment="1">
      <alignment horizontal="center" vertical="center" wrapText="1"/>
    </xf>
    <xf numFmtId="167" fontId="4" fillId="0" borderId="13" xfId="28" applyNumberFormat="1" applyFont="1" applyFill="1" applyBorder="1" applyAlignment="1">
      <alignment vertical="center" wrapText="1"/>
    </xf>
    <xf numFmtId="168" fontId="24" fillId="0" borderId="11" xfId="63" applyNumberFormat="1" applyFont="1" applyBorder="1" applyAlignment="1">
      <alignment vertical="center"/>
    </xf>
    <xf numFmtId="9" fontId="24" fillId="0" borderId="29" xfId="29" applyNumberFormat="1" applyFont="1" applyBorder="1" applyAlignment="1">
      <alignment vertical="center"/>
    </xf>
    <xf numFmtId="0" fontId="24" fillId="0" borderId="0" xfId="63" applyFont="1" applyAlignment="1">
      <alignment vertical="center"/>
    </xf>
    <xf numFmtId="0" fontId="25" fillId="0" borderId="22" xfId="63" applyFont="1" applyBorder="1" applyAlignment="1">
      <alignment horizontal="center" vertical="center"/>
    </xf>
    <xf numFmtId="167" fontId="25" fillId="35" borderId="10" xfId="63" applyNumberFormat="1" applyFont="1" applyFill="1" applyBorder="1" applyAlignment="1">
      <alignment vertical="center"/>
    </xf>
    <xf numFmtId="168" fontId="25" fillId="35" borderId="10" xfId="63" applyNumberFormat="1" applyFont="1" applyFill="1" applyBorder="1" applyAlignment="1">
      <alignment vertical="center"/>
    </xf>
    <xf numFmtId="167" fontId="24" fillId="0" borderId="15" xfId="63" applyNumberFormat="1" applyFont="1" applyBorder="1" applyAlignment="1">
      <alignment vertical="center"/>
    </xf>
    <xf numFmtId="168" fontId="24" fillId="0" borderId="15" xfId="63" applyNumberFormat="1" applyFont="1" applyBorder="1" applyAlignment="1">
      <alignment vertical="center"/>
    </xf>
    <xf numFmtId="9" fontId="24" fillId="0" borderId="14" xfId="29" applyNumberFormat="1" applyFont="1" applyBorder="1" applyAlignment="1">
      <alignment vertical="center"/>
    </xf>
    <xf numFmtId="167" fontId="24" fillId="0" borderId="29" xfId="63" applyNumberFormat="1" applyFont="1" applyBorder="1" applyAlignment="1">
      <alignment vertical="center"/>
    </xf>
    <xf numFmtId="9" fontId="24" fillId="0" borderId="29" xfId="71" applyFont="1" applyBorder="1" applyAlignment="1">
      <alignment vertical="center"/>
    </xf>
    <xf numFmtId="168" fontId="24" fillId="39" borderId="8" xfId="63" applyNumberFormat="1" applyFont="1" applyFill="1" applyBorder="1" applyAlignment="1">
      <alignment vertical="center"/>
    </xf>
    <xf numFmtId="9" fontId="24" fillId="39" borderId="29" xfId="29" applyNumberFormat="1" applyFont="1" applyFill="1" applyBorder="1" applyAlignment="1">
      <alignment vertical="center"/>
    </xf>
    <xf numFmtId="9" fontId="25" fillId="39" borderId="29" xfId="29" applyNumberFormat="1" applyFont="1" applyFill="1" applyBorder="1" applyAlignment="1">
      <alignment vertical="center"/>
    </xf>
    <xf numFmtId="168" fontId="24" fillId="0" borderId="22" xfId="63" applyNumberFormat="1" applyFont="1" applyBorder="1" applyAlignment="1">
      <alignment vertical="center"/>
    </xf>
    <xf numFmtId="9" fontId="24" fillId="0" borderId="0" xfId="29" applyNumberFormat="1" applyFont="1" applyBorder="1" applyAlignment="1">
      <alignment vertical="center"/>
    </xf>
    <xf numFmtId="41" fontId="25" fillId="36" borderId="5" xfId="63" applyNumberFormat="1" applyFont="1" applyFill="1" applyBorder="1" applyAlignment="1">
      <alignment vertical="center"/>
    </xf>
    <xf numFmtId="168" fontId="24" fillId="0" borderId="0" xfId="63" applyNumberFormat="1" applyFont="1" applyAlignment="1">
      <alignment vertical="center"/>
    </xf>
    <xf numFmtId="41" fontId="24" fillId="0" borderId="0" xfId="63" applyNumberFormat="1" applyFont="1" applyAlignment="1">
      <alignment vertical="center"/>
    </xf>
    <xf numFmtId="0" fontId="24" fillId="39" borderId="3" xfId="55" applyFont="1" applyFill="1" applyBorder="1" applyAlignment="1">
      <alignment horizontal="center"/>
    </xf>
    <xf numFmtId="0" fontId="24" fillId="39" borderId="0" xfId="62" applyFont="1" applyFill="1" applyBorder="1" applyAlignment="1">
      <alignment horizontal="left" vertical="center" wrapText="1"/>
    </xf>
    <xf numFmtId="41" fontId="24" fillId="39" borderId="2" xfId="32" applyFont="1" applyFill="1" applyBorder="1"/>
    <xf numFmtId="41" fontId="24" fillId="39" borderId="2" xfId="32" applyFont="1" applyFill="1" applyBorder="1" applyAlignment="1">
      <alignment wrapText="1"/>
    </xf>
    <xf numFmtId="14" fontId="24" fillId="39" borderId="0" xfId="32" applyNumberFormat="1" applyFont="1" applyFill="1" applyBorder="1"/>
    <xf numFmtId="41" fontId="24" fillId="39" borderId="3" xfId="32" applyFont="1" applyFill="1" applyBorder="1"/>
    <xf numFmtId="0" fontId="24" fillId="39" borderId="2" xfId="54" applyFont="1" applyFill="1" applyBorder="1" applyAlignment="1">
      <alignment horizontal="center" wrapText="1"/>
    </xf>
    <xf numFmtId="0" fontId="24" fillId="39" borderId="0" xfId="54" applyFont="1" applyFill="1" applyBorder="1" applyAlignment="1">
      <alignment horizontal="center" vertical="center"/>
    </xf>
    <xf numFmtId="0" fontId="24" fillId="39" borderId="0" xfId="54" applyFont="1" applyFill="1" applyBorder="1" applyAlignment="1">
      <alignment horizontal="left" vertical="center" wrapText="1"/>
    </xf>
    <xf numFmtId="167" fontId="24" fillId="39" borderId="22" xfId="63" applyNumberFormat="1" applyFont="1" applyFill="1" applyBorder="1" applyAlignment="1">
      <alignment vertical="center"/>
    </xf>
    <xf numFmtId="168" fontId="24" fillId="39" borderId="22" xfId="63" applyNumberFormat="1" applyFont="1" applyFill="1" applyBorder="1" applyAlignment="1">
      <alignment vertical="center"/>
    </xf>
    <xf numFmtId="168" fontId="24" fillId="39" borderId="22" xfId="63" applyNumberFormat="1" applyFont="1" applyFill="1" applyBorder="1" applyAlignment="1">
      <alignment horizontal="center" vertical="center"/>
    </xf>
    <xf numFmtId="9" fontId="24" fillId="39" borderId="0" xfId="29" applyNumberFormat="1" applyFont="1" applyFill="1" applyBorder="1" applyAlignment="1">
      <alignment vertical="center"/>
    </xf>
    <xf numFmtId="167" fontId="24" fillId="39" borderId="2" xfId="63" applyNumberFormat="1" applyFont="1" applyFill="1" applyBorder="1" applyAlignment="1">
      <alignment vertical="center"/>
    </xf>
    <xf numFmtId="0" fontId="24" fillId="39" borderId="2" xfId="63" applyFont="1" applyFill="1" applyBorder="1"/>
    <xf numFmtId="0" fontId="25" fillId="39" borderId="0" xfId="62" applyFont="1" applyFill="1" applyBorder="1" applyAlignment="1">
      <alignment horizontal="center" vertical="center" wrapText="1"/>
    </xf>
    <xf numFmtId="41" fontId="25" fillId="39" borderId="0" xfId="29" applyFont="1" applyFill="1" applyBorder="1" applyAlignment="1">
      <alignment horizontal="center" vertical="center"/>
    </xf>
    <xf numFmtId="167" fontId="25" fillId="39" borderId="0" xfId="63" applyNumberFormat="1" applyFont="1" applyFill="1" applyBorder="1" applyAlignment="1">
      <alignment vertical="top"/>
    </xf>
    <xf numFmtId="41" fontId="25" fillId="39" borderId="2" xfId="32" applyFont="1" applyFill="1" applyBorder="1"/>
    <xf numFmtId="0" fontId="24" fillId="0" borderId="0" xfId="55" applyFont="1" applyFill="1" applyAlignment="1">
      <alignment vertical="center"/>
    </xf>
    <xf numFmtId="0" fontId="25" fillId="0" borderId="0" xfId="55" applyFont="1" applyFill="1" applyAlignment="1">
      <alignment horizontal="center" vertical="center"/>
    </xf>
    <xf numFmtId="0" fontId="25" fillId="0" borderId="4" xfId="55" applyFont="1" applyFill="1" applyBorder="1" applyAlignment="1">
      <alignment horizontal="center" vertical="center"/>
    </xf>
    <xf numFmtId="0" fontId="25" fillId="0" borderId="22" xfId="55" applyFont="1" applyFill="1" applyBorder="1" applyAlignment="1">
      <alignment horizontal="center" vertical="center"/>
    </xf>
    <xf numFmtId="166" fontId="24" fillId="0" borderId="17" xfId="54" applyNumberFormat="1" applyFont="1" applyFill="1" applyBorder="1" applyAlignment="1">
      <alignment horizontal="center" vertical="center"/>
    </xf>
    <xf numFmtId="166" fontId="24" fillId="38" borderId="17" xfId="54" applyNumberFormat="1" applyFont="1" applyFill="1" applyBorder="1" applyAlignment="1">
      <alignment horizontal="center" vertical="center"/>
    </xf>
    <xf numFmtId="41" fontId="24" fillId="38" borderId="12" xfId="29" applyFont="1" applyFill="1" applyBorder="1" applyAlignment="1">
      <alignment horizontal="center" vertical="center"/>
    </xf>
    <xf numFmtId="41" fontId="24" fillId="38" borderId="17" xfId="29" applyFont="1" applyFill="1" applyBorder="1" applyAlignment="1">
      <alignment horizontal="center" vertical="center"/>
    </xf>
    <xf numFmtId="166" fontId="24" fillId="38" borderId="12" xfId="54" applyNumberFormat="1" applyFont="1" applyFill="1" applyBorder="1" applyAlignment="1">
      <alignment horizontal="center" vertical="center"/>
    </xf>
    <xf numFmtId="167" fontId="25" fillId="39" borderId="8" xfId="54" applyNumberFormat="1" applyFont="1" applyFill="1" applyBorder="1" applyAlignment="1">
      <alignment horizontal="center" vertical="center"/>
    </xf>
    <xf numFmtId="166" fontId="24" fillId="0" borderId="58" xfId="54" applyNumberFormat="1" applyFont="1" applyFill="1" applyBorder="1" applyAlignment="1">
      <alignment horizontal="center" vertical="center"/>
    </xf>
    <xf numFmtId="41" fontId="24" fillId="0" borderId="58" xfId="29" applyFont="1" applyFill="1" applyBorder="1" applyAlignment="1">
      <alignment horizontal="center" vertical="center"/>
    </xf>
    <xf numFmtId="167" fontId="24" fillId="0" borderId="29" xfId="28" applyNumberFormat="1" applyFont="1" applyFill="1" applyBorder="1" applyAlignment="1">
      <alignment horizontal="center" vertical="center"/>
    </xf>
    <xf numFmtId="167" fontId="25" fillId="39" borderId="17" xfId="28" applyNumberFormat="1" applyFont="1" applyFill="1" applyBorder="1" applyAlignment="1">
      <alignment horizontal="center" vertical="center"/>
    </xf>
    <xf numFmtId="166" fontId="24" fillId="0" borderId="22" xfId="54" applyNumberFormat="1" applyFont="1" applyFill="1" applyBorder="1" applyAlignment="1">
      <alignment horizontal="center" vertical="center"/>
    </xf>
    <xf numFmtId="41" fontId="25" fillId="39" borderId="17" xfId="29" applyFont="1" applyFill="1" applyBorder="1" applyAlignment="1">
      <alignment horizontal="center" vertical="center"/>
    </xf>
    <xf numFmtId="0" fontId="24" fillId="0" borderId="0" xfId="63" applyFont="1" applyAlignment="1">
      <alignment horizontal="center" vertical="center"/>
    </xf>
    <xf numFmtId="41" fontId="25" fillId="0" borderId="0" xfId="63" applyNumberFormat="1" applyFont="1" applyAlignment="1">
      <alignment vertical="center"/>
    </xf>
    <xf numFmtId="171" fontId="24" fillId="39" borderId="8" xfId="55" applyNumberFormat="1" applyFont="1" applyFill="1" applyBorder="1" applyAlignment="1">
      <alignment horizontal="left" vertical="center"/>
    </xf>
    <xf numFmtId="41" fontId="24" fillId="39" borderId="11" xfId="59" applyNumberFormat="1" applyFont="1" applyFill="1" applyBorder="1" applyAlignment="1">
      <alignment vertical="center"/>
    </xf>
    <xf numFmtId="44" fontId="24" fillId="39" borderId="11" xfId="59" applyNumberFormat="1" applyFont="1" applyFill="1" applyBorder="1" applyAlignment="1">
      <alignment horizontal="left" vertical="center"/>
    </xf>
    <xf numFmtId="167" fontId="24" fillId="0" borderId="14" xfId="63" quotePrefix="1" applyNumberFormat="1" applyFont="1" applyBorder="1" applyAlignment="1">
      <alignment vertical="top"/>
    </xf>
    <xf numFmtId="14" fontId="24" fillId="0" borderId="14" xfId="63" applyNumberFormat="1" applyFont="1" applyBorder="1" applyAlignment="1">
      <alignment vertical="top"/>
    </xf>
    <xf numFmtId="0" fontId="25" fillId="39" borderId="8" xfId="55" applyFont="1" applyFill="1" applyBorder="1" applyAlignment="1">
      <alignment vertical="center"/>
    </xf>
    <xf numFmtId="44" fontId="25" fillId="39" borderId="11" xfId="59" applyNumberFormat="1" applyFont="1" applyFill="1" applyBorder="1" applyAlignment="1">
      <alignment horizontal="left" vertical="center"/>
    </xf>
    <xf numFmtId="0" fontId="25" fillId="39" borderId="8" xfId="54" applyFont="1" applyFill="1" applyBorder="1" applyAlignment="1">
      <alignment horizontal="left" vertical="center"/>
    </xf>
    <xf numFmtId="0" fontId="25" fillId="0" borderId="9" xfId="63" applyFont="1" applyBorder="1" applyAlignment="1">
      <alignment horizontal="center" vertical="center"/>
    </xf>
    <xf numFmtId="0" fontId="25" fillId="0" borderId="1" xfId="55" applyFont="1" applyFill="1" applyBorder="1" applyAlignment="1">
      <alignment horizontal="center" vertical="center"/>
    </xf>
    <xf numFmtId="0" fontId="25" fillId="0" borderId="5" xfId="55" applyFont="1" applyFill="1" applyBorder="1" applyAlignment="1">
      <alignment horizontal="center" vertical="center"/>
    </xf>
    <xf numFmtId="0" fontId="25" fillId="0" borderId="5" xfId="63" applyFont="1" applyBorder="1" applyAlignment="1">
      <alignment horizontal="center" vertical="center"/>
    </xf>
    <xf numFmtId="0" fontId="25" fillId="0" borderId="4" xfId="63" applyFont="1" applyBorder="1" applyAlignment="1">
      <alignment horizontal="center" vertical="center"/>
    </xf>
    <xf numFmtId="0" fontId="0" fillId="0" borderId="19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vertical="center" wrapText="1"/>
    </xf>
    <xf numFmtId="9" fontId="25" fillId="0" borderId="15" xfId="71" applyFont="1" applyFill="1" applyBorder="1" applyAlignment="1">
      <alignment vertical="center"/>
    </xf>
    <xf numFmtId="166" fontId="25" fillId="39" borderId="17" xfId="54" applyNumberFormat="1" applyFont="1" applyFill="1" applyBorder="1" applyAlignment="1">
      <alignment horizontal="center" vertical="center"/>
    </xf>
    <xf numFmtId="167" fontId="25" fillId="39" borderId="13" xfId="63" applyNumberFormat="1" applyFont="1" applyFill="1" applyBorder="1" applyAlignment="1">
      <alignment vertical="center"/>
    </xf>
    <xf numFmtId="0" fontId="25" fillId="0" borderId="1" xfId="55" applyFont="1" applyFill="1" applyBorder="1" applyAlignment="1">
      <alignment horizontal="center" vertical="center"/>
    </xf>
    <xf numFmtId="0" fontId="25" fillId="35" borderId="21" xfId="54" applyFont="1" applyFill="1" applyBorder="1" applyAlignment="1">
      <alignment horizontal="center" vertical="center"/>
    </xf>
    <xf numFmtId="0" fontId="25" fillId="0" borderId="15" xfId="54" applyFont="1" applyFill="1" applyBorder="1" applyAlignment="1">
      <alignment horizontal="center" vertical="center"/>
    </xf>
    <xf numFmtId="0" fontId="25" fillId="39" borderId="4" xfId="54" applyFont="1" applyFill="1" applyBorder="1" applyAlignment="1">
      <alignment horizontal="center" vertical="center"/>
    </xf>
    <xf numFmtId="0" fontId="25" fillId="39" borderId="15" xfId="54" applyFont="1" applyFill="1" applyBorder="1" applyAlignment="1">
      <alignment horizontal="center" vertical="center"/>
    </xf>
    <xf numFmtId="0" fontId="25" fillId="39" borderId="11" xfId="54" applyFont="1" applyFill="1" applyBorder="1" applyAlignment="1">
      <alignment horizontal="center" vertical="center"/>
    </xf>
    <xf numFmtId="0" fontId="25" fillId="0" borderId="11" xfId="54" applyFont="1" applyFill="1" applyBorder="1" applyAlignment="1">
      <alignment horizontal="center" vertical="center"/>
    </xf>
    <xf numFmtId="0" fontId="25" fillId="35" borderId="4" xfId="54" applyFont="1" applyFill="1" applyBorder="1" applyAlignment="1">
      <alignment horizontal="center" vertical="center"/>
    </xf>
    <xf numFmtId="0" fontId="25" fillId="39" borderId="8" xfId="54" applyFont="1" applyFill="1" applyBorder="1" applyAlignment="1">
      <alignment horizontal="center" vertical="center" wrapText="1"/>
    </xf>
    <xf numFmtId="0" fontId="25" fillId="39" borderId="11" xfId="54" applyFont="1" applyFill="1" applyBorder="1" applyAlignment="1">
      <alignment horizontal="center" vertical="center" wrapText="1"/>
    </xf>
    <xf numFmtId="0" fontId="25" fillId="0" borderId="2" xfId="54" applyFont="1" applyFill="1" applyBorder="1" applyAlignment="1">
      <alignment horizontal="center" vertical="center"/>
    </xf>
    <xf numFmtId="0" fontId="25" fillId="0" borderId="6" xfId="63" applyFont="1" applyBorder="1" applyAlignment="1">
      <alignment horizontal="center" vertical="center"/>
    </xf>
    <xf numFmtId="0" fontId="25" fillId="0" borderId="0" xfId="63" applyFont="1" applyBorder="1" applyAlignment="1">
      <alignment horizontal="center" vertical="center"/>
    </xf>
    <xf numFmtId="0" fontId="25" fillId="0" borderId="27" xfId="63" applyFont="1" applyBorder="1" applyAlignment="1">
      <alignment horizontal="center" vertical="center"/>
    </xf>
    <xf numFmtId="167" fontId="24" fillId="0" borderId="58" xfId="63" applyNumberFormat="1" applyFont="1" applyBorder="1" applyAlignment="1">
      <alignment vertical="center"/>
    </xf>
    <xf numFmtId="0" fontId="24" fillId="0" borderId="0" xfId="63" applyFont="1" applyBorder="1" applyAlignment="1">
      <alignment vertical="center"/>
    </xf>
    <xf numFmtId="0" fontId="24" fillId="38" borderId="11" xfId="54" applyFont="1" applyFill="1" applyBorder="1" applyAlignment="1">
      <alignment vertical="center" wrapText="1"/>
    </xf>
    <xf numFmtId="0" fontId="24" fillId="38" borderId="8" xfId="54" applyFont="1" applyFill="1" applyBorder="1" applyAlignment="1">
      <alignment vertical="center" wrapText="1"/>
    </xf>
    <xf numFmtId="0" fontId="25" fillId="35" borderId="21" xfId="54" applyFont="1" applyFill="1" applyBorder="1" applyAlignment="1">
      <alignment vertical="center" wrapText="1"/>
    </xf>
    <xf numFmtId="0" fontId="25" fillId="0" borderId="15" xfId="54" applyFont="1" applyFill="1" applyBorder="1" applyAlignment="1">
      <alignment vertical="center" wrapText="1"/>
    </xf>
    <xf numFmtId="0" fontId="25" fillId="39" borderId="4" xfId="54" applyFont="1" applyFill="1" applyBorder="1" applyAlignment="1">
      <alignment vertical="center" wrapText="1"/>
    </xf>
    <xf numFmtId="0" fontId="25" fillId="39" borderId="15" xfId="54" applyFont="1" applyFill="1" applyBorder="1" applyAlignment="1">
      <alignment vertical="center" wrapText="1"/>
    </xf>
    <xf numFmtId="0" fontId="24" fillId="39" borderId="15" xfId="54" applyFont="1" applyFill="1" applyBorder="1" applyAlignment="1">
      <alignment vertical="center" wrapText="1"/>
    </xf>
    <xf numFmtId="0" fontId="25" fillId="0" borderId="11" xfId="54" applyFont="1" applyFill="1" applyBorder="1" applyAlignment="1">
      <alignment vertical="center" wrapText="1"/>
    </xf>
    <xf numFmtId="0" fontId="25" fillId="0" borderId="8" xfId="54" applyFont="1" applyFill="1" applyBorder="1" applyAlignment="1">
      <alignment vertical="center" wrapText="1"/>
    </xf>
    <xf numFmtId="0" fontId="25" fillId="35" borderId="4" xfId="54" applyFont="1" applyFill="1" applyBorder="1" applyAlignment="1">
      <alignment vertical="center" wrapText="1"/>
    </xf>
    <xf numFmtId="0" fontId="24" fillId="39" borderId="8" xfId="54" applyFont="1" applyFill="1" applyBorder="1" applyAlignment="1">
      <alignment vertical="center" wrapText="1"/>
    </xf>
    <xf numFmtId="0" fontId="25" fillId="0" borderId="0" xfId="54" applyFont="1" applyFill="1" applyBorder="1" applyAlignment="1">
      <alignment vertical="center" wrapText="1"/>
    </xf>
    <xf numFmtId="0" fontId="24" fillId="0" borderId="0" xfId="63" applyFont="1" applyAlignment="1">
      <alignment vertical="center" wrapText="1"/>
    </xf>
    <xf numFmtId="43" fontId="24" fillId="0" borderId="0" xfId="28" applyFont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1" fontId="0" fillId="0" borderId="19" xfId="0" applyNumberFormat="1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167" fontId="4" fillId="0" borderId="38" xfId="28" applyNumberFormat="1" applyFont="1" applyFill="1" applyBorder="1" applyAlignment="1">
      <alignment vertical="center" wrapText="1"/>
    </xf>
    <xf numFmtId="167" fontId="4" fillId="0" borderId="19" xfId="28" applyNumberFormat="1" applyFont="1" applyFill="1" applyBorder="1" applyAlignment="1">
      <alignment vertical="center" wrapText="1"/>
    </xf>
    <xf numFmtId="167" fontId="24" fillId="39" borderId="17" xfId="63" applyNumberFormat="1" applyFont="1" applyFill="1" applyBorder="1" applyAlignment="1">
      <alignment vertical="center"/>
    </xf>
    <xf numFmtId="41" fontId="25" fillId="39" borderId="11" xfId="59" applyNumberFormat="1" applyFont="1" applyFill="1" applyBorder="1" applyAlignment="1">
      <alignment vertical="center" wrapText="1"/>
    </xf>
    <xf numFmtId="9" fontId="25" fillId="39" borderId="14" xfId="59" applyNumberFormat="1" applyFont="1" applyFill="1" applyBorder="1" applyAlignment="1">
      <alignment vertical="center"/>
    </xf>
    <xf numFmtId="44" fontId="24" fillId="34" borderId="11" xfId="59" applyNumberFormat="1" applyFont="1" applyFill="1" applyBorder="1" applyAlignment="1">
      <alignment horizontal="left" vertical="center"/>
    </xf>
    <xf numFmtId="41" fontId="25" fillId="39" borderId="15" xfId="32" applyFont="1" applyFill="1" applyBorder="1" applyAlignment="1">
      <alignment vertical="center"/>
    </xf>
    <xf numFmtId="44" fontId="25" fillId="39" borderId="15" xfId="59" applyNumberFormat="1" applyFont="1" applyFill="1" applyBorder="1" applyAlignment="1">
      <alignment horizontal="left" vertical="center"/>
    </xf>
    <xf numFmtId="0" fontId="25" fillId="39" borderId="15" xfId="54" applyFont="1" applyFill="1" applyBorder="1" applyAlignment="1">
      <alignment horizontal="center" vertical="center" wrapText="1"/>
    </xf>
    <xf numFmtId="0" fontId="25" fillId="39" borderId="15" xfId="54" applyFont="1" applyFill="1" applyBorder="1" applyAlignment="1">
      <alignment horizontal="left" vertical="center" wrapText="1"/>
    </xf>
    <xf numFmtId="167" fontId="25" fillId="39" borderId="14" xfId="63" applyNumberFormat="1" applyFont="1" applyFill="1" applyBorder="1" applyAlignment="1">
      <alignment vertical="center"/>
    </xf>
    <xf numFmtId="168" fontId="25" fillId="39" borderId="15" xfId="63" applyNumberFormat="1" applyFont="1" applyFill="1" applyBorder="1" applyAlignment="1">
      <alignment vertical="center"/>
    </xf>
    <xf numFmtId="9" fontId="25" fillId="39" borderId="15" xfId="59" applyNumberFormat="1" applyFont="1" applyFill="1" applyBorder="1" applyAlignment="1">
      <alignment vertical="center"/>
    </xf>
    <xf numFmtId="0" fontId="25" fillId="34" borderId="11" xfId="63" applyFont="1" applyFill="1" applyBorder="1"/>
    <xf numFmtId="0" fontId="25" fillId="34" borderId="0" xfId="63" applyFont="1" applyFill="1"/>
    <xf numFmtId="41" fontId="25" fillId="34" borderId="0" xfId="63" applyNumberFormat="1" applyFont="1" applyFill="1"/>
    <xf numFmtId="9" fontId="24" fillId="0" borderId="0" xfId="71" applyFont="1"/>
    <xf numFmtId="9" fontId="25" fillId="0" borderId="4" xfId="71" applyFont="1" applyBorder="1" applyAlignment="1">
      <alignment horizontal="center"/>
    </xf>
    <xf numFmtId="9" fontId="25" fillId="0" borderId="40" xfId="71" applyFont="1" applyBorder="1" applyAlignment="1">
      <alignment horizontal="center"/>
    </xf>
    <xf numFmtId="0" fontId="25" fillId="0" borderId="40" xfId="63" applyFont="1" applyBorder="1"/>
    <xf numFmtId="9" fontId="24" fillId="0" borderId="11" xfId="71" applyFont="1" applyBorder="1"/>
    <xf numFmtId="9" fontId="25" fillId="34" borderId="11" xfId="71" applyFont="1" applyFill="1" applyBorder="1"/>
    <xf numFmtId="9" fontId="25" fillId="36" borderId="11" xfId="71" applyFont="1" applyFill="1" applyBorder="1"/>
    <xf numFmtId="41" fontId="25" fillId="0" borderId="11" xfId="63" applyNumberFormat="1" applyFont="1" applyFill="1" applyBorder="1"/>
    <xf numFmtId="9" fontId="24" fillId="0" borderId="11" xfId="71" applyFont="1" applyBorder="1" applyAlignment="1">
      <alignment horizontal="center"/>
    </xf>
    <xf numFmtId="10" fontId="24" fillId="34" borderId="11" xfId="71" applyNumberFormat="1" applyFont="1" applyFill="1" applyBorder="1" applyAlignment="1">
      <alignment vertical="center"/>
    </xf>
    <xf numFmtId="0" fontId="24" fillId="34" borderId="2" xfId="63" applyFont="1" applyFill="1" applyBorder="1"/>
    <xf numFmtId="167" fontId="24" fillId="34" borderId="2" xfId="63" applyNumberFormat="1" applyFont="1" applyFill="1" applyBorder="1"/>
    <xf numFmtId="10" fontId="24" fillId="34" borderId="11" xfId="63" applyNumberFormat="1" applyFont="1" applyFill="1" applyBorder="1" applyAlignment="1">
      <alignment vertical="center"/>
    </xf>
    <xf numFmtId="167" fontId="24" fillId="34" borderId="2" xfId="28" applyNumberFormat="1" applyFont="1" applyFill="1" applyBorder="1"/>
    <xf numFmtId="167" fontId="24" fillId="34" borderId="2" xfId="63" applyNumberFormat="1" applyFont="1" applyFill="1" applyBorder="1" applyAlignment="1">
      <alignment horizontal="center" vertical="center"/>
    </xf>
    <xf numFmtId="172" fontId="24" fillId="34" borderId="11" xfId="71" applyNumberFormat="1" applyFont="1" applyFill="1" applyBorder="1" applyAlignment="1">
      <alignment vertical="center"/>
    </xf>
    <xf numFmtId="167" fontId="24" fillId="34" borderId="2" xfId="28" applyNumberFormat="1" applyFont="1" applyFill="1" applyBorder="1" applyAlignment="1">
      <alignment vertical="center"/>
    </xf>
    <xf numFmtId="9" fontId="24" fillId="0" borderId="25" xfId="71" applyFont="1" applyBorder="1"/>
    <xf numFmtId="0" fontId="25" fillId="34" borderId="14" xfId="63" applyFont="1" applyFill="1" applyBorder="1"/>
    <xf numFmtId="0" fontId="0" fillId="0" borderId="0" xfId="0" applyFont="1" applyFill="1" applyBorder="1" applyAlignment="1">
      <alignment vertical="center" wrapText="1"/>
    </xf>
    <xf numFmtId="167" fontId="4" fillId="0" borderId="20" xfId="28" applyNumberFormat="1" applyFont="1" applyFill="1" applyBorder="1" applyAlignment="1">
      <alignment vertical="center" wrapText="1"/>
    </xf>
    <xf numFmtId="0" fontId="0" fillId="0" borderId="39" xfId="0" applyFill="1" applyBorder="1" applyAlignment="1">
      <alignment vertical="center" wrapText="1"/>
    </xf>
    <xf numFmtId="167" fontId="4" fillId="0" borderId="19" xfId="28" applyNumberFormat="1" applyFont="1" applyFill="1" applyBorder="1" applyAlignment="1">
      <alignment vertical="center" wrapText="1"/>
    </xf>
    <xf numFmtId="167" fontId="4" fillId="0" borderId="39" xfId="28" applyNumberFormat="1" applyFont="1" applyFill="1" applyBorder="1" applyAlignment="1">
      <alignment vertical="center" wrapText="1"/>
    </xf>
    <xf numFmtId="167" fontId="4" fillId="0" borderId="19" xfId="28" applyNumberFormat="1" applyFont="1" applyFill="1" applyBorder="1" applyAlignment="1">
      <alignment vertical="center" wrapText="1"/>
    </xf>
    <xf numFmtId="9" fontId="25" fillId="0" borderId="22" xfId="71" applyFont="1" applyBorder="1" applyAlignment="1">
      <alignment horizontal="center"/>
    </xf>
    <xf numFmtId="0" fontId="24" fillId="0" borderId="11" xfId="63" applyFont="1" applyBorder="1" applyAlignment="1">
      <alignment horizontal="center"/>
    </xf>
    <xf numFmtId="41" fontId="24" fillId="34" borderId="11" xfId="63" applyNumberFormat="1" applyFont="1" applyFill="1" applyBorder="1"/>
    <xf numFmtId="0" fontId="24" fillId="34" borderId="11" xfId="63" applyFont="1" applyFill="1" applyBorder="1"/>
    <xf numFmtId="9" fontId="24" fillId="34" borderId="11" xfId="71" applyFont="1" applyFill="1" applyBorder="1"/>
    <xf numFmtId="0" fontId="25" fillId="0" borderId="0" xfId="63" applyFont="1" applyBorder="1" applyAlignment="1">
      <alignment horizontal="center" vertical="center"/>
    </xf>
    <xf numFmtId="168" fontId="25" fillId="0" borderId="14" xfId="63" applyNumberFormat="1" applyFont="1" applyFill="1" applyBorder="1" applyAlignment="1">
      <alignment vertical="center"/>
    </xf>
    <xf numFmtId="41" fontId="24" fillId="0" borderId="0" xfId="59" applyNumberFormat="1" applyFont="1" applyFill="1" applyBorder="1" applyAlignment="1">
      <alignment vertical="center"/>
    </xf>
    <xf numFmtId="0" fontId="0" fillId="0" borderId="38" xfId="0" applyFill="1" applyBorder="1" applyAlignment="1">
      <alignment vertical="center" wrapText="1"/>
    </xf>
    <xf numFmtId="168" fontId="25" fillId="0" borderId="22" xfId="63" applyNumberFormat="1" applyFont="1" applyFill="1" applyBorder="1" applyAlignment="1">
      <alignment vertical="center"/>
    </xf>
    <xf numFmtId="167" fontId="25" fillId="0" borderId="58" xfId="63" applyNumberFormat="1" applyFont="1" applyFill="1" applyBorder="1" applyAlignment="1">
      <alignment vertical="center"/>
    </xf>
    <xf numFmtId="168" fontId="25" fillId="0" borderId="25" xfId="63" applyNumberFormat="1" applyFont="1" applyFill="1" applyBorder="1" applyAlignment="1">
      <alignment vertical="center"/>
    </xf>
    <xf numFmtId="168" fontId="25" fillId="39" borderId="4" xfId="63" applyNumberFormat="1" applyFont="1" applyFill="1" applyBorder="1" applyAlignment="1">
      <alignment vertical="center"/>
    </xf>
    <xf numFmtId="168" fontId="25" fillId="39" borderId="11" xfId="63" applyNumberFormat="1" applyFont="1" applyFill="1" applyBorder="1" applyAlignment="1">
      <alignment vertical="center"/>
    </xf>
    <xf numFmtId="168" fontId="25" fillId="35" borderId="4" xfId="63" applyNumberFormat="1" applyFont="1" applyFill="1" applyBorder="1" applyAlignment="1">
      <alignment vertical="center"/>
    </xf>
    <xf numFmtId="0" fontId="25" fillId="0" borderId="36" xfId="63" applyFont="1" applyBorder="1" applyAlignment="1">
      <alignment horizontal="center" vertical="center"/>
    </xf>
    <xf numFmtId="0" fontId="25" fillId="0" borderId="40" xfId="63" applyFont="1" applyBorder="1" applyAlignment="1">
      <alignment horizontal="center" vertical="center"/>
    </xf>
    <xf numFmtId="0" fontId="25" fillId="0" borderId="37" xfId="63" applyFont="1" applyBorder="1" applyAlignment="1">
      <alignment horizontal="center" vertical="center"/>
    </xf>
    <xf numFmtId="167" fontId="25" fillId="0" borderId="14" xfId="63" applyNumberFormat="1" applyFont="1" applyBorder="1" applyAlignment="1">
      <alignment vertical="center"/>
    </xf>
    <xf numFmtId="168" fontId="25" fillId="0" borderId="14" xfId="63" applyNumberFormat="1" applyFont="1" applyBorder="1" applyAlignment="1">
      <alignment vertical="center"/>
    </xf>
    <xf numFmtId="168" fontId="25" fillId="39" borderId="14" xfId="63" applyNumberFormat="1" applyFont="1" applyFill="1" applyBorder="1" applyAlignment="1">
      <alignment vertical="center"/>
    </xf>
    <xf numFmtId="168" fontId="24" fillId="0" borderId="17" xfId="63" applyNumberFormat="1" applyFont="1" applyBorder="1" applyAlignment="1">
      <alignment vertical="center"/>
    </xf>
    <xf numFmtId="168" fontId="25" fillId="39" borderId="17" xfId="63" applyNumberFormat="1" applyFont="1" applyFill="1" applyBorder="1" applyAlignment="1">
      <alignment vertical="center"/>
    </xf>
    <xf numFmtId="168" fontId="24" fillId="0" borderId="29" xfId="63" applyNumberFormat="1" applyFont="1" applyBorder="1" applyAlignment="1">
      <alignment vertical="center"/>
    </xf>
    <xf numFmtId="168" fontId="24" fillId="39" borderId="17" xfId="63" applyNumberFormat="1" applyFont="1" applyFill="1" applyBorder="1" applyAlignment="1">
      <alignment vertical="center"/>
    </xf>
    <xf numFmtId="168" fontId="24" fillId="39" borderId="29" xfId="63" applyNumberFormat="1" applyFont="1" applyFill="1" applyBorder="1" applyAlignment="1">
      <alignment vertical="center"/>
    </xf>
    <xf numFmtId="0" fontId="33" fillId="0" borderId="0" xfId="55" applyFont="1" applyFill="1" applyAlignment="1">
      <alignment horizontal="center"/>
    </xf>
    <xf numFmtId="0" fontId="25" fillId="0" borderId="0" xfId="63" applyFont="1" applyBorder="1" applyAlignment="1">
      <alignment horizontal="center" vertical="center"/>
    </xf>
    <xf numFmtId="0" fontId="24" fillId="38" borderId="0" xfId="63" applyFont="1" applyFill="1" applyBorder="1"/>
    <xf numFmtId="0" fontId="24" fillId="0" borderId="0" xfId="63" applyFont="1" applyBorder="1" applyAlignment="1">
      <alignment vertical="top"/>
    </xf>
    <xf numFmtId="167" fontId="25" fillId="35" borderId="0" xfId="63" applyNumberFormat="1" applyFont="1" applyFill="1" applyBorder="1"/>
    <xf numFmtId="41" fontId="25" fillId="36" borderId="0" xfId="63" applyNumberFormat="1" applyFont="1" applyFill="1" applyBorder="1"/>
    <xf numFmtId="41" fontId="24" fillId="0" borderId="11" xfId="29" applyFont="1" applyBorder="1"/>
    <xf numFmtId="167" fontId="25" fillId="35" borderId="11" xfId="63" applyNumberFormat="1" applyFont="1" applyFill="1" applyBorder="1"/>
    <xf numFmtId="41" fontId="25" fillId="36" borderId="11" xfId="63" applyNumberFormat="1" applyFont="1" applyFill="1" applyBorder="1"/>
    <xf numFmtId="167" fontId="24" fillId="0" borderId="14" xfId="63" applyNumberFormat="1" applyFont="1" applyBorder="1"/>
    <xf numFmtId="0" fontId="25" fillId="34" borderId="22" xfId="63" applyFont="1" applyFill="1" applyBorder="1" applyAlignment="1">
      <alignment horizontal="center"/>
    </xf>
    <xf numFmtId="0" fontId="25" fillId="34" borderId="2" xfId="63" applyFont="1" applyFill="1" applyBorder="1"/>
    <xf numFmtId="0" fontId="24" fillId="34" borderId="15" xfId="63" applyFont="1" applyFill="1" applyBorder="1"/>
    <xf numFmtId="167" fontId="24" fillId="0" borderId="15" xfId="63" applyNumberFormat="1" applyFont="1" applyBorder="1"/>
    <xf numFmtId="167" fontId="25" fillId="35" borderId="2" xfId="63" applyNumberFormat="1" applyFont="1" applyFill="1" applyBorder="1"/>
    <xf numFmtId="14" fontId="25" fillId="0" borderId="2" xfId="59" applyNumberFormat="1" applyFont="1" applyFill="1" applyBorder="1" applyAlignment="1">
      <alignment vertical="center"/>
    </xf>
    <xf numFmtId="0" fontId="24" fillId="0" borderId="40" xfId="63" applyFont="1" applyBorder="1"/>
    <xf numFmtId="9" fontId="24" fillId="39" borderId="11" xfId="71" applyFont="1" applyFill="1" applyBorder="1"/>
    <xf numFmtId="0" fontId="24" fillId="39" borderId="14" xfId="63" applyFont="1" applyFill="1" applyBorder="1"/>
    <xf numFmtId="9" fontId="25" fillId="39" borderId="11" xfId="71" applyFont="1" applyFill="1" applyBorder="1"/>
    <xf numFmtId="0" fontId="25" fillId="39" borderId="14" xfId="63" applyFont="1" applyFill="1" applyBorder="1"/>
    <xf numFmtId="0" fontId="27" fillId="39" borderId="15" xfId="59" applyFont="1" applyFill="1" applyBorder="1" applyAlignment="1">
      <alignment horizontal="left" vertical="center"/>
    </xf>
    <xf numFmtId="44" fontId="24" fillId="39" borderId="15" xfId="59" applyNumberFormat="1" applyFont="1" applyFill="1" applyBorder="1" applyAlignment="1">
      <alignment horizontal="left" vertical="center"/>
    </xf>
    <xf numFmtId="0" fontId="24" fillId="39" borderId="15" xfId="54" applyFont="1" applyFill="1" applyBorder="1" applyAlignment="1">
      <alignment horizontal="center" vertical="center" wrapText="1"/>
    </xf>
    <xf numFmtId="0" fontId="24" fillId="39" borderId="15" xfId="54" applyFont="1" applyFill="1" applyBorder="1" applyAlignment="1">
      <alignment horizontal="left" vertical="center" wrapText="1"/>
    </xf>
    <xf numFmtId="41" fontId="25" fillId="39" borderId="11" xfId="32" applyFont="1" applyFill="1" applyBorder="1" applyAlignment="1">
      <alignment vertical="center"/>
    </xf>
    <xf numFmtId="41" fontId="25" fillId="0" borderId="15" xfId="63" applyNumberFormat="1" applyFont="1" applyFill="1" applyBorder="1" applyAlignment="1">
      <alignment vertical="center" wrapText="1"/>
    </xf>
    <xf numFmtId="41" fontId="24" fillId="0" borderId="0" xfId="63" applyNumberFormat="1" applyFont="1" applyBorder="1"/>
    <xf numFmtId="0" fontId="24" fillId="0" borderId="29" xfId="54" applyFont="1" applyFill="1" applyBorder="1" applyAlignment="1">
      <alignment horizontal="center" vertical="center" wrapText="1"/>
    </xf>
    <xf numFmtId="0" fontId="26" fillId="39" borderId="11" xfId="54" applyNumberFormat="1" applyFont="1" applyFill="1" applyBorder="1" applyAlignment="1"/>
    <xf numFmtId="0" fontId="24" fillId="39" borderId="11" xfId="54" applyFont="1" applyFill="1" applyBorder="1" applyAlignment="1">
      <alignment horizontal="left" vertical="top" wrapText="1"/>
    </xf>
    <xf numFmtId="0" fontId="24" fillId="39" borderId="11" xfId="54" applyFont="1" applyFill="1" applyBorder="1" applyAlignment="1">
      <alignment horizontal="center" vertical="center"/>
    </xf>
    <xf numFmtId="0" fontId="24" fillId="39" borderId="11" xfId="54" applyFont="1" applyFill="1" applyBorder="1" applyAlignment="1">
      <alignment vertical="center" wrapText="1"/>
    </xf>
    <xf numFmtId="41" fontId="24" fillId="39" borderId="12" xfId="29" applyFont="1" applyFill="1" applyBorder="1" applyAlignment="1">
      <alignment horizontal="center" vertical="center"/>
    </xf>
    <xf numFmtId="167" fontId="24" fillId="39" borderId="14" xfId="63" applyNumberFormat="1" applyFont="1" applyFill="1" applyBorder="1" applyAlignment="1">
      <alignment vertical="center"/>
    </xf>
    <xf numFmtId="168" fontId="24" fillId="39" borderId="14" xfId="63" applyNumberFormat="1" applyFont="1" applyFill="1" applyBorder="1" applyAlignment="1">
      <alignment vertical="center"/>
    </xf>
    <xf numFmtId="0" fontId="24" fillId="39" borderId="16" xfId="63" applyFont="1" applyFill="1" applyBorder="1"/>
    <xf numFmtId="14" fontId="25" fillId="0" borderId="15" xfId="59" applyNumberFormat="1" applyFont="1" applyFill="1" applyBorder="1" applyAlignment="1">
      <alignment vertical="center"/>
    </xf>
    <xf numFmtId="0" fontId="24" fillId="0" borderId="2" xfId="54" applyFont="1" applyFill="1" applyBorder="1" applyAlignment="1">
      <alignment horizontal="left" vertical="center" wrapText="1"/>
    </xf>
    <xf numFmtId="41" fontId="28" fillId="0" borderId="30" xfId="30" applyFont="1" applyFill="1" applyBorder="1" applyAlignment="1">
      <alignment horizontal="center" vertical="center" wrapText="1"/>
    </xf>
    <xf numFmtId="41" fontId="28" fillId="39" borderId="19" xfId="30" applyFont="1" applyFill="1" applyBorder="1" applyAlignment="1">
      <alignment horizontal="center" vertical="center" wrapText="1"/>
    </xf>
    <xf numFmtId="168" fontId="25" fillId="39" borderId="11" xfId="63" applyNumberFormat="1" applyFont="1" applyFill="1" applyBorder="1" applyAlignment="1">
      <alignment horizontal="center" vertical="center"/>
    </xf>
    <xf numFmtId="0" fontId="25" fillId="39" borderId="11" xfId="63" applyFont="1" applyFill="1" applyBorder="1" applyAlignment="1">
      <alignment vertical="center" wrapText="1"/>
    </xf>
    <xf numFmtId="168" fontId="28" fillId="39" borderId="11" xfId="55" applyNumberFormat="1" applyFont="1" applyFill="1" applyBorder="1" applyAlignment="1">
      <alignment horizontal="center" vertical="center"/>
    </xf>
    <xf numFmtId="168" fontId="28" fillId="39" borderId="11" xfId="55" applyNumberFormat="1" applyFont="1" applyFill="1" applyBorder="1" applyAlignment="1">
      <alignment horizontal="center" vertical="center" wrapText="1"/>
    </xf>
    <xf numFmtId="0" fontId="25" fillId="39" borderId="11" xfId="63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left" vertical="center" wrapText="1"/>
    </xf>
    <xf numFmtId="167" fontId="4" fillId="0" borderId="39" xfId="28" applyNumberFormat="1" applyFont="1" applyFill="1" applyBorder="1" applyAlignment="1">
      <alignment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49" fontId="3" fillId="0" borderId="48" xfId="0" applyNumberFormat="1" applyFont="1" applyFill="1" applyBorder="1" applyAlignment="1">
      <alignment horizontal="left" vertical="center" wrapText="1"/>
    </xf>
    <xf numFmtId="167" fontId="3" fillId="34" borderId="48" xfId="30" applyNumberFormat="1" applyFont="1" applyFill="1" applyBorder="1" applyAlignment="1">
      <alignment horizontal="center" vertical="center" wrapText="1"/>
    </xf>
    <xf numFmtId="0" fontId="24" fillId="0" borderId="2" xfId="54" applyFont="1" applyFill="1" applyBorder="1" applyAlignment="1">
      <alignment horizontal="left" vertical="center" wrapText="1"/>
    </xf>
    <xf numFmtId="0" fontId="24" fillId="0" borderId="15" xfId="54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left" vertical="center" wrapText="1"/>
    </xf>
    <xf numFmtId="0" fontId="24" fillId="0" borderId="8" xfId="54" applyFont="1" applyFill="1" applyBorder="1" applyAlignment="1">
      <alignment horizontal="left" vertical="center" wrapText="1"/>
    </xf>
    <xf numFmtId="0" fontId="27" fillId="0" borderId="19" xfId="0" applyFont="1" applyFill="1" applyBorder="1" applyAlignment="1">
      <alignment vertical="center" wrapText="1"/>
    </xf>
    <xf numFmtId="0" fontId="24" fillId="0" borderId="11" xfId="54" applyFont="1" applyFill="1" applyBorder="1" applyAlignment="1">
      <alignment horizontal="left" vertical="top" wrapText="1"/>
    </xf>
    <xf numFmtId="0" fontId="24" fillId="0" borderId="2" xfId="54" applyFont="1" applyFill="1" applyBorder="1" applyAlignment="1">
      <alignment horizontal="left" vertical="center" wrapText="1"/>
    </xf>
    <xf numFmtId="0" fontId="28" fillId="34" borderId="3" xfId="59" applyFont="1" applyFill="1" applyBorder="1" applyAlignment="1">
      <alignment horizontal="center" vertical="center"/>
    </xf>
    <xf numFmtId="41" fontId="24" fillId="34" borderId="11" xfId="59" applyNumberFormat="1" applyFont="1" applyFill="1" applyBorder="1" applyAlignment="1">
      <alignment vertical="center"/>
    </xf>
    <xf numFmtId="14" fontId="24" fillId="34" borderId="11" xfId="59" applyNumberFormat="1" applyFont="1" applyFill="1" applyBorder="1" applyAlignment="1">
      <alignment vertical="center"/>
    </xf>
    <xf numFmtId="0" fontId="24" fillId="34" borderId="2" xfId="54" applyFont="1" applyFill="1" applyBorder="1" applyAlignment="1">
      <alignment horizontal="center" vertical="center" wrapText="1"/>
    </xf>
    <xf numFmtId="0" fontId="24" fillId="34" borderId="2" xfId="54" applyFont="1" applyFill="1" applyBorder="1" applyAlignment="1">
      <alignment horizontal="left" vertical="center" wrapText="1"/>
    </xf>
    <xf numFmtId="0" fontId="24" fillId="34" borderId="2" xfId="54" applyFont="1" applyFill="1" applyBorder="1" applyAlignment="1">
      <alignment vertical="center" wrapText="1"/>
    </xf>
    <xf numFmtId="41" fontId="25" fillId="34" borderId="2" xfId="59" applyNumberFormat="1" applyFont="1" applyFill="1" applyBorder="1" applyAlignment="1">
      <alignment vertical="center"/>
    </xf>
    <xf numFmtId="167" fontId="25" fillId="34" borderId="22" xfId="63" applyNumberFormat="1" applyFont="1" applyFill="1" applyBorder="1" applyAlignment="1">
      <alignment vertical="center"/>
    </xf>
    <xf numFmtId="168" fontId="25" fillId="34" borderId="2" xfId="63" applyNumberFormat="1" applyFont="1" applyFill="1" applyBorder="1" applyAlignment="1">
      <alignment vertical="center"/>
    </xf>
    <xf numFmtId="9" fontId="25" fillId="34" borderId="2" xfId="59" applyNumberFormat="1" applyFont="1" applyFill="1" applyBorder="1" applyAlignment="1">
      <alignment vertical="center"/>
    </xf>
    <xf numFmtId="167" fontId="25" fillId="34" borderId="17" xfId="63" applyNumberFormat="1" applyFont="1" applyFill="1" applyBorder="1" applyAlignment="1">
      <alignment vertical="center"/>
    </xf>
    <xf numFmtId="167" fontId="25" fillId="34" borderId="2" xfId="63" applyNumberFormat="1" applyFont="1" applyFill="1" applyBorder="1"/>
    <xf numFmtId="41" fontId="4" fillId="0" borderId="0" xfId="29" applyFont="1"/>
    <xf numFmtId="41" fontId="0" fillId="0" borderId="0" xfId="0" applyNumberFormat="1"/>
    <xf numFmtId="44" fontId="24" fillId="0" borderId="15" xfId="59" applyNumberFormat="1" applyFont="1" applyFill="1" applyBorder="1" applyAlignment="1">
      <alignment horizontal="left" vertical="center"/>
    </xf>
    <xf numFmtId="0" fontId="24" fillId="0" borderId="2" xfId="54" applyFont="1" applyFill="1" applyBorder="1" applyAlignment="1">
      <alignment horizontal="left" vertical="center" wrapText="1"/>
    </xf>
    <xf numFmtId="41" fontId="24" fillId="0" borderId="30" xfId="59" applyNumberFormat="1" applyFont="1" applyFill="1" applyBorder="1" applyAlignment="1">
      <alignment vertical="center"/>
    </xf>
    <xf numFmtId="41" fontId="25" fillId="0" borderId="30" xfId="59" applyNumberFormat="1" applyFont="1" applyFill="1" applyBorder="1" applyAlignment="1">
      <alignment vertical="center"/>
    </xf>
    <xf numFmtId="3" fontId="24" fillId="0" borderId="0" xfId="68" applyNumberFormat="1" applyFont="1" applyAlignment="1">
      <alignment horizontal="right"/>
    </xf>
    <xf numFmtId="0" fontId="25" fillId="39" borderId="15" xfId="63" applyFont="1" applyFill="1" applyBorder="1" applyAlignment="1">
      <alignment vertical="center" wrapText="1"/>
    </xf>
    <xf numFmtId="0" fontId="25" fillId="39" borderId="11" xfId="63" applyFont="1" applyFill="1" applyBorder="1" applyAlignment="1">
      <alignment vertical="center"/>
    </xf>
    <xf numFmtId="3" fontId="24" fillId="0" borderId="0" xfId="67" applyNumberFormat="1" applyFont="1" applyAlignment="1">
      <alignment horizontal="right"/>
    </xf>
    <xf numFmtId="3" fontId="24" fillId="0" borderId="0" xfId="66" applyNumberFormat="1" applyFont="1" applyAlignment="1">
      <alignment horizontal="right"/>
    </xf>
    <xf numFmtId="0" fontId="25" fillId="39" borderId="8" xfId="63" applyFont="1" applyFill="1" applyBorder="1" applyAlignment="1">
      <alignment vertical="center" wrapText="1"/>
    </xf>
    <xf numFmtId="41" fontId="28" fillId="39" borderId="30" xfId="30" applyFont="1" applyFill="1" applyBorder="1" applyAlignment="1">
      <alignment horizontal="center" vertical="center" wrapText="1"/>
    </xf>
    <xf numFmtId="41" fontId="27" fillId="0" borderId="30" xfId="30" applyFont="1" applyFill="1" applyBorder="1" applyAlignment="1">
      <alignment horizontal="center" vertical="center" wrapText="1"/>
    </xf>
    <xf numFmtId="168" fontId="28" fillId="39" borderId="8" xfId="55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59" xfId="0" applyNumberFormat="1" applyFont="1" applyFill="1" applyBorder="1" applyAlignment="1">
      <alignment horizontal="left" vertical="center" wrapText="1"/>
    </xf>
    <xf numFmtId="167" fontId="3" fillId="34" borderId="49" xfId="3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vertical="center"/>
    </xf>
    <xf numFmtId="0" fontId="24" fillId="0" borderId="3" xfId="0" applyFont="1" applyBorder="1" applyAlignment="1">
      <alignment vertical="center" wrapText="1"/>
    </xf>
    <xf numFmtId="41" fontId="26" fillId="0" borderId="2" xfId="28" applyNumberFormat="1" applyFont="1" applyBorder="1" applyAlignment="1">
      <alignment vertical="center"/>
    </xf>
    <xf numFmtId="0" fontId="27" fillId="0" borderId="2" xfId="0" applyFont="1" applyFill="1" applyBorder="1" applyAlignment="1">
      <alignment horizontal="left" vertical="center" wrapText="1"/>
    </xf>
    <xf numFmtId="41" fontId="27" fillId="0" borderId="22" xfId="30" applyFont="1" applyFill="1" applyBorder="1" applyAlignment="1">
      <alignment horizontal="center" vertical="center" wrapText="1"/>
    </xf>
    <xf numFmtId="41" fontId="27" fillId="0" borderId="0" xfId="29" applyFont="1" applyFill="1" applyBorder="1" applyAlignment="1">
      <alignment horizontal="center" vertical="center" wrapText="1"/>
    </xf>
    <xf numFmtId="14" fontId="24" fillId="0" borderId="2" xfId="32" applyNumberFormat="1" applyFont="1" applyBorder="1"/>
    <xf numFmtId="0" fontId="24" fillId="0" borderId="2" xfId="54" applyFont="1" applyFill="1" applyBorder="1" applyAlignment="1">
      <alignment horizontal="left" vertical="center" wrapText="1"/>
    </xf>
    <xf numFmtId="0" fontId="24" fillId="0" borderId="8" xfId="54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left" vertical="center" wrapText="1"/>
    </xf>
    <xf numFmtId="0" fontId="25" fillId="39" borderId="2" xfId="55" applyFont="1" applyFill="1" applyBorder="1" applyAlignment="1">
      <alignment horizontal="center" wrapText="1"/>
    </xf>
    <xf numFmtId="0" fontId="25" fillId="39" borderId="8" xfId="54" applyFont="1" applyFill="1" applyBorder="1" applyAlignment="1">
      <alignment horizontal="left" vertical="top" wrapText="1"/>
    </xf>
    <xf numFmtId="0" fontId="25" fillId="39" borderId="8" xfId="54" applyFont="1" applyFill="1" applyBorder="1" applyAlignment="1">
      <alignment horizontal="center" vertical="top" wrapText="1"/>
    </xf>
    <xf numFmtId="43" fontId="25" fillId="39" borderId="17" xfId="28" applyFont="1" applyFill="1" applyBorder="1" applyAlignment="1">
      <alignment horizontal="center" vertical="center"/>
    </xf>
    <xf numFmtId="168" fontId="25" fillId="39" borderId="29" xfId="63" applyNumberFormat="1" applyFont="1" applyFill="1" applyBorder="1" applyAlignment="1">
      <alignment vertical="center"/>
    </xf>
    <xf numFmtId="9" fontId="25" fillId="39" borderId="29" xfId="71" applyFont="1" applyFill="1" applyBorder="1" applyAlignment="1">
      <alignment vertical="top"/>
    </xf>
    <xf numFmtId="0" fontId="25" fillId="39" borderId="8" xfId="63" applyFont="1" applyFill="1" applyBorder="1"/>
    <xf numFmtId="0" fontId="25" fillId="39" borderId="2" xfId="63" applyFont="1" applyFill="1" applyBorder="1" applyAlignment="1">
      <alignment vertical="center" wrapText="1"/>
    </xf>
    <xf numFmtId="0" fontId="25" fillId="39" borderId="11" xfId="63" applyFont="1" applyFill="1" applyBorder="1" applyAlignment="1">
      <alignment horizontal="center" vertical="center" wrapText="1"/>
    </xf>
    <xf numFmtId="0" fontId="24" fillId="0" borderId="8" xfId="54" applyFont="1" applyFill="1" applyBorder="1" applyAlignment="1">
      <alignment horizontal="left" vertical="center" wrapText="1"/>
    </xf>
    <xf numFmtId="175" fontId="24" fillId="0" borderId="11" xfId="63" applyNumberFormat="1" applyFont="1" applyFill="1" applyBorder="1" applyAlignment="1">
      <alignment vertical="center"/>
    </xf>
    <xf numFmtId="43" fontId="24" fillId="0" borderId="8" xfId="63" applyNumberFormat="1" applyFont="1" applyBorder="1" applyAlignment="1">
      <alignment vertical="center"/>
    </xf>
    <xf numFmtId="0" fontId="24" fillId="34" borderId="35" xfId="63" applyFont="1" applyFill="1" applyBorder="1" applyAlignment="1">
      <alignment horizontal="left" vertical="center" wrapText="1"/>
    </xf>
    <xf numFmtId="0" fontId="24" fillId="34" borderId="8" xfId="63" applyFont="1" applyFill="1" applyBorder="1" applyAlignment="1">
      <alignment vertical="center" wrapText="1"/>
    </xf>
    <xf numFmtId="41" fontId="24" fillId="34" borderId="8" xfId="32" applyFont="1" applyFill="1" applyBorder="1" applyAlignment="1">
      <alignment vertical="center"/>
    </xf>
    <xf numFmtId="41" fontId="24" fillId="34" borderId="8" xfId="63" applyNumberFormat="1" applyFont="1" applyFill="1" applyBorder="1" applyAlignment="1">
      <alignment vertical="center"/>
    </xf>
    <xf numFmtId="41" fontId="24" fillId="34" borderId="11" xfId="32" applyFont="1" applyFill="1" applyBorder="1" applyAlignment="1">
      <alignment vertical="center"/>
    </xf>
    <xf numFmtId="41" fontId="24" fillId="34" borderId="8" xfId="63" applyNumberFormat="1" applyFont="1" applyFill="1" applyBorder="1" applyAlignment="1">
      <alignment vertical="center" wrapText="1"/>
    </xf>
    <xf numFmtId="14" fontId="24" fillId="34" borderId="11" xfId="63" applyNumberFormat="1" applyFont="1" applyFill="1" applyBorder="1" applyAlignment="1">
      <alignment vertical="center"/>
    </xf>
    <xf numFmtId="0" fontId="24" fillId="34" borderId="8" xfId="63" applyFont="1" applyFill="1" applyBorder="1" applyAlignment="1">
      <alignment horizontal="center" vertical="center"/>
    </xf>
    <xf numFmtId="41" fontId="24" fillId="34" borderId="11" xfId="63" applyNumberFormat="1" applyFont="1" applyFill="1" applyBorder="1" applyAlignment="1">
      <alignment vertical="center"/>
    </xf>
    <xf numFmtId="168" fontId="24" fillId="34" borderId="8" xfId="63" applyNumberFormat="1" applyFont="1" applyFill="1" applyBorder="1" applyAlignment="1">
      <alignment vertical="center"/>
    </xf>
    <xf numFmtId="167" fontId="24" fillId="34" borderId="12" xfId="63" applyNumberFormat="1" applyFont="1" applyFill="1" applyBorder="1" applyAlignment="1">
      <alignment vertical="center"/>
    </xf>
    <xf numFmtId="167" fontId="24" fillId="34" borderId="29" xfId="63" applyNumberFormat="1" applyFont="1" applyFill="1" applyBorder="1" applyAlignment="1">
      <alignment vertical="center"/>
    </xf>
    <xf numFmtId="9" fontId="24" fillId="34" borderId="11" xfId="71" applyFont="1" applyFill="1" applyBorder="1" applyAlignment="1">
      <alignment vertical="center"/>
    </xf>
    <xf numFmtId="9" fontId="24" fillId="34" borderId="11" xfId="63" applyNumberFormat="1" applyFont="1" applyFill="1" applyBorder="1" applyAlignment="1">
      <alignment horizontal="left" vertical="top"/>
    </xf>
    <xf numFmtId="0" fontId="24" fillId="34" borderId="14" xfId="63" applyFont="1" applyFill="1" applyBorder="1"/>
    <xf numFmtId="0" fontId="24" fillId="34" borderId="30" xfId="63" applyFont="1" applyFill="1" applyBorder="1"/>
    <xf numFmtId="167" fontId="24" fillId="34" borderId="30" xfId="63" applyNumberFormat="1" applyFont="1" applyFill="1" applyBorder="1"/>
    <xf numFmtId="0" fontId="24" fillId="34" borderId="0" xfId="63" applyFont="1" applyFill="1" applyBorder="1"/>
    <xf numFmtId="0" fontId="25" fillId="0" borderId="1" xfId="63" applyFont="1" applyBorder="1" applyAlignment="1">
      <alignment horizontal="center" vertical="center" wrapText="1"/>
    </xf>
    <xf numFmtId="0" fontId="25" fillId="0" borderId="7" xfId="63" applyFont="1" applyBorder="1" applyAlignment="1">
      <alignment horizontal="center" vertical="center" wrapText="1"/>
    </xf>
    <xf numFmtId="0" fontId="24" fillId="0" borderId="2" xfId="54" applyFont="1" applyFill="1" applyBorder="1" applyAlignment="1">
      <alignment horizontal="left" vertical="center" wrapText="1"/>
    </xf>
    <xf numFmtId="0" fontId="31" fillId="39" borderId="8" xfId="54" applyNumberFormat="1" applyFont="1" applyFill="1" applyBorder="1" applyAlignment="1">
      <alignment vertical="center"/>
    </xf>
    <xf numFmtId="0" fontId="24" fillId="0" borderId="8" xfId="54" applyFont="1" applyFill="1" applyBorder="1" applyAlignment="1">
      <alignment horizontal="left" vertical="center" wrapText="1"/>
    </xf>
    <xf numFmtId="0" fontId="25" fillId="39" borderId="8" xfId="54" applyFont="1" applyFill="1" applyBorder="1" applyAlignment="1">
      <alignment wrapText="1"/>
    </xf>
    <xf numFmtId="167" fontId="25" fillId="39" borderId="8" xfId="28" applyNumberFormat="1" applyFont="1" applyFill="1" applyBorder="1" applyAlignment="1">
      <alignment horizontal="center" vertical="center"/>
    </xf>
    <xf numFmtId="0" fontId="25" fillId="39" borderId="30" xfId="63" applyFont="1" applyFill="1" applyBorder="1"/>
    <xf numFmtId="167" fontId="25" fillId="39" borderId="30" xfId="63" applyNumberFormat="1" applyFont="1" applyFill="1" applyBorder="1"/>
    <xf numFmtId="167" fontId="25" fillId="39" borderId="30" xfId="63" applyNumberFormat="1" applyFont="1" applyFill="1" applyBorder="1" applyAlignment="1">
      <alignment vertical="top"/>
    </xf>
    <xf numFmtId="41" fontId="25" fillId="39" borderId="0" xfId="29" applyFont="1" applyFill="1"/>
    <xf numFmtId="0" fontId="24" fillId="0" borderId="29" xfId="54" applyFont="1" applyFill="1" applyBorder="1" applyAlignment="1">
      <alignment horizontal="left" vertical="center" wrapText="1"/>
    </xf>
    <xf numFmtId="9" fontId="25" fillId="0" borderId="31" xfId="71" applyFont="1" applyFill="1" applyBorder="1" applyAlignment="1">
      <alignment vertical="center"/>
    </xf>
    <xf numFmtId="0" fontId="30" fillId="0" borderId="8" xfId="54" applyFont="1" applyFill="1" applyBorder="1" applyAlignment="1">
      <alignment horizontal="center" vertical="center" wrapText="1"/>
    </xf>
    <xf numFmtId="0" fontId="30" fillId="0" borderId="8" xfId="54" applyFont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24" fillId="0" borderId="0" xfId="63" applyFont="1" applyAlignment="1">
      <alignment horizontal="left" vertical="center"/>
    </xf>
    <xf numFmtId="0" fontId="25" fillId="0" borderId="0" xfId="63" applyFont="1" applyBorder="1" applyAlignment="1">
      <alignment horizontal="left" vertical="center"/>
    </xf>
    <xf numFmtId="0" fontId="25" fillId="0" borderId="22" xfId="63" applyFont="1" applyBorder="1" applyAlignment="1">
      <alignment horizontal="left" vertical="center"/>
    </xf>
    <xf numFmtId="167" fontId="24" fillId="0" borderId="14" xfId="63" applyNumberFormat="1" applyFont="1" applyBorder="1" applyAlignment="1">
      <alignment horizontal="left" vertical="center"/>
    </xf>
    <xf numFmtId="168" fontId="24" fillId="0" borderId="14" xfId="63" applyNumberFormat="1" applyFont="1" applyBorder="1" applyAlignment="1">
      <alignment horizontal="left" vertical="center"/>
    </xf>
    <xf numFmtId="168" fontId="24" fillId="0" borderId="17" xfId="63" applyNumberFormat="1" applyFont="1" applyBorder="1" applyAlignment="1">
      <alignment horizontal="left" vertical="center"/>
    </xf>
    <xf numFmtId="167" fontId="24" fillId="0" borderId="11" xfId="63" applyNumberFormat="1" applyFont="1" applyBorder="1" applyAlignment="1">
      <alignment horizontal="left" vertical="center"/>
    </xf>
    <xf numFmtId="168" fontId="24" fillId="0" borderId="30" xfId="63" applyNumberFormat="1" applyFont="1" applyBorder="1" applyAlignment="1">
      <alignment horizontal="left" vertical="center"/>
    </xf>
    <xf numFmtId="168" fontId="24" fillId="0" borderId="11" xfId="63" applyNumberFormat="1" applyFont="1" applyBorder="1" applyAlignment="1">
      <alignment horizontal="left" vertical="center"/>
    </xf>
    <xf numFmtId="167" fontId="24" fillId="0" borderId="30" xfId="63" applyNumberFormat="1" applyFont="1" applyBorder="1" applyAlignment="1">
      <alignment horizontal="left" vertical="center"/>
    </xf>
    <xf numFmtId="168" fontId="24" fillId="0" borderId="14" xfId="63" applyNumberFormat="1" applyFont="1" applyFill="1" applyBorder="1" applyAlignment="1">
      <alignment horizontal="left" vertical="center"/>
    </xf>
    <xf numFmtId="168" fontId="24" fillId="0" borderId="15" xfId="63" applyNumberFormat="1" applyFont="1" applyFill="1" applyBorder="1" applyAlignment="1">
      <alignment horizontal="left" vertical="center"/>
    </xf>
    <xf numFmtId="167" fontId="24" fillId="34" borderId="30" xfId="63" applyNumberFormat="1" applyFont="1" applyFill="1" applyBorder="1" applyAlignment="1">
      <alignment horizontal="left" vertical="center"/>
    </xf>
    <xf numFmtId="168" fontId="24" fillId="0" borderId="29" xfId="63" applyNumberFormat="1" applyFont="1" applyBorder="1" applyAlignment="1">
      <alignment horizontal="left" vertical="center"/>
    </xf>
    <xf numFmtId="168" fontId="24" fillId="0" borderId="8" xfId="63" applyNumberFormat="1" applyFont="1" applyBorder="1" applyAlignment="1">
      <alignment horizontal="left" vertical="center"/>
    </xf>
    <xf numFmtId="167" fontId="24" fillId="34" borderId="11" xfId="63" applyNumberFormat="1" applyFont="1" applyFill="1" applyBorder="1" applyAlignment="1">
      <alignment horizontal="left" vertical="center"/>
    </xf>
    <xf numFmtId="168" fontId="24" fillId="34" borderId="29" xfId="63" applyNumberFormat="1" applyFont="1" applyFill="1" applyBorder="1" applyAlignment="1">
      <alignment horizontal="left" vertical="center"/>
    </xf>
    <xf numFmtId="168" fontId="24" fillId="34" borderId="8" xfId="63" applyNumberFormat="1" applyFont="1" applyFill="1" applyBorder="1" applyAlignment="1">
      <alignment horizontal="left" vertical="center"/>
    </xf>
    <xf numFmtId="168" fontId="25" fillId="0" borderId="14" xfId="63" applyNumberFormat="1" applyFont="1" applyFill="1" applyBorder="1" applyAlignment="1">
      <alignment horizontal="left" vertical="center"/>
    </xf>
    <xf numFmtId="168" fontId="25" fillId="0" borderId="15" xfId="63" applyNumberFormat="1" applyFont="1" applyFill="1" applyBorder="1" applyAlignment="1">
      <alignment horizontal="left" vertical="center"/>
    </xf>
    <xf numFmtId="168" fontId="25" fillId="0" borderId="0" xfId="63" applyNumberFormat="1" applyFont="1" applyFill="1" applyBorder="1" applyAlignment="1">
      <alignment horizontal="left" vertical="center"/>
    </xf>
    <xf numFmtId="168" fontId="25" fillId="0" borderId="2" xfId="63" applyNumberFormat="1" applyFont="1" applyFill="1" applyBorder="1" applyAlignment="1">
      <alignment horizontal="left" vertical="center"/>
    </xf>
    <xf numFmtId="168" fontId="24" fillId="0" borderId="26" xfId="63" applyNumberFormat="1" applyFont="1" applyFill="1" applyBorder="1" applyAlignment="1">
      <alignment horizontal="left" vertical="center"/>
    </xf>
    <xf numFmtId="168" fontId="24" fillId="0" borderId="25" xfId="63" applyNumberFormat="1" applyFont="1" applyFill="1" applyBorder="1" applyAlignment="1">
      <alignment horizontal="left" vertical="center"/>
    </xf>
    <xf numFmtId="167" fontId="24" fillId="0" borderId="12" xfId="63" applyNumberFormat="1" applyFont="1" applyFill="1" applyBorder="1" applyAlignment="1">
      <alignment horizontal="left" vertical="center"/>
    </xf>
    <xf numFmtId="167" fontId="25" fillId="35" borderId="10" xfId="63" applyNumberFormat="1" applyFont="1" applyFill="1" applyBorder="1" applyAlignment="1">
      <alignment horizontal="left" vertical="center"/>
    </xf>
    <xf numFmtId="168" fontId="25" fillId="35" borderId="10" xfId="63" applyNumberFormat="1" applyFont="1" applyFill="1" applyBorder="1" applyAlignment="1">
      <alignment horizontal="left" vertical="center"/>
    </xf>
    <xf numFmtId="41" fontId="25" fillId="35" borderId="10" xfId="59" applyNumberFormat="1" applyFont="1" applyFill="1" applyBorder="1" applyAlignment="1">
      <alignment horizontal="left" vertical="center"/>
    </xf>
    <xf numFmtId="167" fontId="25" fillId="0" borderId="14" xfId="63" applyNumberFormat="1" applyFont="1" applyFill="1" applyBorder="1" applyAlignment="1">
      <alignment horizontal="left" vertical="center"/>
    </xf>
    <xf numFmtId="41" fontId="25" fillId="0" borderId="15" xfId="59" applyNumberFormat="1" applyFont="1" applyFill="1" applyBorder="1" applyAlignment="1">
      <alignment horizontal="left" vertical="center"/>
    </xf>
    <xf numFmtId="167" fontId="25" fillId="0" borderId="17" xfId="63" applyNumberFormat="1" applyFont="1" applyFill="1" applyBorder="1" applyAlignment="1">
      <alignment horizontal="left" vertical="center"/>
    </xf>
    <xf numFmtId="168" fontId="25" fillId="0" borderId="11" xfId="63" applyNumberFormat="1" applyFont="1" applyFill="1" applyBorder="1" applyAlignment="1">
      <alignment horizontal="left" vertical="center"/>
    </xf>
    <xf numFmtId="41" fontId="25" fillId="0" borderId="11" xfId="59" applyNumberFormat="1" applyFont="1" applyFill="1" applyBorder="1" applyAlignment="1">
      <alignment horizontal="left" vertical="center"/>
    </xf>
    <xf numFmtId="168" fontId="25" fillId="0" borderId="30" xfId="63" applyNumberFormat="1" applyFont="1" applyFill="1" applyBorder="1" applyAlignment="1">
      <alignment horizontal="left" vertical="center"/>
    </xf>
    <xf numFmtId="168" fontId="28" fillId="0" borderId="20" xfId="0" applyNumberFormat="1" applyFont="1" applyFill="1" applyBorder="1" applyAlignment="1">
      <alignment horizontal="left" vertical="center" wrapText="1"/>
    </xf>
    <xf numFmtId="41" fontId="28" fillId="0" borderId="11" xfId="29" applyFont="1" applyFill="1" applyBorder="1" applyAlignment="1">
      <alignment horizontal="left" vertical="center" wrapText="1"/>
    </xf>
    <xf numFmtId="167" fontId="25" fillId="0" borderId="12" xfId="63" applyNumberFormat="1" applyFont="1" applyFill="1" applyBorder="1" applyAlignment="1">
      <alignment horizontal="left" vertical="center"/>
    </xf>
    <xf numFmtId="168" fontId="25" fillId="0" borderId="8" xfId="63" applyNumberFormat="1" applyFont="1" applyFill="1" applyBorder="1" applyAlignment="1">
      <alignment horizontal="left" vertical="center"/>
    </xf>
    <xf numFmtId="41" fontId="25" fillId="0" borderId="8" xfId="59" applyNumberFormat="1" applyFont="1" applyFill="1" applyBorder="1" applyAlignment="1">
      <alignment horizontal="left" vertical="center"/>
    </xf>
    <xf numFmtId="167" fontId="25" fillId="0" borderId="11" xfId="63" applyNumberFormat="1" applyFont="1" applyFill="1" applyBorder="1" applyAlignment="1">
      <alignment horizontal="left" vertical="center"/>
    </xf>
    <xf numFmtId="167" fontId="25" fillId="0" borderId="22" xfId="63" applyNumberFormat="1" applyFont="1" applyFill="1" applyBorder="1" applyAlignment="1">
      <alignment horizontal="left" vertical="center"/>
    </xf>
    <xf numFmtId="41" fontId="25" fillId="0" borderId="2" xfId="59" applyNumberFormat="1" applyFont="1" applyFill="1" applyBorder="1" applyAlignment="1">
      <alignment horizontal="left" vertical="center"/>
    </xf>
    <xf numFmtId="167" fontId="25" fillId="35" borderId="4" xfId="63" applyNumberFormat="1" applyFont="1" applyFill="1" applyBorder="1" applyAlignment="1">
      <alignment horizontal="left" vertical="center"/>
    </xf>
    <xf numFmtId="168" fontId="25" fillId="35" borderId="4" xfId="63" applyNumberFormat="1" applyFont="1" applyFill="1" applyBorder="1" applyAlignment="1">
      <alignment horizontal="left" vertical="center"/>
    </xf>
    <xf numFmtId="41" fontId="25" fillId="35" borderId="4" xfId="59" applyNumberFormat="1" applyFont="1" applyFill="1" applyBorder="1" applyAlignment="1">
      <alignment horizontal="left" vertical="center"/>
    </xf>
    <xf numFmtId="41" fontId="25" fillId="36" borderId="5" xfId="63" applyNumberFormat="1" applyFont="1" applyFill="1" applyBorder="1" applyAlignment="1">
      <alignment horizontal="left" vertical="center"/>
    </xf>
    <xf numFmtId="168" fontId="24" fillId="0" borderId="0" xfId="63" applyNumberFormat="1" applyFont="1" applyAlignment="1">
      <alignment horizontal="left" vertical="center"/>
    </xf>
    <xf numFmtId="41" fontId="24" fillId="0" borderId="0" xfId="63" applyNumberFormat="1" applyFont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167" fontId="0" fillId="0" borderId="0" xfId="0" applyNumberFormat="1"/>
    <xf numFmtId="9" fontId="25" fillId="0" borderId="14" xfId="71" applyFont="1" applyBorder="1" applyAlignment="1">
      <alignment vertical="center"/>
    </xf>
    <xf numFmtId="0" fontId="25" fillId="0" borderId="1" xfId="63" applyFont="1" applyBorder="1" applyAlignment="1">
      <alignment horizontal="center" vertical="center" wrapText="1"/>
    </xf>
    <xf numFmtId="0" fontId="25" fillId="0" borderId="1" xfId="63" applyFont="1" applyBorder="1" applyAlignment="1">
      <alignment horizontal="center" vertical="center"/>
    </xf>
    <xf numFmtId="0" fontId="25" fillId="0" borderId="7" xfId="63" applyFont="1" applyBorder="1" applyAlignment="1">
      <alignment horizontal="center" vertical="center" wrapText="1"/>
    </xf>
    <xf numFmtId="0" fontId="25" fillId="0" borderId="0" xfId="55" applyFont="1" applyFill="1" applyAlignment="1">
      <alignment horizontal="center"/>
    </xf>
    <xf numFmtId="0" fontId="25" fillId="0" borderId="9" xfId="63" applyFont="1" applyBorder="1" applyAlignment="1">
      <alignment horizontal="center"/>
    </xf>
    <xf numFmtId="0" fontId="25" fillId="0" borderId="10" xfId="63" applyFont="1" applyBorder="1" applyAlignment="1">
      <alignment horizontal="center"/>
    </xf>
    <xf numFmtId="0" fontId="24" fillId="0" borderId="2" xfId="54" applyFont="1" applyFill="1" applyBorder="1" applyAlignment="1">
      <alignment horizontal="left" vertical="center" wrapText="1"/>
    </xf>
    <xf numFmtId="0" fontId="25" fillId="0" borderId="27" xfId="63" applyFont="1" applyBorder="1" applyAlignment="1">
      <alignment horizontal="center"/>
    </xf>
    <xf numFmtId="0" fontId="0" fillId="0" borderId="29" xfId="0" applyFont="1" applyFill="1" applyBorder="1" applyAlignment="1">
      <alignment horizontal="left" vertical="center" wrapText="1"/>
    </xf>
    <xf numFmtId="167" fontId="25" fillId="0" borderId="17" xfId="63" applyNumberFormat="1" applyFont="1" applyBorder="1" applyAlignment="1">
      <alignment vertical="center"/>
    </xf>
    <xf numFmtId="168" fontId="25" fillId="0" borderId="17" xfId="63" applyNumberFormat="1" applyFont="1" applyBorder="1" applyAlignment="1">
      <alignment vertical="center"/>
    </xf>
    <xf numFmtId="0" fontId="24" fillId="0" borderId="8" xfId="54" applyFont="1" applyFill="1" applyBorder="1" applyAlignment="1">
      <alignment horizontal="left" vertical="center" wrapText="1"/>
    </xf>
    <xf numFmtId="0" fontId="24" fillId="34" borderId="11" xfId="55" applyFont="1" applyFill="1" applyBorder="1" applyAlignment="1">
      <alignment vertical="center" wrapText="1"/>
    </xf>
    <xf numFmtId="0" fontId="24" fillId="0" borderId="8" xfId="54" applyFont="1" applyFill="1" applyBorder="1" applyAlignment="1">
      <alignment horizontal="left" vertical="center" wrapText="1"/>
    </xf>
    <xf numFmtId="0" fontId="24" fillId="0" borderId="0" xfId="55" applyFont="1" applyFill="1" applyBorder="1" applyAlignment="1">
      <alignment horizontal="center" vertical="center"/>
    </xf>
    <xf numFmtId="0" fontId="24" fillId="34" borderId="0" xfId="55" applyFont="1" applyFill="1" applyBorder="1" applyAlignment="1">
      <alignment vertical="center"/>
    </xf>
    <xf numFmtId="0" fontId="24" fillId="0" borderId="0" xfId="0" applyFont="1" applyBorder="1" applyAlignment="1">
      <alignment vertical="top"/>
    </xf>
    <xf numFmtId="0" fontId="24" fillId="0" borderId="0" xfId="54" applyFont="1" applyBorder="1" applyAlignment="1">
      <alignment horizontal="left" vertical="top" wrapText="1"/>
    </xf>
    <xf numFmtId="41" fontId="24" fillId="0" borderId="0" xfId="32" applyFont="1" applyBorder="1"/>
    <xf numFmtId="41" fontId="24" fillId="0" borderId="0" xfId="32" applyFont="1" applyBorder="1" applyAlignment="1">
      <alignment wrapText="1"/>
    </xf>
    <xf numFmtId="0" fontId="24" fillId="0" borderId="0" xfId="54" applyFont="1" applyFill="1" applyBorder="1" applyAlignment="1">
      <alignment horizontal="center"/>
    </xf>
    <xf numFmtId="41" fontId="24" fillId="0" borderId="0" xfId="29" applyFont="1" applyFill="1" applyBorder="1" applyAlignment="1">
      <alignment horizontal="center" vertical="top"/>
    </xf>
    <xf numFmtId="168" fontId="24" fillId="0" borderId="0" xfId="63" applyNumberFormat="1" applyFont="1" applyBorder="1" applyAlignment="1">
      <alignment vertical="top"/>
    </xf>
    <xf numFmtId="0" fontId="24" fillId="38" borderId="8" xfId="54" applyFont="1" applyFill="1" applyBorder="1" applyAlignment="1">
      <alignment horizontal="center" vertical="center" wrapText="1"/>
    </xf>
    <xf numFmtId="0" fontId="25" fillId="0" borderId="1" xfId="63" applyFont="1" applyBorder="1" applyAlignment="1">
      <alignment horizontal="center" vertical="center"/>
    </xf>
    <xf numFmtId="0" fontId="24" fillId="0" borderId="2" xfId="54" applyFont="1" applyFill="1" applyBorder="1" applyAlignment="1">
      <alignment horizontal="left" vertical="center" wrapText="1"/>
    </xf>
    <xf numFmtId="0" fontId="24" fillId="0" borderId="15" xfId="54" applyFont="1" applyFill="1" applyBorder="1" applyAlignment="1">
      <alignment horizontal="left" vertical="center" wrapText="1"/>
    </xf>
    <xf numFmtId="0" fontId="25" fillId="0" borderId="27" xfId="63" applyFont="1" applyBorder="1" applyAlignment="1">
      <alignment horizontal="center"/>
    </xf>
    <xf numFmtId="0" fontId="24" fillId="0" borderId="2" xfId="54" applyFont="1" applyFill="1" applyBorder="1" applyAlignment="1">
      <alignment horizontal="left" vertical="center" wrapText="1"/>
    </xf>
    <xf numFmtId="168" fontId="24" fillId="0" borderId="15" xfId="63" applyNumberFormat="1" applyFont="1" applyFill="1" applyBorder="1" applyAlignment="1">
      <alignment vertical="center"/>
    </xf>
    <xf numFmtId="9" fontId="24" fillId="0" borderId="15" xfId="71" applyFont="1" applyFill="1" applyBorder="1" applyAlignment="1">
      <alignment vertical="center"/>
    </xf>
    <xf numFmtId="167" fontId="25" fillId="0" borderId="14" xfId="63" applyNumberFormat="1" applyFont="1" applyBorder="1" applyAlignment="1">
      <alignment vertical="top"/>
    </xf>
    <xf numFmtId="168" fontId="25" fillId="0" borderId="14" xfId="63" applyNumberFormat="1" applyFont="1" applyBorder="1" applyAlignment="1">
      <alignment vertical="top"/>
    </xf>
    <xf numFmtId="0" fontId="24" fillId="0" borderId="2" xfId="54" applyFont="1" applyBorder="1" applyAlignment="1">
      <alignment horizontal="center" vertical="top" wrapText="1"/>
    </xf>
    <xf numFmtId="44" fontId="24" fillId="0" borderId="15" xfId="59" applyNumberFormat="1" applyFont="1" applyFill="1" applyBorder="1" applyAlignment="1">
      <alignment horizontal="left" vertical="center"/>
    </xf>
    <xf numFmtId="0" fontId="24" fillId="0" borderId="2" xfId="54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left" vertical="center" wrapText="1"/>
    </xf>
    <xf numFmtId="0" fontId="24" fillId="0" borderId="8" xfId="54" applyFont="1" applyFill="1" applyBorder="1" applyAlignment="1">
      <alignment horizontal="left" vertical="center" wrapText="1"/>
    </xf>
    <xf numFmtId="176" fontId="24" fillId="0" borderId="29" xfId="29" applyNumberFormat="1" applyFont="1" applyBorder="1" applyAlignment="1">
      <alignment vertical="center"/>
    </xf>
    <xf numFmtId="0" fontId="24" fillId="0" borderId="14" xfId="63" applyFont="1" applyBorder="1" applyAlignment="1">
      <alignment vertical="center"/>
    </xf>
    <xf numFmtId="0" fontId="0" fillId="0" borderId="3" xfId="0" applyFont="1" applyFill="1" applyBorder="1" applyAlignment="1">
      <alignment horizontal="left" vertical="center" wrapText="1"/>
    </xf>
    <xf numFmtId="44" fontId="24" fillId="0" borderId="15" xfId="59" applyNumberFormat="1" applyFont="1" applyFill="1" applyBorder="1" applyAlignment="1">
      <alignment horizontal="left" vertical="center"/>
    </xf>
    <xf numFmtId="0" fontId="24" fillId="0" borderId="2" xfId="54" applyFont="1" applyFill="1" applyBorder="1" applyAlignment="1">
      <alignment horizontal="left" vertical="center" wrapText="1"/>
    </xf>
    <xf numFmtId="41" fontId="25" fillId="39" borderId="15" xfId="59" applyNumberFormat="1" applyFont="1" applyFill="1" applyBorder="1" applyAlignment="1">
      <alignment vertical="center" wrapText="1"/>
    </xf>
    <xf numFmtId="14" fontId="25" fillId="39" borderId="15" xfId="59" applyNumberFormat="1" applyFont="1" applyFill="1" applyBorder="1" applyAlignment="1">
      <alignment vertical="center"/>
    </xf>
    <xf numFmtId="0" fontId="24" fillId="0" borderId="8" xfId="54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left" vertical="center" wrapText="1"/>
    </xf>
    <xf numFmtId="0" fontId="28" fillId="39" borderId="9" xfId="0" applyFont="1" applyFill="1" applyBorder="1" applyAlignment="1">
      <alignment horizontal="center" vertical="center" wrapText="1"/>
    </xf>
    <xf numFmtId="0" fontId="28" fillId="39" borderId="21" xfId="0" applyFont="1" applyFill="1" applyBorder="1" applyAlignment="1">
      <alignment horizontal="left" vertical="center" wrapText="1"/>
    </xf>
    <xf numFmtId="44" fontId="24" fillId="0" borderId="15" xfId="59" applyNumberFormat="1" applyFont="1" applyFill="1" applyBorder="1" applyAlignment="1">
      <alignment horizontal="left" vertical="center"/>
    </xf>
    <xf numFmtId="0" fontId="24" fillId="0" borderId="2" xfId="54" applyFont="1" applyFill="1" applyBorder="1" applyAlignment="1">
      <alignment horizontal="left" vertical="center" wrapText="1"/>
    </xf>
    <xf numFmtId="0" fontId="24" fillId="0" borderId="15" xfId="54" applyFont="1" applyFill="1" applyBorder="1" applyAlignment="1">
      <alignment horizontal="left" vertical="center" wrapText="1"/>
    </xf>
    <xf numFmtId="0" fontId="24" fillId="0" borderId="11" xfId="55" applyFont="1" applyFill="1" applyBorder="1" applyAlignment="1">
      <alignment vertical="center"/>
    </xf>
    <xf numFmtId="0" fontId="24" fillId="0" borderId="11" xfId="0" applyFont="1" applyFill="1" applyBorder="1" applyAlignment="1">
      <alignment vertical="top"/>
    </xf>
    <xf numFmtId="41" fontId="24" fillId="0" borderId="11" xfId="32" applyFont="1" applyFill="1" applyBorder="1" applyAlignment="1">
      <alignment wrapText="1"/>
    </xf>
    <xf numFmtId="14" fontId="24" fillId="0" borderId="11" xfId="32" applyNumberFormat="1" applyFont="1" applyFill="1" applyBorder="1"/>
    <xf numFmtId="41" fontId="24" fillId="0" borderId="18" xfId="32" applyFont="1" applyFill="1" applyBorder="1"/>
    <xf numFmtId="168" fontId="24" fillId="0" borderId="14" xfId="63" applyNumberFormat="1" applyFont="1" applyFill="1" applyBorder="1" applyAlignment="1">
      <alignment vertical="top"/>
    </xf>
    <xf numFmtId="9" fontId="24" fillId="0" borderId="14" xfId="71" applyFont="1" applyFill="1" applyBorder="1" applyAlignment="1">
      <alignment vertical="top"/>
    </xf>
    <xf numFmtId="0" fontId="24" fillId="0" borderId="16" xfId="63" applyFont="1" applyFill="1" applyBorder="1"/>
    <xf numFmtId="172" fontId="24" fillId="0" borderId="15" xfId="71" applyNumberFormat="1" applyFont="1" applyFill="1" applyBorder="1" applyAlignment="1">
      <alignment horizontal="center" vertical="center"/>
    </xf>
    <xf numFmtId="44" fontId="24" fillId="0" borderId="2" xfId="59" applyNumberFormat="1" applyFont="1" applyFill="1" applyBorder="1" applyAlignment="1">
      <alignment horizontal="left" vertical="center"/>
    </xf>
    <xf numFmtId="167" fontId="24" fillId="0" borderId="29" xfId="63" applyNumberFormat="1" applyFont="1" applyBorder="1"/>
    <xf numFmtId="0" fontId="27" fillId="39" borderId="39" xfId="62" applyFont="1" applyFill="1" applyBorder="1" applyAlignment="1">
      <alignment horizontal="center" vertical="center" wrapText="1"/>
    </xf>
    <xf numFmtId="41" fontId="4" fillId="0" borderId="22" xfId="3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44" fontId="24" fillId="0" borderId="2" xfId="59" applyNumberFormat="1" applyFont="1" applyFill="1" applyBorder="1" applyAlignment="1">
      <alignment horizontal="left" vertical="center"/>
    </xf>
    <xf numFmtId="0" fontId="24" fillId="0" borderId="2" xfId="54" applyFont="1" applyFill="1" applyBorder="1" applyAlignment="1">
      <alignment horizontal="left" vertical="center" wrapText="1"/>
    </xf>
    <xf numFmtId="0" fontId="24" fillId="0" borderId="8" xfId="54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left" vertical="center" wrapText="1"/>
    </xf>
    <xf numFmtId="44" fontId="24" fillId="0" borderId="2" xfId="59" applyNumberFormat="1" applyFont="1" applyFill="1" applyBorder="1" applyAlignment="1">
      <alignment horizontal="left" vertical="center"/>
    </xf>
    <xf numFmtId="0" fontId="24" fillId="0" borderId="2" xfId="54" applyFont="1" applyFill="1" applyBorder="1" applyAlignment="1">
      <alignment horizontal="left" vertical="center" wrapText="1"/>
    </xf>
    <xf numFmtId="167" fontId="25" fillId="39" borderId="17" xfId="63" applyNumberFormat="1" applyFont="1" applyFill="1" applyBorder="1" applyAlignment="1">
      <alignment horizontal="left" vertical="center"/>
    </xf>
    <xf numFmtId="168" fontId="25" fillId="39" borderId="11" xfId="63" applyNumberFormat="1" applyFont="1" applyFill="1" applyBorder="1" applyAlignment="1">
      <alignment horizontal="left" vertical="center"/>
    </xf>
    <xf numFmtId="168" fontId="25" fillId="39" borderId="30" xfId="63" applyNumberFormat="1" applyFont="1" applyFill="1" applyBorder="1" applyAlignment="1">
      <alignment horizontal="left" vertical="center"/>
    </xf>
    <xf numFmtId="41" fontId="25" fillId="39" borderId="18" xfId="59" applyNumberFormat="1" applyFont="1" applyFill="1" applyBorder="1" applyAlignment="1">
      <alignment vertical="center"/>
    </xf>
    <xf numFmtId="0" fontId="25" fillId="39" borderId="30" xfId="54" applyFont="1" applyFill="1" applyBorder="1" applyAlignment="1">
      <alignment horizontal="center"/>
    </xf>
    <xf numFmtId="0" fontId="25" fillId="39" borderId="30" xfId="54" applyFont="1" applyFill="1" applyBorder="1" applyAlignment="1">
      <alignment vertical="center" wrapText="1"/>
    </xf>
    <xf numFmtId="0" fontId="25" fillId="39" borderId="17" xfId="63" applyFont="1" applyFill="1" applyBorder="1"/>
    <xf numFmtId="168" fontId="24" fillId="0" borderId="32" xfId="63" applyNumberFormat="1" applyFont="1" applyBorder="1" applyAlignment="1">
      <alignment horizontal="left" vertical="center"/>
    </xf>
    <xf numFmtId="41" fontId="25" fillId="39" borderId="30" xfId="59" applyNumberFormat="1" applyFont="1" applyFill="1" applyBorder="1" applyAlignment="1">
      <alignment vertical="center"/>
    </xf>
    <xf numFmtId="167" fontId="25" fillId="39" borderId="14" xfId="63" applyNumberFormat="1" applyFont="1" applyFill="1" applyBorder="1" applyAlignment="1">
      <alignment horizontal="left" vertical="center"/>
    </xf>
    <xf numFmtId="168" fontId="25" fillId="39" borderId="17" xfId="63" applyNumberFormat="1" applyFont="1" applyFill="1" applyBorder="1" applyAlignment="1">
      <alignment horizontal="left" vertical="center"/>
    </xf>
    <xf numFmtId="168" fontId="25" fillId="39" borderId="32" xfId="63" applyNumberFormat="1" applyFont="1" applyFill="1" applyBorder="1" applyAlignment="1">
      <alignment horizontal="left" vertical="center"/>
    </xf>
    <xf numFmtId="0" fontId="24" fillId="0" borderId="30" xfId="54" applyFont="1" applyFill="1" applyBorder="1" applyAlignment="1">
      <alignment horizontal="left" vertical="center" wrapText="1"/>
    </xf>
    <xf numFmtId="168" fontId="24" fillId="0" borderId="2" xfId="63" applyNumberFormat="1" applyFont="1" applyFill="1" applyBorder="1" applyAlignment="1">
      <alignment vertical="center"/>
    </xf>
    <xf numFmtId="9" fontId="24" fillId="0" borderId="2" xfId="59" applyNumberFormat="1" applyFont="1" applyFill="1" applyBorder="1" applyAlignment="1">
      <alignment vertical="center"/>
    </xf>
    <xf numFmtId="168" fontId="24" fillId="0" borderId="22" xfId="63" applyNumberFormat="1" applyFont="1" applyFill="1" applyBorder="1" applyAlignment="1">
      <alignment horizontal="center" vertical="center"/>
    </xf>
    <xf numFmtId="9" fontId="25" fillId="0" borderId="14" xfId="59" applyNumberFormat="1" applyFont="1" applyFill="1" applyBorder="1" applyAlignment="1">
      <alignment vertical="center"/>
    </xf>
    <xf numFmtId="0" fontId="24" fillId="38" borderId="11" xfId="54" applyFont="1" applyFill="1" applyBorder="1" applyAlignment="1">
      <alignment horizontal="center" vertical="center" wrapText="1"/>
    </xf>
    <xf numFmtId="44" fontId="24" fillId="42" borderId="11" xfId="59" applyNumberFormat="1" applyFont="1" applyFill="1" applyBorder="1" applyAlignment="1">
      <alignment horizontal="left" vertical="center"/>
    </xf>
    <xf numFmtId="0" fontId="24" fillId="42" borderId="2" xfId="54" applyFont="1" applyFill="1" applyBorder="1" applyAlignment="1">
      <alignment horizontal="center" vertical="center" wrapText="1"/>
    </xf>
    <xf numFmtId="0" fontId="24" fillId="42" borderId="2" xfId="54" applyFont="1" applyFill="1" applyBorder="1" applyAlignment="1">
      <alignment horizontal="left" vertical="center" wrapText="1"/>
    </xf>
    <xf numFmtId="0" fontId="24" fillId="42" borderId="2" xfId="54" applyFont="1" applyFill="1" applyBorder="1" applyAlignment="1">
      <alignment vertical="center" wrapText="1"/>
    </xf>
    <xf numFmtId="0" fontId="24" fillId="0" borderId="8" xfId="54" applyFont="1" applyFill="1" applyBorder="1" applyAlignment="1">
      <alignment horizontal="left" vertical="center" wrapText="1"/>
    </xf>
    <xf numFmtId="41" fontId="24" fillId="0" borderId="2" xfId="63" applyNumberFormat="1" applyFont="1" applyFill="1" applyBorder="1" applyAlignment="1">
      <alignment vertical="center" wrapText="1"/>
    </xf>
    <xf numFmtId="0" fontId="24" fillId="0" borderId="8" xfId="54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left" vertical="center" wrapText="1"/>
    </xf>
    <xf numFmtId="0" fontId="24" fillId="0" borderId="15" xfId="54" applyFont="1" applyFill="1" applyBorder="1" applyAlignment="1">
      <alignment horizontal="left" vertical="center" wrapText="1"/>
    </xf>
    <xf numFmtId="10" fontId="24" fillId="0" borderId="29" xfId="29" applyNumberFormat="1" applyFont="1" applyBorder="1" applyAlignment="1">
      <alignment vertical="center"/>
    </xf>
    <xf numFmtId="0" fontId="24" fillId="0" borderId="2" xfId="54" applyFont="1" applyFill="1" applyBorder="1" applyAlignment="1">
      <alignment horizontal="left" vertical="center" wrapText="1"/>
    </xf>
    <xf numFmtId="0" fontId="24" fillId="0" borderId="15" xfId="54" applyFont="1" applyFill="1" applyBorder="1" applyAlignment="1">
      <alignment horizontal="left" vertical="center" wrapText="1"/>
    </xf>
    <xf numFmtId="167" fontId="24" fillId="34" borderId="29" xfId="63" applyNumberFormat="1" applyFont="1" applyFill="1" applyBorder="1" applyAlignment="1">
      <alignment horizontal="left" vertical="center"/>
    </xf>
    <xf numFmtId="9" fontId="25" fillId="34" borderId="29" xfId="59" applyNumberFormat="1" applyFont="1" applyFill="1" applyBorder="1" applyAlignment="1">
      <alignment vertical="center"/>
    </xf>
    <xf numFmtId="167" fontId="24" fillId="0" borderId="8" xfId="28" applyNumberFormat="1" applyFont="1" applyFill="1" applyBorder="1" applyAlignment="1">
      <alignment horizontal="left" vertical="center" wrapText="1"/>
    </xf>
    <xf numFmtId="41" fontId="24" fillId="38" borderId="2" xfId="59" applyNumberFormat="1" applyFont="1" applyFill="1" applyBorder="1" applyAlignment="1">
      <alignment vertical="center"/>
    </xf>
    <xf numFmtId="9" fontId="25" fillId="0" borderId="8" xfId="71" applyFont="1" applyFill="1" applyBorder="1" applyAlignment="1">
      <alignment vertical="center"/>
    </xf>
    <xf numFmtId="0" fontId="27" fillId="0" borderId="28" xfId="59" applyFont="1" applyFill="1" applyBorder="1" applyAlignment="1">
      <alignment horizontal="left" vertical="center"/>
    </xf>
    <xf numFmtId="44" fontId="24" fillId="0" borderId="6" xfId="54" applyNumberFormat="1" applyFont="1" applyFill="1" applyBorder="1" applyAlignment="1">
      <alignment horizontal="left" vertical="center"/>
    </xf>
    <xf numFmtId="0" fontId="25" fillId="35" borderId="5" xfId="54" applyFont="1" applyFill="1" applyBorder="1" applyAlignment="1">
      <alignment horizontal="center"/>
    </xf>
    <xf numFmtId="0" fontId="25" fillId="35" borderId="28" xfId="54" applyFont="1" applyFill="1" applyBorder="1" applyAlignment="1">
      <alignment horizontal="center"/>
    </xf>
    <xf numFmtId="167" fontId="25" fillId="38" borderId="8" xfId="63" applyNumberFormat="1" applyFont="1" applyFill="1" applyBorder="1" applyAlignment="1">
      <alignment vertical="top"/>
    </xf>
    <xf numFmtId="41" fontId="25" fillId="35" borderId="7" xfId="59" applyNumberFormat="1" applyFont="1" applyFill="1" applyBorder="1" applyAlignment="1">
      <alignment vertical="center"/>
    </xf>
    <xf numFmtId="167" fontId="25" fillId="35" borderId="7" xfId="63" applyNumberFormat="1" applyFont="1" applyFill="1" applyBorder="1"/>
    <xf numFmtId="168" fontId="25" fillId="35" borderId="7" xfId="63" applyNumberFormat="1" applyFont="1" applyFill="1" applyBorder="1"/>
    <xf numFmtId="168" fontId="25" fillId="35" borderId="7" xfId="63" applyNumberFormat="1" applyFont="1" applyFill="1" applyBorder="1" applyAlignment="1">
      <alignment horizontal="center"/>
    </xf>
    <xf numFmtId="41" fontId="25" fillId="35" borderId="5" xfId="59" applyNumberFormat="1" applyFont="1" applyFill="1" applyBorder="1" applyAlignment="1">
      <alignment vertical="center"/>
    </xf>
    <xf numFmtId="167" fontId="25" fillId="35" borderId="5" xfId="63" applyNumberFormat="1" applyFont="1" applyFill="1" applyBorder="1"/>
    <xf numFmtId="0" fontId="24" fillId="0" borderId="19" xfId="54" applyFont="1" applyFill="1" applyBorder="1" applyAlignment="1">
      <alignment horizontal="center" vertical="top" wrapText="1"/>
    </xf>
    <xf numFmtId="0" fontId="24" fillId="0" borderId="19" xfId="54" applyFont="1" applyFill="1" applyBorder="1" applyAlignment="1">
      <alignment horizontal="center" wrapText="1"/>
    </xf>
    <xf numFmtId="0" fontId="24" fillId="0" borderId="19" xfId="54" applyFont="1" applyFill="1" applyBorder="1" applyAlignment="1">
      <alignment vertical="top" wrapText="1"/>
    </xf>
    <xf numFmtId="166" fontId="24" fillId="0" borderId="19" xfId="54" applyNumberFormat="1" applyFont="1" applyFill="1" applyBorder="1" applyAlignment="1">
      <alignment horizontal="center" vertical="top"/>
    </xf>
    <xf numFmtId="41" fontId="24" fillId="0" borderId="19" xfId="29" applyFont="1" applyFill="1" applyBorder="1" applyAlignment="1">
      <alignment horizontal="center" vertical="top"/>
    </xf>
    <xf numFmtId="167" fontId="24" fillId="0" borderId="19" xfId="63" applyNumberFormat="1" applyFont="1" applyFill="1" applyBorder="1" applyAlignment="1">
      <alignment vertical="top"/>
    </xf>
    <xf numFmtId="167" fontId="25" fillId="0" borderId="19" xfId="63" applyNumberFormat="1" applyFont="1" applyFill="1" applyBorder="1" applyAlignment="1">
      <alignment vertical="top"/>
    </xf>
    <xf numFmtId="168" fontId="25" fillId="0" borderId="19" xfId="63" applyNumberFormat="1" applyFont="1" applyFill="1" applyBorder="1" applyAlignment="1">
      <alignment horizontal="center" vertical="center"/>
    </xf>
    <xf numFmtId="167" fontId="25" fillId="0" borderId="19" xfId="63" applyNumberFormat="1" applyFont="1" applyFill="1" applyBorder="1" applyAlignment="1">
      <alignment vertical="center"/>
    </xf>
    <xf numFmtId="9" fontId="25" fillId="0" borderId="19" xfId="59" applyNumberFormat="1" applyFont="1" applyFill="1" applyBorder="1" applyAlignment="1">
      <alignment vertical="center"/>
    </xf>
    <xf numFmtId="0" fontId="24" fillId="0" borderId="19" xfId="63" applyFont="1" applyFill="1" applyBorder="1"/>
    <xf numFmtId="0" fontId="24" fillId="0" borderId="19" xfId="54" applyFont="1" applyFill="1" applyBorder="1" applyAlignment="1">
      <alignment horizontal="center" vertical="center" wrapText="1"/>
    </xf>
    <xf numFmtId="49" fontId="2" fillId="0" borderId="48" xfId="0" quotePrefix="1" applyNumberFormat="1" applyFont="1" applyFill="1" applyBorder="1" applyAlignment="1">
      <alignment horizontal="center" vertical="center" wrapText="1"/>
    </xf>
    <xf numFmtId="167" fontId="2" fillId="34" borderId="48" xfId="30" applyNumberFormat="1" applyFont="1" applyFill="1" applyBorder="1" applyAlignment="1">
      <alignment horizontal="center" vertical="center" wrapText="1"/>
    </xf>
    <xf numFmtId="49" fontId="2" fillId="0" borderId="0" xfId="0" quotePrefix="1" applyNumberFormat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167" fontId="2" fillId="34" borderId="0" xfId="30" applyNumberFormat="1" applyFont="1" applyFill="1" applyBorder="1" applyAlignment="1">
      <alignment horizontal="center" vertical="center" wrapText="1"/>
    </xf>
    <xf numFmtId="167" fontId="24" fillId="0" borderId="11" xfId="28" applyNumberFormat="1" applyFont="1" applyFill="1" applyBorder="1" applyAlignment="1">
      <alignment vertical="center" wrapText="1"/>
    </xf>
    <xf numFmtId="167" fontId="24" fillId="0" borderId="30" xfId="28" applyNumberFormat="1" applyFont="1" applyFill="1" applyBorder="1" applyAlignment="1">
      <alignment vertical="center" wrapText="1"/>
    </xf>
    <xf numFmtId="167" fontId="24" fillId="0" borderId="15" xfId="28" applyNumberFormat="1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24" fillId="39" borderId="11" xfId="0" applyFont="1" applyFill="1" applyBorder="1" applyAlignment="1">
      <alignment vertical="top"/>
    </xf>
    <xf numFmtId="41" fontId="24" fillId="39" borderId="12" xfId="29" applyFont="1" applyFill="1" applyBorder="1" applyAlignment="1">
      <alignment horizontal="center" vertical="top"/>
    </xf>
    <xf numFmtId="167" fontId="24" fillId="39" borderId="12" xfId="28" applyNumberFormat="1" applyFont="1" applyFill="1" applyBorder="1" applyAlignment="1">
      <alignment horizontal="center" vertical="top"/>
    </xf>
    <xf numFmtId="167" fontId="24" fillId="39" borderId="13" xfId="63" applyNumberFormat="1" applyFont="1" applyFill="1" applyBorder="1" applyAlignment="1">
      <alignment vertical="top"/>
    </xf>
    <xf numFmtId="9" fontId="24" fillId="39" borderId="14" xfId="59" applyNumberFormat="1" applyFont="1" applyFill="1" applyBorder="1" applyAlignment="1">
      <alignment vertical="center"/>
    </xf>
    <xf numFmtId="167" fontId="24" fillId="39" borderId="11" xfId="63" applyNumberFormat="1" applyFont="1" applyFill="1" applyBorder="1" applyAlignment="1">
      <alignment vertical="top"/>
    </xf>
    <xf numFmtId="0" fontId="0" fillId="0" borderId="11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167" fontId="27" fillId="0" borderId="0" xfId="28" applyNumberFormat="1" applyFont="1" applyFill="1" applyBorder="1" applyAlignment="1">
      <alignment vertical="center" wrapText="1"/>
    </xf>
    <xf numFmtId="41" fontId="24" fillId="34" borderId="2" xfId="59" applyNumberFormat="1" applyFont="1" applyFill="1" applyBorder="1" applyAlignment="1">
      <alignment vertical="center"/>
    </xf>
    <xf numFmtId="0" fontId="24" fillId="38" borderId="0" xfId="63" applyFont="1" applyFill="1"/>
    <xf numFmtId="0" fontId="24" fillId="43" borderId="0" xfId="63" applyFont="1" applyFill="1"/>
    <xf numFmtId="0" fontId="24" fillId="44" borderId="0" xfId="63" applyFont="1" applyFill="1"/>
    <xf numFmtId="0" fontId="24" fillId="38" borderId="8" xfId="55" applyFont="1" applyFill="1" applyBorder="1"/>
    <xf numFmtId="0" fontId="27" fillId="38" borderId="39" xfId="62" applyFont="1" applyFill="1" applyBorder="1" applyAlignment="1">
      <alignment horizontal="center" vertical="center" wrapText="1"/>
    </xf>
    <xf numFmtId="0" fontId="27" fillId="38" borderId="19" xfId="62" applyFont="1" applyFill="1" applyBorder="1" applyAlignment="1">
      <alignment horizontal="left" vertical="center" wrapText="1"/>
    </xf>
    <xf numFmtId="14" fontId="24" fillId="38" borderId="29" xfId="32" applyNumberFormat="1" applyFont="1" applyFill="1" applyBorder="1"/>
    <xf numFmtId="0" fontId="24" fillId="38" borderId="8" xfId="54" applyFont="1" applyFill="1" applyBorder="1" applyAlignment="1">
      <alignment horizontal="left" vertical="center"/>
    </xf>
    <xf numFmtId="41" fontId="24" fillId="38" borderId="29" xfId="29" applyFont="1" applyFill="1" applyBorder="1" applyAlignment="1">
      <alignment horizontal="center" vertical="center"/>
    </xf>
    <xf numFmtId="41" fontId="24" fillId="38" borderId="8" xfId="63" applyNumberFormat="1" applyFont="1" applyFill="1" applyBorder="1" applyAlignment="1">
      <alignment vertical="center"/>
    </xf>
    <xf numFmtId="167" fontId="24" fillId="38" borderId="12" xfId="63" applyNumberFormat="1" applyFont="1" applyFill="1" applyBorder="1" applyAlignment="1">
      <alignment vertical="center"/>
    </xf>
    <xf numFmtId="167" fontId="24" fillId="38" borderId="0" xfId="63" applyNumberFormat="1" applyFont="1" applyFill="1" applyBorder="1" applyAlignment="1">
      <alignment vertical="top"/>
    </xf>
    <xf numFmtId="168" fontId="24" fillId="38" borderId="8" xfId="63" applyNumberFormat="1" applyFont="1" applyFill="1" applyBorder="1" applyAlignment="1">
      <alignment horizontal="center" vertical="center"/>
    </xf>
    <xf numFmtId="9" fontId="24" fillId="38" borderId="29" xfId="29" applyNumberFormat="1" applyFont="1" applyFill="1" applyBorder="1" applyAlignment="1">
      <alignment vertical="center"/>
    </xf>
    <xf numFmtId="9" fontId="24" fillId="38" borderId="11" xfId="71" applyFont="1" applyFill="1" applyBorder="1"/>
    <xf numFmtId="167" fontId="24" fillId="38" borderId="11" xfId="63" applyNumberFormat="1" applyFont="1" applyFill="1" applyBorder="1"/>
    <xf numFmtId="0" fontId="24" fillId="38" borderId="14" xfId="63" applyFont="1" applyFill="1" applyBorder="1"/>
    <xf numFmtId="0" fontId="24" fillId="38" borderId="32" xfId="63" applyFont="1" applyFill="1" applyBorder="1"/>
    <xf numFmtId="0" fontId="24" fillId="38" borderId="8" xfId="54" applyFont="1" applyFill="1" applyBorder="1" applyAlignment="1">
      <alignment horizontal="left" vertical="center" wrapText="1"/>
    </xf>
    <xf numFmtId="0" fontId="24" fillId="38" borderId="8" xfId="55" applyFont="1" applyFill="1" applyBorder="1" applyAlignment="1">
      <alignment horizontal="center" vertical="center"/>
    </xf>
    <xf numFmtId="0" fontId="24" fillId="38" borderId="11" xfId="55" applyFont="1" applyFill="1" applyBorder="1" applyAlignment="1">
      <alignment vertical="center"/>
    </xf>
    <xf numFmtId="41" fontId="24" fillId="38" borderId="11" xfId="32" applyFont="1" applyFill="1" applyBorder="1" applyAlignment="1">
      <alignment wrapText="1"/>
    </xf>
    <xf numFmtId="41" fontId="24" fillId="38" borderId="12" xfId="63" applyNumberFormat="1" applyFont="1" applyFill="1" applyBorder="1" applyAlignment="1">
      <alignment vertical="center"/>
    </xf>
    <xf numFmtId="167" fontId="24" fillId="38" borderId="13" xfId="63" applyNumberFormat="1" applyFont="1" applyFill="1" applyBorder="1" applyAlignment="1">
      <alignment vertical="center"/>
    </xf>
    <xf numFmtId="0" fontId="24" fillId="38" borderId="16" xfId="63" applyFont="1" applyFill="1" applyBorder="1"/>
    <xf numFmtId="171" fontId="24" fillId="38" borderId="8" xfId="55" applyNumberFormat="1" applyFont="1" applyFill="1" applyBorder="1" applyAlignment="1">
      <alignment horizontal="left" vertical="center"/>
    </xf>
    <xf numFmtId="41" fontId="24" fillId="38" borderId="8" xfId="32" applyFont="1" applyFill="1" applyBorder="1" applyAlignment="1">
      <alignment wrapText="1"/>
    </xf>
    <xf numFmtId="41" fontId="24" fillId="38" borderId="31" xfId="32" applyFont="1" applyFill="1" applyBorder="1"/>
    <xf numFmtId="0" fontId="24" fillId="43" borderId="8" xfId="55" applyFont="1" applyFill="1" applyBorder="1" applyAlignment="1">
      <alignment horizontal="center"/>
    </xf>
    <xf numFmtId="0" fontId="24" fillId="43" borderId="8" xfId="55" applyFont="1" applyFill="1" applyBorder="1" applyAlignment="1">
      <alignment vertical="top"/>
    </xf>
    <xf numFmtId="0" fontId="24" fillId="43" borderId="8" xfId="63" applyFont="1" applyFill="1" applyBorder="1" applyAlignment="1">
      <alignment horizontal="left" vertical="center" wrapText="1"/>
    </xf>
    <xf numFmtId="0" fontId="24" fillId="43" borderId="11" xfId="63" applyFont="1" applyFill="1" applyBorder="1" applyAlignment="1">
      <alignment vertical="center" wrapText="1"/>
    </xf>
    <xf numFmtId="41" fontId="24" fillId="43" borderId="8" xfId="32" applyFont="1" applyFill="1" applyBorder="1" applyAlignment="1">
      <alignment vertical="center"/>
    </xf>
    <xf numFmtId="41" fontId="24" fillId="43" borderId="11" xfId="63" applyNumberFormat="1" applyFont="1" applyFill="1" applyBorder="1" applyAlignment="1">
      <alignment vertical="center"/>
    </xf>
    <xf numFmtId="41" fontId="24" fillId="43" borderId="11" xfId="32" applyFont="1" applyFill="1" applyBorder="1" applyAlignment="1">
      <alignment vertical="center"/>
    </xf>
    <xf numFmtId="41" fontId="24" fillId="43" borderId="11" xfId="63" applyNumberFormat="1" applyFont="1" applyFill="1" applyBorder="1" applyAlignment="1">
      <alignment vertical="center" wrapText="1"/>
    </xf>
    <xf numFmtId="14" fontId="24" fillId="43" borderId="8" xfId="63" applyNumberFormat="1" applyFont="1" applyFill="1" applyBorder="1" applyAlignment="1">
      <alignment vertical="center"/>
    </xf>
    <xf numFmtId="0" fontId="24" fillId="43" borderId="17" xfId="63" applyFont="1" applyFill="1" applyBorder="1" applyAlignment="1">
      <alignment horizontal="center" vertical="center"/>
    </xf>
    <xf numFmtId="0" fontId="24" fillId="43" borderId="8" xfId="63" applyFont="1" applyFill="1" applyBorder="1" applyAlignment="1">
      <alignment horizontal="center" vertical="center" wrapText="1"/>
    </xf>
    <xf numFmtId="0" fontId="24" fillId="43" borderId="11" xfId="63" applyFont="1" applyFill="1" applyBorder="1" applyAlignment="1">
      <alignment horizontal="center" vertical="center"/>
    </xf>
    <xf numFmtId="0" fontId="24" fillId="43" borderId="15" xfId="63" applyFont="1" applyFill="1" applyBorder="1" applyAlignment="1">
      <alignment vertical="center" wrapText="1"/>
    </xf>
    <xf numFmtId="167" fontId="24" fillId="43" borderId="29" xfId="63" applyNumberFormat="1" applyFont="1" applyFill="1" applyBorder="1" applyAlignment="1">
      <alignment vertical="top"/>
    </xf>
    <xf numFmtId="167" fontId="24" fillId="43" borderId="8" xfId="63" applyNumberFormat="1" applyFont="1" applyFill="1" applyBorder="1" applyAlignment="1">
      <alignment vertical="center"/>
    </xf>
    <xf numFmtId="168" fontId="24" fillId="43" borderId="8" xfId="63" applyNumberFormat="1" applyFont="1" applyFill="1" applyBorder="1" applyAlignment="1">
      <alignment vertical="center"/>
    </xf>
    <xf numFmtId="167" fontId="24" fillId="43" borderId="12" xfId="63" applyNumberFormat="1" applyFont="1" applyFill="1" applyBorder="1" applyAlignment="1">
      <alignment vertical="center"/>
    </xf>
    <xf numFmtId="9" fontId="24" fillId="43" borderId="29" xfId="71" applyFont="1" applyFill="1" applyBorder="1" applyAlignment="1">
      <alignment vertical="center"/>
    </xf>
    <xf numFmtId="167" fontId="24" fillId="43" borderId="11" xfId="63" applyNumberFormat="1" applyFont="1" applyFill="1" applyBorder="1" applyAlignment="1">
      <alignment vertical="center"/>
    </xf>
    <xf numFmtId="9" fontId="24" fillId="43" borderId="11" xfId="71" applyFont="1" applyFill="1" applyBorder="1" applyAlignment="1">
      <alignment vertical="center"/>
    </xf>
    <xf numFmtId="9" fontId="24" fillId="43" borderId="11" xfId="63" applyNumberFormat="1" applyFont="1" applyFill="1" applyBorder="1" applyAlignment="1">
      <alignment horizontal="left" vertical="top" wrapText="1"/>
    </xf>
    <xf numFmtId="9" fontId="24" fillId="43" borderId="11" xfId="71" applyFont="1" applyFill="1" applyBorder="1"/>
    <xf numFmtId="0" fontId="24" fillId="43" borderId="11" xfId="63" applyFont="1" applyFill="1" applyBorder="1"/>
    <xf numFmtId="41" fontId="24" fillId="43" borderId="11" xfId="63" applyNumberFormat="1" applyFont="1" applyFill="1" applyBorder="1"/>
    <xf numFmtId="0" fontId="24" fillId="43" borderId="14" xfId="63" applyFont="1" applyFill="1" applyBorder="1"/>
    <xf numFmtId="0" fontId="24" fillId="43" borderId="30" xfId="63" applyFont="1" applyFill="1" applyBorder="1"/>
    <xf numFmtId="167" fontId="24" fillId="43" borderId="30" xfId="63" applyNumberFormat="1" applyFont="1" applyFill="1" applyBorder="1"/>
    <xf numFmtId="167" fontId="24" fillId="43" borderId="30" xfId="63" applyNumberFormat="1" applyFont="1" applyFill="1" applyBorder="1" applyAlignment="1">
      <alignment vertical="top"/>
    </xf>
    <xf numFmtId="0" fontId="24" fillId="43" borderId="0" xfId="63" applyFont="1" applyFill="1" applyBorder="1"/>
    <xf numFmtId="0" fontId="24" fillId="43" borderId="14" xfId="63" applyFont="1" applyFill="1" applyBorder="1" applyAlignment="1">
      <alignment horizontal="center" vertical="center"/>
    </xf>
    <xf numFmtId="168" fontId="24" fillId="43" borderId="8" xfId="63" applyNumberFormat="1" applyFont="1" applyFill="1" applyBorder="1" applyAlignment="1">
      <alignment horizontal="center" vertical="center"/>
    </xf>
    <xf numFmtId="9" fontId="24" fillId="43" borderId="11" xfId="29" applyNumberFormat="1" applyFont="1" applyFill="1" applyBorder="1" applyAlignment="1">
      <alignment vertical="center"/>
    </xf>
    <xf numFmtId="9" fontId="25" fillId="43" borderId="11" xfId="71" applyFont="1" applyFill="1" applyBorder="1"/>
    <xf numFmtId="167" fontId="24" fillId="43" borderId="11" xfId="63" applyNumberFormat="1" applyFont="1" applyFill="1" applyBorder="1"/>
    <xf numFmtId="0" fontId="24" fillId="43" borderId="31" xfId="63" applyFont="1" applyFill="1" applyBorder="1" applyAlignment="1">
      <alignment horizontal="left" vertical="center" wrapText="1"/>
    </xf>
    <xf numFmtId="41" fontId="24" fillId="43" borderId="18" xfId="63" applyNumberFormat="1" applyFont="1" applyFill="1" applyBorder="1" applyAlignment="1">
      <alignment vertical="center" wrapText="1"/>
    </xf>
    <xf numFmtId="14" fontId="24" fillId="43" borderId="33" xfId="63" applyNumberFormat="1" applyFont="1" applyFill="1" applyBorder="1" applyAlignment="1">
      <alignment vertical="center"/>
    </xf>
    <xf numFmtId="41" fontId="24" fillId="43" borderId="8" xfId="63" applyNumberFormat="1" applyFont="1" applyFill="1" applyBorder="1" applyAlignment="1">
      <alignment vertical="center"/>
    </xf>
    <xf numFmtId="0" fontId="24" fillId="43" borderId="8" xfId="63" applyFont="1" applyFill="1" applyBorder="1" applyAlignment="1">
      <alignment horizontal="center" vertical="center"/>
    </xf>
    <xf numFmtId="0" fontId="24" fillId="43" borderId="8" xfId="63" applyFont="1" applyFill="1" applyBorder="1" applyAlignment="1">
      <alignment vertical="center" wrapText="1"/>
    </xf>
    <xf numFmtId="14" fontId="24" fillId="43" borderId="12" xfId="63" applyNumberFormat="1" applyFont="1" applyFill="1" applyBorder="1" applyAlignment="1">
      <alignment vertical="center"/>
    </xf>
    <xf numFmtId="0" fontId="24" fillId="43" borderId="12" xfId="63" applyFont="1" applyFill="1" applyBorder="1" applyAlignment="1">
      <alignment vertical="center" wrapText="1"/>
    </xf>
    <xf numFmtId="167" fontId="24" fillId="43" borderId="29" xfId="63" applyNumberFormat="1" applyFont="1" applyFill="1" applyBorder="1" applyAlignment="1">
      <alignment vertical="center"/>
    </xf>
    <xf numFmtId="167" fontId="24" fillId="43" borderId="12" xfId="63" applyNumberFormat="1" applyFont="1" applyFill="1" applyBorder="1" applyAlignment="1">
      <alignment horizontal="center" vertical="center"/>
    </xf>
    <xf numFmtId="9" fontId="24" fillId="43" borderId="11" xfId="63" applyNumberFormat="1" applyFont="1" applyFill="1" applyBorder="1" applyAlignment="1">
      <alignment horizontal="left" vertical="top"/>
    </xf>
    <xf numFmtId="0" fontId="24" fillId="43" borderId="8" xfId="55" applyFont="1" applyFill="1" applyBorder="1"/>
    <xf numFmtId="0" fontId="27" fillId="43" borderId="39" xfId="62" applyFont="1" applyFill="1" applyBorder="1" applyAlignment="1">
      <alignment horizontal="center" vertical="center" wrapText="1"/>
    </xf>
    <xf numFmtId="0" fontId="27" fillId="43" borderId="19" xfId="62" applyFont="1" applyFill="1" applyBorder="1" applyAlignment="1">
      <alignment horizontal="left" vertical="center" wrapText="1"/>
    </xf>
    <xf numFmtId="41" fontId="24" fillId="43" borderId="8" xfId="32" applyFont="1" applyFill="1" applyBorder="1"/>
    <xf numFmtId="41" fontId="24" fillId="43" borderId="11" xfId="32" applyFont="1" applyFill="1" applyBorder="1"/>
    <xf numFmtId="14" fontId="24" fillId="43" borderId="29" xfId="32" applyNumberFormat="1" applyFont="1" applyFill="1" applyBorder="1"/>
    <xf numFmtId="0" fontId="24" fillId="43" borderId="8" xfId="54" applyFont="1" applyFill="1" applyBorder="1" applyAlignment="1">
      <alignment horizontal="center" wrapText="1"/>
    </xf>
    <xf numFmtId="0" fontId="24" fillId="43" borderId="8" xfId="54" applyFont="1" applyFill="1" applyBorder="1" applyAlignment="1">
      <alignment horizontal="center" vertical="center" wrapText="1"/>
    </xf>
    <xf numFmtId="0" fontId="24" fillId="43" borderId="8" xfId="54" applyFont="1" applyFill="1" applyBorder="1" applyAlignment="1">
      <alignment horizontal="left" vertical="center" wrapText="1"/>
    </xf>
    <xf numFmtId="41" fontId="24" fillId="43" borderId="29" xfId="29" applyFont="1" applyFill="1" applyBorder="1" applyAlignment="1">
      <alignment horizontal="center" vertical="center"/>
    </xf>
    <xf numFmtId="167" fontId="24" fillId="43" borderId="13" xfId="63" applyNumberFormat="1" applyFont="1" applyFill="1" applyBorder="1" applyAlignment="1">
      <alignment vertical="center"/>
    </xf>
    <xf numFmtId="167" fontId="24" fillId="43" borderId="0" xfId="63" applyNumberFormat="1" applyFont="1" applyFill="1" applyBorder="1" applyAlignment="1">
      <alignment vertical="top"/>
    </xf>
    <xf numFmtId="167" fontId="24" fillId="43" borderId="17" xfId="63" applyNumberFormat="1" applyFont="1" applyFill="1" applyBorder="1" applyAlignment="1">
      <alignment vertical="center"/>
    </xf>
    <xf numFmtId="9" fontId="24" fillId="43" borderId="29" xfId="29" applyNumberFormat="1" applyFont="1" applyFill="1" applyBorder="1" applyAlignment="1">
      <alignment vertical="center"/>
    </xf>
    <xf numFmtId="0" fontId="24" fillId="43" borderId="32" xfId="63" applyFont="1" applyFill="1" applyBorder="1"/>
    <xf numFmtId="0" fontId="24" fillId="43" borderId="11" xfId="54" applyFont="1" applyFill="1" applyBorder="1" applyAlignment="1">
      <alignment horizontal="center" vertical="center" wrapText="1"/>
    </xf>
    <xf numFmtId="0" fontId="24" fillId="43" borderId="8" xfId="54" applyFont="1" applyFill="1" applyBorder="1" applyAlignment="1">
      <alignment horizontal="center" vertical="center"/>
    </xf>
    <xf numFmtId="41" fontId="24" fillId="43" borderId="29" xfId="63" applyNumberFormat="1" applyFont="1" applyFill="1" applyBorder="1" applyAlignment="1">
      <alignment vertical="center"/>
    </xf>
    <xf numFmtId="0" fontId="24" fillId="43" borderId="8" xfId="55" applyFont="1" applyFill="1" applyBorder="1" applyAlignment="1">
      <alignment horizontal="center" vertical="center"/>
    </xf>
    <xf numFmtId="0" fontId="24" fillId="43" borderId="11" xfId="55" applyFont="1" applyFill="1" applyBorder="1" applyAlignment="1">
      <alignment vertical="center"/>
    </xf>
    <xf numFmtId="41" fontId="24" fillId="43" borderId="8" xfId="32" applyFont="1" applyFill="1" applyBorder="1" applyAlignment="1">
      <alignment wrapText="1"/>
    </xf>
    <xf numFmtId="14" fontId="24" fillId="43" borderId="11" xfId="32" applyNumberFormat="1" applyFont="1" applyFill="1" applyBorder="1"/>
    <xf numFmtId="41" fontId="24" fillId="43" borderId="18" xfId="32" applyFont="1" applyFill="1" applyBorder="1"/>
    <xf numFmtId="0" fontId="24" fillId="43" borderId="11" xfId="54" applyFont="1" applyFill="1" applyBorder="1" applyAlignment="1">
      <alignment horizontal="left" vertical="center" wrapText="1"/>
    </xf>
    <xf numFmtId="41" fontId="24" fillId="43" borderId="12" xfId="29" applyFont="1" applyFill="1" applyBorder="1" applyAlignment="1">
      <alignment horizontal="center" vertical="center"/>
    </xf>
    <xf numFmtId="41" fontId="24" fillId="43" borderId="12" xfId="63" applyNumberFormat="1" applyFont="1" applyFill="1" applyBorder="1" applyAlignment="1">
      <alignment vertical="center"/>
    </xf>
    <xf numFmtId="167" fontId="24" fillId="43" borderId="14" xfId="63" applyNumberFormat="1" applyFont="1" applyFill="1" applyBorder="1" applyAlignment="1">
      <alignment vertical="top"/>
    </xf>
    <xf numFmtId="168" fontId="24" fillId="43" borderId="11" xfId="63" applyNumberFormat="1" applyFont="1" applyFill="1" applyBorder="1" applyAlignment="1">
      <alignment vertical="center"/>
    </xf>
    <xf numFmtId="168" fontId="24" fillId="43" borderId="11" xfId="63" applyNumberFormat="1" applyFont="1" applyFill="1" applyBorder="1" applyAlignment="1">
      <alignment horizontal="center" vertical="center"/>
    </xf>
    <xf numFmtId="0" fontId="24" fillId="43" borderId="15" xfId="63" applyFont="1" applyFill="1" applyBorder="1"/>
    <xf numFmtId="0" fontId="24" fillId="43" borderId="16" xfId="63" applyFont="1" applyFill="1" applyBorder="1"/>
    <xf numFmtId="171" fontId="24" fillId="43" borderId="8" xfId="55" applyNumberFormat="1" applyFont="1" applyFill="1" applyBorder="1" applyAlignment="1">
      <alignment horizontal="left" vertical="center"/>
    </xf>
    <xf numFmtId="41" fontId="24" fillId="43" borderId="31" xfId="32" applyFont="1" applyFill="1" applyBorder="1"/>
    <xf numFmtId="0" fontId="24" fillId="43" borderId="8" xfId="54" applyFont="1" applyFill="1" applyBorder="1" applyAlignment="1">
      <alignment horizontal="left" vertical="center"/>
    </xf>
    <xf numFmtId="0" fontId="24" fillId="44" borderId="8" xfId="55" applyFont="1" applyFill="1" applyBorder="1" applyAlignment="1">
      <alignment horizontal="center"/>
    </xf>
    <xf numFmtId="0" fontId="24" fillId="44" borderId="8" xfId="55" applyFont="1" applyFill="1" applyBorder="1" applyAlignment="1">
      <alignment vertical="top"/>
    </xf>
    <xf numFmtId="0" fontId="27" fillId="44" borderId="11" xfId="28" applyNumberFormat="1" applyFont="1" applyFill="1" applyBorder="1" applyAlignment="1">
      <alignment horizontal="left" vertical="center"/>
    </xf>
    <xf numFmtId="0" fontId="24" fillId="44" borderId="11" xfId="61" applyFont="1" applyFill="1" applyBorder="1" applyAlignment="1">
      <alignment vertical="center" wrapText="1"/>
    </xf>
    <xf numFmtId="41" fontId="24" fillId="44" borderId="11" xfId="29" applyFont="1" applyFill="1" applyBorder="1" applyAlignment="1">
      <alignment horizontal="center" vertical="center"/>
    </xf>
    <xf numFmtId="41" fontId="24" fillId="44" borderId="11" xfId="32" applyFont="1" applyFill="1" applyBorder="1" applyAlignment="1">
      <alignment vertical="center"/>
    </xf>
    <xf numFmtId="41" fontId="24" fillId="44" borderId="12" xfId="32" applyFont="1" applyFill="1" applyBorder="1"/>
    <xf numFmtId="41" fontId="24" fillId="44" borderId="29" xfId="63" applyNumberFormat="1" applyFont="1" applyFill="1" applyBorder="1" applyAlignment="1">
      <alignment vertical="center"/>
    </xf>
    <xf numFmtId="43" fontId="27" fillId="44" borderId="11" xfId="28" applyFont="1" applyFill="1" applyBorder="1" applyAlignment="1">
      <alignment horizontal="center" vertical="center" wrapText="1"/>
    </xf>
    <xf numFmtId="0" fontId="27" fillId="44" borderId="60" xfId="55" applyFont="1" applyFill="1" applyBorder="1" applyAlignment="1">
      <alignment horizontal="center" vertical="center" wrapText="1"/>
    </xf>
    <xf numFmtId="0" fontId="24" fillId="44" borderId="19" xfId="63" applyFont="1" applyFill="1" applyBorder="1" applyAlignment="1">
      <alignment vertical="center" wrapText="1"/>
    </xf>
    <xf numFmtId="41" fontId="24" fillId="44" borderId="29" xfId="29" applyFont="1" applyFill="1" applyBorder="1" applyAlignment="1">
      <alignment horizontal="center" vertical="center"/>
    </xf>
    <xf numFmtId="41" fontId="24" fillId="44" borderId="11" xfId="63" applyNumberFormat="1" applyFont="1" applyFill="1" applyBorder="1" applyAlignment="1">
      <alignment vertical="center"/>
    </xf>
    <xf numFmtId="41" fontId="25" fillId="44" borderId="8" xfId="63" applyNumberFormat="1" applyFont="1" applyFill="1" applyBorder="1" applyAlignment="1">
      <alignment vertical="center"/>
    </xf>
    <xf numFmtId="41" fontId="25" fillId="44" borderId="12" xfId="63" applyNumberFormat="1" applyFont="1" applyFill="1" applyBorder="1" applyAlignment="1">
      <alignment vertical="center"/>
    </xf>
    <xf numFmtId="41" fontId="25" fillId="44" borderId="29" xfId="63" applyNumberFormat="1" applyFont="1" applyFill="1" applyBorder="1" applyAlignment="1">
      <alignment vertical="center"/>
    </xf>
    <xf numFmtId="167" fontId="24" fillId="44" borderId="11" xfId="63" applyNumberFormat="1" applyFont="1" applyFill="1" applyBorder="1" applyAlignment="1">
      <alignment vertical="center"/>
    </xf>
    <xf numFmtId="9" fontId="24" fillId="44" borderId="11" xfId="63" applyNumberFormat="1" applyFont="1" applyFill="1" applyBorder="1" applyAlignment="1">
      <alignment horizontal="left" vertical="top" wrapText="1"/>
    </xf>
    <xf numFmtId="9" fontId="24" fillId="44" borderId="11" xfId="71" applyFont="1" applyFill="1" applyBorder="1"/>
    <xf numFmtId="0" fontId="24" fillId="44" borderId="11" xfId="63" applyFont="1" applyFill="1" applyBorder="1"/>
    <xf numFmtId="41" fontId="24" fillId="44" borderId="11" xfId="63" applyNumberFormat="1" applyFont="1" applyFill="1" applyBorder="1"/>
    <xf numFmtId="0" fontId="24" fillId="44" borderId="14" xfId="63" applyFont="1" applyFill="1" applyBorder="1"/>
    <xf numFmtId="0" fontId="24" fillId="44" borderId="30" xfId="63" applyFont="1" applyFill="1" applyBorder="1"/>
    <xf numFmtId="167" fontId="24" fillId="44" borderId="30" xfId="63" applyNumberFormat="1" applyFont="1" applyFill="1" applyBorder="1"/>
    <xf numFmtId="167" fontId="24" fillId="44" borderId="30" xfId="63" applyNumberFormat="1" applyFont="1" applyFill="1" applyBorder="1" applyAlignment="1">
      <alignment vertical="top"/>
    </xf>
    <xf numFmtId="0" fontId="24" fillId="44" borderId="0" xfId="63" applyFont="1" applyFill="1" applyBorder="1"/>
    <xf numFmtId="0" fontId="24" fillId="44" borderId="11" xfId="63" applyFont="1" applyFill="1" applyBorder="1" applyAlignment="1">
      <alignment horizontal="left" vertical="center"/>
    </xf>
    <xf numFmtId="0" fontId="24" fillId="44" borderId="11" xfId="63" applyFont="1" applyFill="1" applyBorder="1" applyAlignment="1">
      <alignment vertical="center" wrapText="1"/>
    </xf>
    <xf numFmtId="41" fontId="24" fillId="44" borderId="8" xfId="32" applyFont="1" applyFill="1" applyBorder="1" applyAlignment="1">
      <alignment vertical="center"/>
    </xf>
    <xf numFmtId="41" fontId="24" fillId="44" borderId="29" xfId="32" applyFont="1" applyFill="1" applyBorder="1"/>
    <xf numFmtId="0" fontId="24" fillId="44" borderId="11" xfId="63" applyFont="1" applyFill="1" applyBorder="1" applyAlignment="1">
      <alignment horizontal="center" vertical="center" wrapText="1"/>
    </xf>
    <xf numFmtId="0" fontId="24" fillId="44" borderId="11" xfId="63" applyFont="1" applyFill="1" applyBorder="1" applyAlignment="1">
      <alignment horizontal="center" vertical="center"/>
    </xf>
    <xf numFmtId="167" fontId="24" fillId="44" borderId="12" xfId="63" applyNumberFormat="1" applyFont="1" applyFill="1" applyBorder="1" applyAlignment="1">
      <alignment vertical="center"/>
    </xf>
    <xf numFmtId="167" fontId="24" fillId="44" borderId="29" xfId="63" applyNumberFormat="1" applyFont="1" applyFill="1" applyBorder="1" applyAlignment="1">
      <alignment vertical="top"/>
    </xf>
    <xf numFmtId="167" fontId="24" fillId="44" borderId="8" xfId="63" applyNumberFormat="1" applyFont="1" applyFill="1" applyBorder="1" applyAlignment="1">
      <alignment vertical="center"/>
    </xf>
    <xf numFmtId="168" fontId="24" fillId="44" borderId="8" xfId="63" applyNumberFormat="1" applyFont="1" applyFill="1" applyBorder="1" applyAlignment="1">
      <alignment vertical="center"/>
    </xf>
    <xf numFmtId="9" fontId="24" fillId="44" borderId="29" xfId="29" applyNumberFormat="1" applyFont="1" applyFill="1" applyBorder="1" applyAlignment="1">
      <alignment vertical="center"/>
    </xf>
    <xf numFmtId="9" fontId="24" fillId="44" borderId="11" xfId="29" applyNumberFormat="1" applyFont="1" applyFill="1" applyBorder="1" applyAlignment="1">
      <alignment vertical="center"/>
    </xf>
    <xf numFmtId="0" fontId="24" fillId="44" borderId="11" xfId="63" applyFont="1" applyFill="1" applyBorder="1" applyAlignment="1">
      <alignment horizontal="left" vertical="center" wrapText="1"/>
    </xf>
    <xf numFmtId="9" fontId="24" fillId="44" borderId="29" xfId="71" applyFont="1" applyFill="1" applyBorder="1" applyAlignment="1">
      <alignment vertical="center"/>
    </xf>
    <xf numFmtId="0" fontId="24" fillId="44" borderId="31" xfId="63" applyFont="1" applyFill="1" applyBorder="1" applyAlignment="1">
      <alignment horizontal="left" vertical="center" wrapText="1"/>
    </xf>
    <xf numFmtId="41" fontId="24" fillId="44" borderId="18" xfId="63" applyNumberFormat="1" applyFont="1" applyFill="1" applyBorder="1" applyAlignment="1">
      <alignment vertical="center" wrapText="1"/>
    </xf>
    <xf numFmtId="14" fontId="24" fillId="44" borderId="33" xfId="63" applyNumberFormat="1" applyFont="1" applyFill="1" applyBorder="1" applyAlignment="1">
      <alignment vertical="center"/>
    </xf>
    <xf numFmtId="0" fontId="24" fillId="44" borderId="17" xfId="63" applyFont="1" applyFill="1" applyBorder="1" applyAlignment="1">
      <alignment horizontal="center" vertical="center"/>
    </xf>
    <xf numFmtId="0" fontId="24" fillId="44" borderId="8" xfId="63" applyFont="1" applyFill="1" applyBorder="1" applyAlignment="1">
      <alignment horizontal="center" vertical="center" wrapText="1"/>
    </xf>
    <xf numFmtId="9" fontId="24" fillId="44" borderId="11" xfId="63" applyNumberFormat="1" applyFont="1" applyFill="1" applyBorder="1" applyAlignment="1">
      <alignment horizontal="left" vertical="top"/>
    </xf>
    <xf numFmtId="0" fontId="24" fillId="44" borderId="18" xfId="63" applyFont="1" applyFill="1" applyBorder="1" applyAlignment="1">
      <alignment horizontal="left" vertical="center" wrapText="1"/>
    </xf>
    <xf numFmtId="41" fontId="24" fillId="44" borderId="11" xfId="63" applyNumberFormat="1" applyFont="1" applyFill="1" applyBorder="1" applyAlignment="1">
      <alignment vertical="center" wrapText="1"/>
    </xf>
    <xf numFmtId="14" fontId="24" fillId="44" borderId="8" xfId="63" applyNumberFormat="1" applyFont="1" applyFill="1" applyBorder="1" applyAlignment="1">
      <alignment vertical="center"/>
    </xf>
    <xf numFmtId="9" fontId="24" fillId="44" borderId="11" xfId="71" applyFont="1" applyFill="1" applyBorder="1" applyAlignment="1">
      <alignment vertical="center"/>
    </xf>
    <xf numFmtId="0" fontId="24" fillId="44" borderId="2" xfId="63" applyFont="1" applyFill="1" applyBorder="1" applyAlignment="1">
      <alignment horizontal="center" vertical="center" wrapText="1"/>
    </xf>
    <xf numFmtId="0" fontId="24" fillId="44" borderId="2" xfId="63" applyFont="1" applyFill="1" applyBorder="1" applyAlignment="1">
      <alignment horizontal="center" vertical="center"/>
    </xf>
    <xf numFmtId="0" fontId="24" fillId="44" borderId="2" xfId="63" applyFont="1" applyFill="1" applyBorder="1" applyAlignment="1">
      <alignment vertical="center" wrapText="1"/>
    </xf>
    <xf numFmtId="41" fontId="24" fillId="44" borderId="2" xfId="63" applyNumberFormat="1" applyFont="1" applyFill="1" applyBorder="1" applyAlignment="1">
      <alignment vertical="center"/>
    </xf>
    <xf numFmtId="0" fontId="24" fillId="44" borderId="8" xfId="63" applyFont="1" applyFill="1" applyBorder="1" applyAlignment="1">
      <alignment horizontal="left" vertical="center" wrapText="1"/>
    </xf>
    <xf numFmtId="0" fontId="24" fillId="44" borderId="8" xfId="63" applyFont="1" applyFill="1" applyBorder="1" applyAlignment="1">
      <alignment vertical="center" wrapText="1"/>
    </xf>
    <xf numFmtId="41" fontId="24" fillId="44" borderId="8" xfId="63" applyNumberFormat="1" applyFont="1" applyFill="1" applyBorder="1" applyAlignment="1">
      <alignment vertical="center"/>
    </xf>
    <xf numFmtId="14" fontId="24" fillId="44" borderId="12" xfId="63" applyNumberFormat="1" applyFont="1" applyFill="1" applyBorder="1" applyAlignment="1">
      <alignment vertical="center"/>
    </xf>
    <xf numFmtId="0" fontId="24" fillId="44" borderId="8" xfId="63" applyFont="1" applyFill="1" applyBorder="1" applyAlignment="1">
      <alignment horizontal="center" vertical="center"/>
    </xf>
    <xf numFmtId="9" fontId="24" fillId="44" borderId="17" xfId="29" applyNumberFormat="1" applyFont="1" applyFill="1" applyBorder="1" applyAlignment="1">
      <alignment vertical="center"/>
    </xf>
    <xf numFmtId="0" fontId="24" fillId="44" borderId="8" xfId="55" applyFont="1" applyFill="1" applyBorder="1" applyAlignment="1">
      <alignment horizontal="center" vertical="center"/>
    </xf>
    <xf numFmtId="0" fontId="24" fillId="44" borderId="11" xfId="55" applyFont="1" applyFill="1" applyBorder="1" applyAlignment="1">
      <alignment vertical="center"/>
    </xf>
    <xf numFmtId="0" fontId="27" fillId="44" borderId="39" xfId="62" applyFont="1" applyFill="1" applyBorder="1" applyAlignment="1">
      <alignment horizontal="center" vertical="center" wrapText="1"/>
    </xf>
    <xf numFmtId="0" fontId="27" fillId="44" borderId="19" xfId="62" applyFont="1" applyFill="1" applyBorder="1" applyAlignment="1">
      <alignment horizontal="left" vertical="center" wrapText="1"/>
    </xf>
    <xf numFmtId="41" fontId="24" fillId="44" borderId="11" xfId="32" applyFont="1" applyFill="1" applyBorder="1"/>
    <xf numFmtId="41" fontId="24" fillId="44" borderId="8" xfId="32" applyFont="1" applyFill="1" applyBorder="1" applyAlignment="1">
      <alignment wrapText="1"/>
    </xf>
    <xf numFmtId="14" fontId="24" fillId="44" borderId="29" xfId="32" applyNumberFormat="1" applyFont="1" applyFill="1" applyBorder="1"/>
    <xf numFmtId="41" fontId="24" fillId="44" borderId="18" xfId="32" applyFont="1" applyFill="1" applyBorder="1"/>
    <xf numFmtId="0" fontId="24" fillId="44" borderId="11" xfId="54" applyFont="1" applyFill="1" applyBorder="1" applyAlignment="1">
      <alignment horizontal="center" wrapText="1"/>
    </xf>
    <xf numFmtId="0" fontId="24" fillId="44" borderId="11" xfId="54" applyFont="1" applyFill="1" applyBorder="1" applyAlignment="1">
      <alignment horizontal="center" vertical="center" wrapText="1"/>
    </xf>
    <xf numFmtId="0" fontId="24" fillId="44" borderId="11" xfId="54" applyFont="1" applyFill="1" applyBorder="1" applyAlignment="1">
      <alignment horizontal="left" vertical="center"/>
    </xf>
    <xf numFmtId="41" fontId="24" fillId="44" borderId="12" xfId="29" applyFont="1" applyFill="1" applyBorder="1" applyAlignment="1">
      <alignment horizontal="center" vertical="center"/>
    </xf>
    <xf numFmtId="41" fontId="24" fillId="44" borderId="12" xfId="63" applyNumberFormat="1" applyFont="1" applyFill="1" applyBorder="1" applyAlignment="1">
      <alignment vertical="center"/>
    </xf>
    <xf numFmtId="167" fontId="24" fillId="44" borderId="13" xfId="63" applyNumberFormat="1" applyFont="1" applyFill="1" applyBorder="1" applyAlignment="1">
      <alignment vertical="center"/>
    </xf>
    <xf numFmtId="167" fontId="24" fillId="44" borderId="14" xfId="63" applyNumberFormat="1" applyFont="1" applyFill="1" applyBorder="1" applyAlignment="1">
      <alignment vertical="top"/>
    </xf>
    <xf numFmtId="167" fontId="24" fillId="44" borderId="17" xfId="63" applyNumberFormat="1" applyFont="1" applyFill="1" applyBorder="1" applyAlignment="1">
      <alignment vertical="center"/>
    </xf>
    <xf numFmtId="168" fontId="24" fillId="44" borderId="11" xfId="63" applyNumberFormat="1" applyFont="1" applyFill="1" applyBorder="1" applyAlignment="1">
      <alignment vertical="center"/>
    </xf>
    <xf numFmtId="168" fontId="24" fillId="44" borderId="11" xfId="63" applyNumberFormat="1" applyFont="1" applyFill="1" applyBorder="1" applyAlignment="1">
      <alignment horizontal="center" vertical="center"/>
    </xf>
    <xf numFmtId="0" fontId="24" fillId="44" borderId="15" xfId="63" applyFont="1" applyFill="1" applyBorder="1"/>
    <xf numFmtId="0" fontId="24" fillId="44" borderId="16" xfId="63" applyFont="1" applyFill="1" applyBorder="1"/>
    <xf numFmtId="41" fontId="24" fillId="44" borderId="8" xfId="32" applyFont="1" applyFill="1" applyBorder="1"/>
    <xf numFmtId="0" fontId="24" fillId="44" borderId="8" xfId="54" applyFont="1" applyFill="1" applyBorder="1" applyAlignment="1">
      <alignment horizontal="center" wrapText="1"/>
    </xf>
    <xf numFmtId="0" fontId="24" fillId="44" borderId="8" xfId="54" applyFont="1" applyFill="1" applyBorder="1" applyAlignment="1">
      <alignment horizontal="center" vertical="center" wrapText="1"/>
    </xf>
    <xf numFmtId="0" fontId="24" fillId="44" borderId="8" xfId="54" applyFont="1" applyFill="1" applyBorder="1" applyAlignment="1">
      <alignment horizontal="left" vertical="center"/>
    </xf>
    <xf numFmtId="167" fontId="24" fillId="44" borderId="0" xfId="63" applyNumberFormat="1" applyFont="1" applyFill="1" applyBorder="1" applyAlignment="1">
      <alignment vertical="top"/>
    </xf>
    <xf numFmtId="168" fontId="24" fillId="44" borderId="8" xfId="63" applyNumberFormat="1" applyFont="1" applyFill="1" applyBorder="1" applyAlignment="1">
      <alignment horizontal="center" vertical="center"/>
    </xf>
    <xf numFmtId="167" fontId="24" fillId="44" borderId="11" xfId="63" applyNumberFormat="1" applyFont="1" applyFill="1" applyBorder="1"/>
    <xf numFmtId="0" fontId="24" fillId="44" borderId="32" xfId="63" applyFont="1" applyFill="1" applyBorder="1"/>
    <xf numFmtId="0" fontId="24" fillId="44" borderId="8" xfId="54" applyFont="1" applyFill="1" applyBorder="1" applyAlignment="1">
      <alignment horizontal="center" vertical="center"/>
    </xf>
    <xf numFmtId="0" fontId="24" fillId="44" borderId="8" xfId="55" applyFont="1" applyFill="1" applyBorder="1"/>
    <xf numFmtId="0" fontId="27" fillId="44" borderId="31" xfId="62" applyFont="1" applyFill="1" applyBorder="1" applyAlignment="1">
      <alignment horizontal="center" vertical="center" wrapText="1"/>
    </xf>
    <xf numFmtId="0" fontId="27" fillId="44" borderId="29" xfId="62" applyFont="1" applyFill="1" applyBorder="1" applyAlignment="1">
      <alignment horizontal="left" vertical="center" wrapText="1"/>
    </xf>
    <xf numFmtId="0" fontId="24" fillId="44" borderId="8" xfId="63" applyFont="1" applyFill="1" applyBorder="1"/>
    <xf numFmtId="0" fontId="24" fillId="44" borderId="11" xfId="54" applyFont="1" applyFill="1" applyBorder="1" applyAlignment="1">
      <alignment horizontal="center" vertical="center"/>
    </xf>
    <xf numFmtId="0" fontId="24" fillId="44" borderId="11" xfId="54" applyFont="1" applyFill="1" applyBorder="1" applyAlignment="1">
      <alignment horizontal="left" vertical="center" wrapText="1"/>
    </xf>
    <xf numFmtId="171" fontId="24" fillId="44" borderId="8" xfId="55" applyNumberFormat="1" applyFont="1" applyFill="1" applyBorder="1" applyAlignment="1">
      <alignment horizontal="left" vertical="center"/>
    </xf>
    <xf numFmtId="41" fontId="24" fillId="44" borderId="31" xfId="32" applyFont="1" applyFill="1" applyBorder="1"/>
    <xf numFmtId="0" fontId="24" fillId="44" borderId="8" xfId="54" applyFont="1" applyFill="1" applyBorder="1" applyAlignment="1">
      <alignment horizontal="left" vertical="center" wrapText="1"/>
    </xf>
    <xf numFmtId="41" fontId="24" fillId="44" borderId="11" xfId="32" applyFont="1" applyFill="1" applyBorder="1" applyAlignment="1">
      <alignment wrapText="1"/>
    </xf>
    <xf numFmtId="14" fontId="24" fillId="44" borderId="11" xfId="32" applyNumberFormat="1" applyFont="1" applyFill="1" applyBorder="1"/>
    <xf numFmtId="167" fontId="24" fillId="44" borderId="22" xfId="63" applyNumberFormat="1" applyFont="1" applyFill="1" applyBorder="1" applyAlignment="1">
      <alignment vertical="center"/>
    </xf>
    <xf numFmtId="168" fontId="24" fillId="44" borderId="22" xfId="63" applyNumberFormat="1" applyFont="1" applyFill="1" applyBorder="1" applyAlignment="1">
      <alignment vertical="center"/>
    </xf>
    <xf numFmtId="168" fontId="24" fillId="44" borderId="22" xfId="63" applyNumberFormat="1" applyFont="1" applyFill="1" applyBorder="1" applyAlignment="1">
      <alignment horizontal="center" vertical="center"/>
    </xf>
    <xf numFmtId="0" fontId="24" fillId="44" borderId="3" xfId="55" applyFont="1" applyFill="1" applyBorder="1" applyAlignment="1">
      <alignment horizontal="center"/>
    </xf>
    <xf numFmtId="0" fontId="27" fillId="44" borderId="0" xfId="62" applyFont="1" applyFill="1" applyBorder="1" applyAlignment="1">
      <alignment horizontal="center" vertical="center" wrapText="1"/>
    </xf>
    <xf numFmtId="0" fontId="27" fillId="44" borderId="0" xfId="62" applyFont="1" applyFill="1" applyBorder="1" applyAlignment="1">
      <alignment horizontal="left" vertical="center" wrapText="1"/>
    </xf>
    <xf numFmtId="41" fontId="24" fillId="44" borderId="2" xfId="32" applyFont="1" applyFill="1" applyBorder="1"/>
    <xf numFmtId="41" fontId="24" fillId="44" borderId="0" xfId="29" applyFont="1" applyFill="1" applyBorder="1" applyAlignment="1">
      <alignment horizontal="center" vertical="center"/>
    </xf>
    <xf numFmtId="41" fontId="24" fillId="44" borderId="22" xfId="63" applyNumberFormat="1" applyFont="1" applyFill="1" applyBorder="1" applyAlignment="1">
      <alignment vertical="center"/>
    </xf>
    <xf numFmtId="167" fontId="24" fillId="44" borderId="2" xfId="63" applyNumberFormat="1" applyFont="1" applyFill="1" applyBorder="1" applyAlignment="1">
      <alignment vertical="center"/>
    </xf>
    <xf numFmtId="0" fontId="24" fillId="44" borderId="2" xfId="63" applyFont="1" applyFill="1" applyBorder="1"/>
    <xf numFmtId="14" fontId="24" fillId="44" borderId="0" xfId="32" applyNumberFormat="1" applyFont="1" applyFill="1" applyBorder="1"/>
    <xf numFmtId="0" fontId="24" fillId="44" borderId="0" xfId="54" applyFont="1" applyFill="1" applyBorder="1" applyAlignment="1">
      <alignment horizontal="center" vertical="center"/>
    </xf>
    <xf numFmtId="43" fontId="24" fillId="38" borderId="0" xfId="28" applyFont="1" applyFill="1"/>
    <xf numFmtId="167" fontId="24" fillId="38" borderId="0" xfId="28" applyNumberFormat="1" applyFont="1" applyFill="1"/>
    <xf numFmtId="43" fontId="24" fillId="43" borderId="0" xfId="28" applyFont="1" applyFill="1"/>
    <xf numFmtId="43" fontId="24" fillId="0" borderId="0" xfId="28" applyFont="1"/>
    <xf numFmtId="43" fontId="24" fillId="35" borderId="0" xfId="28" applyFont="1" applyFill="1" applyBorder="1" applyAlignment="1">
      <alignment vertical="center"/>
    </xf>
    <xf numFmtId="43" fontId="24" fillId="35" borderId="0" xfId="28" applyFont="1" applyFill="1"/>
    <xf numFmtId="43" fontId="24" fillId="44" borderId="0" xfId="28" applyFont="1" applyFill="1"/>
    <xf numFmtId="43" fontId="24" fillId="34" borderId="0" xfId="28" applyFont="1" applyFill="1"/>
    <xf numFmtId="43" fontId="24" fillId="39" borderId="0" xfId="28" applyFont="1" applyFill="1"/>
    <xf numFmtId="43" fontId="25" fillId="39" borderId="0" xfId="28" applyFont="1" applyFill="1"/>
    <xf numFmtId="0" fontId="28" fillId="38" borderId="15" xfId="59" applyFont="1" applyFill="1" applyBorder="1" applyAlignment="1">
      <alignment horizontal="center" vertical="center"/>
    </xf>
    <xf numFmtId="0" fontId="28" fillId="38" borderId="15" xfId="59" applyFont="1" applyFill="1" applyBorder="1" applyAlignment="1">
      <alignment horizontal="left" vertical="center"/>
    </xf>
    <xf numFmtId="0" fontId="27" fillId="38" borderId="11" xfId="59" applyFont="1" applyFill="1" applyBorder="1" applyAlignment="1">
      <alignment horizontal="left" vertical="center"/>
    </xf>
    <xf numFmtId="0" fontId="27" fillId="38" borderId="15" xfId="59" applyFont="1" applyFill="1" applyBorder="1" applyAlignment="1">
      <alignment horizontal="left" vertical="center" wrapText="1"/>
    </xf>
    <xf numFmtId="41" fontId="24" fillId="38" borderId="15" xfId="59" applyNumberFormat="1" applyFont="1" applyFill="1" applyBorder="1" applyAlignment="1">
      <alignment vertical="center"/>
    </xf>
    <xf numFmtId="41" fontId="24" fillId="38" borderId="11" xfId="59" applyNumberFormat="1" applyFont="1" applyFill="1" applyBorder="1" applyAlignment="1">
      <alignment vertical="center" wrapText="1"/>
    </xf>
    <xf numFmtId="14" fontId="24" fillId="38" borderId="11" xfId="59" applyNumberFormat="1" applyFont="1" applyFill="1" applyBorder="1" applyAlignment="1">
      <alignment vertical="center"/>
    </xf>
    <xf numFmtId="0" fontId="24" fillId="38" borderId="15" xfId="54" applyFont="1" applyFill="1" applyBorder="1" applyAlignment="1">
      <alignment vertical="center" wrapText="1"/>
    </xf>
    <xf numFmtId="41" fontId="25" fillId="38" borderId="15" xfId="59" applyNumberFormat="1" applyFont="1" applyFill="1" applyBorder="1" applyAlignment="1">
      <alignment vertical="center"/>
    </xf>
    <xf numFmtId="9" fontId="25" fillId="38" borderId="15" xfId="71" applyFont="1" applyFill="1" applyBorder="1" applyAlignment="1">
      <alignment vertical="center"/>
    </xf>
    <xf numFmtId="167" fontId="25" fillId="38" borderId="15" xfId="63" applyNumberFormat="1" applyFont="1" applyFill="1" applyBorder="1"/>
    <xf numFmtId="41" fontId="24" fillId="38" borderId="11" xfId="63" applyNumberFormat="1" applyFont="1" applyFill="1" applyBorder="1"/>
    <xf numFmtId="41" fontId="25" fillId="38" borderId="11" xfId="59" applyNumberFormat="1" applyFont="1" applyFill="1" applyBorder="1" applyAlignment="1">
      <alignment vertical="center"/>
    </xf>
    <xf numFmtId="0" fontId="28" fillId="45" borderId="15" xfId="59" applyFont="1" applyFill="1" applyBorder="1" applyAlignment="1">
      <alignment horizontal="center" vertical="center"/>
    </xf>
    <xf numFmtId="0" fontId="28" fillId="45" borderId="15" xfId="59" applyFont="1" applyFill="1" applyBorder="1" applyAlignment="1">
      <alignment horizontal="left" vertical="center"/>
    </xf>
    <xf numFmtId="0" fontId="27" fillId="45" borderId="11" xfId="59" applyFont="1" applyFill="1" applyBorder="1" applyAlignment="1">
      <alignment horizontal="left" vertical="center"/>
    </xf>
    <xf numFmtId="0" fontId="27" fillId="45" borderId="15" xfId="59" applyFont="1" applyFill="1" applyBorder="1" applyAlignment="1">
      <alignment horizontal="left" vertical="center"/>
    </xf>
    <xf numFmtId="41" fontId="25" fillId="45" borderId="15" xfId="59" applyNumberFormat="1" applyFont="1" applyFill="1" applyBorder="1" applyAlignment="1">
      <alignment vertical="center"/>
    </xf>
    <xf numFmtId="41" fontId="24" fillId="45" borderId="15" xfId="59" applyNumberFormat="1" applyFont="1" applyFill="1" applyBorder="1" applyAlignment="1">
      <alignment vertical="center"/>
    </xf>
    <xf numFmtId="41" fontId="24" fillId="45" borderId="11" xfId="59" applyNumberFormat="1" applyFont="1" applyFill="1" applyBorder="1" applyAlignment="1">
      <alignment vertical="center" wrapText="1"/>
    </xf>
    <xf numFmtId="14" fontId="24" fillId="45" borderId="11" xfId="59" applyNumberFormat="1" applyFont="1" applyFill="1" applyBorder="1" applyAlignment="1">
      <alignment vertical="center"/>
    </xf>
    <xf numFmtId="41" fontId="24" fillId="45" borderId="11" xfId="59" applyNumberFormat="1" applyFont="1" applyFill="1" applyBorder="1" applyAlignment="1">
      <alignment vertical="center"/>
    </xf>
    <xf numFmtId="0" fontId="24" fillId="45" borderId="11" xfId="54" applyFont="1" applyFill="1" applyBorder="1" applyAlignment="1">
      <alignment horizontal="center" vertical="center" wrapText="1"/>
    </xf>
    <xf numFmtId="0" fontId="24" fillId="45" borderId="15" xfId="54" applyFont="1" applyFill="1" applyBorder="1" applyAlignment="1">
      <alignment vertical="center" wrapText="1"/>
    </xf>
    <xf numFmtId="167" fontId="25" fillId="45" borderId="14" xfId="63" applyNumberFormat="1" applyFont="1" applyFill="1" applyBorder="1" applyAlignment="1">
      <alignment vertical="center"/>
    </xf>
    <xf numFmtId="168" fontId="25" fillId="45" borderId="15" xfId="63" applyNumberFormat="1" applyFont="1" applyFill="1" applyBorder="1" applyAlignment="1">
      <alignment vertical="center"/>
    </xf>
    <xf numFmtId="9" fontId="25" fillId="45" borderId="15" xfId="71" applyFont="1" applyFill="1" applyBorder="1" applyAlignment="1">
      <alignment vertical="center"/>
    </xf>
    <xf numFmtId="167" fontId="24" fillId="45" borderId="17" xfId="63" applyNumberFormat="1" applyFont="1" applyFill="1" applyBorder="1" applyAlignment="1">
      <alignment vertical="center"/>
    </xf>
    <xf numFmtId="167" fontId="25" fillId="45" borderId="15" xfId="63" applyNumberFormat="1" applyFont="1" applyFill="1" applyBorder="1"/>
    <xf numFmtId="9" fontId="24" fillId="45" borderId="11" xfId="71" applyFont="1" applyFill="1" applyBorder="1"/>
    <xf numFmtId="0" fontId="24" fillId="45" borderId="11" xfId="63" applyFont="1" applyFill="1" applyBorder="1"/>
    <xf numFmtId="41" fontId="24" fillId="45" borderId="11" xfId="63" applyNumberFormat="1" applyFont="1" applyFill="1" applyBorder="1"/>
    <xf numFmtId="167" fontId="24" fillId="45" borderId="11" xfId="63" applyNumberFormat="1" applyFont="1" applyFill="1" applyBorder="1"/>
    <xf numFmtId="41" fontId="25" fillId="45" borderId="11" xfId="59" applyNumberFormat="1" applyFont="1" applyFill="1" applyBorder="1" applyAlignment="1">
      <alignment vertical="center"/>
    </xf>
    <xf numFmtId="0" fontId="24" fillId="45" borderId="11" xfId="54" applyFont="1" applyFill="1" applyBorder="1" applyAlignment="1">
      <alignment horizontal="center" wrapText="1"/>
    </xf>
    <xf numFmtId="0" fontId="24" fillId="45" borderId="15" xfId="54" applyFont="1" applyFill="1" applyBorder="1" applyAlignment="1">
      <alignment horizontal="center" vertical="center"/>
    </xf>
    <xf numFmtId="14" fontId="24" fillId="45" borderId="15" xfId="59" applyNumberFormat="1" applyFont="1" applyFill="1" applyBorder="1" applyAlignment="1">
      <alignment vertical="center"/>
    </xf>
    <xf numFmtId="41" fontId="24" fillId="45" borderId="15" xfId="59" applyNumberFormat="1" applyFont="1" applyFill="1" applyBorder="1" applyAlignment="1">
      <alignment vertical="center" wrapText="1"/>
    </xf>
    <xf numFmtId="0" fontId="24" fillId="45" borderId="15" xfId="54" applyFont="1" applyFill="1" applyBorder="1" applyAlignment="1">
      <alignment horizontal="center" vertical="center" wrapText="1"/>
    </xf>
    <xf numFmtId="0" fontId="28" fillId="46" borderId="15" xfId="59" applyFont="1" applyFill="1" applyBorder="1" applyAlignment="1">
      <alignment horizontal="center" vertical="center"/>
    </xf>
    <xf numFmtId="0" fontId="28" fillId="46" borderId="15" xfId="59" applyFont="1" applyFill="1" applyBorder="1" applyAlignment="1">
      <alignment horizontal="left" vertical="center"/>
    </xf>
    <xf numFmtId="0" fontId="27" fillId="46" borderId="11" xfId="59" applyFont="1" applyFill="1" applyBorder="1" applyAlignment="1">
      <alignment horizontal="left" vertical="center"/>
    </xf>
    <xf numFmtId="0" fontId="27" fillId="46" borderId="15" xfId="59" applyFont="1" applyFill="1" applyBorder="1" applyAlignment="1">
      <alignment horizontal="left" vertical="center" wrapText="1"/>
    </xf>
    <xf numFmtId="41" fontId="24" fillId="46" borderId="15" xfId="59" applyNumberFormat="1" applyFont="1" applyFill="1" applyBorder="1" applyAlignment="1">
      <alignment vertical="center"/>
    </xf>
    <xf numFmtId="41" fontId="24" fillId="46" borderId="11" xfId="59" applyNumberFormat="1" applyFont="1" applyFill="1" applyBorder="1" applyAlignment="1">
      <alignment vertical="center" wrapText="1"/>
    </xf>
    <xf numFmtId="14" fontId="24" fillId="46" borderId="11" xfId="59" applyNumberFormat="1" applyFont="1" applyFill="1" applyBorder="1" applyAlignment="1">
      <alignment vertical="center"/>
    </xf>
    <xf numFmtId="41" fontId="24" fillId="46" borderId="11" xfId="59" applyNumberFormat="1" applyFont="1" applyFill="1" applyBorder="1" applyAlignment="1">
      <alignment vertical="center"/>
    </xf>
    <xf numFmtId="0" fontId="24" fillId="46" borderId="11" xfId="54" applyFont="1" applyFill="1" applyBorder="1" applyAlignment="1">
      <alignment horizontal="center" wrapText="1"/>
    </xf>
    <xf numFmtId="0" fontId="24" fillId="46" borderId="15" xfId="54" applyFont="1" applyFill="1" applyBorder="1" applyAlignment="1">
      <alignment horizontal="center" vertical="center"/>
    </xf>
    <xf numFmtId="0" fontId="24" fillId="46" borderId="15" xfId="54" applyFont="1" applyFill="1" applyBorder="1" applyAlignment="1">
      <alignment vertical="center" wrapText="1"/>
    </xf>
    <xf numFmtId="41" fontId="25" fillId="46" borderId="15" xfId="59" applyNumberFormat="1" applyFont="1" applyFill="1" applyBorder="1" applyAlignment="1">
      <alignment vertical="center"/>
    </xf>
    <xf numFmtId="167" fontId="25" fillId="46" borderId="22" xfId="63" applyNumberFormat="1" applyFont="1" applyFill="1" applyBorder="1" applyAlignment="1">
      <alignment vertical="center"/>
    </xf>
    <xf numFmtId="168" fontId="25" fillId="46" borderId="2" xfId="63" applyNumberFormat="1" applyFont="1" applyFill="1" applyBorder="1" applyAlignment="1">
      <alignment vertical="center"/>
    </xf>
    <xf numFmtId="41" fontId="25" fillId="46" borderId="2" xfId="59" applyNumberFormat="1" applyFont="1" applyFill="1" applyBorder="1" applyAlignment="1">
      <alignment vertical="center"/>
    </xf>
    <xf numFmtId="9" fontId="25" fillId="46" borderId="2" xfId="59" applyNumberFormat="1" applyFont="1" applyFill="1" applyBorder="1" applyAlignment="1">
      <alignment vertical="center"/>
    </xf>
    <xf numFmtId="167" fontId="24" fillId="46" borderId="17" xfId="63" applyNumberFormat="1" applyFont="1" applyFill="1" applyBorder="1" applyAlignment="1">
      <alignment vertical="center"/>
    </xf>
    <xf numFmtId="167" fontId="25" fillId="46" borderId="15" xfId="63" applyNumberFormat="1" applyFont="1" applyFill="1" applyBorder="1"/>
    <xf numFmtId="9" fontId="24" fillId="46" borderId="11" xfId="71" applyFont="1" applyFill="1" applyBorder="1"/>
    <xf numFmtId="0" fontId="24" fillId="46" borderId="11" xfId="63" applyFont="1" applyFill="1" applyBorder="1"/>
    <xf numFmtId="41" fontId="24" fillId="46" borderId="11" xfId="63" applyNumberFormat="1" applyFont="1" applyFill="1" applyBorder="1"/>
    <xf numFmtId="167" fontId="24" fillId="46" borderId="11" xfId="63" applyNumberFormat="1" applyFont="1" applyFill="1" applyBorder="1"/>
    <xf numFmtId="41" fontId="25" fillId="46" borderId="11" xfId="59" applyNumberFormat="1" applyFont="1" applyFill="1" applyBorder="1" applyAlignment="1">
      <alignment vertical="center"/>
    </xf>
    <xf numFmtId="0" fontId="28" fillId="43" borderId="15" xfId="59" applyFont="1" applyFill="1" applyBorder="1" applyAlignment="1">
      <alignment horizontal="center" vertical="center"/>
    </xf>
    <xf numFmtId="0" fontId="28" fillId="43" borderId="15" xfId="59" applyFont="1" applyFill="1" applyBorder="1" applyAlignment="1">
      <alignment horizontal="left" vertical="center"/>
    </xf>
    <xf numFmtId="0" fontId="27" fillId="43" borderId="15" xfId="59" applyFont="1" applyFill="1" applyBorder="1" applyAlignment="1">
      <alignment horizontal="left" vertical="center"/>
    </xf>
    <xf numFmtId="41" fontId="24" fillId="43" borderId="15" xfId="59" applyNumberFormat="1" applyFont="1" applyFill="1" applyBorder="1" applyAlignment="1">
      <alignment vertical="center"/>
    </xf>
    <xf numFmtId="41" fontId="24" fillId="43" borderId="11" xfId="59" applyNumberFormat="1" applyFont="1" applyFill="1" applyBorder="1" applyAlignment="1">
      <alignment vertical="center"/>
    </xf>
    <xf numFmtId="0" fontId="24" fillId="43" borderId="15" xfId="54" applyFont="1" applyFill="1" applyBorder="1" applyAlignment="1">
      <alignment vertical="center" wrapText="1"/>
    </xf>
    <xf numFmtId="41" fontId="25" fillId="43" borderId="15" xfId="59" applyNumberFormat="1" applyFont="1" applyFill="1" applyBorder="1" applyAlignment="1">
      <alignment vertical="center"/>
    </xf>
    <xf numFmtId="167" fontId="25" fillId="43" borderId="14" xfId="63" applyNumberFormat="1" applyFont="1" applyFill="1" applyBorder="1" applyAlignment="1">
      <alignment vertical="center"/>
    </xf>
    <xf numFmtId="168" fontId="25" fillId="43" borderId="15" xfId="63" applyNumberFormat="1" applyFont="1" applyFill="1" applyBorder="1" applyAlignment="1">
      <alignment vertical="center"/>
    </xf>
    <xf numFmtId="167" fontId="25" fillId="43" borderId="15" xfId="63" applyNumberFormat="1" applyFont="1" applyFill="1" applyBorder="1"/>
    <xf numFmtId="41" fontId="25" fillId="43" borderId="11" xfId="59" applyNumberFormat="1" applyFont="1" applyFill="1" applyBorder="1" applyAlignment="1">
      <alignment vertical="center"/>
    </xf>
    <xf numFmtId="0" fontId="27" fillId="38" borderId="15" xfId="59" applyFont="1" applyFill="1" applyBorder="1" applyAlignment="1">
      <alignment horizontal="left" vertical="center"/>
    </xf>
    <xf numFmtId="14" fontId="24" fillId="38" borderId="15" xfId="59" applyNumberFormat="1" applyFont="1" applyFill="1" applyBorder="1" applyAlignment="1">
      <alignment vertical="center"/>
    </xf>
    <xf numFmtId="0" fontId="24" fillId="38" borderId="15" xfId="54" applyFont="1" applyFill="1" applyBorder="1" applyAlignment="1">
      <alignment horizontal="center" vertical="center" wrapText="1"/>
    </xf>
    <xf numFmtId="41" fontId="25" fillId="38" borderId="2" xfId="59" applyNumberFormat="1" applyFont="1" applyFill="1" applyBorder="1" applyAlignment="1">
      <alignment vertical="center"/>
    </xf>
    <xf numFmtId="9" fontId="25" fillId="38" borderId="2" xfId="59" applyNumberFormat="1" applyFont="1" applyFill="1" applyBorder="1" applyAlignment="1">
      <alignment vertical="center"/>
    </xf>
    <xf numFmtId="0" fontId="25" fillId="38" borderId="15" xfId="54" applyFont="1" applyFill="1" applyBorder="1" applyAlignment="1">
      <alignment horizontal="center"/>
    </xf>
    <xf numFmtId="168" fontId="25" fillId="38" borderId="2" xfId="63" applyNumberFormat="1" applyFont="1" applyFill="1" applyBorder="1" applyAlignment="1">
      <alignment vertical="center"/>
    </xf>
    <xf numFmtId="14" fontId="25" fillId="38" borderId="15" xfId="59" applyNumberFormat="1" applyFont="1" applyFill="1" applyBorder="1" applyAlignment="1">
      <alignment vertical="center"/>
    </xf>
    <xf numFmtId="0" fontId="24" fillId="38" borderId="15" xfId="54" applyFont="1" applyFill="1" applyBorder="1" applyAlignment="1">
      <alignment horizontal="center" wrapText="1"/>
    </xf>
    <xf numFmtId="41" fontId="24" fillId="38" borderId="15" xfId="59" applyNumberFormat="1" applyFont="1" applyFill="1" applyBorder="1" applyAlignment="1">
      <alignment horizontal="left" vertical="center" wrapText="1"/>
    </xf>
    <xf numFmtId="41" fontId="24" fillId="38" borderId="15" xfId="59" applyNumberFormat="1" applyFont="1" applyFill="1" applyBorder="1" applyAlignment="1">
      <alignment vertical="center" wrapText="1"/>
    </xf>
    <xf numFmtId="168" fontId="25" fillId="38" borderId="8" xfId="63" applyNumberFormat="1" applyFont="1" applyFill="1" applyBorder="1" applyAlignment="1">
      <alignment vertical="center"/>
    </xf>
    <xf numFmtId="0" fontId="28" fillId="38" borderId="11" xfId="59" applyFont="1" applyFill="1" applyBorder="1" applyAlignment="1">
      <alignment horizontal="center" vertical="center"/>
    </xf>
    <xf numFmtId="0" fontId="28" fillId="38" borderId="11" xfId="59" applyFont="1" applyFill="1" applyBorder="1" applyAlignment="1">
      <alignment horizontal="left" vertical="center"/>
    </xf>
    <xf numFmtId="167" fontId="25" fillId="38" borderId="11" xfId="63" applyNumberFormat="1" applyFont="1" applyFill="1" applyBorder="1"/>
    <xf numFmtId="41" fontId="24" fillId="38" borderId="11" xfId="59" quotePrefix="1" applyNumberFormat="1" applyFont="1" applyFill="1" applyBorder="1" applyAlignment="1">
      <alignment vertical="center" wrapText="1"/>
    </xf>
    <xf numFmtId="9" fontId="25" fillId="38" borderId="11" xfId="71" applyFont="1" applyFill="1" applyBorder="1" applyAlignment="1">
      <alignment vertical="center"/>
    </xf>
    <xf numFmtId="168" fontId="25" fillId="38" borderId="14" xfId="63" applyNumberFormat="1" applyFont="1" applyFill="1" applyBorder="1" applyAlignment="1">
      <alignment vertical="center"/>
    </xf>
    <xf numFmtId="9" fontId="25" fillId="38" borderId="14" xfId="71" applyFont="1" applyFill="1" applyBorder="1" applyAlignment="1">
      <alignment vertical="center"/>
    </xf>
    <xf numFmtId="41" fontId="24" fillId="38" borderId="12" xfId="59" applyNumberFormat="1" applyFont="1" applyFill="1" applyBorder="1" applyAlignment="1">
      <alignment vertical="center"/>
    </xf>
    <xf numFmtId="41" fontId="25" fillId="38" borderId="14" xfId="59" applyNumberFormat="1" applyFont="1" applyFill="1" applyBorder="1" applyAlignment="1">
      <alignment vertical="center"/>
    </xf>
    <xf numFmtId="14" fontId="24" fillId="38" borderId="11" xfId="32" applyNumberFormat="1" applyFont="1" applyFill="1" applyBorder="1"/>
    <xf numFmtId="167" fontId="24" fillId="38" borderId="12" xfId="28" applyNumberFormat="1" applyFont="1" applyFill="1" applyBorder="1" applyAlignment="1">
      <alignment horizontal="center" vertical="center"/>
    </xf>
    <xf numFmtId="167" fontId="24" fillId="38" borderId="14" xfId="63" applyNumberFormat="1" applyFont="1" applyFill="1" applyBorder="1" applyAlignment="1">
      <alignment vertical="center"/>
    </xf>
    <xf numFmtId="0" fontId="27" fillId="38" borderId="11" xfId="59" applyFont="1" applyFill="1" applyBorder="1" applyAlignment="1">
      <alignment horizontal="left" vertical="center" wrapText="1"/>
    </xf>
    <xf numFmtId="9" fontId="24" fillId="38" borderId="11" xfId="59" applyNumberFormat="1" applyFont="1" applyFill="1" applyBorder="1" applyAlignment="1">
      <alignment vertical="center"/>
    </xf>
    <xf numFmtId="0" fontId="27" fillId="38" borderId="19" xfId="65" applyFont="1" applyFill="1" applyBorder="1" applyAlignment="1">
      <alignment horizontal="left" wrapText="1"/>
    </xf>
    <xf numFmtId="41" fontId="24" fillId="38" borderId="8" xfId="59" applyNumberFormat="1" applyFont="1" applyFill="1" applyBorder="1" applyAlignment="1">
      <alignment vertical="center" wrapText="1"/>
    </xf>
    <xf numFmtId="41" fontId="25" fillId="38" borderId="8" xfId="59" applyNumberFormat="1" applyFont="1" applyFill="1" applyBorder="1" applyAlignment="1">
      <alignment vertical="center"/>
    </xf>
    <xf numFmtId="9" fontId="24" fillId="38" borderId="14" xfId="71" applyFont="1" applyFill="1" applyBorder="1" applyAlignment="1">
      <alignment vertical="top"/>
    </xf>
    <xf numFmtId="0" fontId="28" fillId="38" borderId="8" xfId="59" applyFont="1" applyFill="1" applyBorder="1" applyAlignment="1">
      <alignment horizontal="center" vertical="center"/>
    </xf>
    <xf numFmtId="0" fontId="27" fillId="38" borderId="8" xfId="59" applyFont="1" applyFill="1" applyBorder="1" applyAlignment="1">
      <alignment horizontal="left" vertical="center"/>
    </xf>
    <xf numFmtId="0" fontId="27" fillId="38" borderId="29" xfId="65" applyFont="1" applyFill="1" applyBorder="1" applyAlignment="1">
      <alignment horizontal="left" wrapText="1"/>
    </xf>
    <xf numFmtId="14" fontId="24" fillId="38" borderId="8" xfId="59" applyNumberFormat="1" applyFont="1" applyFill="1" applyBorder="1" applyAlignment="1">
      <alignment vertical="center"/>
    </xf>
    <xf numFmtId="9" fontId="24" fillId="38" borderId="14" xfId="71" applyFont="1" applyFill="1" applyBorder="1" applyAlignment="1">
      <alignment vertical="center"/>
    </xf>
    <xf numFmtId="167" fontId="25" fillId="38" borderId="8" xfId="63" applyNumberFormat="1" applyFont="1" applyFill="1" applyBorder="1"/>
    <xf numFmtId="0" fontId="25" fillId="38" borderId="8" xfId="55" applyFont="1" applyFill="1" applyBorder="1" applyAlignment="1">
      <alignment horizontal="center"/>
    </xf>
    <xf numFmtId="9" fontId="25" fillId="38" borderId="14" xfId="71" applyFont="1" applyFill="1" applyBorder="1" applyAlignment="1">
      <alignment vertical="top"/>
    </xf>
    <xf numFmtId="0" fontId="0" fillId="38" borderId="15" xfId="0" applyFill="1" applyBorder="1" applyAlignment="1"/>
    <xf numFmtId="168" fontId="24" fillId="38" borderId="14" xfId="63" applyNumberFormat="1" applyFont="1" applyFill="1" applyBorder="1" applyAlignment="1">
      <alignment vertical="center"/>
    </xf>
    <xf numFmtId="167" fontId="24" fillId="38" borderId="17" xfId="28" applyNumberFormat="1" applyFont="1" applyFill="1" applyBorder="1" applyAlignment="1">
      <alignment horizontal="center" vertical="center"/>
    </xf>
    <xf numFmtId="168" fontId="24" fillId="38" borderId="17" xfId="63" applyNumberFormat="1" applyFont="1" applyFill="1" applyBorder="1" applyAlignment="1">
      <alignment vertical="center"/>
    </xf>
    <xf numFmtId="9" fontId="24" fillId="38" borderId="17" xfId="71" applyFont="1" applyFill="1" applyBorder="1" applyAlignment="1">
      <alignment vertical="top"/>
    </xf>
    <xf numFmtId="0" fontId="24" fillId="38" borderId="18" xfId="63" applyFont="1" applyFill="1" applyBorder="1"/>
    <xf numFmtId="0" fontId="25" fillId="38" borderId="2" xfId="55" applyFont="1" applyFill="1" applyBorder="1" applyAlignment="1">
      <alignment horizontal="center" wrapText="1"/>
    </xf>
    <xf numFmtId="0" fontId="26" fillId="38" borderId="8" xfId="54" applyNumberFormat="1" applyFont="1" applyFill="1" applyBorder="1" applyAlignment="1"/>
    <xf numFmtId="0" fontId="24" fillId="38" borderId="8" xfId="54" applyFont="1" applyFill="1" applyBorder="1" applyAlignment="1">
      <alignment horizontal="left" vertical="top" wrapText="1"/>
    </xf>
    <xf numFmtId="167" fontId="24" fillId="38" borderId="29" xfId="28" applyNumberFormat="1" applyFont="1" applyFill="1" applyBorder="1" applyAlignment="1">
      <alignment horizontal="center" vertical="center"/>
    </xf>
    <xf numFmtId="167" fontId="24" fillId="38" borderId="29" xfId="63" applyNumberFormat="1" applyFont="1" applyFill="1" applyBorder="1" applyAlignment="1">
      <alignment vertical="center"/>
    </xf>
    <xf numFmtId="168" fontId="24" fillId="38" borderId="29" xfId="63" applyNumberFormat="1" applyFont="1" applyFill="1" applyBorder="1" applyAlignment="1">
      <alignment vertical="center"/>
    </xf>
    <xf numFmtId="0" fontId="24" fillId="38" borderId="29" xfId="63" applyFont="1" applyFill="1" applyBorder="1"/>
    <xf numFmtId="0" fontId="25" fillId="38" borderId="8" xfId="55" applyFont="1" applyFill="1" applyBorder="1"/>
    <xf numFmtId="167" fontId="24" fillId="38" borderId="17" xfId="54" applyNumberFormat="1" applyFont="1" applyFill="1" applyBorder="1" applyAlignment="1">
      <alignment horizontal="center" vertical="center"/>
    </xf>
    <xf numFmtId="167" fontId="24" fillId="38" borderId="22" xfId="63" applyNumberFormat="1" applyFont="1" applyFill="1" applyBorder="1" applyAlignment="1">
      <alignment vertical="center"/>
    </xf>
    <xf numFmtId="41" fontId="24" fillId="38" borderId="22" xfId="59" applyNumberFormat="1" applyFont="1" applyFill="1" applyBorder="1" applyAlignment="1">
      <alignment vertical="center"/>
    </xf>
    <xf numFmtId="9" fontId="24" fillId="38" borderId="29" xfId="71" applyFont="1" applyFill="1" applyBorder="1" applyAlignment="1">
      <alignment vertical="center"/>
    </xf>
    <xf numFmtId="168" fontId="25" fillId="38" borderId="17" xfId="63" applyNumberFormat="1" applyFont="1" applyFill="1" applyBorder="1" applyAlignment="1">
      <alignment vertical="center"/>
    </xf>
    <xf numFmtId="0" fontId="24" fillId="38" borderId="0" xfId="63" applyFont="1" applyFill="1" applyAlignment="1">
      <alignment wrapText="1"/>
    </xf>
    <xf numFmtId="0" fontId="24" fillId="43" borderId="0" xfId="63" applyFont="1" applyFill="1" applyAlignment="1">
      <alignment wrapText="1"/>
    </xf>
    <xf numFmtId="0" fontId="28" fillId="38" borderId="8" xfId="59" applyFont="1" applyFill="1" applyBorder="1" applyAlignment="1">
      <alignment horizontal="left" vertical="center"/>
    </xf>
    <xf numFmtId="0" fontId="0" fillId="38" borderId="29" xfId="0" applyFill="1" applyBorder="1" applyAlignment="1">
      <alignment vertical="center" wrapText="1"/>
    </xf>
    <xf numFmtId="41" fontId="4" fillId="38" borderId="29" xfId="30" applyFont="1" applyFill="1" applyBorder="1" applyAlignment="1">
      <alignment horizontal="center" vertical="center" wrapText="1"/>
    </xf>
    <xf numFmtId="41" fontId="28" fillId="38" borderId="29" xfId="30" applyFont="1" applyFill="1" applyBorder="1" applyAlignment="1">
      <alignment horizontal="center" vertical="center" wrapText="1"/>
    </xf>
    <xf numFmtId="0" fontId="25" fillId="43" borderId="15" xfId="54" applyFont="1" applyFill="1" applyBorder="1" applyAlignment="1">
      <alignment horizontal="center"/>
    </xf>
    <xf numFmtId="0" fontId="24" fillId="43" borderId="15" xfId="54" applyFont="1" applyFill="1" applyBorder="1" applyAlignment="1">
      <alignment horizontal="center" vertical="center"/>
    </xf>
    <xf numFmtId="9" fontId="25" fillId="43" borderId="15" xfId="71" applyFont="1" applyFill="1" applyBorder="1" applyAlignment="1">
      <alignment vertical="center"/>
    </xf>
    <xf numFmtId="0" fontId="24" fillId="43" borderId="11" xfId="54" applyFont="1" applyFill="1" applyBorder="1" applyAlignment="1">
      <alignment horizontal="center" vertical="center"/>
    </xf>
    <xf numFmtId="167" fontId="25" fillId="43" borderId="12" xfId="63" applyNumberFormat="1" applyFont="1" applyFill="1" applyBorder="1" applyAlignment="1">
      <alignment vertical="center"/>
    </xf>
    <xf numFmtId="168" fontId="25" fillId="43" borderId="8" xfId="63" applyNumberFormat="1" applyFont="1" applyFill="1" applyBorder="1" applyAlignment="1">
      <alignment vertical="center"/>
    </xf>
    <xf numFmtId="0" fontId="28" fillId="44" borderId="11" xfId="59" applyFont="1" applyFill="1" applyBorder="1" applyAlignment="1">
      <alignment horizontal="center" vertical="center"/>
    </xf>
    <xf numFmtId="0" fontId="28" fillId="44" borderId="11" xfId="59" applyFont="1" applyFill="1" applyBorder="1" applyAlignment="1">
      <alignment horizontal="left" vertical="center"/>
    </xf>
    <xf numFmtId="0" fontId="27" fillId="44" borderId="11" xfId="59" applyFont="1" applyFill="1" applyBorder="1" applyAlignment="1">
      <alignment horizontal="left" vertical="center"/>
    </xf>
    <xf numFmtId="41" fontId="25" fillId="44" borderId="11" xfId="59" applyNumberFormat="1" applyFont="1" applyFill="1" applyBorder="1" applyAlignment="1">
      <alignment vertical="center"/>
    </xf>
    <xf numFmtId="41" fontId="24" fillId="44" borderId="11" xfId="59" applyNumberFormat="1" applyFont="1" applyFill="1" applyBorder="1" applyAlignment="1">
      <alignment vertical="center"/>
    </xf>
    <xf numFmtId="0" fontId="24" fillId="44" borderId="11" xfId="54" applyFont="1" applyFill="1" applyBorder="1" applyAlignment="1">
      <alignment vertical="center" wrapText="1"/>
    </xf>
    <xf numFmtId="167" fontId="25" fillId="44" borderId="11" xfId="63" applyNumberFormat="1" applyFont="1" applyFill="1" applyBorder="1"/>
    <xf numFmtId="0" fontId="28" fillId="43" borderId="11" xfId="59" applyFont="1" applyFill="1" applyBorder="1" applyAlignment="1">
      <alignment horizontal="center" vertical="center"/>
    </xf>
    <xf numFmtId="0" fontId="28" fillId="43" borderId="11" xfId="59" applyFont="1" applyFill="1" applyBorder="1" applyAlignment="1">
      <alignment horizontal="left" vertical="center"/>
    </xf>
    <xf numFmtId="0" fontId="27" fillId="43" borderId="11" xfId="59" applyFont="1" applyFill="1" applyBorder="1" applyAlignment="1">
      <alignment horizontal="left" vertical="center"/>
    </xf>
    <xf numFmtId="41" fontId="24" fillId="43" borderId="11" xfId="32" applyFont="1" applyFill="1" applyBorder="1" applyAlignment="1">
      <alignment wrapText="1"/>
    </xf>
    <xf numFmtId="0" fontId="24" fillId="43" borderId="11" xfId="54" applyFont="1" applyFill="1" applyBorder="1" applyAlignment="1">
      <alignment horizontal="center" wrapText="1"/>
    </xf>
    <xf numFmtId="0" fontId="24" fillId="43" borderId="11" xfId="54" applyFont="1" applyFill="1" applyBorder="1" applyAlignment="1">
      <alignment vertical="center" wrapText="1"/>
    </xf>
    <xf numFmtId="167" fontId="24" fillId="43" borderId="12" xfId="28" applyNumberFormat="1" applyFont="1" applyFill="1" applyBorder="1" applyAlignment="1">
      <alignment horizontal="center" vertical="center"/>
    </xf>
    <xf numFmtId="167" fontId="24" fillId="43" borderId="14" xfId="63" applyNumberFormat="1" applyFont="1" applyFill="1" applyBorder="1" applyAlignment="1">
      <alignment vertical="center"/>
    </xf>
    <xf numFmtId="167" fontId="25" fillId="43" borderId="17" xfId="63" applyNumberFormat="1" applyFont="1" applyFill="1" applyBorder="1" applyAlignment="1">
      <alignment horizontal="left" vertical="center"/>
    </xf>
    <xf numFmtId="168" fontId="25" fillId="43" borderId="17" xfId="63" applyNumberFormat="1" applyFont="1" applyFill="1" applyBorder="1" applyAlignment="1">
      <alignment horizontal="center" vertical="center"/>
    </xf>
    <xf numFmtId="168" fontId="25" fillId="43" borderId="29" xfId="63" applyNumberFormat="1" applyFont="1" applyFill="1" applyBorder="1" applyAlignment="1">
      <alignment horizontal="center" vertical="center"/>
    </xf>
    <xf numFmtId="9" fontId="25" fillId="43" borderId="14" xfId="71" applyFont="1" applyFill="1" applyBorder="1" applyAlignment="1">
      <alignment horizontal="right" vertical="center"/>
    </xf>
    <xf numFmtId="167" fontId="25" fillId="43" borderId="11" xfId="63" applyNumberFormat="1" applyFont="1" applyFill="1" applyBorder="1"/>
    <xf numFmtId="0" fontId="24" fillId="43" borderId="11" xfId="54" applyFont="1" applyFill="1" applyBorder="1" applyAlignment="1">
      <alignment horizontal="center"/>
    </xf>
    <xf numFmtId="168" fontId="25" fillId="43" borderId="14" xfId="63" applyNumberFormat="1" applyFont="1" applyFill="1" applyBorder="1" applyAlignment="1">
      <alignment vertical="center"/>
    </xf>
    <xf numFmtId="9" fontId="25" fillId="43" borderId="14" xfId="71" applyFont="1" applyFill="1" applyBorder="1" applyAlignment="1">
      <alignment vertical="center"/>
    </xf>
    <xf numFmtId="0" fontId="24" fillId="38" borderId="8" xfId="63" applyFont="1" applyFill="1" applyBorder="1" applyAlignment="1">
      <alignment vertical="center"/>
    </xf>
    <xf numFmtId="0" fontId="27" fillId="38" borderId="8" xfId="59" applyFont="1" applyFill="1" applyBorder="1" applyAlignment="1">
      <alignment vertical="center" wrapText="1"/>
    </xf>
    <xf numFmtId="0" fontId="24" fillId="38" borderId="26" xfId="54" applyFont="1" applyFill="1" applyBorder="1" applyAlignment="1">
      <alignment horizontal="center" vertical="center"/>
    </xf>
    <xf numFmtId="41" fontId="24" fillId="38" borderId="23" xfId="29" applyFont="1" applyFill="1" applyBorder="1" applyAlignment="1">
      <alignment horizontal="center" vertical="center"/>
    </xf>
    <xf numFmtId="167" fontId="24" fillId="38" borderId="23" xfId="63" applyNumberFormat="1" applyFont="1" applyFill="1" applyBorder="1" applyAlignment="1">
      <alignment vertical="center"/>
    </xf>
    <xf numFmtId="0" fontId="24" fillId="38" borderId="23" xfId="63" applyFont="1" applyFill="1" applyBorder="1" applyAlignment="1">
      <alignment vertical="center"/>
    </xf>
    <xf numFmtId="0" fontId="24" fillId="38" borderId="26" xfId="63" applyFont="1" applyFill="1" applyBorder="1" applyAlignment="1">
      <alignment vertical="center"/>
    </xf>
    <xf numFmtId="0" fontId="24" fillId="38" borderId="0" xfId="63" applyFont="1" applyFill="1" applyBorder="1" applyAlignment="1">
      <alignment vertical="center"/>
    </xf>
    <xf numFmtId="0" fontId="25" fillId="43" borderId="11" xfId="55" applyFont="1" applyFill="1" applyBorder="1"/>
    <xf numFmtId="0" fontId="26" fillId="43" borderId="11" xfId="54" applyNumberFormat="1" applyFont="1" applyFill="1" applyBorder="1" applyAlignment="1"/>
    <xf numFmtId="0" fontId="24" fillId="43" borderId="11" xfId="54" applyFont="1" applyFill="1" applyBorder="1" applyAlignment="1">
      <alignment horizontal="left" vertical="top" wrapText="1"/>
    </xf>
    <xf numFmtId="0" fontId="24" fillId="43" borderId="11" xfId="54" applyFont="1" applyFill="1" applyBorder="1" applyAlignment="1">
      <alignment horizontal="center" vertical="top" wrapText="1"/>
    </xf>
    <xf numFmtId="41" fontId="24" fillId="43" borderId="17" xfId="29" applyFont="1" applyFill="1" applyBorder="1" applyAlignment="1">
      <alignment horizontal="center" vertical="center"/>
    </xf>
    <xf numFmtId="41" fontId="24" fillId="43" borderId="13" xfId="29" applyFont="1" applyFill="1" applyBorder="1" applyAlignment="1">
      <alignment vertical="center"/>
    </xf>
    <xf numFmtId="41" fontId="24" fillId="43" borderId="17" xfId="29" applyFont="1" applyFill="1" applyBorder="1" applyAlignment="1">
      <alignment vertical="center"/>
    </xf>
    <xf numFmtId="168" fontId="24" fillId="43" borderId="17" xfId="63" applyNumberFormat="1" applyFont="1" applyFill="1" applyBorder="1" applyAlignment="1">
      <alignment vertical="center"/>
    </xf>
    <xf numFmtId="9" fontId="24" fillId="43" borderId="14" xfId="71" applyFont="1" applyFill="1" applyBorder="1" applyAlignment="1">
      <alignment vertical="top"/>
    </xf>
    <xf numFmtId="0" fontId="24" fillId="43" borderId="18" xfId="63" applyFont="1" applyFill="1" applyBorder="1"/>
    <xf numFmtId="0" fontId="24" fillId="43" borderId="29" xfId="63" applyFont="1" applyFill="1" applyBorder="1"/>
    <xf numFmtId="0" fontId="25" fillId="43" borderId="8" xfId="55" applyFont="1" applyFill="1" applyBorder="1"/>
    <xf numFmtId="41" fontId="24" fillId="43" borderId="29" xfId="32" applyFont="1" applyFill="1" applyBorder="1"/>
    <xf numFmtId="0" fontId="24" fillId="43" borderId="8" xfId="54" applyFont="1" applyFill="1" applyBorder="1" applyAlignment="1">
      <alignment horizontal="center" vertical="top" wrapText="1"/>
    </xf>
    <xf numFmtId="0" fontId="24" fillId="43" borderId="8" xfId="54" applyFont="1" applyFill="1" applyBorder="1" applyAlignment="1">
      <alignment vertical="center" wrapText="1"/>
    </xf>
    <xf numFmtId="166" fontId="24" fillId="43" borderId="17" xfId="54" applyNumberFormat="1" applyFont="1" applyFill="1" applyBorder="1" applyAlignment="1">
      <alignment horizontal="center" vertical="center"/>
    </xf>
    <xf numFmtId="0" fontId="24" fillId="44" borderId="0" xfId="63" applyFont="1" applyFill="1" applyAlignment="1">
      <alignment wrapText="1"/>
    </xf>
    <xf numFmtId="0" fontId="28" fillId="44" borderId="15" xfId="59" applyFont="1" applyFill="1" applyBorder="1" applyAlignment="1">
      <alignment horizontal="center" vertical="center"/>
    </xf>
    <xf numFmtId="0" fontId="28" fillId="44" borderId="15" xfId="59" applyFont="1" applyFill="1" applyBorder="1" applyAlignment="1">
      <alignment horizontal="left" vertical="center"/>
    </xf>
    <xf numFmtId="0" fontId="27" fillId="44" borderId="15" xfId="59" applyFont="1" applyFill="1" applyBorder="1" applyAlignment="1">
      <alignment horizontal="left" vertical="center"/>
    </xf>
    <xf numFmtId="41" fontId="25" fillId="44" borderId="15" xfId="59" applyNumberFormat="1" applyFont="1" applyFill="1" applyBorder="1" applyAlignment="1">
      <alignment vertical="center"/>
    </xf>
    <xf numFmtId="41" fontId="24" fillId="44" borderId="15" xfId="59" applyNumberFormat="1" applyFont="1" applyFill="1" applyBorder="1" applyAlignment="1">
      <alignment vertical="center"/>
    </xf>
    <xf numFmtId="41" fontId="24" fillId="44" borderId="11" xfId="59" applyNumberFormat="1" applyFont="1" applyFill="1" applyBorder="1" applyAlignment="1">
      <alignment vertical="center" wrapText="1"/>
    </xf>
    <xf numFmtId="14" fontId="25" fillId="44" borderId="15" xfId="59" applyNumberFormat="1" applyFont="1" applyFill="1" applyBorder="1" applyAlignment="1">
      <alignment vertical="center"/>
    </xf>
    <xf numFmtId="0" fontId="24" fillId="44" borderId="15" xfId="54" applyFont="1" applyFill="1" applyBorder="1" applyAlignment="1">
      <alignment horizontal="center" wrapText="1"/>
    </xf>
    <xf numFmtId="0" fontId="24" fillId="44" borderId="15" xfId="54" applyFont="1" applyFill="1" applyBorder="1" applyAlignment="1">
      <alignment horizontal="center" vertical="center"/>
    </xf>
    <xf numFmtId="0" fontId="24" fillId="44" borderId="15" xfId="54" applyFont="1" applyFill="1" applyBorder="1" applyAlignment="1">
      <alignment vertical="center" wrapText="1"/>
    </xf>
    <xf numFmtId="167" fontId="25" fillId="44" borderId="14" xfId="63" applyNumberFormat="1" applyFont="1" applyFill="1" applyBorder="1" applyAlignment="1">
      <alignment vertical="center"/>
    </xf>
    <xf numFmtId="168" fontId="25" fillId="44" borderId="15" xfId="63" applyNumberFormat="1" applyFont="1" applyFill="1" applyBorder="1" applyAlignment="1">
      <alignment vertical="center"/>
    </xf>
    <xf numFmtId="9" fontId="25" fillId="44" borderId="15" xfId="71" applyFont="1" applyFill="1" applyBorder="1" applyAlignment="1">
      <alignment vertical="center"/>
    </xf>
    <xf numFmtId="167" fontId="25" fillId="44" borderId="15" xfId="63" applyNumberFormat="1" applyFont="1" applyFill="1" applyBorder="1"/>
    <xf numFmtId="0" fontId="27" fillId="44" borderId="11" xfId="59" applyFont="1" applyFill="1" applyBorder="1" applyAlignment="1">
      <alignment horizontal="left" vertical="center" wrapText="1"/>
    </xf>
    <xf numFmtId="9" fontId="24" fillId="44" borderId="11" xfId="59" applyNumberFormat="1" applyFont="1" applyFill="1" applyBorder="1" applyAlignment="1">
      <alignment vertical="center"/>
    </xf>
    <xf numFmtId="0" fontId="28" fillId="43" borderId="8" xfId="59" applyFont="1" applyFill="1" applyBorder="1" applyAlignment="1">
      <alignment horizontal="center" vertical="center"/>
    </xf>
    <xf numFmtId="0" fontId="28" fillId="43" borderId="2" xfId="59" applyFont="1" applyFill="1" applyBorder="1" applyAlignment="1">
      <alignment horizontal="center" vertical="center" wrapText="1"/>
    </xf>
    <xf numFmtId="0" fontId="27" fillId="43" borderId="8" xfId="59" applyFont="1" applyFill="1" applyBorder="1" applyAlignment="1">
      <alignment horizontal="left" vertical="center"/>
    </xf>
    <xf numFmtId="0" fontId="27" fillId="43" borderId="29" xfId="65" applyFont="1" applyFill="1" applyBorder="1" applyAlignment="1">
      <alignment horizontal="left" wrapText="1"/>
    </xf>
    <xf numFmtId="41" fontId="25" fillId="43" borderId="8" xfId="59" applyNumberFormat="1" applyFont="1" applyFill="1" applyBorder="1" applyAlignment="1">
      <alignment vertical="center"/>
    </xf>
    <xf numFmtId="41" fontId="24" fillId="43" borderId="8" xfId="59" applyNumberFormat="1" applyFont="1" applyFill="1" applyBorder="1" applyAlignment="1">
      <alignment vertical="center"/>
    </xf>
    <xf numFmtId="41" fontId="24" fillId="43" borderId="8" xfId="59" applyNumberFormat="1" applyFont="1" applyFill="1" applyBorder="1" applyAlignment="1">
      <alignment vertical="center" wrapText="1"/>
    </xf>
    <xf numFmtId="14" fontId="24" fillId="43" borderId="8" xfId="59" applyNumberFormat="1" applyFont="1" applyFill="1" applyBorder="1" applyAlignment="1">
      <alignment vertical="center"/>
    </xf>
    <xf numFmtId="9" fontId="24" fillId="43" borderId="14" xfId="71" applyFont="1" applyFill="1" applyBorder="1" applyAlignment="1">
      <alignment vertical="center"/>
    </xf>
    <xf numFmtId="167" fontId="25" fillId="43" borderId="8" xfId="63" applyNumberFormat="1" applyFont="1" applyFill="1" applyBorder="1"/>
    <xf numFmtId="0" fontId="26" fillId="44" borderId="11" xfId="54" applyNumberFormat="1" applyFont="1" applyFill="1" applyBorder="1" applyAlignment="1"/>
    <xf numFmtId="0" fontId="24" fillId="44" borderId="11" xfId="54" applyFont="1" applyFill="1" applyBorder="1" applyAlignment="1">
      <alignment horizontal="left" vertical="top" wrapText="1"/>
    </xf>
    <xf numFmtId="0" fontId="24" fillId="44" borderId="11" xfId="54" applyFont="1" applyFill="1" applyBorder="1" applyAlignment="1">
      <alignment horizontal="center" vertical="top" wrapText="1"/>
    </xf>
    <xf numFmtId="166" fontId="24" fillId="44" borderId="17" xfId="54" applyNumberFormat="1" applyFont="1" applyFill="1" applyBorder="1" applyAlignment="1">
      <alignment horizontal="center" vertical="center"/>
    </xf>
    <xf numFmtId="167" fontId="24" fillId="44" borderId="17" xfId="28" applyNumberFormat="1" applyFont="1" applyFill="1" applyBorder="1" applyAlignment="1">
      <alignment horizontal="center" vertical="center"/>
    </xf>
    <xf numFmtId="168" fontId="24" fillId="44" borderId="17" xfId="63" applyNumberFormat="1" applyFont="1" applyFill="1" applyBorder="1" applyAlignment="1">
      <alignment vertical="center"/>
    </xf>
    <xf numFmtId="9" fontId="24" fillId="44" borderId="17" xfId="71" applyFont="1" applyFill="1" applyBorder="1" applyAlignment="1">
      <alignment vertical="center"/>
    </xf>
    <xf numFmtId="0" fontId="24" fillId="44" borderId="18" xfId="63" applyFont="1" applyFill="1" applyBorder="1"/>
    <xf numFmtId="171" fontId="25" fillId="44" borderId="8" xfId="55" applyNumberFormat="1" applyFont="1" applyFill="1" applyBorder="1" applyAlignment="1">
      <alignment horizontal="left" vertical="center"/>
    </xf>
    <xf numFmtId="0" fontId="25" fillId="44" borderId="8" xfId="55" applyFont="1" applyFill="1" applyBorder="1"/>
    <xf numFmtId="0" fontId="26" fillId="44" borderId="8" xfId="54" applyNumberFormat="1" applyFont="1" applyFill="1" applyBorder="1" applyAlignment="1"/>
    <xf numFmtId="0" fontId="24" fillId="44" borderId="8" xfId="54" applyFont="1" applyFill="1" applyBorder="1" applyAlignment="1">
      <alignment horizontal="left" vertical="top" wrapText="1"/>
    </xf>
    <xf numFmtId="0" fontId="24" fillId="44" borderId="8" xfId="54" applyFont="1" applyFill="1" applyBorder="1" applyAlignment="1">
      <alignment horizontal="center" vertical="top" wrapText="1"/>
    </xf>
    <xf numFmtId="0" fontId="24" fillId="44" borderId="8" xfId="54" applyFont="1" applyFill="1" applyBorder="1" applyAlignment="1">
      <alignment vertical="center" wrapText="1"/>
    </xf>
    <xf numFmtId="167" fontId="24" fillId="44" borderId="17" xfId="54" applyNumberFormat="1" applyFont="1" applyFill="1" applyBorder="1" applyAlignment="1">
      <alignment horizontal="center" vertical="center"/>
    </xf>
    <xf numFmtId="167" fontId="24" fillId="44" borderId="29" xfId="28" applyNumberFormat="1" applyFont="1" applyFill="1" applyBorder="1" applyAlignment="1">
      <alignment horizontal="center" vertical="center"/>
    </xf>
    <xf numFmtId="167" fontId="24" fillId="44" borderId="29" xfId="63" applyNumberFormat="1" applyFont="1" applyFill="1" applyBorder="1" applyAlignment="1">
      <alignment vertical="center"/>
    </xf>
    <xf numFmtId="168" fontId="24" fillId="44" borderId="29" xfId="63" applyNumberFormat="1" applyFont="1" applyFill="1" applyBorder="1" applyAlignment="1">
      <alignment vertical="center"/>
    </xf>
    <xf numFmtId="41" fontId="24" fillId="44" borderId="22" xfId="59" applyNumberFormat="1" applyFont="1" applyFill="1" applyBorder="1" applyAlignment="1">
      <alignment vertical="center"/>
    </xf>
    <xf numFmtId="0" fontId="24" fillId="44" borderId="29" xfId="63" applyFont="1" applyFill="1" applyBorder="1"/>
    <xf numFmtId="0" fontId="26" fillId="43" borderId="8" xfId="54" applyNumberFormat="1" applyFont="1" applyFill="1" applyBorder="1" applyAlignment="1"/>
    <xf numFmtId="0" fontId="24" fillId="43" borderId="8" xfId="54" applyFont="1" applyFill="1" applyBorder="1" applyAlignment="1">
      <alignment horizontal="left" vertical="top" wrapText="1"/>
    </xf>
    <xf numFmtId="167" fontId="24" fillId="43" borderId="17" xfId="54" applyNumberFormat="1" applyFont="1" applyFill="1" applyBorder="1" applyAlignment="1">
      <alignment horizontal="center" vertical="center"/>
    </xf>
    <xf numFmtId="167" fontId="24" fillId="43" borderId="29" xfId="28" applyNumberFormat="1" applyFont="1" applyFill="1" applyBorder="1" applyAlignment="1">
      <alignment horizontal="center" vertical="center"/>
    </xf>
    <xf numFmtId="167" fontId="24" fillId="43" borderId="22" xfId="63" applyNumberFormat="1" applyFont="1" applyFill="1" applyBorder="1" applyAlignment="1">
      <alignment vertical="center"/>
    </xf>
    <xf numFmtId="168" fontId="24" fillId="43" borderId="29" xfId="63" applyNumberFormat="1" applyFont="1" applyFill="1" applyBorder="1" applyAlignment="1">
      <alignment vertical="center"/>
    </xf>
    <xf numFmtId="41" fontId="24" fillId="43" borderId="22" xfId="59" applyNumberFormat="1" applyFont="1" applyFill="1" applyBorder="1" applyAlignment="1">
      <alignment vertical="center"/>
    </xf>
    <xf numFmtId="0" fontId="25" fillId="43" borderId="11" xfId="55" applyFont="1" applyFill="1" applyBorder="1" applyAlignment="1">
      <alignment vertical="center"/>
    </xf>
    <xf numFmtId="171" fontId="25" fillId="43" borderId="8" xfId="55" applyNumberFormat="1" applyFont="1" applyFill="1" applyBorder="1" applyAlignment="1">
      <alignment horizontal="left" vertical="center"/>
    </xf>
    <xf numFmtId="0" fontId="25" fillId="44" borderId="11" xfId="55" applyFont="1" applyFill="1" applyBorder="1"/>
    <xf numFmtId="41" fontId="24" fillId="44" borderId="17" xfId="29" applyFont="1" applyFill="1" applyBorder="1" applyAlignment="1">
      <alignment horizontal="center" vertical="center"/>
    </xf>
    <xf numFmtId="9" fontId="24" fillId="44" borderId="14" xfId="71" applyFont="1" applyFill="1" applyBorder="1" applyAlignment="1">
      <alignment vertical="top"/>
    </xf>
    <xf numFmtId="0" fontId="24" fillId="47" borderId="0" xfId="63" applyFont="1" applyFill="1" applyAlignment="1">
      <alignment wrapText="1"/>
    </xf>
    <xf numFmtId="0" fontId="0" fillId="38" borderId="19" xfId="0" applyFont="1" applyFill="1" applyBorder="1" applyAlignment="1">
      <alignment horizontal="center" vertical="center" wrapText="1"/>
    </xf>
    <xf numFmtId="0" fontId="28" fillId="47" borderId="11" xfId="59" applyFont="1" applyFill="1" applyBorder="1" applyAlignment="1">
      <alignment horizontal="center" vertical="center"/>
    </xf>
    <xf numFmtId="0" fontId="28" fillId="47" borderId="11" xfId="59" applyFont="1" applyFill="1" applyBorder="1" applyAlignment="1">
      <alignment horizontal="left" vertical="center"/>
    </xf>
    <xf numFmtId="0" fontId="27" fillId="47" borderId="11" xfId="59" applyFont="1" applyFill="1" applyBorder="1" applyAlignment="1">
      <alignment horizontal="left" vertical="center"/>
    </xf>
    <xf numFmtId="0" fontId="27" fillId="47" borderId="11" xfId="59" applyFont="1" applyFill="1" applyBorder="1" applyAlignment="1">
      <alignment horizontal="left" vertical="center" wrapText="1"/>
    </xf>
    <xf numFmtId="41" fontId="24" fillId="47" borderId="11" xfId="59" applyNumberFormat="1" applyFont="1" applyFill="1" applyBorder="1" applyAlignment="1">
      <alignment vertical="center"/>
    </xf>
    <xf numFmtId="41" fontId="24" fillId="47" borderId="11" xfId="59" quotePrefix="1" applyNumberFormat="1" applyFont="1" applyFill="1" applyBorder="1" applyAlignment="1">
      <alignment vertical="center" wrapText="1"/>
    </xf>
    <xf numFmtId="14" fontId="24" fillId="47" borderId="11" xfId="59" applyNumberFormat="1" applyFont="1" applyFill="1" applyBorder="1" applyAlignment="1">
      <alignment vertical="center"/>
    </xf>
    <xf numFmtId="41" fontId="24" fillId="47" borderId="18" xfId="32" applyFont="1" applyFill="1" applyBorder="1" applyAlignment="1">
      <alignment vertical="center"/>
    </xf>
    <xf numFmtId="0" fontId="24" fillId="47" borderId="11" xfId="54" applyFont="1" applyFill="1" applyBorder="1" applyAlignment="1">
      <alignment horizontal="center" vertical="center" wrapText="1"/>
    </xf>
    <xf numFmtId="0" fontId="24" fillId="47" borderId="11" xfId="54" applyFont="1" applyFill="1" applyBorder="1" applyAlignment="1">
      <alignment horizontal="center" vertical="center"/>
    </xf>
    <xf numFmtId="0" fontId="24" fillId="47" borderId="11" xfId="54" applyFont="1" applyFill="1" applyBorder="1" applyAlignment="1">
      <alignment vertical="center" wrapText="1"/>
    </xf>
    <xf numFmtId="41" fontId="24" fillId="47" borderId="12" xfId="29" applyFont="1" applyFill="1" applyBorder="1" applyAlignment="1">
      <alignment horizontal="center" vertical="center"/>
    </xf>
    <xf numFmtId="166" fontId="24" fillId="47" borderId="12" xfId="54" applyNumberFormat="1" applyFont="1" applyFill="1" applyBorder="1" applyAlignment="1">
      <alignment horizontal="center" vertical="center"/>
    </xf>
    <xf numFmtId="167" fontId="24" fillId="47" borderId="13" xfId="63" applyNumberFormat="1" applyFont="1" applyFill="1" applyBorder="1" applyAlignment="1">
      <alignment vertical="center"/>
    </xf>
    <xf numFmtId="41" fontId="25" fillId="47" borderId="11" xfId="59" applyNumberFormat="1" applyFont="1" applyFill="1" applyBorder="1" applyAlignment="1">
      <alignment vertical="center"/>
    </xf>
    <xf numFmtId="167" fontId="25" fillId="47" borderId="12" xfId="63" applyNumberFormat="1" applyFont="1" applyFill="1" applyBorder="1" applyAlignment="1">
      <alignment vertical="center"/>
    </xf>
    <xf numFmtId="168" fontId="25" fillId="47" borderId="8" xfId="63" applyNumberFormat="1" applyFont="1" applyFill="1" applyBorder="1" applyAlignment="1">
      <alignment vertical="center"/>
    </xf>
    <xf numFmtId="41" fontId="25" fillId="47" borderId="8" xfId="59" applyNumberFormat="1" applyFont="1" applyFill="1" applyBorder="1" applyAlignment="1">
      <alignment vertical="center"/>
    </xf>
    <xf numFmtId="9" fontId="25" fillId="47" borderId="11" xfId="71" applyFont="1" applyFill="1" applyBorder="1" applyAlignment="1">
      <alignment vertical="center"/>
    </xf>
    <xf numFmtId="167" fontId="24" fillId="47" borderId="17" xfId="63" applyNumberFormat="1" applyFont="1" applyFill="1" applyBorder="1" applyAlignment="1">
      <alignment vertical="center"/>
    </xf>
    <xf numFmtId="167" fontId="25" fillId="47" borderId="11" xfId="63" applyNumberFormat="1" applyFont="1" applyFill="1" applyBorder="1" applyAlignment="1">
      <alignment vertical="center"/>
    </xf>
    <xf numFmtId="9" fontId="24" fillId="47" borderId="11" xfId="71" applyFont="1" applyFill="1" applyBorder="1"/>
    <xf numFmtId="0" fontId="24" fillId="47" borderId="11" xfId="63" applyFont="1" applyFill="1" applyBorder="1"/>
    <xf numFmtId="167" fontId="24" fillId="47" borderId="11" xfId="63" applyNumberFormat="1" applyFont="1" applyFill="1" applyBorder="1"/>
    <xf numFmtId="0" fontId="28" fillId="47" borderId="8" xfId="59" applyFont="1" applyFill="1" applyBorder="1" applyAlignment="1">
      <alignment horizontal="center" vertical="center"/>
    </xf>
    <xf numFmtId="0" fontId="28" fillId="47" borderId="8" xfId="59" applyFont="1" applyFill="1" applyBorder="1" applyAlignment="1">
      <alignment horizontal="left" vertical="center"/>
    </xf>
    <xf numFmtId="0" fontId="27" fillId="47" borderId="8" xfId="59" applyFont="1" applyFill="1" applyBorder="1" applyAlignment="1">
      <alignment horizontal="left" vertical="center"/>
    </xf>
    <xf numFmtId="0" fontId="27" fillId="47" borderId="8" xfId="59" applyFont="1" applyFill="1" applyBorder="1" applyAlignment="1">
      <alignment horizontal="left" vertical="center" wrapText="1"/>
    </xf>
    <xf numFmtId="41" fontId="24" fillId="47" borderId="8" xfId="59" applyNumberFormat="1" applyFont="1" applyFill="1" applyBorder="1" applyAlignment="1">
      <alignment vertical="center"/>
    </xf>
    <xf numFmtId="41" fontId="24" fillId="47" borderId="8" xfId="59" quotePrefix="1" applyNumberFormat="1" applyFont="1" applyFill="1" applyBorder="1" applyAlignment="1">
      <alignment vertical="center" wrapText="1"/>
    </xf>
    <xf numFmtId="14" fontId="24" fillId="47" borderId="8" xfId="59" applyNumberFormat="1" applyFont="1" applyFill="1" applyBorder="1" applyAlignment="1">
      <alignment vertical="center"/>
    </xf>
    <xf numFmtId="41" fontId="24" fillId="47" borderId="31" xfId="32" applyFont="1" applyFill="1" applyBorder="1" applyAlignment="1">
      <alignment vertical="center"/>
    </xf>
    <xf numFmtId="0" fontId="25" fillId="47" borderId="8" xfId="54" applyFont="1" applyFill="1" applyBorder="1" applyAlignment="1">
      <alignment horizontal="center" vertical="center"/>
    </xf>
    <xf numFmtId="0" fontId="24" fillId="47" borderId="8" xfId="54" applyFont="1" applyFill="1" applyBorder="1" applyAlignment="1">
      <alignment vertical="center" wrapText="1"/>
    </xf>
    <xf numFmtId="167" fontId="25" fillId="47" borderId="8" xfId="63" applyNumberFormat="1" applyFont="1" applyFill="1" applyBorder="1" applyAlignment="1">
      <alignment vertical="center"/>
    </xf>
    <xf numFmtId="41" fontId="24" fillId="47" borderId="11" xfId="59" applyNumberFormat="1" applyFont="1" applyFill="1" applyBorder="1" applyAlignment="1">
      <alignment vertical="center" wrapText="1"/>
    </xf>
    <xf numFmtId="0" fontId="24" fillId="47" borderId="8" xfId="54" applyFont="1" applyFill="1" applyBorder="1" applyAlignment="1">
      <alignment horizontal="center" vertical="center" wrapText="1"/>
    </xf>
    <xf numFmtId="41" fontId="25" fillId="47" borderId="12" xfId="59" applyNumberFormat="1" applyFont="1" applyFill="1" applyBorder="1" applyAlignment="1">
      <alignment vertical="center"/>
    </xf>
    <xf numFmtId="0" fontId="24" fillId="47" borderId="8" xfId="54" applyFont="1" applyFill="1" applyBorder="1" applyAlignment="1">
      <alignment horizontal="center" vertical="center"/>
    </xf>
    <xf numFmtId="167" fontId="24" fillId="47" borderId="12" xfId="28" applyNumberFormat="1" applyFont="1" applyFill="1" applyBorder="1" applyAlignment="1">
      <alignment horizontal="center" vertical="center"/>
    </xf>
    <xf numFmtId="9" fontId="25" fillId="47" borderId="8" xfId="71" applyFont="1" applyFill="1" applyBorder="1" applyAlignment="1">
      <alignment vertical="center"/>
    </xf>
    <xf numFmtId="41" fontId="24" fillId="47" borderId="11" xfId="63" applyNumberFormat="1" applyFont="1" applyFill="1" applyBorder="1"/>
    <xf numFmtId="9" fontId="25" fillId="47" borderId="12" xfId="71" applyFont="1" applyFill="1" applyBorder="1" applyAlignment="1">
      <alignment vertical="center"/>
    </xf>
    <xf numFmtId="0" fontId="24" fillId="47" borderId="11" xfId="54" applyFont="1" applyFill="1" applyBorder="1" applyAlignment="1">
      <alignment horizontal="center" wrapText="1"/>
    </xf>
    <xf numFmtId="167" fontId="24" fillId="47" borderId="12" xfId="63" applyNumberFormat="1" applyFont="1" applyFill="1" applyBorder="1" applyAlignment="1">
      <alignment vertical="center"/>
    </xf>
    <xf numFmtId="0" fontId="27" fillId="47" borderId="29" xfId="65" applyFont="1" applyFill="1" applyBorder="1" applyAlignment="1">
      <alignment horizontal="left" wrapText="1"/>
    </xf>
    <xf numFmtId="41" fontId="24" fillId="47" borderId="8" xfId="59" applyNumberFormat="1" applyFont="1" applyFill="1" applyBorder="1" applyAlignment="1">
      <alignment vertical="center" wrapText="1"/>
    </xf>
    <xf numFmtId="0" fontId="25" fillId="47" borderId="8" xfId="54" applyFont="1" applyFill="1" applyBorder="1" applyAlignment="1">
      <alignment horizontal="center"/>
    </xf>
    <xf numFmtId="9" fontId="24" fillId="47" borderId="14" xfId="71" applyFont="1" applyFill="1" applyBorder="1" applyAlignment="1">
      <alignment vertical="top"/>
    </xf>
    <xf numFmtId="167" fontId="25" fillId="47" borderId="8" xfId="63" applyNumberFormat="1" applyFont="1" applyFill="1" applyBorder="1"/>
    <xf numFmtId="0" fontId="27" fillId="47" borderId="19" xfId="65" applyFont="1" applyFill="1" applyBorder="1" applyAlignment="1">
      <alignment horizontal="left" wrapText="1"/>
    </xf>
    <xf numFmtId="0" fontId="24" fillId="47" borderId="8" xfId="54" applyFont="1" applyFill="1" applyBorder="1" applyAlignment="1">
      <alignment horizontal="center" wrapText="1"/>
    </xf>
    <xf numFmtId="9" fontId="25" fillId="47" borderId="8" xfId="59" applyNumberFormat="1" applyFont="1" applyFill="1" applyBorder="1" applyAlignment="1">
      <alignment vertical="center"/>
    </xf>
    <xf numFmtId="167" fontId="25" fillId="47" borderId="17" xfId="63" applyNumberFormat="1" applyFont="1" applyFill="1" applyBorder="1" applyAlignment="1">
      <alignment vertical="center"/>
    </xf>
    <xf numFmtId="168" fontId="25" fillId="47" borderId="11" xfId="63" applyNumberFormat="1" applyFont="1" applyFill="1" applyBorder="1" applyAlignment="1">
      <alignment vertical="center"/>
    </xf>
    <xf numFmtId="41" fontId="27" fillId="47" borderId="19" xfId="30" applyFont="1" applyFill="1" applyBorder="1" applyAlignment="1">
      <alignment horizontal="center" vertical="center" wrapText="1"/>
    </xf>
    <xf numFmtId="167" fontId="24" fillId="47" borderId="11" xfId="63" applyNumberFormat="1" applyFont="1" applyFill="1" applyBorder="1" applyAlignment="1">
      <alignment vertical="center"/>
    </xf>
    <xf numFmtId="0" fontId="25" fillId="47" borderId="8" xfId="55" applyFont="1" applyFill="1" applyBorder="1" applyAlignment="1">
      <alignment horizontal="center"/>
    </xf>
    <xf numFmtId="0" fontId="26" fillId="47" borderId="11" xfId="54" applyNumberFormat="1" applyFont="1" applyFill="1" applyBorder="1" applyAlignment="1"/>
    <xf numFmtId="0" fontId="24" fillId="47" borderId="11" xfId="54" applyFont="1" applyFill="1" applyBorder="1" applyAlignment="1">
      <alignment horizontal="left" vertical="top" wrapText="1"/>
    </xf>
    <xf numFmtId="41" fontId="24" fillId="47" borderId="11" xfId="32" applyFont="1" applyFill="1" applyBorder="1"/>
    <xf numFmtId="41" fontId="24" fillId="47" borderId="11" xfId="32" applyFont="1" applyFill="1" applyBorder="1" applyAlignment="1">
      <alignment wrapText="1"/>
    </xf>
    <xf numFmtId="14" fontId="24" fillId="47" borderId="11" xfId="32" applyNumberFormat="1" applyFont="1" applyFill="1" applyBorder="1"/>
    <xf numFmtId="41" fontId="24" fillId="47" borderId="18" xfId="32" applyFont="1" applyFill="1" applyBorder="1"/>
    <xf numFmtId="0" fontId="24" fillId="47" borderId="11" xfId="54" applyFont="1" applyFill="1" applyBorder="1" applyAlignment="1">
      <alignment horizontal="center" vertical="top" wrapText="1"/>
    </xf>
    <xf numFmtId="167" fontId="24" fillId="47" borderId="14" xfId="63" applyNumberFormat="1" applyFont="1" applyFill="1" applyBorder="1" applyAlignment="1">
      <alignment vertical="center"/>
    </xf>
    <xf numFmtId="168" fontId="24" fillId="47" borderId="14" xfId="63" applyNumberFormat="1" applyFont="1" applyFill="1" applyBorder="1" applyAlignment="1">
      <alignment vertical="center"/>
    </xf>
    <xf numFmtId="9" fontId="24" fillId="47" borderId="14" xfId="71" applyFont="1" applyFill="1" applyBorder="1" applyAlignment="1">
      <alignment vertical="center"/>
    </xf>
    <xf numFmtId="0" fontId="24" fillId="47" borderId="15" xfId="63" applyFont="1" applyFill="1" applyBorder="1"/>
    <xf numFmtId="0" fontId="24" fillId="47" borderId="16" xfId="63" applyFont="1" applyFill="1" applyBorder="1"/>
    <xf numFmtId="0" fontId="24" fillId="47" borderId="0" xfId="63" applyFont="1" applyFill="1"/>
    <xf numFmtId="0" fontId="24" fillId="47" borderId="8" xfId="55" applyFont="1" applyFill="1" applyBorder="1" applyAlignment="1">
      <alignment horizontal="center"/>
    </xf>
    <xf numFmtId="0" fontId="25" fillId="47" borderId="8" xfId="55" applyFont="1" applyFill="1" applyBorder="1"/>
    <xf numFmtId="0" fontId="26" fillId="47" borderId="8" xfId="54" applyNumberFormat="1" applyFont="1" applyFill="1" applyBorder="1" applyAlignment="1"/>
    <xf numFmtId="0" fontId="24" fillId="47" borderId="8" xfId="54" applyFont="1" applyFill="1" applyBorder="1" applyAlignment="1">
      <alignment horizontal="left" vertical="top" wrapText="1"/>
    </xf>
    <xf numFmtId="41" fontId="24" fillId="47" borderId="8" xfId="32" applyFont="1" applyFill="1" applyBorder="1"/>
    <xf numFmtId="0" fontId="24" fillId="47" borderId="8" xfId="54" applyFont="1" applyFill="1" applyBorder="1" applyAlignment="1">
      <alignment horizontal="center" vertical="top" wrapText="1"/>
    </xf>
    <xf numFmtId="166" fontId="24" fillId="47" borderId="17" xfId="54" applyNumberFormat="1" applyFont="1" applyFill="1" applyBorder="1" applyAlignment="1">
      <alignment horizontal="center" vertical="center"/>
    </xf>
    <xf numFmtId="167" fontId="24" fillId="47" borderId="29" xfId="28" applyNumberFormat="1" applyFont="1" applyFill="1" applyBorder="1" applyAlignment="1">
      <alignment horizontal="center" vertical="center"/>
    </xf>
    <xf numFmtId="167" fontId="24" fillId="47" borderId="29" xfId="63" applyNumberFormat="1" applyFont="1" applyFill="1" applyBorder="1" applyAlignment="1">
      <alignment vertical="center"/>
    </xf>
    <xf numFmtId="167" fontId="24" fillId="47" borderId="22" xfId="63" applyNumberFormat="1" applyFont="1" applyFill="1" applyBorder="1" applyAlignment="1">
      <alignment vertical="center"/>
    </xf>
    <xf numFmtId="168" fontId="24" fillId="47" borderId="17" xfId="63" applyNumberFormat="1" applyFont="1" applyFill="1" applyBorder="1" applyAlignment="1">
      <alignment vertical="center"/>
    </xf>
    <xf numFmtId="168" fontId="24" fillId="47" borderId="29" xfId="63" applyNumberFormat="1" applyFont="1" applyFill="1" applyBorder="1" applyAlignment="1">
      <alignment vertical="center"/>
    </xf>
    <xf numFmtId="41" fontId="24" fillId="47" borderId="15" xfId="59" applyNumberFormat="1" applyFont="1" applyFill="1" applyBorder="1" applyAlignment="1">
      <alignment vertical="center"/>
    </xf>
    <xf numFmtId="9" fontId="24" fillId="47" borderId="29" xfId="71" applyFont="1" applyFill="1" applyBorder="1" applyAlignment="1">
      <alignment vertical="center"/>
    </xf>
    <xf numFmtId="0" fontId="24" fillId="47" borderId="29" xfId="63" applyFont="1" applyFill="1" applyBorder="1"/>
    <xf numFmtId="0" fontId="24" fillId="47" borderId="0" xfId="63" applyFont="1" applyFill="1" applyBorder="1"/>
    <xf numFmtId="0" fontId="25" fillId="47" borderId="11" xfId="55" applyFont="1" applyFill="1" applyBorder="1"/>
    <xf numFmtId="0" fontId="27" fillId="47" borderId="19" xfId="0" applyFont="1" applyFill="1" applyBorder="1" applyAlignment="1">
      <alignment horizontal="left" vertical="center" wrapText="1"/>
    </xf>
    <xf numFmtId="167" fontId="24" fillId="47" borderId="17" xfId="28" applyNumberFormat="1" applyFont="1" applyFill="1" applyBorder="1" applyAlignment="1">
      <alignment horizontal="center" vertical="center"/>
    </xf>
    <xf numFmtId="0" fontId="24" fillId="47" borderId="18" xfId="63" applyFont="1" applyFill="1" applyBorder="1"/>
    <xf numFmtId="41" fontId="24" fillId="47" borderId="17" xfId="29" applyFont="1" applyFill="1" applyBorder="1" applyAlignment="1">
      <alignment horizontal="center" vertical="center"/>
    </xf>
    <xf numFmtId="41" fontId="24" fillId="47" borderId="13" xfId="29" applyFont="1" applyFill="1" applyBorder="1" applyAlignment="1">
      <alignment vertical="center"/>
    </xf>
    <xf numFmtId="41" fontId="24" fillId="47" borderId="17" xfId="29" applyFont="1" applyFill="1" applyBorder="1" applyAlignment="1">
      <alignment vertical="center"/>
    </xf>
    <xf numFmtId="0" fontId="24" fillId="47" borderId="8" xfId="63" applyFont="1" applyFill="1" applyBorder="1" applyAlignment="1">
      <alignment vertical="center"/>
    </xf>
    <xf numFmtId="0" fontId="24" fillId="47" borderId="26" xfId="54" applyFont="1" applyFill="1" applyBorder="1" applyAlignment="1">
      <alignment horizontal="center" vertical="center"/>
    </xf>
    <xf numFmtId="41" fontId="24" fillId="47" borderId="23" xfId="29" applyFont="1" applyFill="1" applyBorder="1" applyAlignment="1">
      <alignment horizontal="center" vertical="center"/>
    </xf>
    <xf numFmtId="167" fontId="24" fillId="47" borderId="23" xfId="63" applyNumberFormat="1" applyFont="1" applyFill="1" applyBorder="1" applyAlignment="1">
      <alignment vertical="center"/>
    </xf>
    <xf numFmtId="168" fontId="24" fillId="47" borderId="23" xfId="63" applyNumberFormat="1" applyFont="1" applyFill="1" applyBorder="1" applyAlignment="1">
      <alignment vertical="center"/>
    </xf>
    <xf numFmtId="0" fontId="24" fillId="47" borderId="23" xfId="63" applyFont="1" applyFill="1" applyBorder="1" applyAlignment="1">
      <alignment vertical="center"/>
    </xf>
    <xf numFmtId="0" fontId="24" fillId="47" borderId="26" xfId="63" applyFont="1" applyFill="1" applyBorder="1" applyAlignment="1">
      <alignment vertical="center"/>
    </xf>
    <xf numFmtId="0" fontId="24" fillId="47" borderId="0" xfId="63" applyFont="1" applyFill="1" applyBorder="1" applyAlignment="1">
      <alignment vertical="center"/>
    </xf>
    <xf numFmtId="0" fontId="27" fillId="47" borderId="8" xfId="59" applyFont="1" applyFill="1" applyBorder="1" applyAlignment="1">
      <alignment vertical="center"/>
    </xf>
    <xf numFmtId="41" fontId="24" fillId="47" borderId="8" xfId="29" applyFont="1" applyFill="1" applyBorder="1" applyAlignment="1">
      <alignment vertical="center"/>
    </xf>
    <xf numFmtId="41" fontId="24" fillId="47" borderId="23" xfId="29" applyFont="1" applyFill="1" applyBorder="1" applyAlignment="1">
      <alignment vertical="center"/>
    </xf>
    <xf numFmtId="0" fontId="24" fillId="47" borderId="29" xfId="54" applyFont="1" applyFill="1" applyBorder="1" applyAlignment="1">
      <alignment horizontal="center" vertical="center"/>
    </xf>
    <xf numFmtId="0" fontId="24" fillId="47" borderId="29" xfId="63" applyFont="1" applyFill="1" applyBorder="1" applyAlignment="1">
      <alignment vertical="center"/>
    </xf>
    <xf numFmtId="41" fontId="24" fillId="47" borderId="8" xfId="32" applyFont="1" applyFill="1" applyBorder="1" applyAlignment="1">
      <alignment wrapText="1"/>
    </xf>
    <xf numFmtId="9" fontId="24" fillId="47" borderId="17" xfId="71" applyFont="1" applyFill="1" applyBorder="1" applyAlignment="1">
      <alignment vertical="center"/>
    </xf>
    <xf numFmtId="0" fontId="25" fillId="47" borderId="11" xfId="55" applyFont="1" applyFill="1" applyBorder="1" applyAlignment="1">
      <alignment vertical="center"/>
    </xf>
    <xf numFmtId="41" fontId="24" fillId="47" borderId="14" xfId="59" applyNumberFormat="1" applyFont="1" applyFill="1" applyBorder="1" applyAlignment="1">
      <alignment vertical="center"/>
    </xf>
    <xf numFmtId="9" fontId="24" fillId="47" borderId="15" xfId="71" applyFont="1" applyFill="1" applyBorder="1" applyAlignment="1">
      <alignment vertical="center"/>
    </xf>
    <xf numFmtId="171" fontId="25" fillId="47" borderId="8" xfId="55" applyNumberFormat="1" applyFont="1" applyFill="1" applyBorder="1" applyAlignment="1">
      <alignment horizontal="left" vertical="center"/>
    </xf>
    <xf numFmtId="0" fontId="24" fillId="45" borderId="0" xfId="63" applyFont="1" applyFill="1" applyAlignment="1">
      <alignment wrapText="1"/>
    </xf>
    <xf numFmtId="0" fontId="28" fillId="47" borderId="15" xfId="59" applyFont="1" applyFill="1" applyBorder="1" applyAlignment="1">
      <alignment horizontal="center" vertical="center"/>
    </xf>
    <xf numFmtId="0" fontId="28" fillId="47" borderId="15" xfId="59" applyFont="1" applyFill="1" applyBorder="1" applyAlignment="1">
      <alignment horizontal="left" vertical="center"/>
    </xf>
    <xf numFmtId="0" fontId="27" fillId="47" borderId="15" xfId="59" applyFont="1" applyFill="1" applyBorder="1" applyAlignment="1">
      <alignment horizontal="left" vertical="center"/>
    </xf>
    <xf numFmtId="0" fontId="27" fillId="47" borderId="15" xfId="59" applyFont="1" applyFill="1" applyBorder="1" applyAlignment="1">
      <alignment horizontal="left" vertical="center" wrapText="1"/>
    </xf>
    <xf numFmtId="0" fontId="24" fillId="47" borderId="15" xfId="54" applyFont="1" applyFill="1" applyBorder="1" applyAlignment="1">
      <alignment vertical="center" wrapText="1"/>
    </xf>
    <xf numFmtId="41" fontId="25" fillId="47" borderId="15" xfId="59" applyNumberFormat="1" applyFont="1" applyFill="1" applyBorder="1" applyAlignment="1">
      <alignment vertical="center"/>
    </xf>
    <xf numFmtId="167" fontId="25" fillId="47" borderId="14" xfId="63" applyNumberFormat="1" applyFont="1" applyFill="1" applyBorder="1" applyAlignment="1">
      <alignment vertical="center"/>
    </xf>
    <xf numFmtId="168" fontId="25" fillId="47" borderId="15" xfId="63" applyNumberFormat="1" applyFont="1" applyFill="1" applyBorder="1" applyAlignment="1">
      <alignment vertical="center"/>
    </xf>
    <xf numFmtId="41" fontId="25" fillId="47" borderId="2" xfId="59" applyNumberFormat="1" applyFont="1" applyFill="1" applyBorder="1" applyAlignment="1">
      <alignment vertical="center"/>
    </xf>
    <xf numFmtId="9" fontId="25" fillId="47" borderId="2" xfId="59" applyNumberFormat="1" applyFont="1" applyFill="1" applyBorder="1" applyAlignment="1">
      <alignment vertical="center"/>
    </xf>
    <xf numFmtId="167" fontId="25" fillId="47" borderId="15" xfId="63" applyNumberFormat="1" applyFont="1" applyFill="1" applyBorder="1"/>
    <xf numFmtId="0" fontId="24" fillId="45" borderId="8" xfId="55" applyFont="1" applyFill="1" applyBorder="1" applyAlignment="1">
      <alignment horizontal="center"/>
    </xf>
    <xf numFmtId="0" fontId="25" fillId="45" borderId="8" xfId="55" applyFont="1" applyFill="1" applyBorder="1"/>
    <xf numFmtId="0" fontId="26" fillId="45" borderId="8" xfId="54" applyNumberFormat="1" applyFont="1" applyFill="1" applyBorder="1" applyAlignment="1"/>
    <xf numFmtId="0" fontId="24" fillId="45" borderId="8" xfId="54" applyFont="1" applyFill="1" applyBorder="1" applyAlignment="1">
      <alignment horizontal="left" vertical="top" wrapText="1"/>
    </xf>
    <xf numFmtId="41" fontId="24" fillId="45" borderId="8" xfId="32" applyFont="1" applyFill="1" applyBorder="1"/>
    <xf numFmtId="41" fontId="24" fillId="45" borderId="11" xfId="32" applyFont="1" applyFill="1" applyBorder="1"/>
    <xf numFmtId="41" fontId="24" fillId="45" borderId="11" xfId="32" applyFont="1" applyFill="1" applyBorder="1" applyAlignment="1">
      <alignment wrapText="1"/>
    </xf>
    <xf numFmtId="14" fontId="24" fillId="45" borderId="11" xfId="32" applyNumberFormat="1" applyFont="1" applyFill="1" applyBorder="1"/>
    <xf numFmtId="41" fontId="24" fillId="45" borderId="18" xfId="32" applyFont="1" applyFill="1" applyBorder="1"/>
    <xf numFmtId="0" fontId="24" fillId="45" borderId="11" xfId="54" applyFont="1" applyFill="1" applyBorder="1" applyAlignment="1">
      <alignment horizontal="center" vertical="top" wrapText="1"/>
    </xf>
    <xf numFmtId="0" fontId="24" fillId="45" borderId="8" xfId="54" applyFont="1" applyFill="1" applyBorder="1" applyAlignment="1">
      <alignment horizontal="center" vertical="center" wrapText="1"/>
    </xf>
    <xf numFmtId="0" fontId="24" fillId="45" borderId="8" xfId="54" applyFont="1" applyFill="1" applyBorder="1" applyAlignment="1">
      <alignment vertical="center" wrapText="1"/>
    </xf>
    <xf numFmtId="167" fontId="24" fillId="45" borderId="17" xfId="54" applyNumberFormat="1" applyFont="1" applyFill="1" applyBorder="1" applyAlignment="1">
      <alignment horizontal="center" vertical="center"/>
    </xf>
    <xf numFmtId="167" fontId="24" fillId="45" borderId="29" xfId="28" applyNumberFormat="1" applyFont="1" applyFill="1" applyBorder="1" applyAlignment="1">
      <alignment horizontal="center" vertical="center"/>
    </xf>
    <xf numFmtId="167" fontId="24" fillId="45" borderId="29" xfId="63" applyNumberFormat="1" applyFont="1" applyFill="1" applyBorder="1" applyAlignment="1">
      <alignment vertical="center"/>
    </xf>
    <xf numFmtId="167" fontId="24" fillId="45" borderId="22" xfId="63" applyNumberFormat="1" applyFont="1" applyFill="1" applyBorder="1" applyAlignment="1">
      <alignment vertical="center"/>
    </xf>
    <xf numFmtId="168" fontId="24" fillId="45" borderId="17" xfId="63" applyNumberFormat="1" applyFont="1" applyFill="1" applyBorder="1" applyAlignment="1">
      <alignment vertical="center"/>
    </xf>
    <xf numFmtId="168" fontId="24" fillId="45" borderId="29" xfId="63" applyNumberFormat="1" applyFont="1" applyFill="1" applyBorder="1" applyAlignment="1">
      <alignment vertical="center"/>
    </xf>
    <xf numFmtId="9" fontId="24" fillId="45" borderId="29" xfId="71" applyFont="1" applyFill="1" applyBorder="1" applyAlignment="1">
      <alignment vertical="center"/>
    </xf>
    <xf numFmtId="0" fontId="24" fillId="45" borderId="29" xfId="63" applyFont="1" applyFill="1" applyBorder="1"/>
    <xf numFmtId="0" fontId="24" fillId="45" borderId="0" xfId="63" applyFont="1" applyFill="1"/>
    <xf numFmtId="0" fontId="24" fillId="45" borderId="0" xfId="63" applyFont="1" applyFill="1" applyBorder="1"/>
    <xf numFmtId="41" fontId="24" fillId="45" borderId="29" xfId="32" applyFont="1" applyFill="1" applyBorder="1"/>
    <xf numFmtId="0" fontId="24" fillId="45" borderId="8" xfId="54" applyFont="1" applyFill="1" applyBorder="1" applyAlignment="1">
      <alignment horizontal="center" vertical="top" wrapText="1"/>
    </xf>
    <xf numFmtId="0" fontId="24" fillId="45" borderId="8" xfId="54" applyFont="1" applyFill="1" applyBorder="1" applyAlignment="1">
      <alignment horizontal="left" vertical="center" wrapText="1"/>
    </xf>
    <xf numFmtId="168" fontId="24" fillId="45" borderId="22" xfId="63" applyNumberFormat="1" applyFont="1" applyFill="1" applyBorder="1" applyAlignment="1">
      <alignment horizontal="center" vertical="center"/>
    </xf>
    <xf numFmtId="41" fontId="24" fillId="45" borderId="22" xfId="59" applyNumberFormat="1" applyFont="1" applyFill="1" applyBorder="1" applyAlignment="1">
      <alignment vertical="center"/>
    </xf>
    <xf numFmtId="0" fontId="25" fillId="45" borderId="8" xfId="55" applyFont="1" applyFill="1" applyBorder="1" applyAlignment="1">
      <alignment horizontal="center"/>
    </xf>
    <xf numFmtId="0" fontId="25" fillId="45" borderId="11" xfId="55" applyFont="1" applyFill="1" applyBorder="1"/>
    <xf numFmtId="0" fontId="26" fillId="45" borderId="11" xfId="54" applyNumberFormat="1" applyFont="1" applyFill="1" applyBorder="1" applyAlignment="1"/>
    <xf numFmtId="0" fontId="24" fillId="45" borderId="11" xfId="54" applyFont="1" applyFill="1" applyBorder="1" applyAlignment="1">
      <alignment horizontal="left" vertical="top" wrapText="1"/>
    </xf>
    <xf numFmtId="41" fontId="24" fillId="45" borderId="8" xfId="32" applyFont="1" applyFill="1" applyBorder="1" applyAlignment="1">
      <alignment wrapText="1"/>
    </xf>
    <xf numFmtId="0" fontId="24" fillId="45" borderId="11" xfId="54" applyFont="1" applyFill="1" applyBorder="1" applyAlignment="1">
      <alignment horizontal="center" vertical="center"/>
    </xf>
    <xf numFmtId="0" fontId="24" fillId="45" borderId="11" xfId="54" applyFont="1" applyFill="1" applyBorder="1" applyAlignment="1">
      <alignment vertical="center" wrapText="1"/>
    </xf>
    <xf numFmtId="41" fontId="24" fillId="45" borderId="12" xfId="29" applyFont="1" applyFill="1" applyBorder="1" applyAlignment="1">
      <alignment horizontal="center" vertical="center"/>
    </xf>
    <xf numFmtId="167" fontId="24" fillId="45" borderId="13" xfId="63" applyNumberFormat="1" applyFont="1" applyFill="1" applyBorder="1" applyAlignment="1">
      <alignment vertical="center"/>
    </xf>
    <xf numFmtId="167" fontId="24" fillId="45" borderId="14" xfId="63" applyNumberFormat="1" applyFont="1" applyFill="1" applyBorder="1" applyAlignment="1">
      <alignment vertical="center"/>
    </xf>
    <xf numFmtId="167" fontId="25" fillId="45" borderId="17" xfId="63" applyNumberFormat="1" applyFont="1" applyFill="1" applyBorder="1" applyAlignment="1">
      <alignment vertical="center"/>
    </xf>
    <xf numFmtId="168" fontId="25" fillId="45" borderId="17" xfId="63" applyNumberFormat="1" applyFont="1" applyFill="1" applyBorder="1" applyAlignment="1">
      <alignment vertical="center"/>
    </xf>
    <xf numFmtId="9" fontId="24" fillId="45" borderId="14" xfId="71" applyFont="1" applyFill="1" applyBorder="1" applyAlignment="1">
      <alignment vertical="top"/>
    </xf>
    <xf numFmtId="0" fontId="24" fillId="45" borderId="15" xfId="63" applyFont="1" applyFill="1" applyBorder="1"/>
    <xf numFmtId="0" fontId="24" fillId="45" borderId="16" xfId="63" applyFont="1" applyFill="1" applyBorder="1"/>
    <xf numFmtId="0" fontId="24" fillId="46" borderId="0" xfId="63" applyFont="1" applyFill="1" applyAlignment="1">
      <alignment wrapText="1"/>
    </xf>
    <xf numFmtId="0" fontId="27" fillId="46" borderId="15" xfId="59" applyFont="1" applyFill="1" applyBorder="1" applyAlignment="1">
      <alignment horizontal="left" vertical="center"/>
    </xf>
    <xf numFmtId="0" fontId="25" fillId="46" borderId="15" xfId="54" applyFont="1" applyFill="1" applyBorder="1" applyAlignment="1">
      <alignment horizontal="center"/>
    </xf>
    <xf numFmtId="167" fontId="25" fillId="46" borderId="14" xfId="63" applyNumberFormat="1" applyFont="1" applyFill="1" applyBorder="1" applyAlignment="1">
      <alignment vertical="center"/>
    </xf>
    <xf numFmtId="168" fontId="25" fillId="46" borderId="15" xfId="63" applyNumberFormat="1" applyFont="1" applyFill="1" applyBorder="1" applyAlignment="1">
      <alignment vertical="center"/>
    </xf>
    <xf numFmtId="9" fontId="25" fillId="46" borderId="15" xfId="71" applyFont="1" applyFill="1" applyBorder="1" applyAlignment="1">
      <alignment vertical="center"/>
    </xf>
    <xf numFmtId="0" fontId="28" fillId="46" borderId="11" xfId="59" applyFont="1" applyFill="1" applyBorder="1" applyAlignment="1">
      <alignment horizontal="center" vertical="center"/>
    </xf>
    <xf numFmtId="0" fontId="28" fillId="46" borderId="11" xfId="59" applyFont="1" applyFill="1" applyBorder="1" applyAlignment="1">
      <alignment horizontal="left" vertical="center"/>
    </xf>
    <xf numFmtId="0" fontId="24" fillId="46" borderId="11" xfId="54" applyFont="1" applyFill="1" applyBorder="1" applyAlignment="1">
      <alignment horizontal="center" vertical="center"/>
    </xf>
    <xf numFmtId="0" fontId="24" fillId="46" borderId="11" xfId="54" applyFont="1" applyFill="1" applyBorder="1" applyAlignment="1">
      <alignment vertical="center" wrapText="1"/>
    </xf>
    <xf numFmtId="167" fontId="25" fillId="46" borderId="17" xfId="63" applyNumberFormat="1" applyFont="1" applyFill="1" applyBorder="1" applyAlignment="1">
      <alignment vertical="center"/>
    </xf>
    <xf numFmtId="168" fontId="25" fillId="46" borderId="11" xfId="63" applyNumberFormat="1" applyFont="1" applyFill="1" applyBorder="1" applyAlignment="1">
      <alignment vertical="center"/>
    </xf>
    <xf numFmtId="9" fontId="25" fillId="46" borderId="11" xfId="59" applyNumberFormat="1" applyFont="1" applyFill="1" applyBorder="1" applyAlignment="1">
      <alignment vertical="center"/>
    </xf>
    <xf numFmtId="167" fontId="25" fillId="46" borderId="11" xfId="63" applyNumberFormat="1" applyFont="1" applyFill="1" applyBorder="1"/>
    <xf numFmtId="0" fontId="25" fillId="46" borderId="8" xfId="55" applyFont="1" applyFill="1" applyBorder="1" applyAlignment="1">
      <alignment horizontal="center"/>
    </xf>
    <xf numFmtId="0" fontId="25" fillId="46" borderId="11" xfId="55" applyFont="1" applyFill="1" applyBorder="1"/>
    <xf numFmtId="0" fontId="26" fillId="46" borderId="11" xfId="54" applyNumberFormat="1" applyFont="1" applyFill="1" applyBorder="1" applyAlignment="1"/>
    <xf numFmtId="0" fontId="24" fillId="46" borderId="11" xfId="54" applyFont="1" applyFill="1" applyBorder="1" applyAlignment="1">
      <alignment horizontal="left" vertical="top" wrapText="1"/>
    </xf>
    <xf numFmtId="41" fontId="24" fillId="46" borderId="11" xfId="32" applyFont="1" applyFill="1" applyBorder="1"/>
    <xf numFmtId="41" fontId="24" fillId="46" borderId="8" xfId="32" applyFont="1" applyFill="1" applyBorder="1" applyAlignment="1">
      <alignment wrapText="1"/>
    </xf>
    <xf numFmtId="14" fontId="24" fillId="46" borderId="29" xfId="32" applyNumberFormat="1" applyFont="1" applyFill="1" applyBorder="1"/>
    <xf numFmtId="41" fontId="24" fillId="46" borderId="18" xfId="32" applyFont="1" applyFill="1" applyBorder="1"/>
    <xf numFmtId="41" fontId="24" fillId="46" borderId="12" xfId="29" applyFont="1" applyFill="1" applyBorder="1" applyAlignment="1">
      <alignment horizontal="center" vertical="center"/>
    </xf>
    <xf numFmtId="167" fontId="24" fillId="46" borderId="13" xfId="63" applyNumberFormat="1" applyFont="1" applyFill="1" applyBorder="1" applyAlignment="1">
      <alignment vertical="center"/>
    </xf>
    <xf numFmtId="167" fontId="24" fillId="46" borderId="14" xfId="63" applyNumberFormat="1" applyFont="1" applyFill="1" applyBorder="1" applyAlignment="1">
      <alignment vertical="center"/>
    </xf>
    <xf numFmtId="168" fontId="25" fillId="46" borderId="14" xfId="63" applyNumberFormat="1" applyFont="1" applyFill="1" applyBorder="1" applyAlignment="1">
      <alignment vertical="center"/>
    </xf>
    <xf numFmtId="9" fontId="25" fillId="46" borderId="14" xfId="71" applyFont="1" applyFill="1" applyBorder="1" applyAlignment="1">
      <alignment vertical="center"/>
    </xf>
    <xf numFmtId="0" fontId="24" fillId="46" borderId="15" xfId="63" applyFont="1" applyFill="1" applyBorder="1"/>
    <xf numFmtId="0" fontId="24" fillId="46" borderId="16" xfId="63" applyFont="1" applyFill="1" applyBorder="1"/>
    <xf numFmtId="0" fontId="24" fillId="46" borderId="0" xfId="63" applyFont="1" applyFill="1"/>
    <xf numFmtId="0" fontId="25" fillId="46" borderId="11" xfId="55" applyFont="1" applyFill="1" applyBorder="1" applyAlignment="1">
      <alignment vertical="center"/>
    </xf>
    <xf numFmtId="0" fontId="24" fillId="46" borderId="11" xfId="54" applyFont="1" applyFill="1" applyBorder="1" applyAlignment="1">
      <alignment horizontal="center" vertical="center" wrapText="1"/>
    </xf>
    <xf numFmtId="171" fontId="25" fillId="46" borderId="8" xfId="55" applyNumberFormat="1" applyFont="1" applyFill="1" applyBorder="1" applyAlignment="1">
      <alignment horizontal="left" vertical="center"/>
    </xf>
    <xf numFmtId="167" fontId="25" fillId="46" borderId="12" xfId="63" applyNumberFormat="1" applyFont="1" applyFill="1" applyBorder="1" applyAlignment="1">
      <alignment vertical="center"/>
    </xf>
    <xf numFmtId="168" fontId="25" fillId="46" borderId="8" xfId="63" applyNumberFormat="1" applyFont="1" applyFill="1" applyBorder="1" applyAlignment="1">
      <alignment vertical="center"/>
    </xf>
    <xf numFmtId="0" fontId="24" fillId="46" borderId="8" xfId="55" applyFont="1" applyFill="1" applyBorder="1" applyAlignment="1">
      <alignment horizontal="center"/>
    </xf>
    <xf numFmtId="0" fontId="25" fillId="46" borderId="11" xfId="63" applyFont="1" applyFill="1" applyBorder="1"/>
    <xf numFmtId="41" fontId="24" fillId="46" borderId="17" xfId="29" applyFont="1" applyFill="1" applyBorder="1" applyAlignment="1">
      <alignment horizontal="center" vertical="center"/>
    </xf>
    <xf numFmtId="41" fontId="24" fillId="46" borderId="17" xfId="29" applyFont="1" applyFill="1" applyBorder="1" applyAlignment="1">
      <alignment vertical="center"/>
    </xf>
    <xf numFmtId="168" fontId="25" fillId="46" borderId="17" xfId="63" applyNumberFormat="1" applyFont="1" applyFill="1" applyBorder="1" applyAlignment="1">
      <alignment vertical="center"/>
    </xf>
    <xf numFmtId="0" fontId="24" fillId="46" borderId="18" xfId="63" applyFont="1" applyFill="1" applyBorder="1"/>
    <xf numFmtId="0" fontId="24" fillId="46" borderId="0" xfId="63" applyFont="1" applyFill="1" applyBorder="1"/>
    <xf numFmtId="0" fontId="25" fillId="46" borderId="0" xfId="63" applyFont="1" applyFill="1" applyBorder="1"/>
    <xf numFmtId="14" fontId="24" fillId="46" borderId="29" xfId="32" applyNumberFormat="1" applyFont="1" applyFill="1" applyBorder="1" applyAlignment="1">
      <alignment horizontal="right"/>
    </xf>
    <xf numFmtId="168" fontId="24" fillId="46" borderId="17" xfId="63" applyNumberFormat="1" applyFont="1" applyFill="1" applyBorder="1" applyAlignment="1">
      <alignment vertical="center"/>
    </xf>
    <xf numFmtId="0" fontId="25" fillId="46" borderId="0" xfId="63" applyFont="1" applyFill="1"/>
    <xf numFmtId="14" fontId="24" fillId="46" borderId="11" xfId="32" applyNumberFormat="1" applyFont="1" applyFill="1" applyBorder="1"/>
    <xf numFmtId="9" fontId="24" fillId="46" borderId="14" xfId="71" applyFont="1" applyFill="1" applyBorder="1" applyAlignment="1">
      <alignment vertical="top"/>
    </xf>
    <xf numFmtId="0" fontId="24" fillId="48" borderId="0" xfId="63" applyFont="1" applyFill="1" applyAlignment="1">
      <alignment wrapText="1"/>
    </xf>
    <xf numFmtId="0" fontId="24" fillId="48" borderId="8" xfId="55" applyFont="1" applyFill="1" applyBorder="1" applyAlignment="1">
      <alignment horizontal="center"/>
    </xf>
    <xf numFmtId="0" fontId="25" fillId="48" borderId="11" xfId="55" applyFont="1" applyFill="1" applyBorder="1" applyAlignment="1">
      <alignment vertical="center"/>
    </xf>
    <xf numFmtId="0" fontId="26" fillId="48" borderId="11" xfId="54" applyNumberFormat="1" applyFont="1" applyFill="1" applyBorder="1" applyAlignment="1">
      <alignment vertical="center"/>
    </xf>
    <xf numFmtId="0" fontId="24" fillId="48" borderId="11" xfId="54" applyFont="1" applyFill="1" applyBorder="1" applyAlignment="1">
      <alignment horizontal="left" vertical="center" wrapText="1"/>
    </xf>
    <xf numFmtId="41" fontId="24" fillId="48" borderId="11" xfId="32" applyFont="1" applyFill="1" applyBorder="1"/>
    <xf numFmtId="0" fontId="25" fillId="48" borderId="11" xfId="55" applyFont="1" applyFill="1" applyBorder="1" applyAlignment="1">
      <alignment horizontal="center"/>
    </xf>
    <xf numFmtId="0" fontId="24" fillId="48" borderId="38" xfId="0" applyFont="1" applyFill="1" applyBorder="1" applyAlignment="1">
      <alignment horizontal="center" vertical="center" wrapText="1"/>
    </xf>
    <xf numFmtId="0" fontId="27" fillId="48" borderId="19" xfId="0" applyFont="1" applyFill="1" applyBorder="1" applyAlignment="1">
      <alignment horizontal="center" vertical="center"/>
    </xf>
    <xf numFmtId="0" fontId="2" fillId="48" borderId="48" xfId="0" applyFont="1" applyFill="1" applyBorder="1" applyAlignment="1">
      <alignment horizontal="left" vertical="center" wrapText="1"/>
    </xf>
    <xf numFmtId="41" fontId="24" fillId="48" borderId="12" xfId="29" applyFont="1" applyFill="1" applyBorder="1" applyAlignment="1">
      <alignment horizontal="center" vertical="center"/>
    </xf>
    <xf numFmtId="41" fontId="27" fillId="48" borderId="19" xfId="30" applyFont="1" applyFill="1" applyBorder="1" applyAlignment="1">
      <alignment horizontal="center" vertical="center" wrapText="1"/>
    </xf>
    <xf numFmtId="41" fontId="24" fillId="48" borderId="11" xfId="59" applyNumberFormat="1" applyFont="1" applyFill="1" applyBorder="1" applyAlignment="1">
      <alignment vertical="center"/>
    </xf>
    <xf numFmtId="167" fontId="24" fillId="48" borderId="14" xfId="63" applyNumberFormat="1" applyFont="1" applyFill="1" applyBorder="1" applyAlignment="1">
      <alignment vertical="center"/>
    </xf>
    <xf numFmtId="167" fontId="24" fillId="48" borderId="17" xfId="63" applyNumberFormat="1" applyFont="1" applyFill="1" applyBorder="1" applyAlignment="1">
      <alignment vertical="center"/>
    </xf>
    <xf numFmtId="167" fontId="24" fillId="48" borderId="11" xfId="63" applyNumberFormat="1" applyFont="1" applyFill="1" applyBorder="1" applyAlignment="1">
      <alignment vertical="center"/>
    </xf>
    <xf numFmtId="168" fontId="24" fillId="48" borderId="17" xfId="63" applyNumberFormat="1" applyFont="1" applyFill="1" applyBorder="1" applyAlignment="1">
      <alignment vertical="center"/>
    </xf>
    <xf numFmtId="167" fontId="24" fillId="48" borderId="17" xfId="63" applyNumberFormat="1" applyFont="1" applyFill="1" applyBorder="1" applyAlignment="1">
      <alignment vertical="top"/>
    </xf>
    <xf numFmtId="0" fontId="24" fillId="48" borderId="15" xfId="63" applyFont="1" applyFill="1" applyBorder="1"/>
    <xf numFmtId="9" fontId="24" fillId="48" borderId="11" xfId="71" applyFont="1" applyFill="1" applyBorder="1"/>
    <xf numFmtId="0" fontId="24" fillId="48" borderId="11" xfId="63" applyFont="1" applyFill="1" applyBorder="1"/>
    <xf numFmtId="0" fontId="24" fillId="48" borderId="14" xfId="63" applyFont="1" applyFill="1" applyBorder="1"/>
    <xf numFmtId="0" fontId="24" fillId="48" borderId="16" xfId="63" applyFont="1" applyFill="1" applyBorder="1"/>
    <xf numFmtId="0" fontId="24" fillId="48" borderId="0" xfId="63" applyFont="1" applyFill="1"/>
    <xf numFmtId="0" fontId="26" fillId="48" borderId="11" xfId="54" applyNumberFormat="1" applyFont="1" applyFill="1" applyBorder="1" applyAlignment="1"/>
    <xf numFmtId="0" fontId="24" fillId="48" borderId="11" xfId="54" applyFont="1" applyFill="1" applyBorder="1" applyAlignment="1">
      <alignment horizontal="left" vertical="top" wrapText="1"/>
    </xf>
    <xf numFmtId="0" fontId="24" fillId="48" borderId="48" xfId="0" applyFont="1" applyFill="1" applyBorder="1" applyAlignment="1">
      <alignment horizontal="center" vertical="center" wrapText="1"/>
    </xf>
    <xf numFmtId="166" fontId="24" fillId="48" borderId="17" xfId="54" applyNumberFormat="1" applyFont="1" applyFill="1" applyBorder="1" applyAlignment="1">
      <alignment horizontal="center" vertical="center"/>
    </xf>
    <xf numFmtId="0" fontId="24" fillId="48" borderId="18" xfId="63" applyFont="1" applyFill="1" applyBorder="1"/>
    <xf numFmtId="0" fontId="24" fillId="48" borderId="0" xfId="63" applyFont="1" applyFill="1" applyBorder="1"/>
    <xf numFmtId="171" fontId="25" fillId="48" borderId="8" xfId="55" applyNumberFormat="1" applyFont="1" applyFill="1" applyBorder="1" applyAlignment="1">
      <alignment horizontal="left" vertical="center"/>
    </xf>
    <xf numFmtId="41" fontId="24" fillId="48" borderId="18" xfId="32" applyFont="1" applyFill="1" applyBorder="1"/>
    <xf numFmtId="0" fontId="24" fillId="48" borderId="11" xfId="54" applyFont="1" applyFill="1" applyBorder="1" applyAlignment="1">
      <alignment horizontal="center"/>
    </xf>
    <xf numFmtId="0" fontId="24" fillId="48" borderId="11" xfId="54" applyFont="1" applyFill="1" applyBorder="1" applyAlignment="1">
      <alignment horizontal="center" vertical="center"/>
    </xf>
    <xf numFmtId="0" fontId="24" fillId="48" borderId="11" xfId="54" applyFont="1" applyFill="1" applyBorder="1" applyAlignment="1">
      <alignment vertical="center" wrapText="1"/>
    </xf>
    <xf numFmtId="167" fontId="25" fillId="48" borderId="17" xfId="63" applyNumberFormat="1" applyFont="1" applyFill="1" applyBorder="1" applyAlignment="1">
      <alignment vertical="center"/>
    </xf>
    <xf numFmtId="168" fontId="25" fillId="48" borderId="11" xfId="63" applyNumberFormat="1" applyFont="1" applyFill="1" applyBorder="1" applyAlignment="1">
      <alignment vertical="center"/>
    </xf>
    <xf numFmtId="168" fontId="25" fillId="48" borderId="11" xfId="63" applyNumberFormat="1" applyFont="1" applyFill="1" applyBorder="1" applyAlignment="1">
      <alignment horizontal="center" vertical="center"/>
    </xf>
    <xf numFmtId="168" fontId="25" fillId="48" borderId="14" xfId="63" applyNumberFormat="1" applyFont="1" applyFill="1" applyBorder="1" applyAlignment="1">
      <alignment horizontal="center" vertical="center"/>
    </xf>
    <xf numFmtId="41" fontId="24" fillId="48" borderId="17" xfId="29" applyFont="1" applyFill="1" applyBorder="1" applyAlignment="1">
      <alignment horizontal="center" vertical="center"/>
    </xf>
    <xf numFmtId="9" fontId="25" fillId="48" borderId="11" xfId="71" applyFont="1" applyFill="1" applyBorder="1"/>
    <xf numFmtId="0" fontId="25" fillId="48" borderId="11" xfId="63" applyFont="1" applyFill="1" applyBorder="1"/>
    <xf numFmtId="0" fontId="25" fillId="48" borderId="14" xfId="63" applyFont="1" applyFill="1" applyBorder="1"/>
    <xf numFmtId="0" fontId="25" fillId="48" borderId="15" xfId="63" applyFont="1" applyFill="1" applyBorder="1"/>
    <xf numFmtId="0" fontId="25" fillId="48" borderId="11" xfId="55" applyFont="1" applyFill="1" applyBorder="1"/>
    <xf numFmtId="0" fontId="25" fillId="48" borderId="11" xfId="55" applyFont="1" applyFill="1" applyBorder="1" applyAlignment="1">
      <alignment vertical="top"/>
    </xf>
    <xf numFmtId="0" fontId="26" fillId="48" borderId="11" xfId="61" applyNumberFormat="1" applyFont="1" applyFill="1" applyBorder="1" applyAlignment="1"/>
    <xf numFmtId="0" fontId="24" fillId="48" borderId="11" xfId="54" quotePrefix="1" applyFont="1" applyFill="1" applyBorder="1" applyAlignment="1">
      <alignment wrapText="1"/>
    </xf>
    <xf numFmtId="0" fontId="24" fillId="48" borderId="8" xfId="54" applyFont="1" applyFill="1" applyBorder="1" applyAlignment="1">
      <alignment horizontal="center"/>
    </xf>
    <xf numFmtId="0" fontId="24" fillId="48" borderId="8" xfId="54" applyFont="1" applyFill="1" applyBorder="1" applyAlignment="1">
      <alignment horizontal="center" vertical="center"/>
    </xf>
    <xf numFmtId="0" fontId="24" fillId="48" borderId="8" xfId="54" applyFont="1" applyFill="1" applyBorder="1" applyAlignment="1">
      <alignment vertical="center" wrapText="1"/>
    </xf>
    <xf numFmtId="166" fontId="24" fillId="48" borderId="12" xfId="54" applyNumberFormat="1" applyFont="1" applyFill="1" applyBorder="1" applyAlignment="1">
      <alignment horizontal="center" vertical="center"/>
    </xf>
    <xf numFmtId="41" fontId="24" fillId="48" borderId="8" xfId="59" applyNumberFormat="1" applyFont="1" applyFill="1" applyBorder="1" applyAlignment="1">
      <alignment vertical="center"/>
    </xf>
    <xf numFmtId="167" fontId="25" fillId="48" borderId="11" xfId="63" applyNumberFormat="1" applyFont="1" applyFill="1" applyBorder="1" applyAlignment="1">
      <alignment vertical="center"/>
    </xf>
    <xf numFmtId="167" fontId="24" fillId="48" borderId="11" xfId="63" applyNumberFormat="1" applyFont="1" applyFill="1" applyBorder="1" applyAlignment="1">
      <alignment vertical="top"/>
    </xf>
    <xf numFmtId="167" fontId="24" fillId="48" borderId="11" xfId="63" applyNumberFormat="1" applyFont="1" applyFill="1" applyBorder="1"/>
    <xf numFmtId="41" fontId="24" fillId="48" borderId="0" xfId="29" applyFont="1" applyFill="1"/>
    <xf numFmtId="0" fontId="25" fillId="48" borderId="8" xfId="55" applyFont="1" applyFill="1" applyBorder="1" applyAlignment="1">
      <alignment vertical="top"/>
    </xf>
    <xf numFmtId="0" fontId="26" fillId="48" borderId="8" xfId="61" applyNumberFormat="1" applyFont="1" applyFill="1" applyBorder="1" applyAlignment="1"/>
    <xf numFmtId="0" fontId="24" fillId="48" borderId="8" xfId="54" quotePrefix="1" applyFont="1" applyFill="1" applyBorder="1" applyAlignment="1">
      <alignment wrapText="1"/>
    </xf>
    <xf numFmtId="41" fontId="24" fillId="48" borderId="8" xfId="32" applyFont="1" applyFill="1" applyBorder="1"/>
    <xf numFmtId="41" fontId="24" fillId="48" borderId="29" xfId="32" applyFont="1" applyFill="1" applyBorder="1"/>
    <xf numFmtId="0" fontId="24" fillId="48" borderId="30" xfId="63" applyFont="1" applyFill="1" applyBorder="1"/>
    <xf numFmtId="167" fontId="24" fillId="48" borderId="30" xfId="63" applyNumberFormat="1" applyFont="1" applyFill="1" applyBorder="1"/>
    <xf numFmtId="167" fontId="24" fillId="48" borderId="30" xfId="63" applyNumberFormat="1" applyFont="1" applyFill="1" applyBorder="1" applyAlignment="1">
      <alignment vertical="top"/>
    </xf>
    <xf numFmtId="166" fontId="24" fillId="48" borderId="8" xfId="54" applyNumberFormat="1" applyFont="1" applyFill="1" applyBorder="1" applyAlignment="1">
      <alignment horizontal="center" vertical="center"/>
    </xf>
    <xf numFmtId="41" fontId="24" fillId="48" borderId="29" xfId="29" applyFont="1" applyFill="1" applyBorder="1" applyAlignment="1">
      <alignment horizontal="center" vertical="center"/>
    </xf>
    <xf numFmtId="167" fontId="24" fillId="48" borderId="29" xfId="63" applyNumberFormat="1" applyFont="1" applyFill="1" applyBorder="1" applyAlignment="1">
      <alignment vertical="center"/>
    </xf>
    <xf numFmtId="0" fontId="24" fillId="48" borderId="29" xfId="63" applyFont="1" applyFill="1" applyBorder="1"/>
    <xf numFmtId="0" fontId="24" fillId="48" borderId="8" xfId="54" applyFont="1" applyFill="1" applyBorder="1" applyAlignment="1">
      <alignment wrapText="1"/>
    </xf>
    <xf numFmtId="167" fontId="25" fillId="48" borderId="8" xfId="63" applyNumberFormat="1" applyFont="1" applyFill="1" applyBorder="1" applyAlignment="1">
      <alignment vertical="center"/>
    </xf>
    <xf numFmtId="168" fontId="25" fillId="48" borderId="8" xfId="63" applyNumberFormat="1" applyFont="1" applyFill="1" applyBorder="1" applyAlignment="1">
      <alignment vertical="center"/>
    </xf>
    <xf numFmtId="167" fontId="24" fillId="48" borderId="8" xfId="63" applyNumberFormat="1" applyFont="1" applyFill="1" applyBorder="1" applyAlignment="1">
      <alignment vertical="center"/>
    </xf>
    <xf numFmtId="167" fontId="24" fillId="48" borderId="8" xfId="63" applyNumberFormat="1" applyFont="1" applyFill="1" applyBorder="1" applyAlignment="1">
      <alignment vertical="top"/>
    </xf>
    <xf numFmtId="0" fontId="26" fillId="48" borderId="8" xfId="54" applyNumberFormat="1" applyFont="1" applyFill="1" applyBorder="1" applyAlignment="1">
      <alignment vertical="center"/>
    </xf>
    <xf numFmtId="0" fontId="28" fillId="48" borderId="11" xfId="59" applyFont="1" applyFill="1" applyBorder="1" applyAlignment="1">
      <alignment horizontal="center" vertical="center"/>
    </xf>
    <xf numFmtId="0" fontId="27" fillId="48" borderId="11" xfId="59" applyFont="1" applyFill="1" applyBorder="1" applyAlignment="1">
      <alignment horizontal="left" vertical="center"/>
    </xf>
    <xf numFmtId="41" fontId="25" fillId="48" borderId="11" xfId="59" applyNumberFormat="1" applyFont="1" applyFill="1" applyBorder="1" applyAlignment="1">
      <alignment vertical="center"/>
    </xf>
    <xf numFmtId="41" fontId="24" fillId="48" borderId="15" xfId="59" applyNumberFormat="1" applyFont="1" applyFill="1" applyBorder="1" applyAlignment="1">
      <alignment vertical="center"/>
    </xf>
    <xf numFmtId="14" fontId="24" fillId="48" borderId="11" xfId="59" applyNumberFormat="1" applyFont="1" applyFill="1" applyBorder="1" applyAlignment="1">
      <alignment vertical="center"/>
    </xf>
    <xf numFmtId="9" fontId="25" fillId="48" borderId="11" xfId="59" applyNumberFormat="1" applyFont="1" applyFill="1" applyBorder="1" applyAlignment="1">
      <alignment vertical="center"/>
    </xf>
    <xf numFmtId="167" fontId="25" fillId="48" borderId="11" xfId="63" applyNumberFormat="1" applyFont="1" applyFill="1" applyBorder="1"/>
    <xf numFmtId="0" fontId="24" fillId="48" borderId="11" xfId="55" applyFont="1" applyFill="1" applyBorder="1" applyAlignment="1">
      <alignment vertical="center"/>
    </xf>
    <xf numFmtId="41" fontId="25" fillId="48" borderId="15" xfId="59" applyNumberFormat="1" applyFont="1" applyFill="1" applyBorder="1" applyAlignment="1">
      <alignment vertical="center"/>
    </xf>
    <xf numFmtId="0" fontId="24" fillId="48" borderId="15" xfId="54" applyFont="1" applyFill="1" applyBorder="1" applyAlignment="1">
      <alignment horizontal="center"/>
    </xf>
    <xf numFmtId="0" fontId="24" fillId="48" borderId="15" xfId="54" applyFont="1" applyFill="1" applyBorder="1" applyAlignment="1">
      <alignment horizontal="center" vertical="center"/>
    </xf>
    <xf numFmtId="0" fontId="24" fillId="48" borderId="15" xfId="54" applyFont="1" applyFill="1" applyBorder="1" applyAlignment="1">
      <alignment vertical="center" wrapText="1"/>
    </xf>
    <xf numFmtId="41" fontId="27" fillId="48" borderId="48" xfId="30" applyFont="1" applyFill="1" applyBorder="1" applyAlignment="1">
      <alignment horizontal="center" vertical="center" wrapText="1"/>
    </xf>
    <xf numFmtId="171" fontId="24" fillId="48" borderId="8" xfId="55" applyNumberFormat="1" applyFont="1" applyFill="1" applyBorder="1" applyAlignment="1">
      <alignment horizontal="left" vertical="center"/>
    </xf>
    <xf numFmtId="0" fontId="28" fillId="48" borderId="11" xfId="59" applyFont="1" applyFill="1" applyBorder="1" applyAlignment="1">
      <alignment horizontal="left" vertical="center"/>
    </xf>
    <xf numFmtId="0" fontId="24" fillId="48" borderId="17" xfId="63" applyFont="1" applyFill="1" applyBorder="1"/>
    <xf numFmtId="0" fontId="28" fillId="48" borderId="8" xfId="59" applyFont="1" applyFill="1" applyBorder="1" applyAlignment="1">
      <alignment horizontal="center" vertical="center"/>
    </xf>
    <xf numFmtId="0" fontId="27" fillId="48" borderId="8" xfId="59" applyFont="1" applyFill="1" applyBorder="1" applyAlignment="1">
      <alignment horizontal="left" vertical="center"/>
    </xf>
    <xf numFmtId="41" fontId="25" fillId="48" borderId="8" xfId="59" applyNumberFormat="1" applyFont="1" applyFill="1" applyBorder="1" applyAlignment="1">
      <alignment vertical="center"/>
    </xf>
    <xf numFmtId="167" fontId="25" fillId="48" borderId="12" xfId="63" applyNumberFormat="1" applyFont="1" applyFill="1" applyBorder="1" applyAlignment="1">
      <alignment vertical="center"/>
    </xf>
    <xf numFmtId="168" fontId="25" fillId="48" borderId="8" xfId="63" applyNumberFormat="1" applyFont="1" applyFill="1" applyBorder="1" applyAlignment="1">
      <alignment horizontal="center" vertical="center"/>
    </xf>
    <xf numFmtId="168" fontId="25" fillId="48" borderId="22" xfId="63" applyNumberFormat="1" applyFont="1" applyFill="1" applyBorder="1" applyAlignment="1">
      <alignment horizontal="center" vertical="center"/>
    </xf>
    <xf numFmtId="167" fontId="25" fillId="48" borderId="8" xfId="63" applyNumberFormat="1" applyFont="1" applyFill="1" applyBorder="1"/>
    <xf numFmtId="41" fontId="25" fillId="48" borderId="11" xfId="63" applyNumberFormat="1" applyFont="1" applyFill="1" applyBorder="1"/>
    <xf numFmtId="41" fontId="25" fillId="48" borderId="18" xfId="63" applyNumberFormat="1" applyFont="1" applyFill="1" applyBorder="1"/>
    <xf numFmtId="0" fontId="28" fillId="48" borderId="8" xfId="59" applyFont="1" applyFill="1" applyBorder="1" applyAlignment="1">
      <alignment horizontal="left" vertical="center"/>
    </xf>
    <xf numFmtId="167" fontId="24" fillId="48" borderId="22" xfId="63" applyNumberFormat="1" applyFont="1" applyFill="1" applyBorder="1" applyAlignment="1">
      <alignment vertical="center"/>
    </xf>
    <xf numFmtId="41" fontId="24" fillId="48" borderId="12" xfId="59" applyNumberFormat="1" applyFont="1" applyFill="1" applyBorder="1" applyAlignment="1">
      <alignment vertical="center"/>
    </xf>
    <xf numFmtId="9" fontId="24" fillId="48" borderId="11" xfId="71" applyFont="1" applyFill="1" applyBorder="1" applyAlignment="1">
      <alignment horizontal="center"/>
    </xf>
    <xf numFmtId="0" fontId="24" fillId="48" borderId="11" xfId="63" applyFont="1" applyFill="1" applyBorder="1" applyAlignment="1">
      <alignment horizontal="center"/>
    </xf>
    <xf numFmtId="41" fontId="25" fillId="48" borderId="29" xfId="59" applyNumberFormat="1" applyFont="1" applyFill="1" applyBorder="1" applyAlignment="1">
      <alignment vertical="center"/>
    </xf>
    <xf numFmtId="9" fontId="25" fillId="48" borderId="8" xfId="59" applyNumberFormat="1" applyFont="1" applyFill="1" applyBorder="1" applyAlignment="1">
      <alignment vertical="center"/>
    </xf>
    <xf numFmtId="0" fontId="0" fillId="48" borderId="19" xfId="0" applyFont="1" applyFill="1" applyBorder="1" applyAlignment="1">
      <alignment horizontal="center" vertical="center" wrapText="1"/>
    </xf>
    <xf numFmtId="0" fontId="0" fillId="48" borderId="19" xfId="0" applyFont="1" applyFill="1" applyBorder="1" applyAlignment="1">
      <alignment vertical="center" wrapText="1"/>
    </xf>
    <xf numFmtId="41" fontId="4" fillId="48" borderId="19" xfId="30" applyFont="1" applyFill="1" applyBorder="1" applyAlignment="1">
      <alignment horizontal="center" vertical="center" wrapText="1"/>
    </xf>
    <xf numFmtId="41" fontId="28" fillId="48" borderId="19" xfId="30" applyFont="1" applyFill="1" applyBorder="1" applyAlignment="1">
      <alignment horizontal="center" vertical="center" wrapText="1"/>
    </xf>
    <xf numFmtId="0" fontId="0" fillId="48" borderId="29" xfId="0" applyFont="1" applyFill="1" applyBorder="1" applyAlignment="1">
      <alignment horizontal="center" vertical="center" wrapText="1"/>
    </xf>
    <xf numFmtId="0" fontId="0" fillId="48" borderId="29" xfId="0" applyFont="1" applyFill="1" applyBorder="1" applyAlignment="1">
      <alignment vertical="center" wrapText="1"/>
    </xf>
    <xf numFmtId="41" fontId="4" fillId="48" borderId="29" xfId="30" applyFont="1" applyFill="1" applyBorder="1" applyAlignment="1">
      <alignment horizontal="center" vertical="center" wrapText="1"/>
    </xf>
    <xf numFmtId="41" fontId="28" fillId="48" borderId="29" xfId="30" applyFont="1" applyFill="1" applyBorder="1" applyAlignment="1">
      <alignment horizontal="center" vertical="center" wrapText="1"/>
    </xf>
    <xf numFmtId="0" fontId="0" fillId="48" borderId="29" xfId="0" applyFill="1" applyBorder="1" applyAlignment="1">
      <alignment horizontal="center" vertical="center" wrapText="1"/>
    </xf>
    <xf numFmtId="0" fontId="0" fillId="48" borderId="29" xfId="0" applyFill="1" applyBorder="1" applyAlignment="1">
      <alignment vertical="center" wrapText="1"/>
    </xf>
    <xf numFmtId="167" fontId="25" fillId="48" borderId="14" xfId="63" applyNumberFormat="1" applyFont="1" applyFill="1" applyBorder="1" applyAlignment="1">
      <alignment vertical="center"/>
    </xf>
    <xf numFmtId="168" fontId="25" fillId="48" borderId="15" xfId="63" applyNumberFormat="1" applyFont="1" applyFill="1" applyBorder="1" applyAlignment="1">
      <alignment vertical="center"/>
    </xf>
    <xf numFmtId="167" fontId="25" fillId="48" borderId="22" xfId="63" applyNumberFormat="1" applyFont="1" applyFill="1" applyBorder="1" applyAlignment="1">
      <alignment vertical="center"/>
    </xf>
    <xf numFmtId="168" fontId="25" fillId="48" borderId="2" xfId="63" applyNumberFormat="1" applyFont="1" applyFill="1" applyBorder="1" applyAlignment="1">
      <alignment vertical="center"/>
    </xf>
    <xf numFmtId="0" fontId="28" fillId="48" borderId="15" xfId="59" applyFont="1" applyFill="1" applyBorder="1" applyAlignment="1">
      <alignment horizontal="center" vertical="center"/>
    </xf>
    <xf numFmtId="0" fontId="28" fillId="48" borderId="15" xfId="59" applyFont="1" applyFill="1" applyBorder="1" applyAlignment="1">
      <alignment horizontal="left" vertical="center"/>
    </xf>
    <xf numFmtId="0" fontId="27" fillId="48" borderId="15" xfId="59" applyFont="1" applyFill="1" applyBorder="1" applyAlignment="1">
      <alignment horizontal="left" vertical="center"/>
    </xf>
    <xf numFmtId="0" fontId="25" fillId="48" borderId="15" xfId="54" applyFont="1" applyFill="1" applyBorder="1" applyAlignment="1">
      <alignment horizontal="center"/>
    </xf>
    <xf numFmtId="167" fontId="25" fillId="48" borderId="15" xfId="63" applyNumberFormat="1" applyFont="1" applyFill="1" applyBorder="1"/>
    <xf numFmtId="41" fontId="24" fillId="48" borderId="11" xfId="63" applyNumberFormat="1" applyFont="1" applyFill="1" applyBorder="1"/>
    <xf numFmtId="14" fontId="24" fillId="48" borderId="11" xfId="32" applyNumberFormat="1" applyFont="1" applyFill="1" applyBorder="1"/>
    <xf numFmtId="0" fontId="24" fillId="48" borderId="11" xfId="54" applyFont="1" applyFill="1" applyBorder="1" applyAlignment="1">
      <alignment horizontal="center" wrapText="1"/>
    </xf>
    <xf numFmtId="0" fontId="24" fillId="48" borderId="11" xfId="54" applyFont="1" applyFill="1" applyBorder="1" applyAlignment="1">
      <alignment horizontal="center" vertical="center" wrapText="1"/>
    </xf>
    <xf numFmtId="167" fontId="24" fillId="48" borderId="17" xfId="28" applyNumberFormat="1" applyFont="1" applyFill="1" applyBorder="1" applyAlignment="1">
      <alignment horizontal="center" vertical="center"/>
    </xf>
    <xf numFmtId="167" fontId="24" fillId="48" borderId="13" xfId="63" applyNumberFormat="1" applyFont="1" applyFill="1" applyBorder="1" applyAlignment="1">
      <alignment vertical="center"/>
    </xf>
    <xf numFmtId="9" fontId="24" fillId="48" borderId="14" xfId="71" applyFont="1" applyFill="1" applyBorder="1" applyAlignment="1">
      <alignment vertical="top"/>
    </xf>
    <xf numFmtId="0" fontId="24" fillId="48" borderId="11" xfId="54" applyFont="1" applyFill="1" applyBorder="1" applyAlignment="1">
      <alignment horizontal="center" vertical="top" wrapText="1"/>
    </xf>
    <xf numFmtId="0" fontId="24" fillId="48" borderId="8" xfId="54" applyFont="1" applyFill="1" applyBorder="1" applyAlignment="1">
      <alignment horizontal="center" vertical="center" wrapText="1"/>
    </xf>
    <xf numFmtId="9" fontId="24" fillId="48" borderId="17" xfId="71" applyFont="1" applyFill="1" applyBorder="1" applyAlignment="1">
      <alignment vertical="top"/>
    </xf>
    <xf numFmtId="0" fontId="25" fillId="48" borderId="8" xfId="55" applyFont="1" applyFill="1" applyBorder="1"/>
    <xf numFmtId="0" fontId="26" fillId="48" borderId="8" xfId="54" applyNumberFormat="1" applyFont="1" applyFill="1" applyBorder="1" applyAlignment="1"/>
    <xf numFmtId="0" fontId="24" fillId="48" borderId="8" xfId="54" applyFont="1" applyFill="1" applyBorder="1" applyAlignment="1">
      <alignment horizontal="left" vertical="top" wrapText="1"/>
    </xf>
    <xf numFmtId="167" fontId="24" fillId="48" borderId="29" xfId="28" applyNumberFormat="1" applyFont="1" applyFill="1" applyBorder="1" applyAlignment="1">
      <alignment horizontal="center" vertical="center"/>
    </xf>
    <xf numFmtId="168" fontId="25" fillId="48" borderId="17" xfId="63" applyNumberFormat="1" applyFont="1" applyFill="1" applyBorder="1" applyAlignment="1">
      <alignment horizontal="center" vertical="center"/>
    </xf>
    <xf numFmtId="41" fontId="24" fillId="48" borderId="11" xfId="32" applyFont="1" applyFill="1" applyBorder="1" applyAlignment="1">
      <alignment wrapText="1"/>
    </xf>
    <xf numFmtId="9" fontId="24" fillId="48" borderId="17" xfId="71" applyFont="1" applyFill="1" applyBorder="1" applyAlignment="1">
      <alignment vertical="center"/>
    </xf>
    <xf numFmtId="0" fontId="24" fillId="48" borderId="8" xfId="54" applyFont="1" applyFill="1" applyBorder="1" applyAlignment="1">
      <alignment horizontal="center" vertical="top" wrapText="1"/>
    </xf>
    <xf numFmtId="167" fontId="24" fillId="48" borderId="12" xfId="63" applyNumberFormat="1" applyFont="1" applyFill="1" applyBorder="1" applyAlignment="1">
      <alignment vertical="center"/>
    </xf>
    <xf numFmtId="168" fontId="24" fillId="48" borderId="29" xfId="63" applyNumberFormat="1" applyFont="1" applyFill="1" applyBorder="1" applyAlignment="1">
      <alignment vertical="center"/>
    </xf>
    <xf numFmtId="168" fontId="24" fillId="48" borderId="15" xfId="63" applyNumberFormat="1" applyFont="1" applyFill="1" applyBorder="1" applyAlignment="1">
      <alignment vertical="center"/>
    </xf>
    <xf numFmtId="9" fontId="24" fillId="48" borderId="15" xfId="71" applyFont="1" applyFill="1" applyBorder="1" applyAlignment="1">
      <alignment vertical="center"/>
    </xf>
    <xf numFmtId="0" fontId="24" fillId="48" borderId="8" xfId="54" applyFont="1" applyFill="1" applyBorder="1" applyAlignment="1">
      <alignment horizontal="left" vertical="center" wrapText="1"/>
    </xf>
    <xf numFmtId="168" fontId="24" fillId="48" borderId="22" xfId="63" applyNumberFormat="1" applyFont="1" applyFill="1" applyBorder="1" applyAlignment="1">
      <alignment horizontal="center" vertical="center"/>
    </xf>
    <xf numFmtId="41" fontId="24" fillId="48" borderId="22" xfId="59" applyNumberFormat="1" applyFont="1" applyFill="1" applyBorder="1" applyAlignment="1">
      <alignment vertical="center"/>
    </xf>
    <xf numFmtId="9" fontId="24" fillId="48" borderId="29" xfId="71" applyFont="1" applyFill="1" applyBorder="1" applyAlignment="1">
      <alignment vertical="center"/>
    </xf>
    <xf numFmtId="41" fontId="24" fillId="48" borderId="8" xfId="29" applyFont="1" applyFill="1" applyBorder="1" applyAlignment="1">
      <alignment horizontal="center" vertical="center"/>
    </xf>
    <xf numFmtId="0" fontId="24" fillId="48" borderId="8" xfId="54" applyFont="1" applyFill="1" applyBorder="1" applyAlignment="1">
      <alignment horizontal="center" wrapText="1"/>
    </xf>
    <xf numFmtId="41" fontId="24" fillId="48" borderId="14" xfId="59" applyNumberFormat="1" applyFont="1" applyFill="1" applyBorder="1" applyAlignment="1">
      <alignment vertical="center"/>
    </xf>
    <xf numFmtId="0" fontId="25" fillId="48" borderId="8" xfId="55" applyFont="1" applyFill="1" applyBorder="1" applyAlignment="1">
      <alignment horizontal="center"/>
    </xf>
    <xf numFmtId="168" fontId="24" fillId="48" borderId="14" xfId="63" applyNumberFormat="1" applyFont="1" applyFill="1" applyBorder="1" applyAlignment="1">
      <alignment vertical="center"/>
    </xf>
    <xf numFmtId="0" fontId="24" fillId="46" borderId="11" xfId="54" applyFont="1" applyFill="1" applyBorder="1" applyAlignment="1">
      <alignment horizontal="center" vertical="top" wrapText="1"/>
    </xf>
    <xf numFmtId="41" fontId="24" fillId="46" borderId="13" xfId="29" applyFont="1" applyFill="1" applyBorder="1" applyAlignment="1">
      <alignment vertical="center"/>
    </xf>
    <xf numFmtId="0" fontId="27" fillId="48" borderId="19" xfId="0" applyFont="1" applyFill="1" applyBorder="1" applyAlignment="1">
      <alignment horizontal="left" vertical="center" wrapText="1"/>
    </xf>
    <xf numFmtId="0" fontId="27" fillId="48" borderId="19" xfId="0" applyFont="1" applyFill="1" applyBorder="1" applyAlignment="1">
      <alignment vertical="center" wrapText="1"/>
    </xf>
    <xf numFmtId="168" fontId="24" fillId="48" borderId="11" xfId="63" applyNumberFormat="1" applyFont="1" applyFill="1" applyBorder="1" applyAlignment="1">
      <alignment vertical="center"/>
    </xf>
    <xf numFmtId="41" fontId="24" fillId="48" borderId="17" xfId="29" applyFont="1" applyFill="1" applyBorder="1" applyAlignment="1">
      <alignment vertical="center"/>
    </xf>
    <xf numFmtId="41" fontId="24" fillId="48" borderId="8" xfId="32" applyFont="1" applyFill="1" applyBorder="1" applyAlignment="1">
      <alignment wrapText="1"/>
    </xf>
    <xf numFmtId="168" fontId="25" fillId="48" borderId="17" xfId="63" applyNumberFormat="1" applyFont="1" applyFill="1" applyBorder="1" applyAlignment="1">
      <alignment vertical="center"/>
    </xf>
    <xf numFmtId="41" fontId="24" fillId="48" borderId="13" xfId="29" applyFont="1" applyFill="1" applyBorder="1" applyAlignment="1">
      <alignment vertical="center"/>
    </xf>
    <xf numFmtId="43" fontId="24" fillId="0" borderId="0" xfId="63" applyNumberFormat="1" applyFont="1" applyAlignment="1">
      <alignment vertical="center"/>
    </xf>
    <xf numFmtId="9" fontId="24" fillId="49" borderId="17" xfId="29" applyNumberFormat="1" applyFont="1" applyFill="1" applyBorder="1" applyAlignment="1">
      <alignment vertical="center"/>
    </xf>
    <xf numFmtId="9" fontId="24" fillId="49" borderId="29" xfId="29" applyNumberFormat="1" applyFont="1" applyFill="1" applyBorder="1" applyAlignment="1">
      <alignment vertical="center"/>
    </xf>
    <xf numFmtId="9" fontId="24" fillId="49" borderId="29" xfId="71" applyFont="1" applyFill="1" applyBorder="1" applyAlignment="1">
      <alignment vertical="center"/>
    </xf>
    <xf numFmtId="9" fontId="24" fillId="49" borderId="0" xfId="29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38" xfId="0" applyFill="1" applyBorder="1" applyAlignment="1">
      <alignment horizontal="center"/>
    </xf>
    <xf numFmtId="0" fontId="22" fillId="41" borderId="6" xfId="0" applyFont="1" applyFill="1" applyBorder="1" applyAlignment="1">
      <alignment horizontal="center" vertical="center"/>
    </xf>
    <xf numFmtId="0" fontId="22" fillId="41" borderId="61" xfId="0" applyFont="1" applyFill="1" applyBorder="1" applyAlignment="1">
      <alignment horizontal="center" vertical="center"/>
    </xf>
    <xf numFmtId="0" fontId="22" fillId="41" borderId="18" xfId="0" applyFont="1" applyFill="1" applyBorder="1" applyAlignment="1">
      <alignment horizontal="center" vertical="center"/>
    </xf>
    <xf numFmtId="0" fontId="22" fillId="41" borderId="38" xfId="0" applyFont="1" applyFill="1" applyBorder="1" applyAlignment="1">
      <alignment horizontal="center" vertical="center"/>
    </xf>
    <xf numFmtId="0" fontId="22" fillId="41" borderId="35" xfId="0" applyFont="1" applyFill="1" applyBorder="1" applyAlignment="1">
      <alignment horizontal="center" vertical="center"/>
    </xf>
    <xf numFmtId="0" fontId="22" fillId="41" borderId="62" xfId="0" applyFont="1" applyFill="1" applyBorder="1" applyAlignment="1">
      <alignment horizontal="center" vertical="center"/>
    </xf>
    <xf numFmtId="0" fontId="33" fillId="0" borderId="0" xfId="55" applyFont="1" applyFill="1" applyAlignment="1">
      <alignment horizontal="center"/>
    </xf>
    <xf numFmtId="0" fontId="25" fillId="0" borderId="0" xfId="55" applyFont="1" applyFill="1" applyAlignment="1">
      <alignment horizontal="center"/>
    </xf>
    <xf numFmtId="0" fontId="25" fillId="0" borderId="1" xfId="55" applyFont="1" applyFill="1" applyBorder="1" applyAlignment="1">
      <alignment horizontal="center" vertical="center"/>
    </xf>
    <xf numFmtId="0" fontId="25" fillId="0" borderId="2" xfId="55" applyFont="1" applyFill="1" applyBorder="1" applyAlignment="1">
      <alignment horizontal="center" vertical="center"/>
    </xf>
    <xf numFmtId="0" fontId="25" fillId="0" borderId="5" xfId="55" applyFont="1" applyFill="1" applyBorder="1" applyAlignment="1">
      <alignment horizontal="center" vertical="center"/>
    </xf>
    <xf numFmtId="0" fontId="25" fillId="0" borderId="63" xfId="55" applyFont="1" applyFill="1" applyBorder="1" applyAlignment="1">
      <alignment horizontal="center"/>
    </xf>
    <xf numFmtId="0" fontId="25" fillId="0" borderId="56" xfId="55" applyFont="1" applyFill="1" applyBorder="1" applyAlignment="1">
      <alignment horizontal="center"/>
    </xf>
    <xf numFmtId="0" fontId="25" fillId="0" borderId="57" xfId="55" applyFont="1" applyFill="1" applyBorder="1" applyAlignment="1">
      <alignment horizontal="center"/>
    </xf>
    <xf numFmtId="0" fontId="25" fillId="0" borderId="63" xfId="55" applyFont="1" applyFill="1" applyBorder="1" applyAlignment="1">
      <alignment horizontal="center" vertical="center"/>
    </xf>
    <xf numFmtId="0" fontId="25" fillId="0" borderId="57" xfId="55" applyFont="1" applyFill="1" applyBorder="1" applyAlignment="1">
      <alignment horizontal="center" vertical="center"/>
    </xf>
    <xf numFmtId="0" fontId="25" fillId="0" borderId="6" xfId="55" applyFont="1" applyFill="1" applyBorder="1" applyAlignment="1">
      <alignment horizontal="center" vertical="center"/>
    </xf>
    <xf numFmtId="0" fontId="25" fillId="0" borderId="7" xfId="55" applyFont="1" applyFill="1" applyBorder="1" applyAlignment="1">
      <alignment horizontal="center" vertical="center"/>
    </xf>
    <xf numFmtId="0" fontId="25" fillId="0" borderId="9" xfId="63" applyFont="1" applyBorder="1" applyAlignment="1">
      <alignment horizontal="center" vertical="center"/>
    </xf>
    <xf numFmtId="0" fontId="25" fillId="0" borderId="21" xfId="63" applyFont="1" applyBorder="1" applyAlignment="1">
      <alignment horizontal="center" vertical="center"/>
    </xf>
    <xf numFmtId="0" fontId="25" fillId="0" borderId="10" xfId="63" applyFont="1" applyBorder="1" applyAlignment="1">
      <alignment horizontal="center" vertical="center"/>
    </xf>
    <xf numFmtId="0" fontId="25" fillId="0" borderId="1" xfId="55" applyFont="1" applyFill="1" applyBorder="1" applyAlignment="1">
      <alignment horizontal="center" vertical="center" wrapText="1"/>
    </xf>
    <xf numFmtId="0" fontId="25" fillId="0" borderId="5" xfId="55" applyFont="1" applyFill="1" applyBorder="1" applyAlignment="1">
      <alignment horizontal="center" vertical="center" wrapText="1"/>
    </xf>
    <xf numFmtId="0" fontId="25" fillId="0" borderId="4" xfId="63" applyFont="1" applyBorder="1" applyAlignment="1">
      <alignment horizontal="center" vertical="center"/>
    </xf>
    <xf numFmtId="0" fontId="25" fillId="0" borderId="1" xfId="63" applyFont="1" applyBorder="1" applyAlignment="1">
      <alignment horizontal="center" vertical="center"/>
    </xf>
    <xf numFmtId="0" fontId="25" fillId="0" borderId="2" xfId="63" applyFont="1" applyBorder="1" applyAlignment="1">
      <alignment horizontal="center" vertical="center"/>
    </xf>
    <xf numFmtId="0" fontId="25" fillId="0" borderId="5" xfId="63" applyFont="1" applyBorder="1" applyAlignment="1">
      <alignment horizontal="center" vertical="center"/>
    </xf>
    <xf numFmtId="0" fontId="24" fillId="0" borderId="36" xfId="63" applyFont="1" applyBorder="1" applyAlignment="1">
      <alignment horizontal="center"/>
    </xf>
    <xf numFmtId="0" fontId="24" fillId="0" borderId="37" xfId="63" applyFont="1" applyBorder="1" applyAlignment="1">
      <alignment horizontal="center"/>
    </xf>
    <xf numFmtId="0" fontId="24" fillId="0" borderId="27" xfId="63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28" fillId="0" borderId="21" xfId="0" applyFont="1" applyBorder="1" applyAlignment="1">
      <alignment horizontal="center"/>
    </xf>
    <xf numFmtId="0" fontId="25" fillId="0" borderId="2" xfId="55" applyFont="1" applyFill="1" applyBorder="1" applyAlignment="1">
      <alignment horizontal="center" vertical="center" wrapText="1"/>
    </xf>
    <xf numFmtId="0" fontId="24" fillId="0" borderId="18" xfId="63" applyFont="1" applyBorder="1" applyAlignment="1">
      <alignment horizontal="center"/>
    </xf>
    <xf numFmtId="0" fontId="24" fillId="0" borderId="30" xfId="63" applyFont="1" applyBorder="1" applyAlignment="1">
      <alignment horizontal="center"/>
    </xf>
    <xf numFmtId="0" fontId="24" fillId="0" borderId="17" xfId="63" applyFont="1" applyBorder="1" applyAlignment="1">
      <alignment horizontal="center"/>
    </xf>
    <xf numFmtId="0" fontId="25" fillId="0" borderId="63" xfId="63" applyFont="1" applyBorder="1" applyAlignment="1">
      <alignment horizontal="center" vertical="center"/>
    </xf>
    <xf numFmtId="0" fontId="25" fillId="0" borderId="56" xfId="63" applyFont="1" applyBorder="1" applyAlignment="1">
      <alignment horizontal="center" vertical="center"/>
    </xf>
    <xf numFmtId="0" fontId="25" fillId="0" borderId="3" xfId="63" applyFont="1" applyBorder="1" applyAlignment="1">
      <alignment horizontal="center" vertical="center"/>
    </xf>
    <xf numFmtId="0" fontId="25" fillId="0" borderId="0" xfId="63" applyFont="1" applyBorder="1" applyAlignment="1">
      <alignment horizontal="center" vertical="center"/>
    </xf>
    <xf numFmtId="0" fontId="25" fillId="0" borderId="1" xfId="63" applyFont="1" applyBorder="1" applyAlignment="1">
      <alignment horizontal="center" vertical="center" wrapText="1"/>
    </xf>
    <xf numFmtId="0" fontId="25" fillId="0" borderId="2" xfId="63" applyFont="1" applyBorder="1" applyAlignment="1">
      <alignment horizontal="center" vertical="center" wrapText="1"/>
    </xf>
    <xf numFmtId="0" fontId="25" fillId="0" borderId="5" xfId="63" applyFont="1" applyBorder="1" applyAlignment="1">
      <alignment horizontal="center" vertical="center" wrapText="1"/>
    </xf>
    <xf numFmtId="9" fontId="25" fillId="0" borderId="1" xfId="71" applyFont="1" applyBorder="1" applyAlignment="1">
      <alignment horizontal="center" vertical="center" wrapText="1"/>
    </xf>
    <xf numFmtId="9" fontId="25" fillId="0" borderId="2" xfId="71" applyFont="1" applyBorder="1" applyAlignment="1">
      <alignment horizontal="center" vertical="center" wrapText="1"/>
    </xf>
    <xf numFmtId="9" fontId="25" fillId="0" borderId="5" xfId="71" applyFont="1" applyBorder="1" applyAlignment="1">
      <alignment horizontal="center" vertical="center" wrapText="1"/>
    </xf>
    <xf numFmtId="0" fontId="25" fillId="0" borderId="36" xfId="63" applyFont="1" applyBorder="1" applyAlignment="1">
      <alignment horizontal="center"/>
    </xf>
    <xf numFmtId="0" fontId="25" fillId="0" borderId="37" xfId="63" applyFont="1" applyBorder="1" applyAlignment="1">
      <alignment horizontal="center"/>
    </xf>
    <xf numFmtId="0" fontId="25" fillId="0" borderId="57" xfId="63" applyFont="1" applyBorder="1" applyAlignment="1">
      <alignment horizontal="center" vertical="center" wrapText="1"/>
    </xf>
    <xf numFmtId="0" fontId="25" fillId="0" borderId="7" xfId="63" applyFont="1" applyBorder="1" applyAlignment="1">
      <alignment horizontal="center" vertical="center" wrapText="1"/>
    </xf>
    <xf numFmtId="0" fontId="25" fillId="0" borderId="35" xfId="63" applyFont="1" applyBorder="1" applyAlignment="1">
      <alignment horizontal="center"/>
    </xf>
    <xf numFmtId="0" fontId="25" fillId="0" borderId="64" xfId="63" applyFont="1" applyBorder="1" applyAlignment="1">
      <alignment horizontal="center"/>
    </xf>
    <xf numFmtId="0" fontId="25" fillId="0" borderId="58" xfId="63" applyFont="1" applyBorder="1" applyAlignment="1">
      <alignment horizontal="center"/>
    </xf>
    <xf numFmtId="0" fontId="28" fillId="35" borderId="9" xfId="59" applyFont="1" applyFill="1" applyBorder="1" applyAlignment="1">
      <alignment horizontal="center" vertical="center"/>
    </xf>
    <xf numFmtId="0" fontId="28" fillId="35" borderId="21" xfId="59" applyFont="1" applyFill="1" applyBorder="1" applyAlignment="1">
      <alignment horizontal="center" vertical="center"/>
    </xf>
    <xf numFmtId="0" fontId="28" fillId="35" borderId="10" xfId="59" applyFont="1" applyFill="1" applyBorder="1" applyAlignment="1">
      <alignment horizontal="center" vertical="center"/>
    </xf>
    <xf numFmtId="0" fontId="25" fillId="0" borderId="9" xfId="55" applyFont="1" applyFill="1" applyBorder="1" applyAlignment="1">
      <alignment horizontal="center"/>
    </xf>
    <xf numFmtId="0" fontId="0" fillId="0" borderId="21" xfId="0" applyBorder="1"/>
    <xf numFmtId="0" fontId="0" fillId="0" borderId="10" xfId="0" applyBorder="1"/>
    <xf numFmtId="0" fontId="28" fillId="0" borderId="10" xfId="0" applyFont="1" applyBorder="1" applyAlignment="1">
      <alignment horizontal="center"/>
    </xf>
    <xf numFmtId="0" fontId="25" fillId="0" borderId="63" xfId="63" applyFont="1" applyBorder="1" applyAlignment="1">
      <alignment horizontal="center" vertical="center" wrapText="1"/>
    </xf>
    <xf numFmtId="0" fontId="25" fillId="0" borderId="3" xfId="63" applyFont="1" applyBorder="1" applyAlignment="1">
      <alignment horizontal="center" vertical="center" wrapText="1"/>
    </xf>
    <xf numFmtId="0" fontId="25" fillId="0" borderId="22" xfId="63" applyFont="1" applyBorder="1" applyAlignment="1">
      <alignment horizontal="center" vertical="center" wrapText="1"/>
    </xf>
    <xf numFmtId="165" fontId="25" fillId="0" borderId="1" xfId="63" applyNumberFormat="1" applyFont="1" applyBorder="1" applyAlignment="1">
      <alignment horizontal="center" vertical="center"/>
    </xf>
    <xf numFmtId="165" fontId="25" fillId="0" borderId="5" xfId="63" applyNumberFormat="1" applyFont="1" applyBorder="1" applyAlignment="1">
      <alignment horizontal="center" vertical="center"/>
    </xf>
    <xf numFmtId="0" fontId="25" fillId="36" borderId="9" xfId="63" applyFont="1" applyFill="1" applyBorder="1" applyAlignment="1">
      <alignment horizontal="center"/>
    </xf>
    <xf numFmtId="0" fontId="25" fillId="36" borderId="21" xfId="63" applyFont="1" applyFill="1" applyBorder="1" applyAlignment="1">
      <alignment horizontal="center"/>
    </xf>
    <xf numFmtId="0" fontId="25" fillId="36" borderId="10" xfId="63" applyFont="1" applyFill="1" applyBorder="1" applyAlignment="1">
      <alignment horizontal="center"/>
    </xf>
    <xf numFmtId="0" fontId="25" fillId="34" borderId="8" xfId="55" applyFont="1" applyFill="1" applyBorder="1" applyAlignment="1">
      <alignment horizontal="center" vertical="center" wrapText="1"/>
    </xf>
    <xf numFmtId="0" fontId="25" fillId="34" borderId="2" xfId="55" applyFont="1" applyFill="1" applyBorder="1" applyAlignment="1">
      <alignment horizontal="center" vertical="center" wrapText="1"/>
    </xf>
    <xf numFmtId="0" fontId="25" fillId="34" borderId="15" xfId="55" applyFont="1" applyFill="1" applyBorder="1" applyAlignment="1">
      <alignment horizontal="center" vertical="center" wrapText="1"/>
    </xf>
    <xf numFmtId="0" fontId="25" fillId="0" borderId="21" xfId="55" applyFont="1" applyFill="1" applyBorder="1" applyAlignment="1">
      <alignment horizontal="center"/>
    </xf>
    <xf numFmtId="0" fontId="25" fillId="0" borderId="10" xfId="55" applyFont="1" applyFill="1" applyBorder="1" applyAlignment="1">
      <alignment horizontal="center"/>
    </xf>
    <xf numFmtId="0" fontId="28" fillId="0" borderId="9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5" fillId="34" borderId="8" xfId="55" applyFont="1" applyFill="1" applyBorder="1" applyAlignment="1">
      <alignment horizontal="center" wrapText="1"/>
    </xf>
    <xf numFmtId="0" fontId="25" fillId="34" borderId="2" xfId="55" applyFont="1" applyFill="1" applyBorder="1" applyAlignment="1">
      <alignment horizontal="center" wrapText="1"/>
    </xf>
    <xf numFmtId="0" fontId="25" fillId="34" borderId="15" xfId="55" applyFont="1" applyFill="1" applyBorder="1" applyAlignment="1">
      <alignment horizontal="center" wrapText="1"/>
    </xf>
    <xf numFmtId="0" fontId="28" fillId="48" borderId="8" xfId="59" applyFont="1" applyFill="1" applyBorder="1" applyAlignment="1">
      <alignment horizontal="center" vertical="center" wrapText="1"/>
    </xf>
    <xf numFmtId="0" fontId="28" fillId="48" borderId="2" xfId="59" applyFont="1" applyFill="1" applyBorder="1" applyAlignment="1">
      <alignment horizontal="center" vertical="center" wrapText="1"/>
    </xf>
    <xf numFmtId="0" fontId="28" fillId="48" borderId="15" xfId="59" applyFont="1" applyFill="1" applyBorder="1" applyAlignment="1">
      <alignment horizontal="center" vertical="center" wrapText="1"/>
    </xf>
    <xf numFmtId="0" fontId="28" fillId="0" borderId="8" xfId="59" applyFont="1" applyFill="1" applyBorder="1" applyAlignment="1">
      <alignment horizontal="center" vertical="center" wrapText="1"/>
    </xf>
    <xf numFmtId="0" fontId="28" fillId="0" borderId="2" xfId="59" applyFont="1" applyFill="1" applyBorder="1" applyAlignment="1">
      <alignment horizontal="center" vertical="center" wrapText="1"/>
    </xf>
    <xf numFmtId="0" fontId="28" fillId="0" borderId="15" xfId="59" applyFont="1" applyFill="1" applyBorder="1" applyAlignment="1">
      <alignment horizontal="center" vertical="center" wrapText="1"/>
    </xf>
    <xf numFmtId="0" fontId="25" fillId="36" borderId="6" xfId="63" applyFont="1" applyFill="1" applyBorder="1" applyAlignment="1">
      <alignment horizontal="center"/>
    </xf>
    <xf numFmtId="0" fontId="25" fillId="36" borderId="28" xfId="63" applyFont="1" applyFill="1" applyBorder="1" applyAlignment="1">
      <alignment horizontal="center"/>
    </xf>
    <xf numFmtId="0" fontId="25" fillId="36" borderId="7" xfId="63" applyFont="1" applyFill="1" applyBorder="1" applyAlignment="1">
      <alignment horizontal="center"/>
    </xf>
    <xf numFmtId="0" fontId="25" fillId="0" borderId="9" xfId="55" applyFon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28" fillId="37" borderId="9" xfId="59" applyFont="1" applyFill="1" applyBorder="1" applyAlignment="1">
      <alignment horizontal="center" vertical="center"/>
    </xf>
    <xf numFmtId="0" fontId="28" fillId="37" borderId="21" xfId="59" applyFont="1" applyFill="1" applyBorder="1" applyAlignment="1">
      <alignment horizontal="center" vertical="center"/>
    </xf>
    <xf numFmtId="0" fontId="28" fillId="37" borderId="10" xfId="59" applyFont="1" applyFill="1" applyBorder="1" applyAlignment="1">
      <alignment horizontal="center" vertical="center"/>
    </xf>
    <xf numFmtId="41" fontId="24" fillId="0" borderId="8" xfId="59" applyNumberFormat="1" applyFont="1" applyFill="1" applyBorder="1" applyAlignment="1">
      <alignment horizontal="left" vertical="center" wrapText="1"/>
    </xf>
    <xf numFmtId="41" fontId="24" fillId="0" borderId="2" xfId="59" applyNumberFormat="1" applyFont="1" applyFill="1" applyBorder="1" applyAlignment="1">
      <alignment horizontal="left" vertical="center" wrapText="1"/>
    </xf>
    <xf numFmtId="41" fontId="24" fillId="0" borderId="15" xfId="59" applyNumberFormat="1" applyFont="1" applyFill="1" applyBorder="1" applyAlignment="1">
      <alignment horizontal="left" vertical="center" wrapText="1"/>
    </xf>
    <xf numFmtId="14" fontId="24" fillId="0" borderId="8" xfId="59" applyNumberFormat="1" applyFont="1" applyFill="1" applyBorder="1" applyAlignment="1">
      <alignment horizontal="right" vertical="center"/>
    </xf>
    <xf numFmtId="41" fontId="24" fillId="0" borderId="2" xfId="59" applyNumberFormat="1" applyFont="1" applyFill="1" applyBorder="1" applyAlignment="1">
      <alignment horizontal="right" vertical="center"/>
    </xf>
    <xf numFmtId="41" fontId="24" fillId="0" borderId="15" xfId="59" applyNumberFormat="1" applyFont="1" applyFill="1" applyBorder="1" applyAlignment="1">
      <alignment horizontal="right" vertical="center"/>
    </xf>
    <xf numFmtId="44" fontId="24" fillId="0" borderId="8" xfId="59" applyNumberFormat="1" applyFont="1" applyFill="1" applyBorder="1" applyAlignment="1">
      <alignment horizontal="left" vertical="center"/>
    </xf>
    <xf numFmtId="44" fontId="24" fillId="0" borderId="2" xfId="59" applyNumberFormat="1" applyFont="1" applyFill="1" applyBorder="1" applyAlignment="1">
      <alignment horizontal="left" vertical="center"/>
    </xf>
    <xf numFmtId="44" fontId="24" fillId="0" borderId="15" xfId="59" applyNumberFormat="1" applyFont="1" applyFill="1" applyBorder="1" applyAlignment="1">
      <alignment horizontal="left" vertical="center"/>
    </xf>
    <xf numFmtId="0" fontId="24" fillId="0" borderId="8" xfId="54" applyFont="1" applyFill="1" applyBorder="1" applyAlignment="1">
      <alignment horizontal="left" vertical="center" wrapText="1"/>
    </xf>
    <xf numFmtId="0" fontId="24" fillId="0" borderId="2" xfId="54" applyFont="1" applyFill="1" applyBorder="1" applyAlignment="1">
      <alignment horizontal="left" vertical="center" wrapText="1"/>
    </xf>
    <xf numFmtId="0" fontId="24" fillId="0" borderId="15" xfId="54" applyFont="1" applyFill="1" applyBorder="1" applyAlignment="1">
      <alignment horizontal="left" vertical="center" wrapText="1"/>
    </xf>
    <xf numFmtId="168" fontId="25" fillId="0" borderId="1" xfId="63" applyNumberFormat="1" applyFont="1" applyBorder="1" applyAlignment="1">
      <alignment horizontal="center" vertical="center"/>
    </xf>
    <xf numFmtId="168" fontId="25" fillId="0" borderId="5" xfId="63" applyNumberFormat="1" applyFont="1" applyBorder="1" applyAlignment="1">
      <alignment horizontal="center" vertical="center"/>
    </xf>
    <xf numFmtId="0" fontId="25" fillId="0" borderId="9" xfId="63" applyFont="1" applyBorder="1" applyAlignment="1">
      <alignment horizontal="center"/>
    </xf>
    <xf numFmtId="0" fontId="25" fillId="0" borderId="21" xfId="63" applyFont="1" applyBorder="1" applyAlignment="1">
      <alignment horizontal="center"/>
    </xf>
    <xf numFmtId="0" fontId="25" fillId="0" borderId="10" xfId="63" applyFont="1" applyBorder="1" applyAlignment="1">
      <alignment horizontal="center"/>
    </xf>
    <xf numFmtId="0" fontId="28" fillId="37" borderId="7" xfId="59" applyFont="1" applyFill="1" applyBorder="1" applyAlignment="1">
      <alignment horizontal="center" vertical="center"/>
    </xf>
    <xf numFmtId="0" fontId="28" fillId="37" borderId="28" xfId="59" applyFont="1" applyFill="1" applyBorder="1" applyAlignment="1">
      <alignment horizontal="center" vertical="center"/>
    </xf>
    <xf numFmtId="44" fontId="25" fillId="0" borderId="1" xfId="55" applyNumberFormat="1" applyFont="1" applyFill="1" applyBorder="1" applyAlignment="1">
      <alignment horizontal="center" vertical="center"/>
    </xf>
    <xf numFmtId="44" fontId="25" fillId="0" borderId="5" xfId="55" applyNumberFormat="1" applyFont="1" applyFill="1" applyBorder="1" applyAlignment="1">
      <alignment horizontal="center" vertical="center"/>
    </xf>
    <xf numFmtId="0" fontId="25" fillId="0" borderId="9" xfId="63" applyFont="1" applyBorder="1" applyAlignment="1">
      <alignment horizontal="left" vertical="center"/>
    </xf>
    <xf numFmtId="0" fontId="25" fillId="0" borderId="21" xfId="63" applyFont="1" applyBorder="1" applyAlignment="1">
      <alignment horizontal="left" vertical="center"/>
    </xf>
    <xf numFmtId="0" fontId="25" fillId="0" borderId="10" xfId="63" applyFont="1" applyBorder="1" applyAlignment="1">
      <alignment horizontal="left" vertical="center"/>
    </xf>
    <xf numFmtId="0" fontId="25" fillId="0" borderId="57" xfId="63" applyFont="1" applyBorder="1" applyAlignment="1">
      <alignment horizontal="center" vertical="center"/>
    </xf>
    <xf numFmtId="0" fontId="25" fillId="0" borderId="27" xfId="63" applyFont="1" applyBorder="1" applyAlignment="1">
      <alignment horizontal="center"/>
    </xf>
    <xf numFmtId="0" fontId="25" fillId="0" borderId="56" xfId="55" applyFont="1" applyFill="1" applyBorder="1" applyAlignment="1">
      <alignment horizontal="center" vertical="center"/>
    </xf>
    <xf numFmtId="0" fontId="25" fillId="0" borderId="28" xfId="55" applyFont="1" applyFill="1" applyBorder="1" applyAlignment="1">
      <alignment horizontal="center" vertical="center"/>
    </xf>
    <xf numFmtId="0" fontId="25" fillId="0" borderId="57" xfId="55" applyFont="1" applyFill="1" applyBorder="1" applyAlignment="1">
      <alignment horizontal="center" vertical="center" wrapText="1"/>
    </xf>
    <xf numFmtId="0" fontId="25" fillId="0" borderId="22" xfId="55" applyFont="1" applyFill="1" applyBorder="1" applyAlignment="1">
      <alignment horizontal="center" vertical="center" wrapText="1"/>
    </xf>
    <xf numFmtId="0" fontId="25" fillId="0" borderId="7" xfId="55" applyFont="1" applyFill="1" applyBorder="1" applyAlignment="1">
      <alignment horizontal="center" vertical="center" wrapText="1"/>
    </xf>
    <xf numFmtId="0" fontId="25" fillId="0" borderId="18" xfId="63" applyFont="1" applyBorder="1" applyAlignment="1">
      <alignment horizontal="center"/>
    </xf>
    <xf numFmtId="0" fontId="25" fillId="0" borderId="30" xfId="63" applyFont="1" applyBorder="1" applyAlignment="1">
      <alignment horizontal="center"/>
    </xf>
    <xf numFmtId="0" fontId="25" fillId="0" borderId="17" xfId="63" applyFont="1" applyBorder="1" applyAlignment="1">
      <alignment horizontal="center"/>
    </xf>
    <xf numFmtId="0" fontId="25" fillId="0" borderId="7" xfId="63" applyFont="1" applyBorder="1" applyAlignment="1">
      <alignment horizontal="center" vertical="center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[0] 10" xfId="30"/>
    <cellStyle name="Comma [0] 2" xfId="31"/>
    <cellStyle name="Comma [0] 2 2" xfId="32"/>
    <cellStyle name="Comma [0] 2 3" xfId="33"/>
    <cellStyle name="Comma [0] 3 2" xfId="34"/>
    <cellStyle name="Comma [0] 4 2" xfId="35"/>
    <cellStyle name="Comma 10" xfId="36"/>
    <cellStyle name="Comma 2" xfId="37"/>
    <cellStyle name="Comma 2 2" xfId="38"/>
    <cellStyle name="Comma 2 3" xfId="39"/>
    <cellStyle name="Comma 3" xfId="40"/>
    <cellStyle name="Comma 4" xfId="41"/>
    <cellStyle name="Currency" xfId="42" builtinId="4"/>
    <cellStyle name="Explanatory Text" xfId="43" builtinId="53" customBuiltin="1"/>
    <cellStyle name="Good" xfId="44" builtinId="26" customBuiltin="1"/>
    <cellStyle name="Heading 1" xfId="45" builtinId="16" customBuiltin="1"/>
    <cellStyle name="Heading 2" xfId="46" builtinId="17" customBuiltin="1"/>
    <cellStyle name="Heading 3" xfId="47" builtinId="18" customBuiltin="1"/>
    <cellStyle name="Heading 3 2" xfId="48"/>
    <cellStyle name="Heading 4" xfId="49" builtinId="19" customBuiltin="1"/>
    <cellStyle name="Heading 4 2" xfId="50"/>
    <cellStyle name="Input" xfId="51" builtinId="20" customBuiltin="1"/>
    <cellStyle name="Linked Cell" xfId="52" builtinId="24" customBuiltin="1"/>
    <cellStyle name="Neutral" xfId="53" builtinId="28" customBuiltin="1"/>
    <cellStyle name="Normal" xfId="0" builtinId="0"/>
    <cellStyle name="Normal 2" xfId="54"/>
    <cellStyle name="Normal 2 2" xfId="55"/>
    <cellStyle name="Normal 2 2 2" xfId="56"/>
    <cellStyle name="Normal 2 3" xfId="57"/>
    <cellStyle name="Normal 2 4" xfId="58"/>
    <cellStyle name="Normal 3" xfId="59"/>
    <cellStyle name="Normal 3 2" xfId="60"/>
    <cellStyle name="Normal 3 2 2" xfId="61"/>
    <cellStyle name="Normal 33 2" xfId="62"/>
    <cellStyle name="Normal 4" xfId="63"/>
    <cellStyle name="Normal 5" xfId="64"/>
    <cellStyle name="Normal 53 2" xfId="65"/>
    <cellStyle name="Normal 6" xfId="66"/>
    <cellStyle name="Normal 7" xfId="67"/>
    <cellStyle name="Normal 8" xfId="68"/>
    <cellStyle name="Note" xfId="69" builtinId="10" customBuiltin="1"/>
    <cellStyle name="Output" xfId="70" builtinId="21" customBuiltin="1"/>
    <cellStyle name="Percent" xfId="71" builtinId="5"/>
    <cellStyle name="Title" xfId="72" builtinId="15" customBuiltin="1"/>
    <cellStyle name="Total" xfId="73" builtinId="25" customBuiltin="1"/>
    <cellStyle name="Warning Text" xfId="7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JOB\ANGGARAN\SKKO%20SKKI%202015\MONITORING%20SKKO%20SKKI%202015%20Novembe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KAP SKKI"/>
      <sheetName val="SKKI DIST"/>
      <sheetName val="SKKI KIT"/>
      <sheetName val="REKAP SKKO HAR"/>
      <sheetName val="REKAP TUL"/>
      <sheetName val="SKKO TUL"/>
      <sheetName val="REKAP TU"/>
      <sheetName val="SKKO TU (54)"/>
      <sheetName val="SKKO TU (54) WILAYAH"/>
      <sheetName val="SKKO TU"/>
      <sheetName val="SKKO TU WIL"/>
      <sheetName val="REKAP KIT"/>
      <sheetName val="SKKO KIT BBM"/>
      <sheetName val="SKKO KIT"/>
      <sheetName val="SKKO KIT WIL"/>
      <sheetName val="REKAP DIST"/>
      <sheetName val="SKKO DIST"/>
      <sheetName val="SKKO DIST WIL"/>
      <sheetName val="Sheet1"/>
    </sheetNames>
    <sheetDataSet>
      <sheetData sheetId="0"/>
      <sheetData sheetId="1"/>
      <sheetData sheetId="2">
        <row r="17">
          <cell r="X1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L27"/>
  <sheetViews>
    <sheetView workbookViewId="0">
      <selection activeCell="C7" sqref="C7"/>
    </sheetView>
  </sheetViews>
  <sheetFormatPr defaultRowHeight="15"/>
  <cols>
    <col min="1" max="1" width="4.42578125" bestFit="1" customWidth="1"/>
    <col min="2" max="2" width="21.5703125" bestFit="1" customWidth="1"/>
    <col min="3" max="3" width="17.85546875" customWidth="1"/>
    <col min="4" max="4" width="15.5703125" customWidth="1"/>
    <col min="5" max="5" width="17.7109375" customWidth="1"/>
    <col min="6" max="6" width="17.7109375" bestFit="1" customWidth="1"/>
    <col min="7" max="7" width="9.140625" bestFit="1" customWidth="1"/>
    <col min="8" max="8" width="16.5703125" bestFit="1" customWidth="1"/>
    <col min="9" max="9" width="17.7109375" bestFit="1" customWidth="1"/>
    <col min="10" max="10" width="12" bestFit="1" customWidth="1"/>
    <col min="11" max="11" width="14.42578125" customWidth="1"/>
    <col min="12" max="12" width="13.140625" bestFit="1" customWidth="1"/>
  </cols>
  <sheetData>
    <row r="1" spans="1:12">
      <c r="A1" s="2647" t="s">
        <v>3220</v>
      </c>
      <c r="B1" s="2647"/>
      <c r="C1" s="2647"/>
      <c r="D1" s="2647"/>
      <c r="E1" s="2647"/>
      <c r="F1" s="2647"/>
      <c r="G1" s="2647"/>
      <c r="H1" s="2647"/>
      <c r="I1" s="2647"/>
      <c r="J1" s="2647"/>
      <c r="K1" s="2647"/>
      <c r="L1" s="2647"/>
    </row>
    <row r="2" spans="1:12">
      <c r="A2" s="2647" t="s">
        <v>869</v>
      </c>
      <c r="B2" s="2647"/>
      <c r="C2" s="2647"/>
      <c r="D2" s="2647"/>
      <c r="E2" s="2647"/>
      <c r="F2" s="2647"/>
      <c r="G2" s="2647"/>
      <c r="H2" s="2647"/>
      <c r="I2" s="2647"/>
      <c r="J2" s="2647"/>
      <c r="K2" s="2647"/>
      <c r="L2" s="2647"/>
    </row>
    <row r="3" spans="1:12" ht="15.75" thickBot="1"/>
    <row r="4" spans="1:12" ht="45">
      <c r="A4" s="478">
        <v>3</v>
      </c>
      <c r="B4" s="479" t="s">
        <v>14</v>
      </c>
      <c r="C4" s="480" t="s">
        <v>1122</v>
      </c>
      <c r="D4" s="480" t="s">
        <v>1330</v>
      </c>
      <c r="E4" s="480" t="s">
        <v>1321</v>
      </c>
      <c r="F4" s="479" t="s">
        <v>871</v>
      </c>
      <c r="G4" s="480" t="s">
        <v>872</v>
      </c>
      <c r="H4" s="480" t="s">
        <v>1123</v>
      </c>
      <c r="I4" s="479" t="s">
        <v>874</v>
      </c>
      <c r="J4" s="481" t="s">
        <v>875</v>
      </c>
      <c r="K4" s="481" t="s">
        <v>1329</v>
      </c>
      <c r="L4" s="482" t="s">
        <v>11</v>
      </c>
    </row>
    <row r="5" spans="1:12" ht="21" customHeight="1">
      <c r="A5" s="908">
        <v>1</v>
      </c>
      <c r="B5" s="804" t="s">
        <v>1124</v>
      </c>
      <c r="C5" s="805"/>
      <c r="D5" s="805"/>
      <c r="E5" s="805"/>
      <c r="F5" s="806"/>
      <c r="G5" s="807"/>
      <c r="H5" s="808"/>
      <c r="I5" s="808"/>
      <c r="J5" s="809"/>
      <c r="K5" s="809"/>
      <c r="L5" s="810"/>
    </row>
    <row r="6" spans="1:12" ht="21" customHeight="1">
      <c r="A6" s="487"/>
      <c r="B6" s="811" t="s">
        <v>1125</v>
      </c>
      <c r="C6" s="812">
        <f>'SKKI DIST'!G16+'SKKI DIST'!G81</f>
        <v>6549863363</v>
      </c>
      <c r="D6" s="812">
        <v>0</v>
      </c>
      <c r="E6" s="812"/>
      <c r="F6" s="490">
        <f>'SKKI DIST'!V239</f>
        <v>6261611083</v>
      </c>
      <c r="G6" s="813">
        <f>F6/C6</f>
        <v>0.95599110026808665</v>
      </c>
      <c r="H6" s="814">
        <f>C6-E6-F6</f>
        <v>288252280</v>
      </c>
      <c r="I6" s="814">
        <f>'SKKI DIST'!Z239</f>
        <v>5644300806</v>
      </c>
      <c r="J6" s="820">
        <f>I6/F6</f>
        <v>0.90141350703240408</v>
      </c>
      <c r="K6" s="812">
        <v>0</v>
      </c>
      <c r="L6" s="815"/>
    </row>
    <row r="7" spans="1:12" ht="21" customHeight="1">
      <c r="A7" s="494"/>
      <c r="B7" s="816" t="s">
        <v>1126</v>
      </c>
      <c r="C7" s="493">
        <f>'SKKI DIST'!G238</f>
        <v>12870592528</v>
      </c>
      <c r="D7" s="812">
        <v>0</v>
      </c>
      <c r="E7" s="493">
        <f>'SKKI DIST'!W238</f>
        <v>0</v>
      </c>
      <c r="F7" s="817">
        <f>'SKKI DIST'!V238</f>
        <v>12122980621</v>
      </c>
      <c r="G7" s="818">
        <f>F7/C7</f>
        <v>0.94191317102351202</v>
      </c>
      <c r="H7" s="814">
        <f>C7-E7-F7</f>
        <v>747611907</v>
      </c>
      <c r="I7" s="819">
        <f>'SKKI DIST'!Z238</f>
        <v>10080534435</v>
      </c>
      <c r="J7" s="820">
        <f>I7/F7</f>
        <v>0.83152277069040448</v>
      </c>
      <c r="K7" s="493">
        <v>0</v>
      </c>
      <c r="L7" s="821"/>
    </row>
    <row r="8" spans="1:12" ht="21" customHeight="1">
      <c r="A8" s="2648" t="s">
        <v>1127</v>
      </c>
      <c r="B8" s="2649"/>
      <c r="C8" s="822">
        <f>SUM(C6:C7)</f>
        <v>19420455891</v>
      </c>
      <c r="D8" s="822"/>
      <c r="E8" s="822">
        <f>SUM(E6:E7)</f>
        <v>0</v>
      </c>
      <c r="F8" s="822">
        <f>SUM(F6:F7)</f>
        <v>18384591704</v>
      </c>
      <c r="G8" s="823"/>
      <c r="H8" s="822">
        <f>SUM(H6:H7)</f>
        <v>1035864187</v>
      </c>
      <c r="I8" s="822">
        <f>SUM(I6:I7)</f>
        <v>15724835241</v>
      </c>
      <c r="J8" s="824">
        <f>I8/F8</f>
        <v>0.85532686796512825</v>
      </c>
      <c r="K8" s="824"/>
      <c r="L8" s="825"/>
    </row>
    <row r="9" spans="1:12" ht="21" customHeight="1">
      <c r="A9" s="487">
        <v>2</v>
      </c>
      <c r="B9" s="488" t="s">
        <v>1128</v>
      </c>
      <c r="C9" s="489"/>
      <c r="D9" s="489"/>
      <c r="E9" s="489"/>
      <c r="F9" s="490"/>
      <c r="G9" s="491"/>
      <c r="H9" s="492"/>
      <c r="I9" s="492"/>
      <c r="J9" s="826"/>
      <c r="K9" s="826"/>
      <c r="L9" s="815"/>
    </row>
    <row r="10" spans="1:12" ht="21" customHeight="1">
      <c r="A10" s="494"/>
      <c r="B10" s="816" t="s">
        <v>1126</v>
      </c>
      <c r="C10" s="493">
        <v>0</v>
      </c>
      <c r="D10" s="493">
        <v>0</v>
      </c>
      <c r="E10" s="493">
        <v>0</v>
      </c>
      <c r="F10" s="817">
        <v>0</v>
      </c>
      <c r="G10" s="818" t="e">
        <f>F10/C10</f>
        <v>#DIV/0!</v>
      </c>
      <c r="H10" s="814">
        <f>C10-E10-F10</f>
        <v>0</v>
      </c>
      <c r="I10" s="819">
        <f>'[1]SKKI KIT'!X17</f>
        <v>0</v>
      </c>
      <c r="J10" s="827">
        <v>0</v>
      </c>
      <c r="K10" s="493">
        <v>0</v>
      </c>
      <c r="L10" s="828"/>
    </row>
    <row r="11" spans="1:12" ht="21" customHeight="1">
      <c r="A11" s="2648" t="s">
        <v>1129</v>
      </c>
      <c r="B11" s="2649"/>
      <c r="C11" s="829">
        <f>SUM(C10)</f>
        <v>0</v>
      </c>
      <c r="D11" s="829"/>
      <c r="E11" s="829">
        <f>SUM(E10)</f>
        <v>0</v>
      </c>
      <c r="F11" s="829">
        <f>SUM(F10)</f>
        <v>0</v>
      </c>
      <c r="G11" s="830"/>
      <c r="H11" s="829">
        <f>SUM(H10)</f>
        <v>0</v>
      </c>
      <c r="I11" s="829">
        <f>SUM(I10)</f>
        <v>0</v>
      </c>
      <c r="J11" s="831">
        <f>SUM(J10)</f>
        <v>0</v>
      </c>
      <c r="K11" s="831"/>
      <c r="L11" s="832"/>
    </row>
    <row r="12" spans="1:12" ht="21" customHeight="1" thickBot="1">
      <c r="A12" s="2650" t="s">
        <v>32</v>
      </c>
      <c r="B12" s="2651"/>
      <c r="C12" s="833">
        <f>C8+C11</f>
        <v>19420455891</v>
      </c>
      <c r="D12" s="833"/>
      <c r="E12" s="833">
        <f>E8+E11</f>
        <v>0</v>
      </c>
      <c r="F12" s="833">
        <f>F8+F11</f>
        <v>18384591704</v>
      </c>
      <c r="G12" s="834">
        <f>F12/C12</f>
        <v>0.94666118072542005</v>
      </c>
      <c r="H12" s="833">
        <f>H8+H11</f>
        <v>1035864187</v>
      </c>
      <c r="I12" s="833">
        <f>I8+I11</f>
        <v>15724835241</v>
      </c>
      <c r="J12" s="835">
        <f>I12/F12</f>
        <v>0.85532686796512825</v>
      </c>
      <c r="K12" s="833">
        <f>K8+K11</f>
        <v>0</v>
      </c>
      <c r="L12" s="836"/>
    </row>
    <row r="14" spans="1:12">
      <c r="I14" s="2644" t="s">
        <v>3221</v>
      </c>
      <c r="J14" s="2644"/>
      <c r="K14" s="2644"/>
      <c r="L14" s="2644"/>
    </row>
    <row r="15" spans="1:12">
      <c r="B15" s="2646"/>
      <c r="C15" s="2646"/>
      <c r="D15" s="914"/>
      <c r="E15" s="495"/>
      <c r="F15" s="495"/>
      <c r="I15" s="2644"/>
      <c r="J15" s="2644"/>
      <c r="K15" s="2644"/>
      <c r="L15" s="2644"/>
    </row>
    <row r="16" spans="1:12">
      <c r="B16" s="803" t="s">
        <v>1130</v>
      </c>
      <c r="C16" s="495" t="s">
        <v>2387</v>
      </c>
      <c r="D16" s="495"/>
      <c r="E16" s="2644"/>
      <c r="F16" s="2644"/>
      <c r="G16" s="2644"/>
      <c r="I16" s="2644" t="s">
        <v>2389</v>
      </c>
      <c r="J16" s="2644"/>
      <c r="K16" s="2644"/>
      <c r="L16" s="2644"/>
    </row>
    <row r="17" spans="1:12">
      <c r="B17" s="803"/>
    </row>
    <row r="18" spans="1:12">
      <c r="B18" s="803"/>
    </row>
    <row r="19" spans="1:12">
      <c r="B19" s="803"/>
      <c r="C19" s="495"/>
      <c r="D19" s="495"/>
      <c r="E19" s="495"/>
      <c r="F19" s="495"/>
      <c r="I19" s="2644"/>
      <c r="J19" s="2644"/>
      <c r="K19" s="2644"/>
      <c r="L19" s="2644"/>
    </row>
    <row r="20" spans="1:12">
      <c r="B20" s="913" t="s">
        <v>1136</v>
      </c>
      <c r="C20" s="1240" t="s">
        <v>2388</v>
      </c>
      <c r="D20" s="913"/>
      <c r="E20" s="2644"/>
      <c r="F20" s="2644"/>
      <c r="G20" s="2644"/>
      <c r="I20" s="2644" t="s">
        <v>880</v>
      </c>
      <c r="J20" s="2644"/>
      <c r="K20" s="2644"/>
      <c r="L20" s="2644"/>
    </row>
    <row r="22" spans="1:12">
      <c r="A22" s="2644" t="s">
        <v>881</v>
      </c>
      <c r="B22" s="2644"/>
      <c r="C22" s="2644"/>
      <c r="D22" s="2644"/>
      <c r="E22" s="2644"/>
      <c r="F22" s="2644"/>
      <c r="G22" s="2644"/>
      <c r="H22" s="2644"/>
      <c r="I22" s="2644"/>
      <c r="J22" s="2644"/>
      <c r="K22" s="2644"/>
      <c r="L22" s="2644"/>
    </row>
    <row r="23" spans="1:12">
      <c r="A23" s="2644" t="s">
        <v>882</v>
      </c>
      <c r="B23" s="2644"/>
      <c r="C23" s="2644"/>
      <c r="D23" s="2644"/>
      <c r="E23" s="2644"/>
      <c r="F23" s="2644"/>
      <c r="G23" s="2644"/>
      <c r="H23" s="2644"/>
      <c r="I23" s="2644"/>
      <c r="J23" s="2644"/>
      <c r="K23" s="2644"/>
      <c r="L23" s="2644"/>
    </row>
    <row r="24" spans="1:12">
      <c r="A24" s="802"/>
      <c r="B24" s="802"/>
      <c r="C24" s="802"/>
      <c r="D24" s="913"/>
      <c r="E24" s="802"/>
      <c r="F24" s="802"/>
      <c r="G24" s="802"/>
      <c r="H24" s="802"/>
      <c r="I24" s="802"/>
      <c r="J24" s="802"/>
      <c r="K24" s="913"/>
      <c r="L24" s="802"/>
    </row>
    <row r="26" spans="1:12">
      <c r="I26" s="495"/>
      <c r="J26" s="495"/>
      <c r="K26" s="495"/>
      <c r="L26" s="495"/>
    </row>
    <row r="27" spans="1:12">
      <c r="A27" s="2645" t="s">
        <v>883</v>
      </c>
      <c r="B27" s="2645"/>
      <c r="C27" s="2645"/>
      <c r="D27" s="2645"/>
      <c r="E27" s="2645"/>
      <c r="F27" s="2645"/>
      <c r="G27" s="2645"/>
      <c r="H27" s="2645"/>
      <c r="I27" s="2645"/>
      <c r="J27" s="2645"/>
      <c r="K27" s="2645"/>
      <c r="L27" s="2645"/>
    </row>
  </sheetData>
  <mergeCells count="16">
    <mergeCell ref="I14:L14"/>
    <mergeCell ref="A1:L1"/>
    <mergeCell ref="A2:L2"/>
    <mergeCell ref="A8:B8"/>
    <mergeCell ref="A11:B11"/>
    <mergeCell ref="A12:B12"/>
    <mergeCell ref="A22:L22"/>
    <mergeCell ref="A23:L23"/>
    <mergeCell ref="A27:L27"/>
    <mergeCell ref="B15:C15"/>
    <mergeCell ref="I15:L15"/>
    <mergeCell ref="E16:G16"/>
    <mergeCell ref="I16:L16"/>
    <mergeCell ref="I19:L19"/>
    <mergeCell ref="E20:G20"/>
    <mergeCell ref="I20:L2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2060"/>
  </sheetPr>
  <dimension ref="A1:L41"/>
  <sheetViews>
    <sheetView workbookViewId="0">
      <selection activeCell="D25" sqref="D25"/>
    </sheetView>
  </sheetViews>
  <sheetFormatPr defaultRowHeight="15"/>
  <cols>
    <col min="1" max="1" width="6.140625" customWidth="1"/>
    <col min="2" max="2" width="21.140625" customWidth="1"/>
    <col min="3" max="3" width="18.85546875" customWidth="1"/>
    <col min="4" max="4" width="17.28515625" customWidth="1"/>
    <col min="5" max="5" width="18.42578125" bestFit="1" customWidth="1"/>
    <col min="6" max="6" width="17.140625" customWidth="1"/>
    <col min="7" max="7" width="9.28515625" bestFit="1" customWidth="1"/>
    <col min="8" max="8" width="17.5703125" customWidth="1"/>
    <col min="9" max="9" width="18.42578125" bestFit="1" customWidth="1"/>
    <col min="10" max="10" width="9.85546875" customWidth="1"/>
    <col min="11" max="11" width="15.140625" customWidth="1"/>
    <col min="12" max="12" width="22.140625" bestFit="1" customWidth="1"/>
  </cols>
  <sheetData>
    <row r="1" spans="1:12">
      <c r="A1" s="2647" t="s">
        <v>2849</v>
      </c>
      <c r="B1" s="2647"/>
      <c r="C1" s="2647"/>
      <c r="D1" s="2647"/>
      <c r="E1" s="2647"/>
      <c r="F1" s="2647"/>
      <c r="G1" s="2647"/>
      <c r="H1" s="2647"/>
      <c r="I1" s="2647"/>
      <c r="J1" s="2647"/>
      <c r="K1" s="2647"/>
      <c r="L1" s="2647"/>
    </row>
    <row r="2" spans="1:12">
      <c r="A2" s="2647" t="s">
        <v>869</v>
      </c>
      <c r="B2" s="2647"/>
      <c r="C2" s="2647"/>
      <c r="D2" s="2647"/>
      <c r="E2" s="2647"/>
      <c r="F2" s="2647"/>
      <c r="G2" s="2647"/>
      <c r="H2" s="2647"/>
      <c r="I2" s="2647"/>
      <c r="J2" s="2647"/>
      <c r="K2" s="2647"/>
      <c r="L2" s="2647"/>
    </row>
    <row r="3" spans="1:12" ht="15.75" thickBot="1"/>
    <row r="4" spans="1:12" ht="45">
      <c r="A4" s="478" t="s">
        <v>3</v>
      </c>
      <c r="B4" s="479" t="s">
        <v>14</v>
      </c>
      <c r="C4" s="480" t="s">
        <v>870</v>
      </c>
      <c r="D4" s="480" t="s">
        <v>1330</v>
      </c>
      <c r="E4" s="480" t="s">
        <v>1321</v>
      </c>
      <c r="F4" s="479" t="s">
        <v>871</v>
      </c>
      <c r="G4" s="480" t="s">
        <v>872</v>
      </c>
      <c r="H4" s="480" t="s">
        <v>873</v>
      </c>
      <c r="I4" s="479" t="s">
        <v>874</v>
      </c>
      <c r="J4" s="481" t="s">
        <v>875</v>
      </c>
      <c r="K4" s="481" t="s">
        <v>1329</v>
      </c>
      <c r="L4" s="482" t="s">
        <v>11</v>
      </c>
    </row>
    <row r="5" spans="1:12">
      <c r="A5" s="483">
        <v>1</v>
      </c>
      <c r="B5" s="484">
        <v>2</v>
      </c>
      <c r="C5" s="484">
        <v>3</v>
      </c>
      <c r="D5" s="484"/>
      <c r="E5" s="484">
        <v>4</v>
      </c>
      <c r="F5" s="484">
        <v>5</v>
      </c>
      <c r="G5" s="484">
        <v>6</v>
      </c>
      <c r="H5" s="484">
        <v>7</v>
      </c>
      <c r="I5" s="484">
        <v>8</v>
      </c>
      <c r="J5" s="485">
        <v>9</v>
      </c>
      <c r="K5" s="485"/>
      <c r="L5" s="486">
        <v>10</v>
      </c>
    </row>
    <row r="6" spans="1:12">
      <c r="A6" s="487" t="s">
        <v>876</v>
      </c>
      <c r="B6" s="488" t="s">
        <v>1132</v>
      </c>
      <c r="C6" s="489"/>
      <c r="D6" s="489"/>
      <c r="E6" s="489"/>
      <c r="F6" s="490"/>
      <c r="G6" s="491"/>
      <c r="H6" s="492"/>
      <c r="I6" s="492"/>
      <c r="J6" s="826"/>
      <c r="K6" s="489"/>
      <c r="L6" s="840"/>
    </row>
    <row r="7" spans="1:12">
      <c r="A7" s="487"/>
      <c r="B7" s="923" t="s">
        <v>1350</v>
      </c>
      <c r="C7" s="489">
        <f>'SKKO KIT'!G358</f>
        <v>7609686369</v>
      </c>
      <c r="D7" s="489">
        <v>0</v>
      </c>
      <c r="E7" s="489">
        <f>'SKKO KIT'!P358-F7</f>
        <v>0</v>
      </c>
      <c r="F7" s="490">
        <f>'SKKO KIT'!V358</f>
        <v>6800639906</v>
      </c>
      <c r="G7" s="491">
        <f t="shared" ref="G7:G21" si="0">F7/C7</f>
        <v>0.89368202265262109</v>
      </c>
      <c r="H7" s="492">
        <f>C7-D7-E7-F7</f>
        <v>809046463</v>
      </c>
      <c r="I7" s="492">
        <f>'SKKO KIT'!Z358</f>
        <v>6800639906</v>
      </c>
      <c r="J7" s="826">
        <f t="shared" ref="J7:J21" si="1">I7/F7</f>
        <v>1</v>
      </c>
      <c r="K7" s="489">
        <v>0</v>
      </c>
      <c r="L7" s="840"/>
    </row>
    <row r="8" spans="1:12">
      <c r="A8" s="487"/>
      <c r="B8" s="923" t="s">
        <v>1126</v>
      </c>
      <c r="C8" s="489">
        <f>'SKKO KIT'!G357</f>
        <v>25345544860</v>
      </c>
      <c r="D8" s="489">
        <f>'SKKO KIT'!W357-'SKKO KIT'!X357</f>
        <v>0</v>
      </c>
      <c r="E8" s="489">
        <f>'SKKO KIT'!X357</f>
        <v>0</v>
      </c>
      <c r="F8" s="490">
        <f>'SKKO KIT'!V357</f>
        <v>24875147474.85944</v>
      </c>
      <c r="G8" s="491">
        <f t="shared" si="0"/>
        <v>0.98144062841265112</v>
      </c>
      <c r="H8" s="492">
        <f>C8-D8-E8-F8</f>
        <v>470397385.14056015</v>
      </c>
      <c r="I8" s="492">
        <f>'SKKO KIT'!Z357</f>
        <v>21850634437.85944</v>
      </c>
      <c r="J8" s="826">
        <f t="shared" si="1"/>
        <v>0.87841225705066539</v>
      </c>
      <c r="K8" s="489">
        <v>0</v>
      </c>
      <c r="L8" s="840"/>
    </row>
    <row r="9" spans="1:12">
      <c r="A9" s="2652" t="s">
        <v>1390</v>
      </c>
      <c r="B9" s="2653"/>
      <c r="C9" s="982">
        <f>C7+C8</f>
        <v>32955231229</v>
      </c>
      <c r="D9" s="982">
        <f>D7+D8</f>
        <v>0</v>
      </c>
      <c r="E9" s="982">
        <f>E7+E8</f>
        <v>0</v>
      </c>
      <c r="F9" s="982">
        <f>F7+F8</f>
        <v>31675787380.85944</v>
      </c>
      <c r="G9" s="983">
        <f t="shared" si="0"/>
        <v>0.96117630493168338</v>
      </c>
      <c r="H9" s="982">
        <f>SUM(H7:H8)</f>
        <v>1279443848.1405602</v>
      </c>
      <c r="I9" s="982">
        <f>SUM(I7:I8)</f>
        <v>28651274343.85944</v>
      </c>
      <c r="J9" s="984">
        <f t="shared" si="1"/>
        <v>0.90451656337270381</v>
      </c>
      <c r="K9" s="982">
        <f>SUM(K7:K8)</f>
        <v>0</v>
      </c>
      <c r="L9" s="985"/>
    </row>
    <row r="10" spans="1:12">
      <c r="A10" s="487" t="s">
        <v>877</v>
      </c>
      <c r="B10" s="488" t="s">
        <v>1131</v>
      </c>
      <c r="C10" s="489"/>
      <c r="D10" s="489"/>
      <c r="E10" s="489"/>
      <c r="F10" s="490"/>
      <c r="G10" s="491"/>
      <c r="H10" s="492"/>
      <c r="I10" s="492"/>
      <c r="J10" s="826"/>
      <c r="K10" s="489"/>
      <c r="L10" s="840"/>
    </row>
    <row r="11" spans="1:12">
      <c r="A11" s="487"/>
      <c r="B11" s="923" t="s">
        <v>1350</v>
      </c>
      <c r="C11" s="489">
        <f>'SKKO DIST'!G286</f>
        <v>1469846330</v>
      </c>
      <c r="D11" s="489">
        <v>0</v>
      </c>
      <c r="E11" s="489">
        <f>'SKKO DIST'!W286</f>
        <v>0</v>
      </c>
      <c r="F11" s="490">
        <f>'SKKO DIST'!V286</f>
        <v>1466256370</v>
      </c>
      <c r="G11" s="491">
        <f t="shared" si="0"/>
        <v>0.99755759501743291</v>
      </c>
      <c r="H11" s="492">
        <f>C11-D11-E11-F11</f>
        <v>3589960</v>
      </c>
      <c r="I11" s="492">
        <f>'SKKO DIST'!Z286-K11</f>
        <v>1441106216</v>
      </c>
      <c r="J11" s="826">
        <f t="shared" si="1"/>
        <v>0.98284736931782268</v>
      </c>
      <c r="K11" s="489">
        <v>0</v>
      </c>
      <c r="L11" s="840"/>
    </row>
    <row r="12" spans="1:12">
      <c r="A12" s="487"/>
      <c r="B12" s="923" t="s">
        <v>1126</v>
      </c>
      <c r="C12" s="489">
        <f>'SKKO DIST'!G285</f>
        <v>21701214660</v>
      </c>
      <c r="D12" s="489">
        <f>'SKKO DIST'!W284</f>
        <v>0</v>
      </c>
      <c r="E12" s="489">
        <f>'SKKO DIST'!X285</f>
        <v>0</v>
      </c>
      <c r="F12" s="490">
        <f>'SKKO DIST'!V285</f>
        <v>20975175595.730721</v>
      </c>
      <c r="G12" s="491">
        <f t="shared" si="0"/>
        <v>0.96654385131687925</v>
      </c>
      <c r="H12" s="492">
        <f>C12-D12-E12-F12</f>
        <v>726039064.26927948</v>
      </c>
      <c r="I12" s="492">
        <f>'SKKO DIST'!Z285</f>
        <v>19196795346.730721</v>
      </c>
      <c r="J12" s="826">
        <f t="shared" si="1"/>
        <v>0.91521500066192674</v>
      </c>
      <c r="K12" s="489">
        <v>0</v>
      </c>
      <c r="L12" s="840"/>
    </row>
    <row r="13" spans="1:12">
      <c r="A13" s="2652" t="s">
        <v>1391</v>
      </c>
      <c r="B13" s="2653"/>
      <c r="C13" s="982">
        <f>SUM(C11:C12)</f>
        <v>23171060990</v>
      </c>
      <c r="D13" s="982">
        <f>SUM(D11:D12)</f>
        <v>0</v>
      </c>
      <c r="E13" s="982">
        <f>SUM(E11:E12)</f>
        <v>0</v>
      </c>
      <c r="F13" s="982">
        <f>SUM(F11:F12)</f>
        <v>22441431965.730721</v>
      </c>
      <c r="G13" s="983">
        <f t="shared" si="0"/>
        <v>0.96851119486569182</v>
      </c>
      <c r="H13" s="982">
        <f>SUM(H11:H12)</f>
        <v>729629024.26927948</v>
      </c>
      <c r="I13" s="982">
        <f>SUM(I11:I12)</f>
        <v>20637901562.730721</v>
      </c>
      <c r="J13" s="984">
        <f t="shared" si="1"/>
        <v>0.91963389832903319</v>
      </c>
      <c r="K13" s="982">
        <f>SUM(K11:K12)</f>
        <v>0</v>
      </c>
      <c r="L13" s="985"/>
    </row>
    <row r="14" spans="1:12">
      <c r="A14" s="487" t="s">
        <v>878</v>
      </c>
      <c r="B14" s="488" t="s">
        <v>1133</v>
      </c>
      <c r="C14" s="489"/>
      <c r="D14" s="489"/>
      <c r="E14" s="489"/>
      <c r="F14" s="490"/>
      <c r="G14" s="491"/>
      <c r="H14" s="492"/>
      <c r="I14" s="492"/>
      <c r="J14" s="826"/>
      <c r="K14" s="826"/>
      <c r="L14" s="840"/>
    </row>
    <row r="15" spans="1:12">
      <c r="A15" s="487"/>
      <c r="B15" s="923" t="s">
        <v>1350</v>
      </c>
      <c r="C15" s="489">
        <f>'SKKO TU'!G227</f>
        <v>268922282</v>
      </c>
      <c r="D15" s="489">
        <v>0</v>
      </c>
      <c r="E15" s="489">
        <f>'SKKO TU'!V227-F15</f>
        <v>0</v>
      </c>
      <c r="F15" s="490">
        <f>'SKKO TU'!V227</f>
        <v>267642354</v>
      </c>
      <c r="G15" s="491">
        <f t="shared" si="0"/>
        <v>0.99524052826533727</v>
      </c>
      <c r="H15" s="492">
        <f>C15-D15-E15-F15</f>
        <v>1279928</v>
      </c>
      <c r="I15" s="492">
        <f>'SKKO TU'!Z227</f>
        <v>267642354</v>
      </c>
      <c r="J15" s="826">
        <f t="shared" si="1"/>
        <v>1</v>
      </c>
      <c r="K15" s="489">
        <v>0</v>
      </c>
      <c r="L15" s="840"/>
    </row>
    <row r="16" spans="1:12">
      <c r="A16" s="487"/>
      <c r="B16" s="923" t="s">
        <v>1126</v>
      </c>
      <c r="C16" s="489">
        <f>'SKKO TU'!G226</f>
        <v>10488809040</v>
      </c>
      <c r="D16" s="489">
        <f>SUM(D14:D15)</f>
        <v>0</v>
      </c>
      <c r="E16" s="489">
        <f>'SKKO TU'!W226</f>
        <v>0</v>
      </c>
      <c r="F16" s="490">
        <f>'SKKO TU'!V226</f>
        <v>10485083868.989178</v>
      </c>
      <c r="G16" s="491">
        <f t="shared" si="0"/>
        <v>0.99964484328043191</v>
      </c>
      <c r="H16" s="492">
        <f>C16-D16-E16-F16</f>
        <v>3725171.0108222961</v>
      </c>
      <c r="I16" s="492">
        <f>'SKKO TU'!Z226</f>
        <v>10296755497.989178</v>
      </c>
      <c r="J16" s="826">
        <f t="shared" si="1"/>
        <v>0.98203844877607493</v>
      </c>
      <c r="K16" s="489">
        <v>0</v>
      </c>
      <c r="L16" s="840"/>
    </row>
    <row r="17" spans="1:12">
      <c r="A17" s="2652" t="s">
        <v>1392</v>
      </c>
      <c r="B17" s="2653"/>
      <c r="C17" s="982">
        <f>SUM(C15:C16)</f>
        <v>10757731322</v>
      </c>
      <c r="D17" s="982">
        <f>SUM(D15:D16)</f>
        <v>0</v>
      </c>
      <c r="E17" s="982">
        <f>SUM(E15:E16)</f>
        <v>0</v>
      </c>
      <c r="F17" s="982">
        <f>SUM(F15:F16)</f>
        <v>10752726222.989178</v>
      </c>
      <c r="G17" s="983">
        <f t="shared" si="0"/>
        <v>0.99953474400307929</v>
      </c>
      <c r="H17" s="982">
        <f>SUM(H15:H16)</f>
        <v>5005099.0108222961</v>
      </c>
      <c r="I17" s="982">
        <f>SUM(I15:I16)</f>
        <v>10564397851.989178</v>
      </c>
      <c r="J17" s="984">
        <f t="shared" si="1"/>
        <v>0.98248552347614349</v>
      </c>
      <c r="K17" s="982">
        <f>SUM(K15:K16)</f>
        <v>0</v>
      </c>
      <c r="L17" s="985"/>
    </row>
    <row r="18" spans="1:12">
      <c r="A18" s="487" t="s">
        <v>879</v>
      </c>
      <c r="B18" s="488" t="s">
        <v>1134</v>
      </c>
      <c r="C18" s="489"/>
      <c r="D18" s="489"/>
      <c r="E18" s="489"/>
      <c r="F18" s="490"/>
      <c r="G18" s="491"/>
      <c r="H18" s="492"/>
      <c r="I18" s="492"/>
      <c r="J18" s="826"/>
      <c r="K18" s="826"/>
      <c r="L18" s="840"/>
    </row>
    <row r="19" spans="1:12">
      <c r="A19" s="924"/>
      <c r="B19" s="923" t="s">
        <v>1350</v>
      </c>
      <c r="C19" s="493">
        <f>'UTANG USAHA TUL '!E20</f>
        <v>796471500</v>
      </c>
      <c r="D19" s="493">
        <v>0</v>
      </c>
      <c r="E19" s="493">
        <f>'UTANG USAHA TUL '!N20-F19</f>
        <v>0</v>
      </c>
      <c r="F19" s="817">
        <f>'UTANG USAHA TUL '!T20</f>
        <v>796471500</v>
      </c>
      <c r="G19" s="491">
        <f t="shared" si="0"/>
        <v>1</v>
      </c>
      <c r="H19" s="492">
        <f>C19-D19-E19-F19</f>
        <v>0</v>
      </c>
      <c r="I19" s="819">
        <f>'UTANG USAHA TUL '!X20</f>
        <v>796471500</v>
      </c>
      <c r="J19" s="826">
        <f t="shared" si="1"/>
        <v>1</v>
      </c>
      <c r="K19" s="489">
        <v>0</v>
      </c>
      <c r="L19" s="821"/>
    </row>
    <row r="20" spans="1:12">
      <c r="A20" s="924"/>
      <c r="B20" s="923" t="s">
        <v>1126</v>
      </c>
      <c r="C20" s="493">
        <f>'SKKO TUL'!G57</f>
        <v>1333412700</v>
      </c>
      <c r="D20" s="493">
        <v>0</v>
      </c>
      <c r="E20" s="493">
        <f>'SKKO TUL'!P57-F20</f>
        <v>0</v>
      </c>
      <c r="F20" s="817">
        <f>'SKKO TUL'!V57</f>
        <v>1316889206</v>
      </c>
      <c r="G20" s="491">
        <f t="shared" si="0"/>
        <v>0.98760811712682806</v>
      </c>
      <c r="H20" s="492">
        <f>C20-D20-E20-F20</f>
        <v>16523494</v>
      </c>
      <c r="I20" s="819">
        <f>'SKKO TUL'!Z57</f>
        <v>1280940920</v>
      </c>
      <c r="J20" s="826">
        <f t="shared" si="1"/>
        <v>0.97270211811577412</v>
      </c>
      <c r="K20" s="489">
        <v>0</v>
      </c>
      <c r="L20" s="821"/>
    </row>
    <row r="21" spans="1:12">
      <c r="A21" s="2652" t="s">
        <v>1393</v>
      </c>
      <c r="B21" s="2653"/>
      <c r="C21" s="986">
        <f>SUM(C19:C20)</f>
        <v>2129884200</v>
      </c>
      <c r="D21" s="986">
        <f>SUM(D19:D20)</f>
        <v>0</v>
      </c>
      <c r="E21" s="986">
        <f>SUM(E19:E20)</f>
        <v>0</v>
      </c>
      <c r="F21" s="986">
        <f>SUM(F19:F20)</f>
        <v>2113360706</v>
      </c>
      <c r="G21" s="983">
        <f t="shared" si="0"/>
        <v>0.99224206931062264</v>
      </c>
      <c r="H21" s="982">
        <f>SUM(H19:H20)</f>
        <v>16523494</v>
      </c>
      <c r="I21" s="982">
        <f>SUM(I19:I20)</f>
        <v>2077412420</v>
      </c>
      <c r="J21" s="984">
        <f t="shared" si="1"/>
        <v>0.98298999035141521</v>
      </c>
      <c r="K21" s="982">
        <f>SUM(K19:K20)</f>
        <v>0</v>
      </c>
      <c r="L21" s="987"/>
    </row>
    <row r="22" spans="1:12">
      <c r="A22" s="487">
        <v>5</v>
      </c>
      <c r="B22" s="488" t="s">
        <v>2549</v>
      </c>
      <c r="C22" s="489"/>
      <c r="D22" s="489"/>
      <c r="E22" s="489"/>
      <c r="F22" s="490"/>
      <c r="G22" s="491"/>
      <c r="H22" s="492"/>
      <c r="I22" s="492"/>
      <c r="J22" s="826"/>
      <c r="K22" s="826"/>
      <c r="L22" s="840"/>
    </row>
    <row r="23" spans="1:12">
      <c r="A23" s="924"/>
      <c r="B23" s="923" t="s">
        <v>1350</v>
      </c>
      <c r="C23" s="493">
        <v>0</v>
      </c>
      <c r="D23" s="493">
        <v>0</v>
      </c>
      <c r="E23" s="493">
        <f>'UTANG USAHA TUL '!N24-F23</f>
        <v>0</v>
      </c>
      <c r="F23" s="817">
        <f>'UTANG USAHA TUL '!T24</f>
        <v>0</v>
      </c>
      <c r="G23" s="491"/>
      <c r="H23" s="492">
        <f>C23-D23-E23-F23</f>
        <v>0</v>
      </c>
      <c r="I23" s="819">
        <f>'UTANG USAHA TUL '!X24</f>
        <v>0</v>
      </c>
      <c r="J23" s="826"/>
      <c r="K23" s="489">
        <v>0</v>
      </c>
      <c r="L23" s="821"/>
    </row>
    <row r="24" spans="1:12">
      <c r="A24" s="924"/>
      <c r="B24" s="923" t="s">
        <v>1126</v>
      </c>
      <c r="C24" s="493">
        <f>'SKKO TI'!G14</f>
        <v>61128320</v>
      </c>
      <c r="D24" s="493">
        <v>0</v>
      </c>
      <c r="E24" s="493">
        <v>0</v>
      </c>
      <c r="F24" s="817">
        <f>'SKKO TI'!V16</f>
        <v>61050000</v>
      </c>
      <c r="G24" s="491">
        <f>F24/C24</f>
        <v>0.99871876079695954</v>
      </c>
      <c r="H24" s="492">
        <f>C24-D24-E24-F24</f>
        <v>78320</v>
      </c>
      <c r="I24" s="819">
        <f>'SKKO TI'!Z18</f>
        <v>61050000</v>
      </c>
      <c r="J24" s="826">
        <f>I24/F24</f>
        <v>1</v>
      </c>
      <c r="K24" s="489">
        <v>0</v>
      </c>
      <c r="L24" s="821"/>
    </row>
    <row r="25" spans="1:12">
      <c r="A25" s="2652" t="s">
        <v>2550</v>
      </c>
      <c r="B25" s="2653"/>
      <c r="C25" s="986">
        <f>SUM(C23:C24)</f>
        <v>61128320</v>
      </c>
      <c r="D25" s="986">
        <f>SUM(D23:D24)</f>
        <v>0</v>
      </c>
      <c r="E25" s="986">
        <f>SUM(E23:E24)</f>
        <v>0</v>
      </c>
      <c r="F25" s="986">
        <f>SUM(F23:F24)</f>
        <v>61050000</v>
      </c>
      <c r="G25" s="983">
        <f>F25/C25</f>
        <v>0.99871876079695954</v>
      </c>
      <c r="H25" s="982">
        <f>SUM(H23:H24)</f>
        <v>78320</v>
      </c>
      <c r="I25" s="982">
        <f>SUM(I23:I24)</f>
        <v>61050000</v>
      </c>
      <c r="J25" s="984">
        <f>I25/F25</f>
        <v>1</v>
      </c>
      <c r="K25" s="982">
        <f>SUM(K23:K24)</f>
        <v>0</v>
      </c>
      <c r="L25" s="987"/>
    </row>
    <row r="26" spans="1:12" ht="15.75" thickBot="1">
      <c r="A26" s="2654" t="s">
        <v>1135</v>
      </c>
      <c r="B26" s="2655"/>
      <c r="C26" s="837">
        <f>C9+C13+C17+C21+C25</f>
        <v>69075036061</v>
      </c>
      <c r="D26" s="837">
        <f t="shared" ref="D26:I26" si="2">D9+D13+D17+D21+D25</f>
        <v>0</v>
      </c>
      <c r="E26" s="837">
        <f t="shared" si="2"/>
        <v>0</v>
      </c>
      <c r="F26" s="837">
        <f t="shared" si="2"/>
        <v>67044356275.579346</v>
      </c>
      <c r="G26" s="983">
        <f>F26/C26</f>
        <v>0.97060182808117013</v>
      </c>
      <c r="H26" s="837">
        <f t="shared" si="2"/>
        <v>2030679785.4206619</v>
      </c>
      <c r="I26" s="837">
        <f t="shared" si="2"/>
        <v>61992036178.579346</v>
      </c>
      <c r="J26" s="838">
        <f>I26/F26</f>
        <v>0.92464212682969282</v>
      </c>
      <c r="K26" s="838"/>
      <c r="L26" s="839"/>
    </row>
    <row r="28" spans="1:12">
      <c r="I28" s="2644"/>
      <c r="J28" s="2644"/>
      <c r="K28" s="2644"/>
      <c r="L28" s="2644"/>
    </row>
    <row r="29" spans="1:12">
      <c r="B29" s="841"/>
      <c r="C29" s="841"/>
      <c r="D29" s="841"/>
      <c r="E29" s="495"/>
      <c r="F29" s="495"/>
      <c r="I29" s="2644"/>
      <c r="J29" s="2644"/>
      <c r="K29" s="2644"/>
      <c r="L29" s="2644"/>
    </row>
    <row r="30" spans="1:12">
      <c r="B30" s="912"/>
      <c r="C30" s="495"/>
      <c r="D30" s="495"/>
      <c r="E30" s="911"/>
      <c r="F30" s="495"/>
      <c r="G30" s="495"/>
      <c r="I30" s="2644"/>
      <c r="J30" s="2644"/>
      <c r="K30" s="2644"/>
      <c r="L30" s="2644"/>
    </row>
    <row r="31" spans="1:12">
      <c r="B31" s="912"/>
    </row>
    <row r="32" spans="1:12">
      <c r="B32" s="912"/>
    </row>
    <row r="33" spans="1:12">
      <c r="B33" s="912"/>
      <c r="C33" s="495"/>
      <c r="D33" s="495"/>
      <c r="E33" s="495"/>
      <c r="F33" s="495"/>
      <c r="I33" s="2644"/>
      <c r="J33" s="2644"/>
      <c r="K33" s="2644"/>
      <c r="L33" s="2644"/>
    </row>
    <row r="34" spans="1:12">
      <c r="B34" s="911"/>
      <c r="C34" s="911"/>
      <c r="D34" s="913"/>
      <c r="E34" s="911"/>
      <c r="F34" s="495"/>
      <c r="G34" s="495"/>
      <c r="I34" s="2644"/>
      <c r="J34" s="2644"/>
      <c r="K34" s="2644"/>
      <c r="L34" s="2644"/>
    </row>
    <row r="36" spans="1:12">
      <c r="A36" s="2644"/>
      <c r="B36" s="2644"/>
      <c r="C36" s="2644"/>
      <c r="D36" s="2644"/>
      <c r="E36" s="2644"/>
      <c r="F36" s="2644"/>
      <c r="G36" s="2644"/>
      <c r="H36" s="2644"/>
      <c r="I36" s="2644"/>
      <c r="J36" s="2644"/>
      <c r="K36" s="2644"/>
      <c r="L36" s="2644"/>
    </row>
    <row r="37" spans="1:12">
      <c r="A37" s="2644"/>
      <c r="B37" s="2644"/>
      <c r="C37" s="2644"/>
      <c r="D37" s="2644"/>
      <c r="E37" s="2644"/>
      <c r="F37" s="2644"/>
      <c r="G37" s="2644"/>
      <c r="H37" s="2644"/>
      <c r="I37" s="2644"/>
      <c r="J37" s="2644"/>
      <c r="K37" s="2644"/>
      <c r="L37" s="2644"/>
    </row>
    <row r="38" spans="1:12">
      <c r="A38" s="911"/>
      <c r="B38" s="911"/>
      <c r="C38" s="911"/>
      <c r="D38" s="913"/>
      <c r="E38" s="911"/>
      <c r="F38" s="911"/>
      <c r="G38" s="911"/>
      <c r="H38" s="911"/>
      <c r="I38" s="911"/>
      <c r="J38" s="911"/>
      <c r="K38" s="913"/>
      <c r="L38" s="911"/>
    </row>
    <row r="40" spans="1:12">
      <c r="I40" s="495"/>
      <c r="J40" s="495"/>
      <c r="K40" s="495"/>
      <c r="L40" s="495"/>
    </row>
    <row r="41" spans="1:12">
      <c r="A41" s="2645"/>
      <c r="B41" s="2645"/>
      <c r="C41" s="2645"/>
      <c r="D41" s="2645"/>
      <c r="E41" s="2645"/>
      <c r="F41" s="2645"/>
      <c r="G41" s="2645"/>
      <c r="H41" s="2645"/>
      <c r="I41" s="2645"/>
      <c r="J41" s="2645"/>
      <c r="K41" s="2645"/>
      <c r="L41" s="2645"/>
    </row>
  </sheetData>
  <mergeCells count="16">
    <mergeCell ref="A36:L36"/>
    <mergeCell ref="A37:L37"/>
    <mergeCell ref="A41:L41"/>
    <mergeCell ref="A1:L1"/>
    <mergeCell ref="A2:L2"/>
    <mergeCell ref="A26:B26"/>
    <mergeCell ref="I28:L28"/>
    <mergeCell ref="I29:L29"/>
    <mergeCell ref="I30:L30"/>
    <mergeCell ref="A9:B9"/>
    <mergeCell ref="A13:B13"/>
    <mergeCell ref="A17:B17"/>
    <mergeCell ref="A21:B21"/>
    <mergeCell ref="I33:L33"/>
    <mergeCell ref="I34:L34"/>
    <mergeCell ref="A25:B25"/>
  </mergeCells>
  <pageMargins left="0.7" right="0.7" top="0.75" bottom="0.75" header="0.3" footer="0.3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BN242"/>
  <sheetViews>
    <sheetView tabSelected="1" view="pageBreakPreview" topLeftCell="A8" zoomScale="70" zoomScaleSheetLayoutView="70" workbookViewId="0">
      <pane xSplit="12" ySplit="4" topLeftCell="M12" activePane="bottomRight" state="frozen"/>
      <selection activeCell="A8" sqref="A8"/>
      <selection pane="topRight" activeCell="M8" sqref="M8"/>
      <selection pane="bottomLeft" activeCell="A12" sqref="A12"/>
      <selection pane="bottomRight" activeCell="L93" sqref="L93"/>
    </sheetView>
  </sheetViews>
  <sheetFormatPr defaultColWidth="32.42578125" defaultRowHeight="15.75" customHeight="1"/>
  <cols>
    <col min="1" max="1" width="4.85546875" style="2" customWidth="1"/>
    <col min="2" max="2" width="32.140625" style="2" customWidth="1"/>
    <col min="3" max="3" width="22.85546875" style="89" bestFit="1" customWidth="1"/>
    <col min="4" max="4" width="48.42578125" style="89" hidden="1" customWidth="1"/>
    <col min="5" max="5" width="17.42578125" style="2" hidden="1" customWidth="1"/>
    <col min="6" max="7" width="18.28515625" style="2" hidden="1" customWidth="1"/>
    <col min="8" max="8" width="24.42578125" style="2" hidden="1" customWidth="1"/>
    <col min="9" max="9" width="18" style="2" hidden="1" customWidth="1"/>
    <col min="10" max="10" width="28.7109375" style="2" hidden="1" customWidth="1"/>
    <col min="11" max="11" width="33.28515625" style="2" customWidth="1"/>
    <col min="12" max="12" width="25.85546875" style="88" customWidth="1"/>
    <col min="13" max="13" width="73.28515625" style="89" customWidth="1"/>
    <col min="14" max="14" width="18.140625" style="2" customWidth="1"/>
    <col min="15" max="16" width="19.7109375" style="2" customWidth="1"/>
    <col min="17" max="20" width="19.7109375" style="2" hidden="1" customWidth="1"/>
    <col min="21" max="21" width="2" style="2" hidden="1" customWidth="1"/>
    <col min="22" max="22" width="19.7109375" style="2" customWidth="1"/>
    <col min="23" max="23" width="19.5703125" style="1255" bestFit="1" customWidth="1"/>
    <col min="24" max="25" width="20.140625" style="1255" customWidth="1"/>
    <col min="26" max="26" width="18.28515625" style="1255" customWidth="1"/>
    <col min="27" max="27" width="15.42578125" style="1255" customWidth="1"/>
    <col min="28" max="28" width="17.7109375" style="2" bestFit="1" customWidth="1"/>
    <col min="29" max="29" width="12.85546875" style="2" customWidth="1"/>
    <col min="30" max="30" width="46.7109375" style="2" customWidth="1"/>
    <col min="31" max="31" width="22" style="1378" customWidth="1"/>
    <col min="32" max="33" width="14.42578125" style="2" customWidth="1"/>
    <col min="34" max="34" width="16.42578125" style="2" customWidth="1"/>
    <col min="35" max="36" width="17.5703125" style="2" customWidth="1"/>
    <col min="37" max="37" width="22" style="2" customWidth="1"/>
    <col min="38" max="38" width="12.85546875" style="2" customWidth="1"/>
    <col min="39" max="40" width="14.42578125" style="2" hidden="1" customWidth="1"/>
    <col min="41" max="41" width="16.42578125" style="2" hidden="1" customWidth="1"/>
    <col min="42" max="44" width="17.5703125" style="2" hidden="1" customWidth="1"/>
    <col min="45" max="45" width="14.42578125" style="2" hidden="1" customWidth="1"/>
    <col min="46" max="46" width="17.5703125" style="2" hidden="1" customWidth="1"/>
    <col min="47" max="47" width="15.28515625" style="2" hidden="1" customWidth="1"/>
    <col min="48" max="48" width="16.85546875" style="2" hidden="1" customWidth="1"/>
    <col min="49" max="54" width="15.28515625" style="2" hidden="1" customWidth="1"/>
    <col min="55" max="55" width="2.5703125" style="2" bestFit="1" customWidth="1"/>
    <col min="56" max="56" width="6.28515625" style="2" bestFit="1" customWidth="1"/>
    <col min="57" max="57" width="6.85546875" style="2" bestFit="1" customWidth="1"/>
    <col min="58" max="58" width="2.5703125" style="2" bestFit="1" customWidth="1"/>
    <col min="59" max="59" width="5" style="2" bestFit="1" customWidth="1"/>
    <col min="60" max="60" width="8.140625" style="2001" bestFit="1" customWidth="1"/>
    <col min="61" max="61" width="6.85546875" style="2001" bestFit="1" customWidth="1"/>
    <col min="62" max="64" width="4.85546875" style="2" customWidth="1"/>
    <col min="65" max="65" width="10.42578125" style="2001" customWidth="1"/>
    <col min="66" max="66" width="9.7109375" style="2001" customWidth="1"/>
    <col min="67" max="16384" width="32.42578125" style="2"/>
  </cols>
  <sheetData>
    <row r="1" spans="1:6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20"/>
      <c r="M1" s="1"/>
      <c r="N1" s="1"/>
      <c r="O1" s="1"/>
    </row>
    <row r="2" spans="1:66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20"/>
      <c r="M2" s="1"/>
      <c r="N2" s="1"/>
      <c r="O2" s="1"/>
    </row>
    <row r="3" spans="1:66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20"/>
      <c r="M3" s="1"/>
      <c r="N3" s="1"/>
      <c r="O3" s="1"/>
    </row>
    <row r="4" spans="1:6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20"/>
      <c r="M4" s="1"/>
      <c r="N4" s="1"/>
      <c r="O4" s="1"/>
    </row>
    <row r="5" spans="1:66" ht="15.75" customHeight="1">
      <c r="A5" s="2656" t="s">
        <v>510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  <c r="AB5" s="2656"/>
      <c r="AC5" s="2656"/>
      <c r="AD5" s="2656"/>
      <c r="AE5" s="2656"/>
      <c r="AF5" s="2656"/>
      <c r="AG5" s="2656"/>
      <c r="AH5" s="2656"/>
      <c r="AI5" s="2656"/>
      <c r="AJ5" s="2656"/>
      <c r="AK5" s="2656"/>
      <c r="AL5" s="2656"/>
    </row>
    <row r="6" spans="1:66" ht="15.75" customHeight="1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  <c r="N6" s="2657"/>
      <c r="O6" s="3"/>
    </row>
    <row r="7" spans="1:66" ht="15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20"/>
      <c r="M7" s="1"/>
      <c r="N7" s="1"/>
      <c r="O7" s="1"/>
    </row>
    <row r="8" spans="1:66" ht="15.75" customHeight="1" thickBot="1">
      <c r="A8" s="2658" t="s">
        <v>3</v>
      </c>
      <c r="B8" s="2661" t="s">
        <v>4</v>
      </c>
      <c r="C8" s="2662"/>
      <c r="D8" s="2662"/>
      <c r="E8" s="2662"/>
      <c r="F8" s="2662"/>
      <c r="G8" s="2663"/>
      <c r="H8" s="2664" t="s">
        <v>5</v>
      </c>
      <c r="I8" s="2665"/>
      <c r="J8" s="2661" t="s">
        <v>6</v>
      </c>
      <c r="K8" s="2662"/>
      <c r="L8" s="2662"/>
      <c r="M8" s="2662"/>
      <c r="N8" s="2662"/>
      <c r="O8" s="2662"/>
      <c r="P8" s="2662"/>
      <c r="Q8" s="2662"/>
      <c r="R8" s="2662"/>
      <c r="S8" s="2662"/>
      <c r="T8" s="2662"/>
      <c r="U8" s="2663"/>
      <c r="V8" s="2671" t="s">
        <v>7</v>
      </c>
      <c r="W8" s="2673" t="s">
        <v>8</v>
      </c>
      <c r="X8" s="2673"/>
      <c r="Y8" s="2668" t="s">
        <v>9</v>
      </c>
      <c r="Z8" s="2669"/>
      <c r="AA8" s="2670"/>
      <c r="AB8" s="4" t="s">
        <v>10</v>
      </c>
      <c r="AC8" s="4" t="s">
        <v>23</v>
      </c>
      <c r="AD8" s="2674" t="s">
        <v>11</v>
      </c>
      <c r="AE8" s="2693" t="s">
        <v>2571</v>
      </c>
      <c r="AF8" s="2710" t="s">
        <v>2572</v>
      </c>
      <c r="AG8" s="2698"/>
      <c r="AH8" s="2686" t="s">
        <v>2573</v>
      </c>
      <c r="AI8" s="2687"/>
      <c r="AJ8" s="2687"/>
      <c r="AK8" s="2690" t="s">
        <v>2578</v>
      </c>
      <c r="AL8" s="4"/>
      <c r="AM8" s="2696" t="s">
        <v>12</v>
      </c>
      <c r="AN8" s="2697"/>
      <c r="AO8" s="2697"/>
      <c r="AP8" s="2697"/>
      <c r="AQ8" s="2697"/>
      <c r="AR8" s="2697"/>
      <c r="AS8" s="2697"/>
      <c r="AT8" s="2697"/>
      <c r="AU8" s="2677" t="s">
        <v>13</v>
      </c>
      <c r="AV8" s="2678"/>
      <c r="AW8" s="2678"/>
      <c r="AX8" s="2678"/>
      <c r="AY8" s="2678"/>
      <c r="AZ8" s="2678"/>
      <c r="BA8" s="2678"/>
      <c r="BB8" s="2679"/>
    </row>
    <row r="9" spans="1:66" ht="15.75" customHeight="1" thickBot="1">
      <c r="A9" s="2659"/>
      <c r="B9" s="2658" t="s">
        <v>48</v>
      </c>
      <c r="C9" s="2671" t="s">
        <v>46</v>
      </c>
      <c r="D9" s="2658" t="s">
        <v>14</v>
      </c>
      <c r="E9" s="2706" t="s">
        <v>15</v>
      </c>
      <c r="F9" s="2721"/>
      <c r="G9" s="2722"/>
      <c r="H9" s="2666"/>
      <c r="I9" s="2667"/>
      <c r="J9" s="2658" t="s">
        <v>16</v>
      </c>
      <c r="K9" s="5"/>
      <c r="L9" s="5"/>
      <c r="M9" s="5"/>
      <c r="N9" s="2706" t="s">
        <v>17</v>
      </c>
      <c r="O9" s="2707"/>
      <c r="P9" s="2708"/>
      <c r="Q9" s="2680" t="s">
        <v>18</v>
      </c>
      <c r="R9" s="2681"/>
      <c r="S9" s="2709"/>
      <c r="T9" s="2680" t="s">
        <v>19</v>
      </c>
      <c r="U9" s="2681"/>
      <c r="V9" s="2682"/>
      <c r="W9" s="2690" t="s">
        <v>20</v>
      </c>
      <c r="X9" s="2674" t="s">
        <v>21</v>
      </c>
      <c r="Y9" s="2713" t="s">
        <v>22</v>
      </c>
      <c r="Z9" s="2698" t="s">
        <v>15</v>
      </c>
      <c r="AA9" s="1241" t="s">
        <v>23</v>
      </c>
      <c r="AB9" s="7"/>
      <c r="AC9" s="7" t="s">
        <v>702</v>
      </c>
      <c r="AD9" s="2675"/>
      <c r="AE9" s="2694"/>
      <c r="AF9" s="2711"/>
      <c r="AG9" s="2712"/>
      <c r="AH9" s="2688"/>
      <c r="AI9" s="2689"/>
      <c r="AJ9" s="2689"/>
      <c r="AK9" s="2691"/>
      <c r="AL9" s="7"/>
      <c r="AM9" s="8"/>
      <c r="AN9" s="9"/>
      <c r="AO9" s="9"/>
      <c r="AP9" s="9"/>
      <c r="AQ9" s="9"/>
      <c r="AR9" s="9"/>
      <c r="AS9" s="9"/>
      <c r="AT9" s="9"/>
      <c r="AU9" s="2683" t="s">
        <v>24</v>
      </c>
      <c r="AV9" s="2684"/>
      <c r="AW9" s="2684"/>
      <c r="AX9" s="2685"/>
      <c r="AY9" s="2683" t="s">
        <v>25</v>
      </c>
      <c r="AZ9" s="2684"/>
      <c r="BA9" s="2684"/>
      <c r="BB9" s="2685"/>
    </row>
    <row r="10" spans="1:66" ht="15.75" customHeight="1" thickBot="1">
      <c r="A10" s="2660"/>
      <c r="B10" s="2660"/>
      <c r="C10" s="2672"/>
      <c r="D10" s="2660"/>
      <c r="E10" s="11" t="s">
        <v>30</v>
      </c>
      <c r="F10" s="11" t="s">
        <v>31</v>
      </c>
      <c r="G10" s="11" t="s">
        <v>32</v>
      </c>
      <c r="H10" s="10" t="s">
        <v>26</v>
      </c>
      <c r="I10" s="10" t="s">
        <v>27</v>
      </c>
      <c r="J10" s="2660"/>
      <c r="K10" s="10" t="s">
        <v>49</v>
      </c>
      <c r="L10" s="10" t="s">
        <v>29</v>
      </c>
      <c r="M10" s="10" t="s">
        <v>28</v>
      </c>
      <c r="N10" s="11" t="s">
        <v>30</v>
      </c>
      <c r="O10" s="11" t="s">
        <v>31</v>
      </c>
      <c r="P10" s="12" t="s">
        <v>32</v>
      </c>
      <c r="Q10" s="12" t="s">
        <v>33</v>
      </c>
      <c r="R10" s="12" t="s">
        <v>30</v>
      </c>
      <c r="S10" s="12" t="s">
        <v>31</v>
      </c>
      <c r="T10" s="12" t="s">
        <v>33</v>
      </c>
      <c r="U10" s="13" t="s">
        <v>34</v>
      </c>
      <c r="V10" s="2672"/>
      <c r="W10" s="2692"/>
      <c r="X10" s="2676"/>
      <c r="Y10" s="2714"/>
      <c r="Z10" s="2699"/>
      <c r="AA10" s="1244" t="s">
        <v>35</v>
      </c>
      <c r="AB10" s="12" t="s">
        <v>36</v>
      </c>
      <c r="AC10" s="12"/>
      <c r="AD10" s="2676"/>
      <c r="AE10" s="2695"/>
      <c r="AF10" s="16" t="s">
        <v>3</v>
      </c>
      <c r="AG10" s="16" t="s">
        <v>2574</v>
      </c>
      <c r="AH10" s="16" t="s">
        <v>2575</v>
      </c>
      <c r="AI10" s="16" t="s">
        <v>2576</v>
      </c>
      <c r="AJ10" s="16" t="s">
        <v>2577</v>
      </c>
      <c r="AK10" s="2692"/>
      <c r="AL10" s="12"/>
      <c r="AM10" s="2700" t="s">
        <v>37</v>
      </c>
      <c r="AN10" s="2701"/>
      <c r="AO10" s="2701"/>
      <c r="AP10" s="2702"/>
      <c r="AQ10" s="2700" t="s">
        <v>38</v>
      </c>
      <c r="AR10" s="2701"/>
      <c r="AS10" s="2701"/>
      <c r="AT10" s="2701"/>
      <c r="AU10" s="15" t="s">
        <v>39</v>
      </c>
      <c r="AV10" s="15" t="s">
        <v>40</v>
      </c>
      <c r="AW10" s="15" t="s">
        <v>41</v>
      </c>
      <c r="AX10" s="15" t="s">
        <v>42</v>
      </c>
      <c r="AY10" s="15" t="s">
        <v>39</v>
      </c>
      <c r="AZ10" s="15" t="s">
        <v>40</v>
      </c>
      <c r="BA10" s="15" t="s">
        <v>41</v>
      </c>
      <c r="BB10" s="15" t="s">
        <v>42</v>
      </c>
    </row>
    <row r="11" spans="1:66" ht="15.75" customHeight="1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/>
      <c r="J11" s="10"/>
      <c r="K11" s="10">
        <v>5</v>
      </c>
      <c r="L11" s="10"/>
      <c r="M11" s="10">
        <v>6</v>
      </c>
      <c r="N11" s="10">
        <v>8</v>
      </c>
      <c r="O11" s="10"/>
      <c r="P11" s="16">
        <v>9</v>
      </c>
      <c r="Q11" s="17"/>
      <c r="R11" s="17"/>
      <c r="S11" s="17"/>
      <c r="T11" s="17"/>
      <c r="U11" s="17"/>
      <c r="V11" s="17"/>
      <c r="W11" s="2668">
        <v>10</v>
      </c>
      <c r="X11" s="2669"/>
      <c r="Y11" s="2669"/>
      <c r="Z11" s="2670"/>
      <c r="AA11" s="1243"/>
      <c r="AB11" s="16">
        <v>10</v>
      </c>
      <c r="AC11" s="16"/>
      <c r="AD11" s="16">
        <v>11</v>
      </c>
      <c r="AE11" s="1379"/>
      <c r="AF11" s="19"/>
      <c r="AG11" s="19"/>
      <c r="AH11" s="19"/>
      <c r="AI11" s="19"/>
      <c r="AJ11" s="19"/>
      <c r="AK11" s="16"/>
      <c r="AL11" s="16"/>
      <c r="AM11" s="19" t="s">
        <v>39</v>
      </c>
      <c r="AN11" s="19" t="s">
        <v>40</v>
      </c>
      <c r="AO11" s="19" t="s">
        <v>41</v>
      </c>
      <c r="AP11" s="19" t="s">
        <v>42</v>
      </c>
      <c r="AQ11" s="19" t="s">
        <v>39</v>
      </c>
      <c r="AR11" s="19" t="s">
        <v>40</v>
      </c>
      <c r="AS11" s="19" t="s">
        <v>41</v>
      </c>
      <c r="AT11" s="20" t="s">
        <v>42</v>
      </c>
      <c r="AU11" s="21"/>
      <c r="AV11" s="21"/>
      <c r="AW11" s="21"/>
      <c r="AX11" s="21"/>
      <c r="AY11" s="21"/>
      <c r="AZ11" s="21"/>
      <c r="BA11" s="21"/>
      <c r="BB11" s="21"/>
    </row>
    <row r="12" spans="1:66" ht="15.75" customHeight="1">
      <c r="A12" s="95"/>
      <c r="B12" s="95"/>
      <c r="C12" s="95"/>
      <c r="D12" s="95"/>
      <c r="E12" s="95"/>
      <c r="F12" s="95"/>
      <c r="G12" s="95"/>
      <c r="H12" s="95"/>
      <c r="I12" s="95"/>
      <c r="J12" s="93"/>
      <c r="K12" s="5"/>
      <c r="L12" s="5"/>
      <c r="M12" s="5"/>
      <c r="N12" s="96"/>
      <c r="O12" s="96"/>
      <c r="P12" s="97"/>
      <c r="Q12" s="9"/>
      <c r="R12" s="9"/>
      <c r="S12" s="9"/>
      <c r="T12" s="9"/>
      <c r="U12" s="9"/>
      <c r="V12" s="136"/>
      <c r="W12" s="1242"/>
      <c r="X12" s="1242"/>
      <c r="Y12" s="1242"/>
      <c r="Z12" s="1256"/>
      <c r="AA12" s="1256"/>
      <c r="AB12" s="342"/>
      <c r="AC12" s="342"/>
      <c r="AD12" s="342"/>
      <c r="AE12" s="1380"/>
      <c r="AF12" s="1381"/>
      <c r="AG12" s="1381"/>
      <c r="AH12" s="1381"/>
      <c r="AI12" s="1381"/>
      <c r="AJ12" s="1381"/>
      <c r="AK12" s="97"/>
      <c r="AL12" s="342"/>
      <c r="AM12" s="382"/>
      <c r="AN12" s="98"/>
      <c r="AO12" s="98"/>
      <c r="AP12" s="98"/>
      <c r="AQ12" s="98"/>
      <c r="AR12" s="98"/>
      <c r="AS12" s="98"/>
      <c r="AT12" s="99"/>
      <c r="AU12" s="78"/>
      <c r="AV12" s="78"/>
      <c r="AW12" s="78"/>
      <c r="AX12" s="78"/>
      <c r="AY12" s="78"/>
      <c r="AZ12" s="78"/>
      <c r="BA12" s="78"/>
      <c r="BB12" s="78"/>
    </row>
    <row r="13" spans="1:66" ht="31.5">
      <c r="A13" s="22">
        <v>1</v>
      </c>
      <c r="B13" s="23" t="s">
        <v>59</v>
      </c>
      <c r="C13" s="24"/>
      <c r="D13" s="25" t="s">
        <v>60</v>
      </c>
      <c r="E13" s="26"/>
      <c r="F13" s="26">
        <v>197560000</v>
      </c>
      <c r="G13" s="26">
        <f>E13+F13</f>
        <v>197560000</v>
      </c>
      <c r="H13" s="26"/>
      <c r="I13" s="26"/>
      <c r="J13" s="126"/>
      <c r="K13" s="77" t="s">
        <v>61</v>
      </c>
      <c r="L13" s="71" t="s">
        <v>43</v>
      </c>
      <c r="M13" s="71" t="s">
        <v>62</v>
      </c>
      <c r="N13" s="58"/>
      <c r="O13" s="143">
        <v>197560000</v>
      </c>
      <c r="P13" s="139">
        <f>N13+O13</f>
        <v>197560000</v>
      </c>
      <c r="Q13" s="30"/>
      <c r="R13" s="30"/>
      <c r="S13" s="30"/>
      <c r="T13" s="30"/>
      <c r="U13" s="30"/>
      <c r="V13" s="144">
        <f>P13</f>
        <v>197560000</v>
      </c>
      <c r="W13" s="200" t="s">
        <v>63</v>
      </c>
      <c r="X13" s="1253"/>
      <c r="Y13" s="289">
        <v>42395</v>
      </c>
      <c r="Z13" s="144">
        <f>V13</f>
        <v>197560000</v>
      </c>
      <c r="AA13" s="2640">
        <v>1</v>
      </c>
      <c r="AB13" s="59">
        <f>G13-V13</f>
        <v>0</v>
      </c>
      <c r="AC13" s="59"/>
      <c r="AD13" s="38"/>
      <c r="AE13" s="1382"/>
      <c r="AF13" s="38"/>
      <c r="AG13" s="38"/>
      <c r="AH13" s="38"/>
      <c r="AI13" s="38"/>
      <c r="AJ13" s="38"/>
      <c r="AK13" s="383"/>
      <c r="AL13" s="59"/>
      <c r="AM13" s="383"/>
      <c r="AN13" s="32"/>
      <c r="AO13" s="32"/>
      <c r="AP13" s="32"/>
      <c r="AQ13" s="32"/>
      <c r="AR13" s="32"/>
      <c r="AS13" s="32"/>
      <c r="AT13" s="33"/>
      <c r="AU13" s="32"/>
      <c r="AV13" s="32"/>
      <c r="AW13" s="32"/>
      <c r="AX13" s="32"/>
      <c r="AY13" s="32"/>
      <c r="AZ13" s="32"/>
      <c r="BA13" s="32"/>
      <c r="BB13" s="32"/>
    </row>
    <row r="14" spans="1:66">
      <c r="A14" s="22"/>
      <c r="B14" s="153" t="s">
        <v>930</v>
      </c>
      <c r="C14" s="565"/>
      <c r="D14" s="566"/>
      <c r="E14" s="169"/>
      <c r="F14" s="169"/>
      <c r="G14" s="170"/>
      <c r="H14" s="170"/>
      <c r="I14" s="170"/>
      <c r="J14" s="170"/>
      <c r="K14" s="293"/>
      <c r="L14" s="294"/>
      <c r="M14" s="294"/>
      <c r="N14" s="184"/>
      <c r="O14" s="183"/>
      <c r="P14" s="295"/>
      <c r="Q14" s="296"/>
      <c r="R14" s="296"/>
      <c r="S14" s="296"/>
      <c r="T14" s="296"/>
      <c r="U14" s="296"/>
      <c r="V14" s="144"/>
      <c r="W14" s="297"/>
      <c r="X14" s="424"/>
      <c r="Y14" s="298"/>
      <c r="Z14" s="295"/>
      <c r="AA14" s="1254"/>
      <c r="AB14" s="46"/>
      <c r="AC14" s="46"/>
      <c r="AD14" s="392"/>
      <c r="AE14" s="1382"/>
      <c r="AF14" s="38"/>
      <c r="AG14" s="38"/>
      <c r="AH14" s="38"/>
      <c r="AI14" s="38"/>
      <c r="AJ14" s="38"/>
      <c r="AK14" s="383"/>
      <c r="AL14" s="46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</row>
    <row r="15" spans="1:66" s="63" customFormat="1" ht="15.75" customHeight="1" thickBot="1">
      <c r="A15" s="121"/>
      <c r="B15" s="564">
        <v>42389</v>
      </c>
      <c r="C15" s="123"/>
      <c r="D15" s="124"/>
      <c r="E15" s="125"/>
      <c r="F15" s="125"/>
      <c r="G15" s="120"/>
      <c r="H15" s="115"/>
      <c r="I15" s="115"/>
      <c r="J15" s="127"/>
      <c r="K15" s="133"/>
      <c r="L15" s="133"/>
      <c r="M15" s="134"/>
      <c r="N15" s="129"/>
      <c r="O15" s="116"/>
      <c r="P15" s="46"/>
      <c r="Q15" s="117"/>
      <c r="R15" s="117"/>
      <c r="S15" s="117"/>
      <c r="T15" s="117"/>
      <c r="U15" s="117"/>
      <c r="V15" s="59"/>
      <c r="W15" s="145"/>
      <c r="X15" s="146"/>
      <c r="Y15" s="146"/>
      <c r="Z15" s="57"/>
      <c r="AA15" s="119"/>
      <c r="AB15" s="46"/>
      <c r="AC15" s="46"/>
      <c r="AD15" s="46"/>
      <c r="AE15" s="1382"/>
      <c r="AF15" s="38"/>
      <c r="AG15" s="38"/>
      <c r="AH15" s="38"/>
      <c r="AI15" s="38"/>
      <c r="AJ15" s="38"/>
      <c r="AK15" s="383"/>
      <c r="AL15" s="46"/>
      <c r="AM15" s="384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2"/>
      <c r="BH15" s="2002"/>
      <c r="BI15" s="2002"/>
      <c r="BM15" s="2002"/>
      <c r="BN15" s="2002"/>
    </row>
    <row r="16" spans="1:66" s="55" customFormat="1" ht="15.75" customHeight="1" thickBot="1">
      <c r="A16" s="2703" t="s">
        <v>59</v>
      </c>
      <c r="B16" s="2704"/>
      <c r="C16" s="2704"/>
      <c r="D16" s="2705"/>
      <c r="E16" s="65">
        <f>SUM(E13:E15)</f>
        <v>0</v>
      </c>
      <c r="F16" s="65">
        <f>SUM(F13:F15)</f>
        <v>197560000</v>
      </c>
      <c r="G16" s="65">
        <f>SUM(G13:G15)</f>
        <v>197560000</v>
      </c>
      <c r="H16" s="65"/>
      <c r="I16" s="65"/>
      <c r="J16" s="65"/>
      <c r="K16" s="66"/>
      <c r="L16" s="94"/>
      <c r="M16" s="67"/>
      <c r="N16" s="68">
        <f>SUM(N13:N15)</f>
        <v>0</v>
      </c>
      <c r="O16" s="68">
        <f>SUM(O13:O15)</f>
        <v>197560000</v>
      </c>
      <c r="P16" s="68">
        <f>SUM(P13:P15)</f>
        <v>197560000</v>
      </c>
      <c r="Q16" s="68" t="e">
        <f>SUM(#REF!)</f>
        <v>#REF!</v>
      </c>
      <c r="R16" s="68" t="e">
        <f>SUM(#REF!)</f>
        <v>#REF!</v>
      </c>
      <c r="S16" s="68" t="e">
        <f>SUM(#REF!)</f>
        <v>#REF!</v>
      </c>
      <c r="T16" s="68" t="e">
        <f>SUM(#REF!)</f>
        <v>#REF!</v>
      </c>
      <c r="U16" s="68" t="e">
        <f>SUM(#REF!)</f>
        <v>#REF!</v>
      </c>
      <c r="V16" s="68">
        <f>SUM(V13:V15)</f>
        <v>197560000</v>
      </c>
      <c r="W16" s="1257"/>
      <c r="X16" s="1258"/>
      <c r="Y16" s="1258"/>
      <c r="Z16" s="68">
        <f>SUM(Z13:Z15)</f>
        <v>197560000</v>
      </c>
      <c r="AA16" s="65"/>
      <c r="AB16" s="65">
        <f>SUM(AB15:AB15)</f>
        <v>0</v>
      </c>
      <c r="AC16" s="65"/>
      <c r="AD16" s="76"/>
      <c r="AE16" s="1382"/>
      <c r="AF16" s="38"/>
      <c r="AG16" s="38"/>
      <c r="AH16" s="38"/>
      <c r="AI16" s="38"/>
      <c r="AJ16" s="38"/>
      <c r="AK16" s="383"/>
      <c r="AL16" s="65"/>
      <c r="AM16" s="385"/>
      <c r="AN16" s="100"/>
      <c r="AO16" s="100"/>
      <c r="AP16" s="74"/>
      <c r="AQ16" s="74"/>
      <c r="AR16" s="74"/>
      <c r="AS16" s="74"/>
      <c r="AT16" s="64"/>
      <c r="AU16" s="101" t="e">
        <f>SUM(#REF!)</f>
        <v>#REF!</v>
      </c>
      <c r="AV16" s="101">
        <f t="shared" ref="AV16:BB16" si="0">SUM(AV15:AV15)</f>
        <v>0</v>
      </c>
      <c r="AW16" s="101">
        <f t="shared" si="0"/>
        <v>0</v>
      </c>
      <c r="AX16" s="101">
        <f t="shared" si="0"/>
        <v>0</v>
      </c>
      <c r="AY16" s="101">
        <f t="shared" si="0"/>
        <v>0</v>
      </c>
      <c r="AZ16" s="101">
        <f t="shared" si="0"/>
        <v>0</v>
      </c>
      <c r="BA16" s="101">
        <f t="shared" si="0"/>
        <v>0</v>
      </c>
      <c r="BB16" s="102">
        <f t="shared" si="0"/>
        <v>0</v>
      </c>
      <c r="BD16" s="56"/>
      <c r="BH16" s="2003"/>
      <c r="BI16" s="2003"/>
      <c r="BM16" s="2003"/>
      <c r="BN16" s="2003"/>
    </row>
    <row r="17" spans="1:66">
      <c r="B17" s="23"/>
      <c r="C17" s="24"/>
      <c r="D17" s="25"/>
      <c r="E17" s="26"/>
      <c r="F17" s="26"/>
      <c r="G17" s="26"/>
      <c r="H17" s="26"/>
      <c r="I17" s="26"/>
      <c r="J17" s="126"/>
      <c r="K17" s="77"/>
      <c r="L17" s="71"/>
      <c r="M17" s="71"/>
      <c r="N17" s="58"/>
      <c r="O17" s="143"/>
      <c r="P17" s="139"/>
      <c r="Q17" s="30"/>
      <c r="R17" s="30"/>
      <c r="S17" s="30"/>
      <c r="T17" s="30"/>
      <c r="U17" s="30"/>
      <c r="V17" s="144"/>
      <c r="W17" s="1259"/>
      <c r="X17" s="1260"/>
      <c r="Y17" s="1260"/>
      <c r="Z17" s="446"/>
      <c r="AA17" s="1261"/>
      <c r="AB17" s="388"/>
      <c r="AC17" s="388"/>
      <c r="AD17" s="32"/>
      <c r="AE17" s="1382"/>
      <c r="AF17" s="38"/>
      <c r="AG17" s="38"/>
      <c r="AH17" s="38"/>
      <c r="AI17" s="38"/>
      <c r="AJ17" s="38"/>
      <c r="AK17" s="383"/>
      <c r="AL17" s="388"/>
      <c r="AM17" s="383"/>
      <c r="AN17" s="32"/>
      <c r="AO17" s="32"/>
      <c r="AP17" s="32"/>
      <c r="AQ17" s="32"/>
      <c r="AR17" s="32"/>
      <c r="AS17" s="32"/>
      <c r="AT17" s="33"/>
      <c r="AU17" s="32"/>
      <c r="AV17" s="32"/>
      <c r="AW17" s="32"/>
      <c r="AX17" s="32"/>
      <c r="AY17" s="32"/>
      <c r="AZ17" s="32"/>
      <c r="BA17" s="32"/>
      <c r="BB17" s="32"/>
    </row>
    <row r="18" spans="1:66" ht="47.25">
      <c r="A18" s="291">
        <v>2</v>
      </c>
      <c r="B18" s="153" t="s">
        <v>163</v>
      </c>
      <c r="C18" s="154"/>
      <c r="D18" s="163" t="s">
        <v>167</v>
      </c>
      <c r="E18" s="165">
        <v>67229250</v>
      </c>
      <c r="F18" s="165"/>
      <c r="G18" s="155">
        <f>E18+F18</f>
        <v>67229250</v>
      </c>
      <c r="H18" s="252" t="s">
        <v>164</v>
      </c>
      <c r="I18" s="157">
        <v>42332</v>
      </c>
      <c r="J18" s="158" t="s">
        <v>165</v>
      </c>
      <c r="K18" s="159" t="s">
        <v>166</v>
      </c>
      <c r="L18" s="160" t="s">
        <v>168</v>
      </c>
      <c r="M18" s="163" t="s">
        <v>167</v>
      </c>
      <c r="N18" s="165">
        <v>67229250</v>
      </c>
      <c r="O18" s="165"/>
      <c r="P18" s="161">
        <f>N18+O18</f>
        <v>67229250</v>
      </c>
      <c r="Q18" s="162"/>
      <c r="R18" s="162"/>
      <c r="S18" s="162"/>
      <c r="T18" s="162"/>
      <c r="U18" s="162"/>
      <c r="V18" s="162">
        <f>P18</f>
        <v>67229250</v>
      </c>
      <c r="W18" s="162" t="s">
        <v>3011</v>
      </c>
      <c r="X18" s="162"/>
      <c r="Y18" s="289">
        <v>42429</v>
      </c>
      <c r="Z18" s="162">
        <f>V18</f>
        <v>67229250</v>
      </c>
      <c r="AA18" s="2640">
        <v>1</v>
      </c>
      <c r="AB18" s="59">
        <f>G18-V18</f>
        <v>0</v>
      </c>
      <c r="AC18" s="59"/>
      <c r="AD18" s="38"/>
      <c r="AE18" s="1383"/>
      <c r="AF18" s="1375"/>
      <c r="AG18" s="1375"/>
      <c r="AH18" s="1375"/>
      <c r="AI18" s="1375"/>
      <c r="AJ18" s="1375"/>
      <c r="AK18" s="1396"/>
      <c r="AL18" s="59"/>
      <c r="AM18" s="386"/>
      <c r="AN18" s="38"/>
      <c r="AO18" s="38"/>
      <c r="AP18" s="38"/>
      <c r="AQ18" s="38"/>
      <c r="AR18" s="38"/>
      <c r="AS18" s="38"/>
      <c r="AT18" s="39"/>
      <c r="AU18" s="38"/>
      <c r="AV18" s="38"/>
      <c r="AW18" s="38"/>
      <c r="AX18" s="38"/>
      <c r="AY18" s="38"/>
      <c r="AZ18" s="38"/>
      <c r="BA18" s="38"/>
      <c r="BB18" s="38"/>
      <c r="BD18" s="40"/>
    </row>
    <row r="19" spans="1:66" ht="15.75" customHeight="1">
      <c r="A19" s="22"/>
      <c r="B19" s="153" t="s">
        <v>927</v>
      </c>
      <c r="C19" s="42"/>
      <c r="D19" s="43"/>
      <c r="E19" s="26"/>
      <c r="F19" s="26"/>
      <c r="G19" s="155"/>
      <c r="H19" s="26"/>
      <c r="I19" s="26"/>
      <c r="J19" s="126"/>
      <c r="K19" s="44"/>
      <c r="L19" s="44"/>
      <c r="M19" s="2"/>
      <c r="N19" s="45"/>
      <c r="O19" s="45"/>
      <c r="P19" s="29"/>
      <c r="Q19" s="36"/>
      <c r="R19" s="36"/>
      <c r="S19" s="36"/>
      <c r="T19" s="36"/>
      <c r="U19" s="36"/>
      <c r="V19" s="59"/>
      <c r="W19" s="200"/>
      <c r="X19" s="1253"/>
      <c r="Y19" s="1253"/>
      <c r="Z19" s="144"/>
      <c r="AA19" s="144"/>
      <c r="AB19" s="59"/>
      <c r="AC19" s="59"/>
      <c r="AD19" s="47"/>
      <c r="AE19" s="1382"/>
      <c r="AF19" s="38"/>
      <c r="AG19" s="38"/>
      <c r="AH19" s="38"/>
      <c r="AI19" s="38"/>
      <c r="AJ19" s="38"/>
      <c r="AK19" s="383"/>
      <c r="AL19" s="59"/>
      <c r="AM19" s="386"/>
      <c r="AN19" s="38"/>
      <c r="AO19" s="48"/>
      <c r="AP19" s="48"/>
      <c r="AQ19" s="49" t="e">
        <f>P19-#REF!</f>
        <v>#REF!</v>
      </c>
      <c r="AR19" s="38"/>
      <c r="AS19" s="38"/>
      <c r="AT19" s="39"/>
      <c r="AU19" s="38"/>
      <c r="AV19" s="38"/>
      <c r="AW19" s="38"/>
      <c r="AX19" s="38"/>
      <c r="AY19" s="38"/>
      <c r="AZ19" s="38"/>
      <c r="BA19" s="38"/>
      <c r="BB19" s="38"/>
      <c r="BD19" s="40"/>
    </row>
    <row r="20" spans="1:66" ht="31.5">
      <c r="A20" s="22"/>
      <c r="B20" s="564">
        <v>42424</v>
      </c>
      <c r="C20" s="195"/>
      <c r="D20" s="163" t="s">
        <v>171</v>
      </c>
      <c r="E20" s="165">
        <v>178200000</v>
      </c>
      <c r="F20" s="178"/>
      <c r="G20" s="155">
        <f>E20+F20</f>
        <v>178200000</v>
      </c>
      <c r="H20" s="155"/>
      <c r="I20" s="232"/>
      <c r="J20" s="230" t="s">
        <v>169</v>
      </c>
      <c r="K20" s="159" t="s">
        <v>170</v>
      </c>
      <c r="L20" s="189" t="s">
        <v>168</v>
      </c>
      <c r="M20" s="193" t="s">
        <v>171</v>
      </c>
      <c r="N20" s="192">
        <v>178200000</v>
      </c>
      <c r="O20" s="178"/>
      <c r="P20" s="179">
        <f>N20</f>
        <v>178200000</v>
      </c>
      <c r="Q20" s="179"/>
      <c r="R20" s="179"/>
      <c r="S20" s="179"/>
      <c r="T20" s="179"/>
      <c r="U20" s="179"/>
      <c r="V20" s="179">
        <f>P20</f>
        <v>178200000</v>
      </c>
      <c r="W20" s="179" t="s">
        <v>3012</v>
      </c>
      <c r="X20" s="179"/>
      <c r="Y20" s="289">
        <v>42458</v>
      </c>
      <c r="Z20" s="179">
        <f>V20</f>
        <v>178200000</v>
      </c>
      <c r="AA20" s="2640">
        <v>1</v>
      </c>
      <c r="AB20" s="59">
        <f>G20-V20</f>
        <v>0</v>
      </c>
      <c r="AC20" s="59"/>
      <c r="AD20" s="47"/>
      <c r="AE20" s="1382"/>
      <c r="AF20" s="38"/>
      <c r="AG20" s="38"/>
      <c r="AH20" s="38"/>
      <c r="AI20" s="38"/>
      <c r="AJ20" s="38"/>
      <c r="AK20" s="383"/>
      <c r="AL20" s="59"/>
      <c r="AM20" s="175"/>
      <c r="AN20" s="175"/>
      <c r="AO20" s="176"/>
      <c r="AP20" s="176"/>
      <c r="AQ20" s="177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D20" s="40"/>
    </row>
    <row r="21" spans="1:66">
      <c r="A21" s="22"/>
      <c r="B21" s="166"/>
      <c r="C21" s="167"/>
      <c r="D21" s="180"/>
      <c r="E21" s="181"/>
      <c r="F21" s="182"/>
      <c r="G21" s="155"/>
      <c r="H21" s="155"/>
      <c r="I21" s="232"/>
      <c r="J21" s="183"/>
      <c r="K21" s="188"/>
      <c r="L21" s="190"/>
      <c r="M21" s="193"/>
      <c r="N21" s="164"/>
      <c r="O21" s="164"/>
      <c r="P21" s="164"/>
      <c r="Q21" s="186"/>
      <c r="R21" s="186"/>
      <c r="S21" s="186"/>
      <c r="T21" s="186"/>
      <c r="U21" s="186"/>
      <c r="V21" s="179"/>
      <c r="W21" s="182"/>
      <c r="X21" s="182"/>
      <c r="Y21" s="182"/>
      <c r="Z21" s="187"/>
      <c r="AA21" s="185"/>
      <c r="AB21" s="59"/>
      <c r="AC21" s="59"/>
      <c r="AD21" s="47"/>
      <c r="AE21" s="1382"/>
      <c r="AF21" s="38"/>
      <c r="AG21" s="38"/>
      <c r="AH21" s="38"/>
      <c r="AI21" s="38"/>
      <c r="AJ21" s="38"/>
      <c r="AK21" s="383"/>
      <c r="AL21" s="59"/>
      <c r="AM21" s="175"/>
      <c r="AN21" s="175"/>
      <c r="AO21" s="176"/>
      <c r="AP21" s="176"/>
      <c r="AQ21" s="177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5"/>
      <c r="BD21" s="40"/>
    </row>
    <row r="22" spans="1:66" s="1780" customFormat="1" ht="31.5">
      <c r="A22" s="1885"/>
      <c r="B22" s="1886"/>
      <c r="C22" s="1887"/>
      <c r="D22" s="1888" t="s">
        <v>172</v>
      </c>
      <c r="E22" s="1889"/>
      <c r="F22" s="1889">
        <v>129345040</v>
      </c>
      <c r="G22" s="1890">
        <f>E22+F22</f>
        <v>129345040</v>
      </c>
      <c r="H22" s="1890"/>
      <c r="I22" s="1891"/>
      <c r="J22" s="1892"/>
      <c r="K22" s="1893" t="s">
        <v>174</v>
      </c>
      <c r="L22" s="1894" t="s">
        <v>173</v>
      </c>
      <c r="M22" s="1895" t="s">
        <v>172</v>
      </c>
      <c r="N22" s="1896"/>
      <c r="O22" s="1889">
        <v>129345040</v>
      </c>
      <c r="P22" s="1890">
        <f>N22+O22</f>
        <v>129345040</v>
      </c>
      <c r="Q22" s="1892"/>
      <c r="R22" s="1892"/>
      <c r="S22" s="1892"/>
      <c r="T22" s="1892"/>
      <c r="U22" s="1892"/>
      <c r="V22" s="1897">
        <f t="shared" ref="V22:V36" si="1">P22</f>
        <v>129345040</v>
      </c>
      <c r="W22" s="1898"/>
      <c r="X22" s="1898"/>
      <c r="Y22" s="1898"/>
      <c r="Z22" s="1899"/>
      <c r="AA22" s="1900"/>
      <c r="AB22" s="1901">
        <f>G22-V22</f>
        <v>0</v>
      </c>
      <c r="AC22" s="1901"/>
      <c r="AD22" s="1902" t="s">
        <v>701</v>
      </c>
      <c r="AE22" s="1903">
        <v>0.7</v>
      </c>
      <c r="AF22" s="1904"/>
      <c r="AG22" s="1904"/>
      <c r="AH22" s="1904"/>
      <c r="AI22" s="1904"/>
      <c r="AJ22" s="1905">
        <f>F22</f>
        <v>129345040</v>
      </c>
      <c r="AK22" s="1906"/>
      <c r="AL22" s="1901"/>
      <c r="AM22" s="1907"/>
      <c r="AN22" s="1907"/>
      <c r="AO22" s="1908"/>
      <c r="AP22" s="1908"/>
      <c r="AQ22" s="1909"/>
      <c r="AR22" s="1907"/>
      <c r="AS22" s="1907"/>
      <c r="AT22" s="1907"/>
      <c r="AU22" s="1907"/>
      <c r="AV22" s="1907"/>
      <c r="AW22" s="1907"/>
      <c r="AX22" s="1907"/>
      <c r="AY22" s="1907"/>
      <c r="AZ22" s="1907"/>
      <c r="BA22" s="1907"/>
      <c r="BB22" s="1907"/>
      <c r="BD22" s="1910"/>
      <c r="BH22" s="2004"/>
      <c r="BI22" s="2004"/>
      <c r="BM22" s="2004"/>
      <c r="BN22" s="2004"/>
    </row>
    <row r="23" spans="1:66" ht="15.75" customHeight="1">
      <c r="A23" s="22"/>
      <c r="B23" s="166"/>
      <c r="C23" s="167"/>
      <c r="D23" s="168"/>
      <c r="E23" s="169"/>
      <c r="F23" s="169"/>
      <c r="G23" s="155"/>
      <c r="H23" s="155"/>
      <c r="I23" s="232"/>
      <c r="J23" s="170"/>
      <c r="K23" s="171"/>
      <c r="L23" s="191"/>
      <c r="M23" s="194"/>
      <c r="N23" s="164"/>
      <c r="O23" s="164"/>
      <c r="P23" s="164"/>
      <c r="Q23" s="173"/>
      <c r="R23" s="173"/>
      <c r="S23" s="173"/>
      <c r="T23" s="173"/>
      <c r="U23" s="173"/>
      <c r="V23" s="179"/>
      <c r="W23" s="297"/>
      <c r="X23" s="424"/>
      <c r="Y23" s="424"/>
      <c r="Z23" s="295"/>
      <c r="AA23" s="1262"/>
      <c r="AB23" s="59"/>
      <c r="AC23" s="59"/>
      <c r="AD23" s="47"/>
      <c r="AE23" s="1383"/>
      <c r="AF23" s="1375"/>
      <c r="AG23" s="1375"/>
      <c r="AH23" s="1375"/>
      <c r="AI23" s="1375"/>
      <c r="AJ23" s="1375"/>
      <c r="AK23" s="1396"/>
      <c r="AL23" s="59"/>
      <c r="AM23" s="175"/>
      <c r="AN23" s="175"/>
      <c r="AO23" s="176"/>
      <c r="AP23" s="176"/>
      <c r="AQ23" s="177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D23" s="40"/>
    </row>
    <row r="24" spans="1:66" s="1780" customFormat="1" ht="31.5">
      <c r="A24" s="1885"/>
      <c r="B24" s="1886"/>
      <c r="C24" s="1911"/>
      <c r="D24" s="1912" t="s">
        <v>177</v>
      </c>
      <c r="E24" s="1913"/>
      <c r="F24" s="1913">
        <v>328820772</v>
      </c>
      <c r="G24" s="1890">
        <f t="shared" ref="G24:G79" si="2">E24+F24</f>
        <v>328820772</v>
      </c>
      <c r="H24" s="1890"/>
      <c r="I24" s="1891"/>
      <c r="J24" s="1914"/>
      <c r="K24" s="1915" t="s">
        <v>176</v>
      </c>
      <c r="L24" s="1916" t="s">
        <v>175</v>
      </c>
      <c r="M24" s="1912" t="s">
        <v>177</v>
      </c>
      <c r="N24" s="1913"/>
      <c r="O24" s="1917">
        <v>290776172</v>
      </c>
      <c r="P24" s="1890">
        <f t="shared" ref="P24:P36" si="3">N24+O24</f>
        <v>290776172</v>
      </c>
      <c r="Q24" s="1918"/>
      <c r="R24" s="1918"/>
      <c r="S24" s="1918"/>
      <c r="T24" s="1918"/>
      <c r="U24" s="1918"/>
      <c r="V24" s="1897">
        <f t="shared" si="1"/>
        <v>290776172</v>
      </c>
      <c r="W24" s="1919" t="s">
        <v>3010</v>
      </c>
      <c r="X24" s="1920"/>
      <c r="Y24" s="1920">
        <v>42489</v>
      </c>
      <c r="Z24" s="1917">
        <v>290776172</v>
      </c>
      <c r="AA24" s="2641">
        <v>1</v>
      </c>
      <c r="AB24" s="1901">
        <f>G24-V24</f>
        <v>38044600</v>
      </c>
      <c r="AC24" s="1922">
        <v>1</v>
      </c>
      <c r="AD24" s="1902"/>
      <c r="AE24" s="1903"/>
      <c r="AF24" s="1904"/>
      <c r="AG24" s="1904"/>
      <c r="AH24" s="1904"/>
      <c r="AI24" s="1904"/>
      <c r="AJ24" s="1904"/>
      <c r="AK24" s="1906"/>
      <c r="AL24" s="1922"/>
      <c r="AM24" s="1907"/>
      <c r="AN24" s="1907"/>
      <c r="AO24" s="1908"/>
      <c r="AP24" s="1908"/>
      <c r="AQ24" s="1909"/>
      <c r="AR24" s="1907"/>
      <c r="AS24" s="1907"/>
      <c r="AT24" s="1907"/>
      <c r="AU24" s="1907"/>
      <c r="AV24" s="1907"/>
      <c r="AW24" s="1907"/>
      <c r="AX24" s="1907"/>
      <c r="AY24" s="1907"/>
      <c r="AZ24" s="1907"/>
      <c r="BA24" s="1907"/>
      <c r="BB24" s="1907"/>
      <c r="BD24" s="1910"/>
      <c r="BH24" s="2004"/>
      <c r="BI24" s="2004"/>
      <c r="BM24" s="2004"/>
      <c r="BN24" s="2004"/>
    </row>
    <row r="25" spans="1:66">
      <c r="A25" s="22"/>
      <c r="B25" s="166"/>
      <c r="C25" s="201"/>
      <c r="D25" s="202"/>
      <c r="E25" s="199"/>
      <c r="F25" s="169"/>
      <c r="G25" s="155"/>
      <c r="H25" s="155"/>
      <c r="I25" s="232"/>
      <c r="J25" s="170"/>
      <c r="K25" s="159"/>
      <c r="L25" s="203"/>
      <c r="M25" s="204"/>
      <c r="N25" s="199"/>
      <c r="O25" s="170"/>
      <c r="P25" s="155"/>
      <c r="Q25" s="173"/>
      <c r="R25" s="173"/>
      <c r="S25" s="173"/>
      <c r="T25" s="173"/>
      <c r="U25" s="173"/>
      <c r="V25" s="179"/>
      <c r="W25" s="297"/>
      <c r="X25" s="424"/>
      <c r="Y25" s="424"/>
      <c r="Z25" s="295"/>
      <c r="AA25" s="1262"/>
      <c r="AB25" s="59"/>
      <c r="AC25" s="59"/>
      <c r="AD25" s="47"/>
      <c r="AE25" s="1382"/>
      <c r="AF25" s="38"/>
      <c r="AG25" s="38"/>
      <c r="AH25" s="38"/>
      <c r="AI25" s="38"/>
      <c r="AJ25" s="38"/>
      <c r="AK25" s="383"/>
      <c r="AL25" s="59"/>
      <c r="AM25" s="175"/>
      <c r="AN25" s="175"/>
      <c r="AO25" s="176"/>
      <c r="AP25" s="176"/>
      <c r="AQ25" s="177"/>
      <c r="AR25" s="175"/>
      <c r="AS25" s="175"/>
      <c r="AT25" s="175"/>
      <c r="AU25" s="175"/>
      <c r="AV25" s="175"/>
      <c r="AW25" s="175"/>
      <c r="AX25" s="175"/>
      <c r="AY25" s="175"/>
      <c r="AZ25" s="175"/>
      <c r="BA25" s="175"/>
      <c r="BB25" s="175"/>
      <c r="BD25" s="40"/>
    </row>
    <row r="26" spans="1:66" s="1780" customFormat="1" ht="31.5">
      <c r="A26" s="1885"/>
      <c r="B26" s="1886"/>
      <c r="C26" s="1923"/>
      <c r="D26" s="1912" t="s">
        <v>179</v>
      </c>
      <c r="E26" s="1913"/>
      <c r="F26" s="1897">
        <v>746377000</v>
      </c>
      <c r="G26" s="1890">
        <f t="shared" si="2"/>
        <v>746377000</v>
      </c>
      <c r="H26" s="1890"/>
      <c r="I26" s="1891"/>
      <c r="J26" s="1914"/>
      <c r="K26" s="1915" t="s">
        <v>178</v>
      </c>
      <c r="L26" s="1916" t="s">
        <v>173</v>
      </c>
      <c r="M26" s="1912" t="s">
        <v>179</v>
      </c>
      <c r="N26" s="1913"/>
      <c r="O26" s="1897">
        <v>746377000</v>
      </c>
      <c r="P26" s="1890">
        <f t="shared" si="3"/>
        <v>746377000</v>
      </c>
      <c r="Q26" s="1918"/>
      <c r="R26" s="1918"/>
      <c r="S26" s="1918"/>
      <c r="T26" s="1918"/>
      <c r="U26" s="1918"/>
      <c r="V26" s="1897">
        <f t="shared" si="1"/>
        <v>746377000</v>
      </c>
      <c r="W26" s="1919" t="s">
        <v>3513</v>
      </c>
      <c r="X26" s="1920">
        <v>42727</v>
      </c>
      <c r="Y26" s="1920">
        <v>42731</v>
      </c>
      <c r="Z26" s="1917">
        <v>485144660</v>
      </c>
      <c r="AA26" s="1924">
        <f>(Z26/V26)*100%</f>
        <v>0.64999947747586007</v>
      </c>
      <c r="AB26" s="1901">
        <f>G26-V26</f>
        <v>0</v>
      </c>
      <c r="AC26" s="1922">
        <v>0.6</v>
      </c>
      <c r="AD26" s="1902" t="s">
        <v>703</v>
      </c>
      <c r="AE26" s="1903">
        <v>0.7</v>
      </c>
      <c r="AF26" s="1904"/>
      <c r="AG26" s="1904"/>
      <c r="AH26" s="1904"/>
      <c r="AI26" s="1904"/>
      <c r="AJ26" s="1905">
        <f>F26</f>
        <v>746377000</v>
      </c>
      <c r="AK26" s="1906"/>
      <c r="AL26" s="1922"/>
      <c r="AM26" s="1907"/>
      <c r="AN26" s="1907"/>
      <c r="AO26" s="1908"/>
      <c r="AP26" s="1908"/>
      <c r="AQ26" s="1909"/>
      <c r="AR26" s="1907"/>
      <c r="AS26" s="1907"/>
      <c r="AT26" s="1907"/>
      <c r="AU26" s="1907"/>
      <c r="AV26" s="1907"/>
      <c r="AW26" s="1907"/>
      <c r="AX26" s="1907"/>
      <c r="AY26" s="1907"/>
      <c r="AZ26" s="1907"/>
      <c r="BA26" s="1907"/>
      <c r="BB26" s="1907"/>
      <c r="BD26" s="1910"/>
      <c r="BH26" s="2004"/>
      <c r="BI26" s="2004"/>
      <c r="BM26" s="2004"/>
      <c r="BN26" s="2004"/>
    </row>
    <row r="27" spans="1:66">
      <c r="A27" s="22"/>
      <c r="B27" s="166"/>
      <c r="C27" s="208"/>
      <c r="D27" s="180"/>
      <c r="E27" s="199"/>
      <c r="F27" s="209"/>
      <c r="G27" s="155"/>
      <c r="H27" s="155"/>
      <c r="I27" s="232"/>
      <c r="J27" s="170"/>
      <c r="K27" s="210"/>
      <c r="L27" s="211"/>
      <c r="M27" s="212"/>
      <c r="N27" s="199"/>
      <c r="O27" s="186"/>
      <c r="P27" s="155"/>
      <c r="Q27" s="173"/>
      <c r="R27" s="173"/>
      <c r="S27" s="173"/>
      <c r="T27" s="173"/>
      <c r="U27" s="173"/>
      <c r="V27" s="179"/>
      <c r="W27" s="297"/>
      <c r="X27" s="424"/>
      <c r="Y27" s="424"/>
      <c r="Z27" s="295"/>
      <c r="AA27" s="1262"/>
      <c r="AB27" s="59"/>
      <c r="AC27" s="59"/>
      <c r="AD27" s="47"/>
      <c r="AE27" s="1382"/>
      <c r="AF27" s="38"/>
      <c r="AG27" s="38"/>
      <c r="AH27" s="38"/>
      <c r="AI27" s="38"/>
      <c r="AJ27" s="38"/>
      <c r="AK27" s="383"/>
      <c r="AL27" s="59"/>
      <c r="AM27" s="175"/>
      <c r="AN27" s="175"/>
      <c r="AO27" s="176"/>
      <c r="AP27" s="176"/>
      <c r="AQ27" s="177"/>
      <c r="AR27" s="175"/>
      <c r="AS27" s="175"/>
      <c r="AT27" s="175"/>
      <c r="AU27" s="175"/>
      <c r="AV27" s="175"/>
      <c r="AW27" s="175"/>
      <c r="AX27" s="175"/>
      <c r="AY27" s="175"/>
      <c r="AZ27" s="175"/>
      <c r="BA27" s="175"/>
      <c r="BB27" s="175"/>
      <c r="BD27" s="40"/>
    </row>
    <row r="28" spans="1:66" s="1779" customFormat="1" ht="47.25">
      <c r="A28" s="1806"/>
      <c r="B28" s="1807"/>
      <c r="C28" s="1808"/>
      <c r="D28" s="1809" t="s">
        <v>181</v>
      </c>
      <c r="E28" s="1810"/>
      <c r="F28" s="1811">
        <v>245666083</v>
      </c>
      <c r="G28" s="1812">
        <f t="shared" si="2"/>
        <v>245666083</v>
      </c>
      <c r="H28" s="1813" t="s">
        <v>183</v>
      </c>
      <c r="I28" s="1814">
        <v>42185</v>
      </c>
      <c r="J28" s="1815" t="s">
        <v>184</v>
      </c>
      <c r="K28" s="1816" t="s">
        <v>180</v>
      </c>
      <c r="L28" s="1817" t="s">
        <v>182</v>
      </c>
      <c r="M28" s="1818" t="s">
        <v>181</v>
      </c>
      <c r="N28" s="1810"/>
      <c r="O28" s="1811">
        <v>245666083</v>
      </c>
      <c r="P28" s="1812">
        <f t="shared" si="3"/>
        <v>245666083</v>
      </c>
      <c r="Q28" s="1819"/>
      <c r="R28" s="1819"/>
      <c r="S28" s="1819"/>
      <c r="T28" s="1819"/>
      <c r="U28" s="1819"/>
      <c r="V28" s="1811">
        <f t="shared" si="1"/>
        <v>245666083</v>
      </c>
      <c r="W28" s="1820" t="s">
        <v>3162</v>
      </c>
      <c r="X28" s="1821">
        <v>42690</v>
      </c>
      <c r="Y28" s="1821">
        <v>42695</v>
      </c>
      <c r="Z28" s="1822">
        <v>233382779</v>
      </c>
      <c r="AA28" s="1823">
        <f>(Z28/V28)*100%</f>
        <v>0.95000000061058487</v>
      </c>
      <c r="AB28" s="1824">
        <f>G28-V28</f>
        <v>0</v>
      </c>
      <c r="AC28" s="1825"/>
      <c r="AD28" s="1826"/>
      <c r="AE28" s="1827">
        <v>1</v>
      </c>
      <c r="AF28" s="1828"/>
      <c r="AG28" s="1828"/>
      <c r="AH28" s="1829">
        <f>F28</f>
        <v>245666083</v>
      </c>
      <c r="AI28" s="1828"/>
      <c r="AJ28" s="1828"/>
      <c r="AK28" s="1830"/>
      <c r="AL28" s="1825"/>
      <c r="AM28" s="1831"/>
      <c r="AN28" s="1831"/>
      <c r="AO28" s="1832"/>
      <c r="AP28" s="1832"/>
      <c r="AQ28" s="1833"/>
      <c r="AR28" s="1831"/>
      <c r="AS28" s="1831"/>
      <c r="AT28" s="1831"/>
      <c r="AU28" s="1831"/>
      <c r="AV28" s="1831"/>
      <c r="AW28" s="1831"/>
      <c r="AX28" s="1831"/>
      <c r="AY28" s="1831"/>
      <c r="AZ28" s="1831"/>
      <c r="BA28" s="1831"/>
      <c r="BB28" s="1831"/>
      <c r="BD28" s="1834"/>
      <c r="BF28" s="1779">
        <v>4</v>
      </c>
      <c r="BG28" s="1834">
        <f>BF28*50</f>
        <v>200</v>
      </c>
      <c r="BH28" s="2000">
        <v>2.7470100000000004</v>
      </c>
      <c r="BI28" s="2000">
        <v>2.0909</v>
      </c>
      <c r="BM28" s="2000"/>
      <c r="BN28" s="2000"/>
    </row>
    <row r="29" spans="1:66">
      <c r="A29" s="22"/>
      <c r="B29" s="166"/>
      <c r="C29" s="214"/>
      <c r="D29" s="180"/>
      <c r="E29" s="199"/>
      <c r="F29" s="209"/>
      <c r="G29" s="155"/>
      <c r="H29" s="158"/>
      <c r="I29" s="233"/>
      <c r="J29" s="216"/>
      <c r="K29" s="159"/>
      <c r="L29" s="203"/>
      <c r="M29" s="217"/>
      <c r="N29" s="199"/>
      <c r="O29" s="186"/>
      <c r="P29" s="155"/>
      <c r="Q29" s="173"/>
      <c r="R29" s="173"/>
      <c r="S29" s="173"/>
      <c r="T29" s="173"/>
      <c r="U29" s="173"/>
      <c r="V29" s="179"/>
      <c r="W29" s="297" t="s">
        <v>3465</v>
      </c>
      <c r="X29" s="424">
        <v>42711</v>
      </c>
      <c r="Y29" s="424">
        <v>42718</v>
      </c>
      <c r="Z29" s="295">
        <v>12283304</v>
      </c>
      <c r="AA29" s="1263">
        <v>0.05</v>
      </c>
      <c r="AB29" s="59"/>
      <c r="AC29" s="59"/>
      <c r="AD29" s="47"/>
      <c r="AE29" s="1382"/>
      <c r="AF29" s="38"/>
      <c r="AG29" s="38"/>
      <c r="AH29" s="38"/>
      <c r="AI29" s="38"/>
      <c r="AJ29" s="38"/>
      <c r="AK29" s="383"/>
      <c r="AL29" s="59"/>
      <c r="AM29" s="175"/>
      <c r="AN29" s="175"/>
      <c r="AO29" s="176"/>
      <c r="AP29" s="176"/>
      <c r="AQ29" s="177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D29" s="40"/>
    </row>
    <row r="30" spans="1:66" s="1779" customFormat="1" ht="47.25">
      <c r="A30" s="1806"/>
      <c r="B30" s="1807"/>
      <c r="C30" s="1808"/>
      <c r="D30" s="1809" t="s">
        <v>192</v>
      </c>
      <c r="E30" s="1810"/>
      <c r="F30" s="1811">
        <v>253238370</v>
      </c>
      <c r="G30" s="1812">
        <f t="shared" si="2"/>
        <v>253238370</v>
      </c>
      <c r="H30" s="1813" t="s">
        <v>183</v>
      </c>
      <c r="I30" s="1814">
        <v>42185</v>
      </c>
      <c r="J30" s="1835" t="s">
        <v>184</v>
      </c>
      <c r="K30" s="1816" t="s">
        <v>191</v>
      </c>
      <c r="L30" s="1817" t="s">
        <v>193</v>
      </c>
      <c r="M30" s="1809" t="s">
        <v>192</v>
      </c>
      <c r="N30" s="1810"/>
      <c r="O30" s="1811">
        <v>253238370</v>
      </c>
      <c r="P30" s="1812">
        <f t="shared" si="3"/>
        <v>253238370</v>
      </c>
      <c r="Q30" s="1819"/>
      <c r="R30" s="1819"/>
      <c r="S30" s="1819"/>
      <c r="T30" s="1819"/>
      <c r="U30" s="1819"/>
      <c r="V30" s="1811">
        <f t="shared" si="1"/>
        <v>253238370</v>
      </c>
      <c r="W30" s="1820" t="s">
        <v>2754</v>
      </c>
      <c r="X30" s="1821">
        <v>42640</v>
      </c>
      <c r="Y30" s="1836">
        <v>42648</v>
      </c>
      <c r="Z30" s="1822">
        <v>240576451</v>
      </c>
      <c r="AA30" s="1823">
        <v>0.95</v>
      </c>
      <c r="AB30" s="1824">
        <f>G30-V30</f>
        <v>0</v>
      </c>
      <c r="AC30" s="1825">
        <v>1</v>
      </c>
      <c r="AD30" s="1826"/>
      <c r="AE30" s="1827">
        <v>1</v>
      </c>
      <c r="AF30" s="1828"/>
      <c r="AG30" s="1828"/>
      <c r="AH30" s="1829">
        <f>F30</f>
        <v>253238370</v>
      </c>
      <c r="AI30" s="1828"/>
      <c r="AJ30" s="1828"/>
      <c r="AK30" s="1830"/>
      <c r="AL30" s="1825"/>
      <c r="AM30" s="1831"/>
      <c r="AN30" s="1831"/>
      <c r="AO30" s="1832"/>
      <c r="AP30" s="1832"/>
      <c r="AQ30" s="1833"/>
      <c r="AR30" s="1831"/>
      <c r="AS30" s="1831"/>
      <c r="AT30" s="1831"/>
      <c r="AU30" s="1831"/>
      <c r="AV30" s="1831"/>
      <c r="AW30" s="1831"/>
      <c r="AX30" s="1831"/>
      <c r="AY30" s="1831"/>
      <c r="AZ30" s="1831"/>
      <c r="BA30" s="1831"/>
      <c r="BB30" s="1831"/>
      <c r="BD30" s="1834"/>
      <c r="BF30" s="1779">
        <v>4</v>
      </c>
      <c r="BG30" s="1779">
        <f>(3*50)+(1*100)</f>
        <v>250</v>
      </c>
      <c r="BH30" s="2000">
        <v>3.6603500000000002</v>
      </c>
      <c r="BI30" s="2000">
        <v>0.66949999999999998</v>
      </c>
      <c r="BM30" s="2000"/>
      <c r="BN30" s="2000"/>
    </row>
    <row r="31" spans="1:66">
      <c r="A31" s="22"/>
      <c r="B31" s="166"/>
      <c r="C31" s="214"/>
      <c r="D31" s="180"/>
      <c r="E31" s="199"/>
      <c r="F31" s="158"/>
      <c r="G31" s="155"/>
      <c r="H31" s="158"/>
      <c r="I31" s="215"/>
      <c r="J31" s="221"/>
      <c r="K31" s="159"/>
      <c r="L31" s="196"/>
      <c r="M31" s="180"/>
      <c r="N31" s="199"/>
      <c r="O31" s="158"/>
      <c r="P31" s="155"/>
      <c r="Q31" s="173"/>
      <c r="R31" s="173"/>
      <c r="S31" s="173"/>
      <c r="T31" s="173"/>
      <c r="U31" s="173"/>
      <c r="V31" s="179"/>
      <c r="W31" s="297" t="s">
        <v>3463</v>
      </c>
      <c r="X31" s="424">
        <v>42704</v>
      </c>
      <c r="Y31" s="298">
        <v>42713</v>
      </c>
      <c r="Z31" s="295">
        <v>12661919</v>
      </c>
      <c r="AA31" s="1263">
        <v>0.05</v>
      </c>
      <c r="AB31" s="59"/>
      <c r="AC31" s="59"/>
      <c r="AD31" s="47"/>
      <c r="AE31" s="1382"/>
      <c r="AF31" s="38"/>
      <c r="AG31" s="38"/>
      <c r="AH31" s="38"/>
      <c r="AI31" s="38"/>
      <c r="AJ31" s="38"/>
      <c r="AK31" s="383"/>
      <c r="AL31" s="59"/>
      <c r="AM31" s="175"/>
      <c r="AN31" s="175"/>
      <c r="AO31" s="176"/>
      <c r="AP31" s="176"/>
      <c r="AQ31" s="177"/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175"/>
      <c r="BD31" s="40"/>
    </row>
    <row r="32" spans="1:66" s="1779" customFormat="1" ht="47.25">
      <c r="A32" s="1806"/>
      <c r="B32" s="1807"/>
      <c r="C32" s="1808"/>
      <c r="D32" s="1809" t="s">
        <v>186</v>
      </c>
      <c r="E32" s="1810"/>
      <c r="F32" s="1811">
        <v>283031870</v>
      </c>
      <c r="G32" s="1812">
        <f t="shared" si="2"/>
        <v>283031870</v>
      </c>
      <c r="H32" s="1813" t="s">
        <v>195</v>
      </c>
      <c r="I32" s="1814">
        <v>42185</v>
      </c>
      <c r="J32" s="1815" t="s">
        <v>196</v>
      </c>
      <c r="K32" s="1816" t="s">
        <v>185</v>
      </c>
      <c r="L32" s="1817" t="s">
        <v>193</v>
      </c>
      <c r="M32" s="1809" t="s">
        <v>186</v>
      </c>
      <c r="N32" s="1810"/>
      <c r="O32" s="1811">
        <v>283031870</v>
      </c>
      <c r="P32" s="1812">
        <f t="shared" si="3"/>
        <v>283031870</v>
      </c>
      <c r="Q32" s="1819"/>
      <c r="R32" s="1819"/>
      <c r="S32" s="1819"/>
      <c r="T32" s="1819"/>
      <c r="U32" s="1819"/>
      <c r="V32" s="1811">
        <f t="shared" si="1"/>
        <v>283031870</v>
      </c>
      <c r="W32" s="1820" t="s">
        <v>2118</v>
      </c>
      <c r="X32" s="1821">
        <v>42592</v>
      </c>
      <c r="Y32" s="1821">
        <v>42601</v>
      </c>
      <c r="Z32" s="1822">
        <v>268880276</v>
      </c>
      <c r="AA32" s="1823">
        <v>0.95</v>
      </c>
      <c r="AB32" s="1824">
        <f>G32-V32</f>
        <v>0</v>
      </c>
      <c r="AC32" s="1825">
        <v>1</v>
      </c>
      <c r="AD32" s="1826"/>
      <c r="AE32" s="1827"/>
      <c r="AF32" s="1828"/>
      <c r="AG32" s="1828"/>
      <c r="AH32" s="1828"/>
      <c r="AI32" s="1828"/>
      <c r="AJ32" s="1828"/>
      <c r="AK32" s="1830"/>
      <c r="AL32" s="1825"/>
      <c r="AM32" s="1831"/>
      <c r="AN32" s="1831"/>
      <c r="AO32" s="1832"/>
      <c r="AP32" s="1832"/>
      <c r="AQ32" s="1833"/>
      <c r="AR32" s="1831"/>
      <c r="AS32" s="1831"/>
      <c r="AT32" s="1831"/>
      <c r="AU32" s="1831"/>
      <c r="AV32" s="1831"/>
      <c r="AW32" s="1831"/>
      <c r="AX32" s="1831"/>
      <c r="AY32" s="1831"/>
      <c r="AZ32" s="1831"/>
      <c r="BA32" s="1831"/>
      <c r="BB32" s="1831"/>
      <c r="BD32" s="1834"/>
      <c r="BF32" s="1779">
        <v>5</v>
      </c>
      <c r="BG32" s="1779">
        <f>BF32*100</f>
        <v>500</v>
      </c>
      <c r="BH32" s="2000"/>
      <c r="BI32" s="2000">
        <v>3.89927</v>
      </c>
      <c r="BM32" s="2000"/>
      <c r="BN32" s="2000"/>
    </row>
    <row r="33" spans="1:66">
      <c r="A33" s="22"/>
      <c r="B33" s="166"/>
      <c r="C33" s="214"/>
      <c r="D33" s="197"/>
      <c r="E33" s="199"/>
      <c r="F33" s="158"/>
      <c r="G33" s="155"/>
      <c r="H33" s="158"/>
      <c r="I33" s="215"/>
      <c r="J33" s="221"/>
      <c r="K33" s="159"/>
      <c r="M33" s="197"/>
      <c r="N33" s="199"/>
      <c r="O33" s="158"/>
      <c r="P33" s="155"/>
      <c r="Q33" s="173"/>
      <c r="R33" s="173"/>
      <c r="S33" s="173"/>
      <c r="T33" s="173"/>
      <c r="U33" s="173"/>
      <c r="V33" s="179"/>
      <c r="W33" s="297" t="s">
        <v>2119</v>
      </c>
      <c r="X33" s="424">
        <v>42598</v>
      </c>
      <c r="Y33" s="424">
        <v>42605</v>
      </c>
      <c r="Z33" s="295">
        <v>14151594</v>
      </c>
      <c r="AA33" s="1263">
        <v>0.05</v>
      </c>
      <c r="AB33" s="59"/>
      <c r="AC33" s="59"/>
      <c r="AD33" s="47"/>
      <c r="AE33" s="1382"/>
      <c r="AF33" s="38"/>
      <c r="AG33" s="38"/>
      <c r="AH33" s="38"/>
      <c r="AI33" s="38"/>
      <c r="AJ33" s="38"/>
      <c r="AK33" s="383"/>
      <c r="AL33" s="59"/>
      <c r="AM33" s="175"/>
      <c r="AN33" s="175"/>
      <c r="AO33" s="176"/>
      <c r="AP33" s="176"/>
      <c r="AQ33" s="177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5"/>
      <c r="BD33" s="40"/>
    </row>
    <row r="34" spans="1:66" s="1779" customFormat="1" ht="47.25">
      <c r="A34" s="1806"/>
      <c r="B34" s="1807"/>
      <c r="C34" s="1808"/>
      <c r="D34" s="1809" t="s">
        <v>188</v>
      </c>
      <c r="E34" s="1810"/>
      <c r="F34" s="1811">
        <v>171912279</v>
      </c>
      <c r="G34" s="1812">
        <f t="shared" si="2"/>
        <v>171912279</v>
      </c>
      <c r="H34" s="1813" t="s">
        <v>197</v>
      </c>
      <c r="I34" s="1814">
        <v>42185</v>
      </c>
      <c r="J34" s="1815" t="s">
        <v>198</v>
      </c>
      <c r="K34" s="1816" t="s">
        <v>187</v>
      </c>
      <c r="L34" s="1817" t="s">
        <v>194</v>
      </c>
      <c r="M34" s="1809" t="s">
        <v>188</v>
      </c>
      <c r="N34" s="1810"/>
      <c r="O34" s="1811">
        <v>171912279</v>
      </c>
      <c r="P34" s="1812">
        <f t="shared" si="3"/>
        <v>171912279</v>
      </c>
      <c r="Q34" s="1819"/>
      <c r="R34" s="1819"/>
      <c r="S34" s="1819"/>
      <c r="T34" s="1819"/>
      <c r="U34" s="1819"/>
      <c r="V34" s="1811">
        <f t="shared" si="1"/>
        <v>171912279</v>
      </c>
      <c r="W34" s="1820" t="s">
        <v>3018</v>
      </c>
      <c r="X34" s="1821">
        <v>42674</v>
      </c>
      <c r="Y34" s="1821">
        <v>42682</v>
      </c>
      <c r="Z34" s="1822">
        <v>163316665</v>
      </c>
      <c r="AA34" s="1823">
        <v>0.95</v>
      </c>
      <c r="AB34" s="1824">
        <f>G34-V34</f>
        <v>0</v>
      </c>
      <c r="AC34" s="1837">
        <v>1</v>
      </c>
      <c r="AD34" s="1826"/>
      <c r="AE34" s="1838"/>
      <c r="AF34" s="1839"/>
      <c r="AG34" s="1828"/>
      <c r="AH34" s="1829">
        <f>F34</f>
        <v>171912279</v>
      </c>
      <c r="AI34" s="1828"/>
      <c r="AJ34" s="1828"/>
      <c r="AK34" s="1830"/>
      <c r="AL34" s="1837"/>
      <c r="AM34" s="1831"/>
      <c r="AN34" s="1831"/>
      <c r="AO34" s="1832"/>
      <c r="AP34" s="1832"/>
      <c r="AQ34" s="1833"/>
      <c r="AR34" s="1831"/>
      <c r="AS34" s="1831"/>
      <c r="AT34" s="1831"/>
      <c r="AU34" s="1831"/>
      <c r="AV34" s="1831"/>
      <c r="AW34" s="1831"/>
      <c r="AX34" s="1831"/>
      <c r="AY34" s="1831"/>
      <c r="AZ34" s="1831"/>
      <c r="BA34" s="1831"/>
      <c r="BB34" s="1831"/>
      <c r="BD34" s="1834"/>
      <c r="BF34" s="1779">
        <v>4</v>
      </c>
      <c r="BG34" s="1779">
        <f>(2*50)+(2*100)</f>
        <v>300</v>
      </c>
      <c r="BH34" s="2000">
        <v>2.2364000000000002</v>
      </c>
      <c r="BI34" s="2000"/>
      <c r="BM34" s="2000"/>
      <c r="BN34" s="2000"/>
    </row>
    <row r="35" spans="1:66">
      <c r="A35" s="22"/>
      <c r="B35" s="166"/>
      <c r="C35" s="214"/>
      <c r="D35" s="197"/>
      <c r="E35" s="199"/>
      <c r="F35" s="209"/>
      <c r="G35" s="155"/>
      <c r="H35" s="158"/>
      <c r="I35" s="233"/>
      <c r="J35" s="216"/>
      <c r="K35" s="159"/>
      <c r="L35" s="203"/>
      <c r="M35" s="197"/>
      <c r="N35" s="199"/>
      <c r="O35" s="209"/>
      <c r="P35" s="155"/>
      <c r="Q35" s="173"/>
      <c r="R35" s="173"/>
      <c r="S35" s="173"/>
      <c r="T35" s="173"/>
      <c r="U35" s="173"/>
      <c r="V35" s="179"/>
      <c r="W35" s="297" t="s">
        <v>3165</v>
      </c>
      <c r="X35" s="424">
        <v>42698</v>
      </c>
      <c r="Y35" s="298">
        <v>42698</v>
      </c>
      <c r="Z35" s="295">
        <v>8595614</v>
      </c>
      <c r="AA35" s="1263">
        <v>0.05</v>
      </c>
      <c r="AB35" s="59"/>
      <c r="AC35" s="59"/>
      <c r="AD35" s="47"/>
      <c r="AE35" s="1384"/>
      <c r="AF35" s="1385"/>
      <c r="AG35" s="1385"/>
      <c r="AH35" s="1385"/>
      <c r="AI35" s="1385"/>
      <c r="AJ35" s="1385"/>
      <c r="AK35" s="383"/>
      <c r="AL35" s="59"/>
      <c r="AM35" s="175"/>
      <c r="AN35" s="175"/>
      <c r="AO35" s="176"/>
      <c r="AP35" s="176"/>
      <c r="AQ35" s="177"/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  <c r="BD35" s="40"/>
    </row>
    <row r="36" spans="1:66" s="1779" customFormat="1" ht="47.25">
      <c r="A36" s="1806"/>
      <c r="B36" s="1807"/>
      <c r="C36" s="1808"/>
      <c r="D36" s="1809" t="s">
        <v>190</v>
      </c>
      <c r="E36" s="1810"/>
      <c r="F36" s="1811">
        <v>216317148</v>
      </c>
      <c r="G36" s="1812">
        <f t="shared" si="2"/>
        <v>216317148</v>
      </c>
      <c r="H36" s="1813" t="s">
        <v>199</v>
      </c>
      <c r="I36" s="1814">
        <v>42185</v>
      </c>
      <c r="J36" s="1815" t="s">
        <v>200</v>
      </c>
      <c r="K36" s="1816" t="s">
        <v>189</v>
      </c>
      <c r="L36" s="1817" t="s">
        <v>194</v>
      </c>
      <c r="M36" s="1809" t="s">
        <v>190</v>
      </c>
      <c r="N36" s="1810"/>
      <c r="O36" s="1811">
        <v>216317148</v>
      </c>
      <c r="P36" s="1812">
        <f t="shared" si="3"/>
        <v>216317148</v>
      </c>
      <c r="Q36" s="1819"/>
      <c r="R36" s="1819"/>
      <c r="S36" s="1819"/>
      <c r="T36" s="1819"/>
      <c r="U36" s="1819"/>
      <c r="V36" s="1811">
        <f t="shared" si="1"/>
        <v>216317148</v>
      </c>
      <c r="W36" s="1820" t="s">
        <v>3016</v>
      </c>
      <c r="X36" s="1821">
        <v>42664</v>
      </c>
      <c r="Y36" s="1821">
        <v>42668</v>
      </c>
      <c r="Z36" s="1822">
        <v>205501291</v>
      </c>
      <c r="AA36" s="1823">
        <v>0.95</v>
      </c>
      <c r="AB36" s="1824">
        <f>G36-V36</f>
        <v>0</v>
      </c>
      <c r="AC36" s="1837">
        <v>1</v>
      </c>
      <c r="AD36" s="1826"/>
      <c r="AE36" s="1827"/>
      <c r="AF36" s="1828"/>
      <c r="AG36" s="1828"/>
      <c r="AH36" s="1829">
        <f>F36</f>
        <v>216317148</v>
      </c>
      <c r="AI36" s="1828"/>
      <c r="AJ36" s="1828"/>
      <c r="AK36" s="1830"/>
      <c r="AL36" s="1837"/>
      <c r="AM36" s="1831"/>
      <c r="AN36" s="1831"/>
      <c r="AO36" s="1832"/>
      <c r="AP36" s="1832"/>
      <c r="AQ36" s="1833"/>
      <c r="AR36" s="1831"/>
      <c r="AS36" s="1831"/>
      <c r="AT36" s="1831"/>
      <c r="AU36" s="1831"/>
      <c r="AV36" s="1831"/>
      <c r="AW36" s="1831"/>
      <c r="AX36" s="1831"/>
      <c r="AY36" s="1831"/>
      <c r="AZ36" s="1831"/>
      <c r="BA36" s="1831"/>
      <c r="BB36" s="1831"/>
      <c r="BD36" s="1834"/>
      <c r="BF36" s="1779">
        <v>2</v>
      </c>
      <c r="BG36" s="1779">
        <f>(50*1)+(1*100)</f>
        <v>150</v>
      </c>
      <c r="BH36" s="2000">
        <v>2.7912000000000003</v>
      </c>
      <c r="BI36" s="2000">
        <v>2.78775</v>
      </c>
      <c r="BM36" s="2000"/>
      <c r="BN36" s="2000"/>
    </row>
    <row r="37" spans="1:66">
      <c r="A37" s="22"/>
      <c r="B37" s="166"/>
      <c r="C37" s="214"/>
      <c r="D37" s="180"/>
      <c r="E37" s="199"/>
      <c r="F37" s="209"/>
      <c r="G37" s="155"/>
      <c r="H37" s="158"/>
      <c r="I37" s="233"/>
      <c r="J37" s="216"/>
      <c r="K37" s="159"/>
      <c r="L37" s="203"/>
      <c r="M37" s="217"/>
      <c r="N37" s="199"/>
      <c r="O37" s="186"/>
      <c r="P37" s="155"/>
      <c r="Q37" s="173"/>
      <c r="R37" s="173"/>
      <c r="S37" s="173"/>
      <c r="T37" s="173"/>
      <c r="U37" s="173"/>
      <c r="V37" s="179"/>
      <c r="W37" s="297" t="s">
        <v>3165</v>
      </c>
      <c r="X37" s="424">
        <v>42698</v>
      </c>
      <c r="Y37" s="424">
        <v>42698</v>
      </c>
      <c r="Z37" s="295">
        <v>10815857</v>
      </c>
      <c r="AA37" s="1263">
        <v>0.05</v>
      </c>
      <c r="AB37" s="59"/>
      <c r="AC37" s="59"/>
      <c r="AD37" s="47"/>
      <c r="AE37" s="1386"/>
      <c r="AF37" s="38"/>
      <c r="AG37" s="38"/>
      <c r="AH37" s="38"/>
      <c r="AI37" s="38"/>
      <c r="AJ37" s="38"/>
      <c r="AK37" s="383"/>
      <c r="AL37" s="59"/>
      <c r="AM37" s="175"/>
      <c r="AN37" s="175"/>
      <c r="AO37" s="176"/>
      <c r="AP37" s="176"/>
      <c r="AQ37" s="177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D37" s="40"/>
    </row>
    <row r="38" spans="1:66" s="1779" customFormat="1" ht="47.25">
      <c r="A38" s="1806"/>
      <c r="B38" s="1807"/>
      <c r="C38" s="1840"/>
      <c r="D38" s="1809" t="s">
        <v>202</v>
      </c>
      <c r="E38" s="1810"/>
      <c r="F38" s="1811">
        <v>288249500</v>
      </c>
      <c r="G38" s="1812">
        <f t="shared" si="2"/>
        <v>288249500</v>
      </c>
      <c r="H38" s="1813" t="s">
        <v>211</v>
      </c>
      <c r="I38" s="1814">
        <v>42185</v>
      </c>
      <c r="J38" s="1815" t="s">
        <v>212</v>
      </c>
      <c r="K38" s="1816" t="s">
        <v>201</v>
      </c>
      <c r="L38" s="1817" t="s">
        <v>193</v>
      </c>
      <c r="M38" s="1809" t="s">
        <v>202</v>
      </c>
      <c r="N38" s="1810"/>
      <c r="O38" s="1811">
        <v>288249500</v>
      </c>
      <c r="P38" s="1812">
        <f t="shared" ref="P38:P46" si="4">N38+O38</f>
        <v>288249500</v>
      </c>
      <c r="Q38" s="1819"/>
      <c r="R38" s="1819"/>
      <c r="S38" s="1819"/>
      <c r="T38" s="1819"/>
      <c r="U38" s="1819"/>
      <c r="V38" s="1811">
        <f t="shared" ref="V38:V46" si="5">P38</f>
        <v>288249500</v>
      </c>
      <c r="W38" s="1820" t="s">
        <v>970</v>
      </c>
      <c r="X38" s="1821"/>
      <c r="Y38" s="1821">
        <v>42468</v>
      </c>
      <c r="Z38" s="1822">
        <v>266818805</v>
      </c>
      <c r="AA38" s="1823">
        <v>0.95</v>
      </c>
      <c r="AB38" s="1824">
        <f>G38-V38</f>
        <v>0</v>
      </c>
      <c r="AC38" s="1837">
        <v>1</v>
      </c>
      <c r="AD38" s="1826"/>
      <c r="AE38" s="1827"/>
      <c r="AF38" s="1828"/>
      <c r="AG38" s="1828"/>
      <c r="AH38" s="1828"/>
      <c r="AI38" s="1828"/>
      <c r="AJ38" s="1828"/>
      <c r="AK38" s="1830"/>
      <c r="AL38" s="1837"/>
      <c r="AM38" s="1831"/>
      <c r="AN38" s="1831"/>
      <c r="AO38" s="1832"/>
      <c r="AP38" s="1832"/>
      <c r="AQ38" s="1833"/>
      <c r="AR38" s="1831"/>
      <c r="AS38" s="1831"/>
      <c r="AT38" s="1831"/>
      <c r="AU38" s="1831"/>
      <c r="AV38" s="1831"/>
      <c r="AW38" s="1831"/>
      <c r="AX38" s="1831"/>
      <c r="AY38" s="1831"/>
      <c r="AZ38" s="1831"/>
      <c r="BA38" s="1831"/>
      <c r="BB38" s="1831"/>
      <c r="BD38" s="1834"/>
      <c r="BF38" s="1779">
        <v>4</v>
      </c>
      <c r="BG38" s="1779">
        <f>(1*50)+(3*100)</f>
        <v>350</v>
      </c>
      <c r="BH38" s="2000">
        <v>3.6410500000000003</v>
      </c>
      <c r="BI38" s="2000">
        <v>3.9727100000000006</v>
      </c>
      <c r="BM38" s="2000"/>
      <c r="BN38" s="2000"/>
    </row>
    <row r="39" spans="1:66">
      <c r="A39" s="22"/>
      <c r="B39" s="166"/>
      <c r="C39" s="219"/>
      <c r="D39" s="78"/>
      <c r="E39" s="199"/>
      <c r="F39" s="179"/>
      <c r="G39" s="155"/>
      <c r="I39" s="234"/>
      <c r="K39" s="39"/>
      <c r="L39" s="206"/>
      <c r="M39" s="2"/>
      <c r="N39" s="199"/>
      <c r="O39" s="179"/>
      <c r="P39" s="155"/>
      <c r="Q39" s="173"/>
      <c r="R39" s="173"/>
      <c r="S39" s="173"/>
      <c r="T39" s="173"/>
      <c r="U39" s="173"/>
      <c r="V39" s="179"/>
      <c r="W39" s="297" t="s">
        <v>1458</v>
      </c>
      <c r="X39" s="424"/>
      <c r="Y39" s="424">
        <v>42509</v>
      </c>
      <c r="Z39" s="295">
        <v>14043095</v>
      </c>
      <c r="AA39" s="1263">
        <v>0.05</v>
      </c>
      <c r="AB39" s="59">
        <f>G39-V39</f>
        <v>0</v>
      </c>
      <c r="AC39" s="59"/>
      <c r="AD39" s="47"/>
      <c r="AE39" s="1382"/>
      <c r="AF39" s="38"/>
      <c r="AG39" s="38"/>
      <c r="AH39" s="38"/>
      <c r="AI39" s="38"/>
      <c r="AJ39" s="38"/>
      <c r="AK39" s="383"/>
      <c r="AL39" s="59"/>
      <c r="AM39" s="175"/>
      <c r="AN39" s="175"/>
      <c r="AO39" s="176"/>
      <c r="AP39" s="176"/>
      <c r="AQ39" s="177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D39" s="40"/>
    </row>
    <row r="40" spans="1:66" s="1780" customFormat="1" ht="47.25">
      <c r="A40" s="1885"/>
      <c r="B40" s="1886"/>
      <c r="C40" s="1925"/>
      <c r="D40" s="1912" t="s">
        <v>204</v>
      </c>
      <c r="E40" s="1913"/>
      <c r="F40" s="1897">
        <v>216124687</v>
      </c>
      <c r="G40" s="1890">
        <f t="shared" si="2"/>
        <v>216124687</v>
      </c>
      <c r="H40" s="1926" t="s">
        <v>213</v>
      </c>
      <c r="I40" s="1927">
        <v>42185</v>
      </c>
      <c r="J40" s="1928" t="s">
        <v>214</v>
      </c>
      <c r="K40" s="1929" t="s">
        <v>203</v>
      </c>
      <c r="L40" s="1916" t="s">
        <v>194</v>
      </c>
      <c r="M40" s="1912" t="s">
        <v>204</v>
      </c>
      <c r="N40" s="1913"/>
      <c r="O40" s="1897">
        <v>216124687</v>
      </c>
      <c r="P40" s="1890">
        <f t="shared" si="4"/>
        <v>216124687</v>
      </c>
      <c r="Q40" s="1918"/>
      <c r="R40" s="1918"/>
      <c r="S40" s="1918"/>
      <c r="T40" s="1918"/>
      <c r="U40" s="1918"/>
      <c r="V40" s="1897">
        <f t="shared" si="5"/>
        <v>216124687</v>
      </c>
      <c r="W40" s="1919" t="s">
        <v>3018</v>
      </c>
      <c r="X40" s="1920">
        <v>42674</v>
      </c>
      <c r="Y40" s="1920">
        <v>42682</v>
      </c>
      <c r="Z40" s="1917">
        <v>205318453</v>
      </c>
      <c r="AA40" s="1924">
        <v>0.95</v>
      </c>
      <c r="AB40" s="1901">
        <f>+G40-P40</f>
        <v>0</v>
      </c>
      <c r="AC40" s="1922">
        <v>1</v>
      </c>
      <c r="AD40" s="1930"/>
      <c r="AE40" s="1903">
        <v>1</v>
      </c>
      <c r="AF40" s="1904"/>
      <c r="AG40" s="1904"/>
      <c r="AH40" s="1905">
        <f>F40</f>
        <v>216124687</v>
      </c>
      <c r="AI40" s="1904"/>
      <c r="AJ40" s="1904"/>
      <c r="AK40" s="1906"/>
      <c r="AL40" s="1922"/>
      <c r="AM40" s="1907"/>
      <c r="AN40" s="1907"/>
      <c r="AO40" s="1908"/>
      <c r="AP40" s="1908"/>
      <c r="AQ40" s="1909"/>
      <c r="AR40" s="1907"/>
      <c r="AS40" s="1907"/>
      <c r="AT40" s="1907"/>
      <c r="AU40" s="1907"/>
      <c r="AV40" s="1907"/>
      <c r="AW40" s="1907"/>
      <c r="AX40" s="1907"/>
      <c r="AY40" s="1907"/>
      <c r="AZ40" s="1907"/>
      <c r="BA40" s="1907"/>
      <c r="BB40" s="1907"/>
      <c r="BD40" s="1910"/>
      <c r="BH40" s="2004"/>
      <c r="BI40" s="2004"/>
      <c r="BK40" s="1780">
        <v>1</v>
      </c>
      <c r="BL40" s="1780">
        <v>50</v>
      </c>
      <c r="BM40" s="2004">
        <f>1524/1000</f>
        <v>1.524</v>
      </c>
      <c r="BN40" s="2004">
        <f>11340/3/1000</f>
        <v>3.78</v>
      </c>
    </row>
    <row r="41" spans="1:66">
      <c r="A41" s="22"/>
      <c r="B41" s="166"/>
      <c r="C41" s="219"/>
      <c r="D41" s="78"/>
      <c r="E41" s="199"/>
      <c r="F41" s="179"/>
      <c r="G41" s="155"/>
      <c r="I41" s="234"/>
      <c r="K41" s="39"/>
      <c r="L41" s="206"/>
      <c r="M41" s="2"/>
      <c r="N41" s="199"/>
      <c r="O41" s="179"/>
      <c r="P41" s="155"/>
      <c r="Q41" s="173"/>
      <c r="R41" s="173"/>
      <c r="S41" s="173"/>
      <c r="T41" s="173"/>
      <c r="U41" s="173"/>
      <c r="V41" s="179"/>
      <c r="W41" s="297" t="s">
        <v>3165</v>
      </c>
      <c r="X41" s="424">
        <v>42698</v>
      </c>
      <c r="Y41" s="298">
        <v>42698</v>
      </c>
      <c r="Z41" s="295">
        <v>10806234</v>
      </c>
      <c r="AA41" s="1263">
        <v>0.05</v>
      </c>
      <c r="AB41" s="59"/>
      <c r="AC41" s="59"/>
      <c r="AD41" s="47"/>
      <c r="AE41" s="1382"/>
      <c r="AF41" s="38"/>
      <c r="AG41" s="38"/>
      <c r="AH41" s="38"/>
      <c r="AI41" s="38"/>
      <c r="AJ41" s="38"/>
      <c r="AK41" s="383"/>
      <c r="AL41" s="59"/>
      <c r="AM41" s="175"/>
      <c r="AN41" s="175"/>
      <c r="AO41" s="176"/>
      <c r="AP41" s="176"/>
      <c r="AQ41" s="177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D41" s="40"/>
    </row>
    <row r="42" spans="1:66" s="1780" customFormat="1" ht="47.25">
      <c r="A42" s="1885"/>
      <c r="B42" s="1886"/>
      <c r="C42" s="1925"/>
      <c r="D42" s="1912" t="s">
        <v>206</v>
      </c>
      <c r="E42" s="1913"/>
      <c r="F42" s="1897">
        <v>231639923</v>
      </c>
      <c r="G42" s="1890">
        <f t="shared" si="2"/>
        <v>231639923</v>
      </c>
      <c r="H42" s="1926" t="s">
        <v>215</v>
      </c>
      <c r="I42" s="1927">
        <v>42185</v>
      </c>
      <c r="J42" s="1928" t="s">
        <v>216</v>
      </c>
      <c r="K42" s="1929" t="s">
        <v>205</v>
      </c>
      <c r="L42" s="1916" t="s">
        <v>194</v>
      </c>
      <c r="M42" s="1912" t="s">
        <v>206</v>
      </c>
      <c r="N42" s="1913"/>
      <c r="O42" s="1897">
        <v>231639923</v>
      </c>
      <c r="P42" s="1890">
        <f t="shared" si="4"/>
        <v>231639923</v>
      </c>
      <c r="Q42" s="1918"/>
      <c r="R42" s="1918"/>
      <c r="S42" s="1918"/>
      <c r="T42" s="1918"/>
      <c r="U42" s="1918"/>
      <c r="V42" s="1897">
        <f t="shared" si="5"/>
        <v>231639923</v>
      </c>
      <c r="W42" s="1919" t="s">
        <v>2000</v>
      </c>
      <c r="X42" s="1920">
        <v>42552</v>
      </c>
      <c r="Y42" s="1920">
        <v>42571</v>
      </c>
      <c r="Z42" s="1917">
        <v>220057927</v>
      </c>
      <c r="AA42" s="1924">
        <v>0.95</v>
      </c>
      <c r="AB42" s="1901">
        <f>G42-V42</f>
        <v>0</v>
      </c>
      <c r="AC42" s="1922">
        <v>1</v>
      </c>
      <c r="AD42" s="1930"/>
      <c r="AE42" s="1903"/>
      <c r="AF42" s="1904"/>
      <c r="AG42" s="1904"/>
      <c r="AH42" s="1904"/>
      <c r="AI42" s="1904"/>
      <c r="AJ42" s="1904"/>
      <c r="AK42" s="1906"/>
      <c r="AL42" s="1922"/>
      <c r="AM42" s="1907"/>
      <c r="AN42" s="1907"/>
      <c r="AO42" s="1908"/>
      <c r="AP42" s="1908"/>
      <c r="AQ42" s="1909"/>
      <c r="AR42" s="1907"/>
      <c r="AS42" s="1907"/>
      <c r="AT42" s="1907"/>
      <c r="AU42" s="1907"/>
      <c r="AV42" s="1907"/>
      <c r="AW42" s="1907"/>
      <c r="AX42" s="1907"/>
      <c r="AY42" s="1907"/>
      <c r="AZ42" s="1907"/>
      <c r="BA42" s="1907"/>
      <c r="BB42" s="1907"/>
      <c r="BD42" s="1910"/>
      <c r="BH42" s="2004"/>
      <c r="BI42" s="2004"/>
      <c r="BK42" s="1780">
        <v>1</v>
      </c>
      <c r="BL42" s="1780">
        <v>100</v>
      </c>
      <c r="BM42" s="2004">
        <f>989/1000</f>
        <v>0.98899999999999999</v>
      </c>
      <c r="BN42" s="2004">
        <f>15451/3/1000</f>
        <v>5.1503333333333332</v>
      </c>
    </row>
    <row r="43" spans="1:66">
      <c r="A43" s="22"/>
      <c r="B43" s="166"/>
      <c r="C43" s="219"/>
      <c r="D43" s="78"/>
      <c r="E43" s="199"/>
      <c r="F43" s="179"/>
      <c r="G43" s="155"/>
      <c r="I43" s="234"/>
      <c r="K43" s="39"/>
      <c r="L43" s="203"/>
      <c r="M43" s="2"/>
      <c r="N43" s="199"/>
      <c r="O43" s="179"/>
      <c r="P43" s="155"/>
      <c r="Q43" s="173"/>
      <c r="R43" s="173"/>
      <c r="S43" s="173"/>
      <c r="T43" s="173"/>
      <c r="U43" s="173"/>
      <c r="V43" s="179"/>
      <c r="W43" s="297" t="s">
        <v>2001</v>
      </c>
      <c r="X43" s="424">
        <v>42551</v>
      </c>
      <c r="Y43" s="424">
        <v>42563</v>
      </c>
      <c r="Z43" s="295">
        <v>11581996</v>
      </c>
      <c r="AA43" s="1263">
        <v>0.05</v>
      </c>
      <c r="AB43" s="59"/>
      <c r="AC43" s="59"/>
      <c r="AD43" s="47"/>
      <c r="AE43" s="1382"/>
      <c r="AF43" s="38"/>
      <c r="AG43" s="38"/>
      <c r="AH43" s="38"/>
      <c r="AI43" s="38"/>
      <c r="AJ43" s="38"/>
      <c r="AK43" s="383"/>
      <c r="AL43" s="59"/>
      <c r="AM43" s="175"/>
      <c r="AN43" s="175"/>
      <c r="AO43" s="176"/>
      <c r="AP43" s="176"/>
      <c r="AQ43" s="177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D43" s="40"/>
    </row>
    <row r="44" spans="1:66" s="1779" customFormat="1" ht="47.25">
      <c r="A44" s="1806"/>
      <c r="B44" s="1807"/>
      <c r="C44" s="1840"/>
      <c r="D44" s="1809" t="s">
        <v>208</v>
      </c>
      <c r="E44" s="1810"/>
      <c r="F44" s="1811">
        <v>265730454</v>
      </c>
      <c r="G44" s="1812">
        <f t="shared" si="2"/>
        <v>265730454</v>
      </c>
      <c r="H44" s="1841" t="s">
        <v>217</v>
      </c>
      <c r="I44" s="1842">
        <v>42185</v>
      </c>
      <c r="J44" s="1815" t="s">
        <v>218</v>
      </c>
      <c r="K44" s="1816" t="s">
        <v>207</v>
      </c>
      <c r="L44" s="1817" t="s">
        <v>194</v>
      </c>
      <c r="M44" s="1809" t="s">
        <v>208</v>
      </c>
      <c r="N44" s="1810"/>
      <c r="O44" s="1811">
        <v>265730454</v>
      </c>
      <c r="P44" s="1812">
        <f t="shared" si="4"/>
        <v>265730454</v>
      </c>
      <c r="Q44" s="1819"/>
      <c r="R44" s="1819"/>
      <c r="S44" s="1819"/>
      <c r="T44" s="1819"/>
      <c r="U44" s="1819"/>
      <c r="V44" s="1811">
        <f t="shared" si="5"/>
        <v>265730454</v>
      </c>
      <c r="W44" s="1820" t="s">
        <v>2000</v>
      </c>
      <c r="X44" s="1821">
        <v>42552</v>
      </c>
      <c r="Y44" s="1821">
        <v>42571</v>
      </c>
      <c r="Z44" s="1822">
        <v>252443931</v>
      </c>
      <c r="AA44" s="1823">
        <v>0.95</v>
      </c>
      <c r="AB44" s="1824">
        <f>G44-V44</f>
        <v>0</v>
      </c>
      <c r="AC44" s="1825">
        <v>1</v>
      </c>
      <c r="AD44" s="1826"/>
      <c r="AE44" s="1827"/>
      <c r="AF44" s="1828"/>
      <c r="AG44" s="1828"/>
      <c r="AH44" s="1828"/>
      <c r="AI44" s="1828"/>
      <c r="AJ44" s="1828"/>
      <c r="AK44" s="1830"/>
      <c r="AL44" s="1825"/>
      <c r="AM44" s="1831"/>
      <c r="AN44" s="1831"/>
      <c r="AO44" s="1832"/>
      <c r="AP44" s="1832"/>
      <c r="AQ44" s="1833"/>
      <c r="AR44" s="1831"/>
      <c r="AS44" s="1831"/>
      <c r="AT44" s="1831"/>
      <c r="AU44" s="1831"/>
      <c r="AV44" s="1831"/>
      <c r="AW44" s="1831"/>
      <c r="AX44" s="1831"/>
      <c r="AY44" s="1831"/>
      <c r="AZ44" s="1831"/>
      <c r="BA44" s="1831"/>
      <c r="BB44" s="1831"/>
      <c r="BD44" s="1834"/>
      <c r="BF44" s="1779">
        <v>3</v>
      </c>
      <c r="BG44" s="1779">
        <f>(2*100)+(1*200)</f>
        <v>400</v>
      </c>
      <c r="BH44" s="2000">
        <v>2.2145000000000001</v>
      </c>
      <c r="BI44" s="2000">
        <v>2.7909000000000002</v>
      </c>
      <c r="BM44" s="2000"/>
      <c r="BN44" s="2000"/>
    </row>
    <row r="45" spans="1:66">
      <c r="A45" s="22"/>
      <c r="B45" s="166"/>
      <c r="C45" s="219"/>
      <c r="D45" s="78"/>
      <c r="E45" s="199"/>
      <c r="F45" s="179"/>
      <c r="G45" s="155"/>
      <c r="I45" s="234"/>
      <c r="K45" s="39"/>
      <c r="L45" s="203"/>
      <c r="M45" s="2"/>
      <c r="N45" s="199"/>
      <c r="O45" s="179"/>
      <c r="P45" s="155"/>
      <c r="Q45" s="173"/>
      <c r="R45" s="173"/>
      <c r="S45" s="173"/>
      <c r="T45" s="173"/>
      <c r="U45" s="173"/>
      <c r="V45" s="179"/>
      <c r="W45" s="297" t="s">
        <v>2119</v>
      </c>
      <c r="X45" s="424">
        <v>42598</v>
      </c>
      <c r="Y45" s="424">
        <v>42605</v>
      </c>
      <c r="Z45" s="295">
        <v>13286523</v>
      </c>
      <c r="AA45" s="1263">
        <v>0.05</v>
      </c>
      <c r="AB45" s="59"/>
      <c r="AC45" s="59"/>
      <c r="AD45" s="47"/>
      <c r="AE45" s="1382"/>
      <c r="AF45" s="38"/>
      <c r="AG45" s="38"/>
      <c r="AH45" s="38"/>
      <c r="AI45" s="38"/>
      <c r="AJ45" s="38"/>
      <c r="AK45" s="383"/>
      <c r="AL45" s="59"/>
      <c r="AM45" s="175"/>
      <c r="AN45" s="175"/>
      <c r="AO45" s="176"/>
      <c r="AP45" s="176"/>
      <c r="AQ45" s="177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D45" s="40"/>
    </row>
    <row r="46" spans="1:66" s="1780" customFormat="1" ht="47.25">
      <c r="A46" s="1885"/>
      <c r="B46" s="1886"/>
      <c r="C46" s="1931"/>
      <c r="D46" s="1912" t="s">
        <v>210</v>
      </c>
      <c r="E46" s="1913"/>
      <c r="F46" s="1897">
        <v>274994720</v>
      </c>
      <c r="G46" s="1890">
        <f t="shared" si="2"/>
        <v>274994720</v>
      </c>
      <c r="H46" s="1932" t="s">
        <v>219</v>
      </c>
      <c r="I46" s="1933">
        <v>42194</v>
      </c>
      <c r="J46" s="1928" t="s">
        <v>220</v>
      </c>
      <c r="K46" s="1915" t="s">
        <v>209</v>
      </c>
      <c r="L46" s="1916" t="s">
        <v>193</v>
      </c>
      <c r="M46" s="1912" t="s">
        <v>210</v>
      </c>
      <c r="N46" s="1913"/>
      <c r="O46" s="1897">
        <v>274994720</v>
      </c>
      <c r="P46" s="1890">
        <f t="shared" si="4"/>
        <v>274994720</v>
      </c>
      <c r="Q46" s="1918"/>
      <c r="R46" s="1918"/>
      <c r="S46" s="1918"/>
      <c r="T46" s="1918"/>
      <c r="U46" s="1918"/>
      <c r="V46" s="1897">
        <f t="shared" si="5"/>
        <v>274994720</v>
      </c>
      <c r="W46" s="1919" t="s">
        <v>1778</v>
      </c>
      <c r="X46" s="1920">
        <v>42524</v>
      </c>
      <c r="Y46" s="1920">
        <v>42528</v>
      </c>
      <c r="Z46" s="1917">
        <v>13749736</v>
      </c>
      <c r="AA46" s="1924">
        <v>0.05</v>
      </c>
      <c r="AB46" s="1901">
        <f>G46-V46</f>
        <v>0</v>
      </c>
      <c r="AC46" s="1934">
        <v>1</v>
      </c>
      <c r="AD46" s="1930"/>
      <c r="AE46" s="1903"/>
      <c r="AF46" s="1904"/>
      <c r="AG46" s="1904"/>
      <c r="AH46" s="1904"/>
      <c r="AI46" s="1904"/>
      <c r="AJ46" s="1904"/>
      <c r="AK46" s="1906"/>
      <c r="AL46" s="1934"/>
      <c r="AM46" s="1907"/>
      <c r="AN46" s="1907"/>
      <c r="AO46" s="1908"/>
      <c r="AP46" s="1908"/>
      <c r="AQ46" s="1909"/>
      <c r="AR46" s="1907"/>
      <c r="AS46" s="1907"/>
      <c r="AT46" s="1907"/>
      <c r="AU46" s="1907"/>
      <c r="AV46" s="1907"/>
      <c r="AW46" s="1907"/>
      <c r="AX46" s="1907"/>
      <c r="AY46" s="1907"/>
      <c r="AZ46" s="1907"/>
      <c r="BA46" s="1907"/>
      <c r="BB46" s="1907"/>
      <c r="BD46" s="1910"/>
      <c r="BH46" s="2004"/>
      <c r="BI46" s="2004"/>
      <c r="BM46" s="2004"/>
      <c r="BN46" s="2004">
        <f>17124/3/1000</f>
        <v>5.7080000000000002</v>
      </c>
    </row>
    <row r="47" spans="1:66">
      <c r="A47" s="22"/>
      <c r="B47" s="166"/>
      <c r="C47" s="2"/>
      <c r="D47" s="78"/>
      <c r="E47" s="199"/>
      <c r="F47" s="209"/>
      <c r="G47" s="155"/>
      <c r="H47" s="155"/>
      <c r="I47" s="232"/>
      <c r="J47" s="170"/>
      <c r="K47" s="210"/>
      <c r="L47" s="211"/>
      <c r="M47" s="212"/>
      <c r="N47" s="199"/>
      <c r="O47" s="186"/>
      <c r="P47" s="155"/>
      <c r="Q47" s="173"/>
      <c r="R47" s="173"/>
      <c r="S47" s="173"/>
      <c r="T47" s="173"/>
      <c r="U47" s="173"/>
      <c r="V47" s="179"/>
      <c r="W47" s="297" t="s">
        <v>1780</v>
      </c>
      <c r="X47" s="424">
        <v>42534</v>
      </c>
      <c r="Y47" s="424">
        <v>42537</v>
      </c>
      <c r="Z47" s="295">
        <v>261244984</v>
      </c>
      <c r="AA47" s="1263">
        <v>0.95</v>
      </c>
      <c r="AB47" s="59">
        <f>G47-V47</f>
        <v>0</v>
      </c>
      <c r="AC47" s="59"/>
      <c r="AD47" s="47"/>
      <c r="AE47" s="1382"/>
      <c r="AF47" s="38"/>
      <c r="AG47" s="38"/>
      <c r="AH47" s="38"/>
      <c r="AI47" s="38"/>
      <c r="AJ47" s="38"/>
      <c r="AK47" s="383"/>
      <c r="AL47" s="59"/>
      <c r="AM47" s="175"/>
      <c r="AN47" s="175"/>
      <c r="AO47" s="176"/>
      <c r="AP47" s="176"/>
      <c r="AQ47" s="177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5"/>
      <c r="BD47" s="40"/>
    </row>
    <row r="48" spans="1:66" s="1780" customFormat="1" ht="47.25">
      <c r="A48" s="1885"/>
      <c r="B48" s="1886"/>
      <c r="C48" s="1931"/>
      <c r="D48" s="1912" t="s">
        <v>222</v>
      </c>
      <c r="E48" s="1913"/>
      <c r="F48" s="1897">
        <v>233288320</v>
      </c>
      <c r="G48" s="1890">
        <f t="shared" si="2"/>
        <v>233288320</v>
      </c>
      <c r="H48" s="1890"/>
      <c r="I48" s="1891"/>
      <c r="J48" s="1928" t="s">
        <v>239</v>
      </c>
      <c r="K48" s="1915" t="s">
        <v>221</v>
      </c>
      <c r="L48" s="1916" t="s">
        <v>242</v>
      </c>
      <c r="M48" s="1912" t="s">
        <v>222</v>
      </c>
      <c r="N48" s="1913"/>
      <c r="O48" s="1897">
        <v>219896637</v>
      </c>
      <c r="P48" s="1890">
        <f t="shared" ref="P48:P58" si="6">N48+O48</f>
        <v>219896637</v>
      </c>
      <c r="Q48" s="1918"/>
      <c r="R48" s="1918"/>
      <c r="S48" s="1918"/>
      <c r="T48" s="1918"/>
      <c r="U48" s="1918"/>
      <c r="V48" s="1897">
        <f t="shared" ref="V48:V58" si="7">P48</f>
        <v>219896637</v>
      </c>
      <c r="W48" s="1919" t="s">
        <v>3513</v>
      </c>
      <c r="X48" s="1920">
        <v>42727</v>
      </c>
      <c r="Y48" s="1920">
        <v>42731</v>
      </c>
      <c r="Z48" s="1917">
        <v>208901805</v>
      </c>
      <c r="AA48" s="1924">
        <f>(Z48/V48)*100%</f>
        <v>0.94999999931786128</v>
      </c>
      <c r="AB48" s="1901">
        <f>G48-V48</f>
        <v>13391683</v>
      </c>
      <c r="AC48" s="1934">
        <v>0</v>
      </c>
      <c r="AD48" s="1902" t="s">
        <v>705</v>
      </c>
      <c r="AE48" s="1903">
        <v>0</v>
      </c>
      <c r="AF48" s="1904"/>
      <c r="AG48" s="1904"/>
      <c r="AH48" s="1904"/>
      <c r="AI48" s="1904"/>
      <c r="AJ48" s="1905">
        <f>F48</f>
        <v>233288320</v>
      </c>
      <c r="AK48" s="1906"/>
      <c r="AL48" s="1934"/>
      <c r="AM48" s="1907"/>
      <c r="AN48" s="1907"/>
      <c r="AO48" s="1908"/>
      <c r="AP48" s="1908"/>
      <c r="AQ48" s="1909"/>
      <c r="AR48" s="1907"/>
      <c r="AS48" s="1907"/>
      <c r="AT48" s="1907"/>
      <c r="AU48" s="1907"/>
      <c r="AV48" s="1907"/>
      <c r="AW48" s="1907"/>
      <c r="AX48" s="1907"/>
      <c r="AY48" s="1907"/>
      <c r="AZ48" s="1907"/>
      <c r="BA48" s="1907"/>
      <c r="BB48" s="1907"/>
      <c r="BD48" s="1910"/>
      <c r="BH48" s="2004"/>
      <c r="BI48" s="2004"/>
      <c r="BM48" s="2004"/>
      <c r="BN48" s="2004"/>
    </row>
    <row r="49" spans="1:66">
      <c r="A49" s="22"/>
      <c r="B49" s="166"/>
      <c r="C49" s="238"/>
      <c r="D49" s="223"/>
      <c r="E49" s="199"/>
      <c r="F49" s="162"/>
      <c r="G49" s="155"/>
      <c r="H49" s="155"/>
      <c r="I49" s="232"/>
      <c r="J49" s="221"/>
      <c r="K49" s="222"/>
      <c r="L49" s="160"/>
      <c r="M49" s="223"/>
      <c r="N49" s="199"/>
      <c r="O49" s="162"/>
      <c r="P49" s="155"/>
      <c r="Q49" s="173"/>
      <c r="R49" s="173"/>
      <c r="S49" s="173"/>
      <c r="T49" s="173"/>
      <c r="U49" s="173"/>
      <c r="V49" s="179"/>
      <c r="W49" s="297"/>
      <c r="X49" s="424"/>
      <c r="Y49" s="424"/>
      <c r="Z49" s="295"/>
      <c r="AA49" s="1262"/>
      <c r="AB49" s="59"/>
      <c r="AC49" s="59"/>
      <c r="AD49" s="47"/>
      <c r="AE49" s="1382"/>
      <c r="AF49" s="38"/>
      <c r="AG49" s="38"/>
      <c r="AH49" s="38"/>
      <c r="AI49" s="38"/>
      <c r="AJ49" s="38"/>
      <c r="AK49" s="383"/>
      <c r="AL49" s="59"/>
      <c r="AM49" s="175"/>
      <c r="AN49" s="175"/>
      <c r="AO49" s="176"/>
      <c r="AP49" s="176"/>
      <c r="AQ49" s="177"/>
      <c r="AR49" s="175"/>
      <c r="AS49" s="175"/>
      <c r="AT49" s="175"/>
      <c r="AU49" s="175"/>
      <c r="AV49" s="175"/>
      <c r="AW49" s="175"/>
      <c r="AX49" s="175"/>
      <c r="AY49" s="175"/>
      <c r="AZ49" s="175"/>
      <c r="BA49" s="175"/>
      <c r="BB49" s="175"/>
      <c r="BD49" s="40"/>
    </row>
    <row r="50" spans="1:66" s="1780" customFormat="1" ht="31.5">
      <c r="A50" s="1885"/>
      <c r="B50" s="1886"/>
      <c r="C50" s="1931"/>
      <c r="D50" s="1912" t="s">
        <v>224</v>
      </c>
      <c r="E50" s="1913"/>
      <c r="F50" s="1897">
        <v>99579810</v>
      </c>
      <c r="G50" s="1890">
        <f t="shared" si="2"/>
        <v>99579810</v>
      </c>
      <c r="H50" s="1890"/>
      <c r="I50" s="1891"/>
      <c r="J50" s="1928" t="s">
        <v>240</v>
      </c>
      <c r="K50" s="1935" t="s">
        <v>223</v>
      </c>
      <c r="L50" s="1936" t="s">
        <v>194</v>
      </c>
      <c r="M50" s="1937" t="s">
        <v>224</v>
      </c>
      <c r="N50" s="1913"/>
      <c r="O50" s="1897">
        <v>85613913</v>
      </c>
      <c r="P50" s="1890">
        <f t="shared" si="6"/>
        <v>85613913</v>
      </c>
      <c r="Q50" s="1918"/>
      <c r="R50" s="1918"/>
      <c r="S50" s="1918"/>
      <c r="T50" s="1918"/>
      <c r="U50" s="1918"/>
      <c r="V50" s="1897">
        <f t="shared" si="7"/>
        <v>85613913</v>
      </c>
      <c r="W50" s="1919" t="s">
        <v>1778</v>
      </c>
      <c r="X50" s="1920">
        <v>42524</v>
      </c>
      <c r="Y50" s="1920">
        <v>42528</v>
      </c>
      <c r="Z50" s="1917">
        <v>4280696</v>
      </c>
      <c r="AA50" s="1924">
        <v>0.05</v>
      </c>
      <c r="AB50" s="1901">
        <f>G50-V50</f>
        <v>13965897</v>
      </c>
      <c r="AC50" s="1934">
        <v>1</v>
      </c>
      <c r="AD50" s="1930"/>
      <c r="AE50" s="1903"/>
      <c r="AF50" s="1904"/>
      <c r="AG50" s="1904"/>
      <c r="AH50" s="1904"/>
      <c r="AI50" s="1904"/>
      <c r="AJ50" s="1904"/>
      <c r="AK50" s="1906"/>
      <c r="AL50" s="1934"/>
      <c r="AM50" s="1907"/>
      <c r="AN50" s="1907"/>
      <c r="AO50" s="1908"/>
      <c r="AP50" s="1908"/>
      <c r="AQ50" s="1909"/>
      <c r="AR50" s="1907"/>
      <c r="AS50" s="1907"/>
      <c r="AT50" s="1907"/>
      <c r="AU50" s="1907"/>
      <c r="AV50" s="1907"/>
      <c r="AW50" s="1907"/>
      <c r="AX50" s="1907"/>
      <c r="AY50" s="1907"/>
      <c r="AZ50" s="1907"/>
      <c r="BA50" s="1907"/>
      <c r="BB50" s="1907"/>
      <c r="BD50" s="1910"/>
      <c r="BH50" s="2004"/>
      <c r="BI50" s="2004"/>
      <c r="BM50" s="2004"/>
      <c r="BN50" s="2004"/>
    </row>
    <row r="51" spans="1:66">
      <c r="A51" s="22"/>
      <c r="B51" s="166"/>
      <c r="C51" s="237"/>
      <c r="D51" s="163"/>
      <c r="E51" s="199"/>
      <c r="F51" s="209"/>
      <c r="G51" s="155"/>
      <c r="H51" s="155"/>
      <c r="I51" s="232"/>
      <c r="J51" s="170"/>
      <c r="K51" s="225"/>
      <c r="L51" s="211"/>
      <c r="M51" s="163"/>
      <c r="N51" s="199"/>
      <c r="O51" s="209"/>
      <c r="P51" s="155"/>
      <c r="Q51" s="173"/>
      <c r="R51" s="173"/>
      <c r="S51" s="173"/>
      <c r="T51" s="173"/>
      <c r="U51" s="173"/>
      <c r="V51" s="179"/>
      <c r="W51" s="297" t="s">
        <v>1779</v>
      </c>
      <c r="X51" s="424">
        <v>42524</v>
      </c>
      <c r="Y51" s="424">
        <v>42530</v>
      </c>
      <c r="Z51" s="295">
        <v>81333217</v>
      </c>
      <c r="AA51" s="1263">
        <v>0.95</v>
      </c>
      <c r="AB51" s="59">
        <f>G51-V51</f>
        <v>0</v>
      </c>
      <c r="AC51" s="59"/>
      <c r="AD51" s="47"/>
      <c r="AE51" s="1382"/>
      <c r="AF51" s="38"/>
      <c r="AG51" s="38"/>
      <c r="AH51" s="38"/>
      <c r="AI51" s="38"/>
      <c r="AJ51" s="38"/>
      <c r="AK51" s="383"/>
      <c r="AL51" s="59"/>
      <c r="AM51" s="175"/>
      <c r="AN51" s="175"/>
      <c r="AO51" s="176"/>
      <c r="AP51" s="176"/>
      <c r="AQ51" s="177"/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  <c r="BD51" s="40"/>
    </row>
    <row r="52" spans="1:66" s="1780" customFormat="1" ht="31.5">
      <c r="A52" s="1885"/>
      <c r="B52" s="1886"/>
      <c r="C52" s="1931"/>
      <c r="D52" s="1912" t="s">
        <v>226</v>
      </c>
      <c r="E52" s="1913"/>
      <c r="F52" s="1938">
        <v>64839515</v>
      </c>
      <c r="G52" s="1890">
        <f t="shared" si="2"/>
        <v>64839515</v>
      </c>
      <c r="H52" s="1890"/>
      <c r="I52" s="1891"/>
      <c r="J52" s="1928" t="s">
        <v>241</v>
      </c>
      <c r="K52" s="1923" t="s">
        <v>225</v>
      </c>
      <c r="L52" s="1915" t="s">
        <v>243</v>
      </c>
      <c r="M52" s="1912" t="s">
        <v>226</v>
      </c>
      <c r="N52" s="1913"/>
      <c r="O52" s="1938">
        <v>64839515</v>
      </c>
      <c r="P52" s="1890">
        <f t="shared" si="6"/>
        <v>64839515</v>
      </c>
      <c r="Q52" s="1918"/>
      <c r="R52" s="1918"/>
      <c r="S52" s="1918"/>
      <c r="T52" s="1918"/>
      <c r="U52" s="1918"/>
      <c r="V52" s="1897">
        <f t="shared" si="7"/>
        <v>64839515</v>
      </c>
      <c r="W52" s="1919" t="s">
        <v>2002</v>
      </c>
      <c r="X52" s="1920">
        <v>42573</v>
      </c>
      <c r="Y52" s="1920">
        <v>42579</v>
      </c>
      <c r="Z52" s="1917">
        <v>54049050</v>
      </c>
      <c r="AA52" s="1924">
        <f>(Z52/V52)*100%</f>
        <v>0.83358196001311857</v>
      </c>
      <c r="AB52" s="1901">
        <f>G52-V52</f>
        <v>0</v>
      </c>
      <c r="AC52" s="1934">
        <v>0.8</v>
      </c>
      <c r="AD52" s="1930" t="s">
        <v>704</v>
      </c>
      <c r="AE52" s="1903"/>
      <c r="AF52" s="1904"/>
      <c r="AG52" s="1904"/>
      <c r="AH52" s="1904"/>
      <c r="AI52" s="1904"/>
      <c r="AJ52" s="1904"/>
      <c r="AK52" s="1906"/>
      <c r="AL52" s="1934"/>
      <c r="AM52" s="1907"/>
      <c r="AN52" s="1907"/>
      <c r="AO52" s="1908"/>
      <c r="AP52" s="1908"/>
      <c r="AQ52" s="1909"/>
      <c r="AR52" s="1907"/>
      <c r="AS52" s="1907"/>
      <c r="AT52" s="1907"/>
      <c r="AU52" s="1907"/>
      <c r="AV52" s="1907"/>
      <c r="AW52" s="1907"/>
      <c r="AX52" s="1907"/>
      <c r="AY52" s="1907"/>
      <c r="AZ52" s="1907"/>
      <c r="BA52" s="1907"/>
      <c r="BB52" s="1907"/>
      <c r="BD52" s="1910"/>
      <c r="BH52" s="2004"/>
      <c r="BI52" s="2004"/>
      <c r="BM52" s="2004"/>
      <c r="BN52" s="2004"/>
    </row>
    <row r="53" spans="1:66">
      <c r="A53" s="22"/>
      <c r="B53" s="166"/>
      <c r="C53" s="188"/>
      <c r="D53" s="224"/>
      <c r="E53" s="199"/>
      <c r="F53" s="209"/>
      <c r="G53" s="155"/>
      <c r="H53" s="155"/>
      <c r="I53" s="232"/>
      <c r="J53" s="170"/>
      <c r="K53" s="159"/>
      <c r="L53" s="211"/>
      <c r="M53" s="224"/>
      <c r="N53" s="199"/>
      <c r="O53" s="209"/>
      <c r="P53" s="155"/>
      <c r="Q53" s="173"/>
      <c r="R53" s="173"/>
      <c r="S53" s="173"/>
      <c r="T53" s="173"/>
      <c r="U53" s="173"/>
      <c r="V53" s="1541"/>
      <c r="W53" s="1542"/>
      <c r="X53" s="424"/>
      <c r="Y53" s="424"/>
      <c r="Z53" s="295"/>
      <c r="AA53" s="1262"/>
      <c r="AB53" s="59"/>
      <c r="AC53" s="59"/>
      <c r="AD53" s="47"/>
      <c r="AE53" s="1382"/>
      <c r="AF53" s="38"/>
      <c r="AG53" s="38"/>
      <c r="AH53" s="38"/>
      <c r="AI53" s="38"/>
      <c r="AJ53" s="38"/>
      <c r="AK53" s="383"/>
      <c r="AL53" s="59"/>
      <c r="AM53" s="175"/>
      <c r="AN53" s="175"/>
      <c r="AO53" s="176"/>
      <c r="AP53" s="176"/>
      <c r="AQ53" s="177"/>
      <c r="AR53" s="175"/>
      <c r="AS53" s="175"/>
      <c r="AT53" s="175"/>
      <c r="AU53" s="175"/>
      <c r="AV53" s="175"/>
      <c r="AW53" s="175"/>
      <c r="AX53" s="175"/>
      <c r="AY53" s="175"/>
      <c r="AZ53" s="175"/>
      <c r="BA53" s="175"/>
      <c r="BB53" s="175"/>
      <c r="BD53" s="40"/>
    </row>
    <row r="54" spans="1:66" s="1779" customFormat="1" ht="47.25">
      <c r="A54" s="1806"/>
      <c r="B54" s="1807"/>
      <c r="C54" s="1840"/>
      <c r="D54" s="1809" t="s">
        <v>228</v>
      </c>
      <c r="E54" s="1810"/>
      <c r="F54" s="1811">
        <v>109547680</v>
      </c>
      <c r="G54" s="1812">
        <f t="shared" si="2"/>
        <v>109547680</v>
      </c>
      <c r="H54" s="1813" t="s">
        <v>233</v>
      </c>
      <c r="I54" s="1814">
        <v>42185</v>
      </c>
      <c r="J54" s="1815" t="s">
        <v>234</v>
      </c>
      <c r="K54" s="1816" t="s">
        <v>227</v>
      </c>
      <c r="L54" s="1817" t="s">
        <v>193</v>
      </c>
      <c r="M54" s="1809" t="s">
        <v>228</v>
      </c>
      <c r="N54" s="1810"/>
      <c r="O54" s="1811">
        <v>108801880</v>
      </c>
      <c r="P54" s="1812">
        <f t="shared" si="6"/>
        <v>108801880</v>
      </c>
      <c r="Q54" s="1819"/>
      <c r="R54" s="1819"/>
      <c r="S54" s="1819"/>
      <c r="T54" s="1819"/>
      <c r="U54" s="1819"/>
      <c r="V54" s="1811">
        <f t="shared" si="7"/>
        <v>108801880</v>
      </c>
      <c r="W54" s="1820" t="s">
        <v>970</v>
      </c>
      <c r="X54" s="1821"/>
      <c r="Y54" s="1821">
        <v>42468</v>
      </c>
      <c r="Z54" s="1822">
        <v>103361786</v>
      </c>
      <c r="AA54" s="1823">
        <v>0.95</v>
      </c>
      <c r="AB54" s="1824">
        <f>G54-V54</f>
        <v>745800</v>
      </c>
      <c r="AC54" s="1825">
        <v>1</v>
      </c>
      <c r="AD54" s="1826"/>
      <c r="AE54" s="1827">
        <v>1</v>
      </c>
      <c r="AF54" s="1828"/>
      <c r="AG54" s="1828"/>
      <c r="AH54" s="1828"/>
      <c r="AI54" s="1828"/>
      <c r="AJ54" s="1828"/>
      <c r="AK54" s="1830"/>
      <c r="AL54" s="1825"/>
      <c r="AM54" s="1831"/>
      <c r="AN54" s="1831"/>
      <c r="AO54" s="1832"/>
      <c r="AP54" s="1832"/>
      <c r="AQ54" s="1833"/>
      <c r="AR54" s="1831"/>
      <c r="AS54" s="1831"/>
      <c r="AT54" s="1831"/>
      <c r="AU54" s="1831"/>
      <c r="AV54" s="1831"/>
      <c r="AW54" s="1831"/>
      <c r="AX54" s="1831"/>
      <c r="AY54" s="1831"/>
      <c r="AZ54" s="1831"/>
      <c r="BA54" s="1831"/>
      <c r="BB54" s="1831"/>
      <c r="BD54" s="1834"/>
      <c r="BF54" s="1779">
        <v>2</v>
      </c>
      <c r="BG54" s="1779">
        <f>100+200</f>
        <v>300</v>
      </c>
      <c r="BH54" s="2000">
        <v>2.29175</v>
      </c>
      <c r="BI54" s="2000"/>
      <c r="BM54" s="2000"/>
      <c r="BN54" s="2000"/>
    </row>
    <row r="55" spans="1:66">
      <c r="A55" s="22"/>
      <c r="B55" s="166"/>
      <c r="C55" s="236"/>
      <c r="D55" s="163"/>
      <c r="E55" s="199"/>
      <c r="F55" s="209"/>
      <c r="G55" s="155"/>
      <c r="H55" s="158"/>
      <c r="I55" s="215"/>
      <c r="J55" s="221"/>
      <c r="K55" s="159"/>
      <c r="L55" s="226"/>
      <c r="M55" s="163"/>
      <c r="N55" s="199"/>
      <c r="O55" s="209"/>
      <c r="P55" s="155"/>
      <c r="Q55" s="173"/>
      <c r="R55" s="173"/>
      <c r="S55" s="173"/>
      <c r="T55" s="173"/>
      <c r="U55" s="173"/>
      <c r="V55" s="179"/>
      <c r="W55" s="297" t="s">
        <v>1458</v>
      </c>
      <c r="X55" s="424"/>
      <c r="Y55" s="424">
        <v>42509</v>
      </c>
      <c r="Z55" s="295">
        <v>5440094</v>
      </c>
      <c r="AA55" s="1263">
        <v>0.05</v>
      </c>
      <c r="AB55" s="59">
        <f>G55-V55</f>
        <v>0</v>
      </c>
      <c r="AC55" s="59"/>
      <c r="AD55" s="47"/>
      <c r="AE55" s="1382"/>
      <c r="AF55" s="38"/>
      <c r="AG55" s="38"/>
      <c r="AH55" s="38"/>
      <c r="AI55" s="38"/>
      <c r="AJ55" s="38"/>
      <c r="AK55" s="383"/>
      <c r="AL55" s="59"/>
      <c r="AM55" s="175"/>
      <c r="AN55" s="175"/>
      <c r="AO55" s="176"/>
      <c r="AP55" s="176"/>
      <c r="AQ55" s="177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D55" s="40"/>
    </row>
    <row r="56" spans="1:66" s="1779" customFormat="1" ht="47.25">
      <c r="A56" s="1806"/>
      <c r="B56" s="1807"/>
      <c r="C56" s="1840"/>
      <c r="D56" s="1809" t="s">
        <v>230</v>
      </c>
      <c r="E56" s="1810"/>
      <c r="F56" s="1843">
        <v>125133679</v>
      </c>
      <c r="G56" s="1812">
        <f t="shared" si="2"/>
        <v>125133679</v>
      </c>
      <c r="H56" s="1813" t="s">
        <v>235</v>
      </c>
      <c r="I56" s="1814">
        <v>42185</v>
      </c>
      <c r="J56" s="1815" t="s">
        <v>236</v>
      </c>
      <c r="K56" s="1816" t="s">
        <v>229</v>
      </c>
      <c r="L56" s="1844" t="s">
        <v>194</v>
      </c>
      <c r="M56" s="1809" t="s">
        <v>230</v>
      </c>
      <c r="N56" s="1810"/>
      <c r="O56" s="1843">
        <v>125133679</v>
      </c>
      <c r="P56" s="1812">
        <f t="shared" si="6"/>
        <v>125133679</v>
      </c>
      <c r="Q56" s="1819"/>
      <c r="R56" s="1819"/>
      <c r="S56" s="1819"/>
      <c r="T56" s="1819"/>
      <c r="U56" s="1819"/>
      <c r="V56" s="1811">
        <f t="shared" si="7"/>
        <v>125133679</v>
      </c>
      <c r="W56" s="1820" t="s">
        <v>2000</v>
      </c>
      <c r="X56" s="1821">
        <v>42552</v>
      </c>
      <c r="Y56" s="1821">
        <v>42571</v>
      </c>
      <c r="Z56" s="1822">
        <v>118876995</v>
      </c>
      <c r="AA56" s="1823">
        <v>0.95</v>
      </c>
      <c r="AB56" s="1824">
        <f>G56-V56</f>
        <v>0</v>
      </c>
      <c r="AC56" s="1825">
        <v>0</v>
      </c>
      <c r="AD56" s="1826"/>
      <c r="AE56" s="1827"/>
      <c r="AF56" s="1828"/>
      <c r="AG56" s="1828"/>
      <c r="AH56" s="1828"/>
      <c r="AI56" s="1828"/>
      <c r="AJ56" s="1828"/>
      <c r="AK56" s="1830"/>
      <c r="AL56" s="1825"/>
      <c r="AM56" s="1831"/>
      <c r="AN56" s="1831"/>
      <c r="AO56" s="1832"/>
      <c r="AP56" s="1832"/>
      <c r="AQ56" s="1833"/>
      <c r="AR56" s="1831"/>
      <c r="AS56" s="1831"/>
      <c r="AT56" s="1831"/>
      <c r="AU56" s="1831"/>
      <c r="AV56" s="1831"/>
      <c r="AW56" s="1831"/>
      <c r="AX56" s="1831"/>
      <c r="AY56" s="1831"/>
      <c r="AZ56" s="1831"/>
      <c r="BA56" s="1831"/>
      <c r="BB56" s="1831"/>
      <c r="BD56" s="1834"/>
      <c r="BF56" s="1779">
        <v>3</v>
      </c>
      <c r="BG56" s="1779">
        <v>250</v>
      </c>
      <c r="BH56" s="2000">
        <v>1.8694500000000001</v>
      </c>
      <c r="BI56" s="2000"/>
      <c r="BM56" s="2000"/>
      <c r="BN56" s="2000"/>
    </row>
    <row r="57" spans="1:66">
      <c r="A57" s="22"/>
      <c r="B57" s="166"/>
      <c r="C57" s="236"/>
      <c r="D57" s="163"/>
      <c r="E57" s="199"/>
      <c r="F57" s="186"/>
      <c r="G57" s="155"/>
      <c r="H57" s="155"/>
      <c r="I57" s="232"/>
      <c r="J57" s="170"/>
      <c r="K57" s="159"/>
      <c r="L57" s="211"/>
      <c r="M57" s="163"/>
      <c r="N57" s="199"/>
      <c r="O57" s="186"/>
      <c r="P57" s="155"/>
      <c r="Q57" s="173"/>
      <c r="R57" s="173"/>
      <c r="S57" s="173"/>
      <c r="T57" s="173"/>
      <c r="U57" s="173"/>
      <c r="V57" s="179"/>
      <c r="W57" s="297" t="s">
        <v>2117</v>
      </c>
      <c r="X57" s="424">
        <v>42592</v>
      </c>
      <c r="Y57" s="424">
        <v>42601</v>
      </c>
      <c r="Z57" s="295">
        <v>6256684</v>
      </c>
      <c r="AA57" s="1263">
        <v>0.05</v>
      </c>
      <c r="AB57" s="59"/>
      <c r="AC57" s="59"/>
      <c r="AD57" s="47"/>
      <c r="AE57" s="1382"/>
      <c r="AF57" s="38"/>
      <c r="AG57" s="38"/>
      <c r="AH57" s="38"/>
      <c r="AI57" s="38"/>
      <c r="AJ57" s="38"/>
      <c r="AK57" s="383"/>
      <c r="AL57" s="59"/>
      <c r="AM57" s="175"/>
      <c r="AN57" s="175"/>
      <c r="AO57" s="176"/>
      <c r="AP57" s="176"/>
      <c r="AQ57" s="177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D57" s="40"/>
    </row>
    <row r="58" spans="1:66" s="1779" customFormat="1" ht="47.25">
      <c r="A58" s="1806"/>
      <c r="B58" s="1807"/>
      <c r="C58" s="1840"/>
      <c r="D58" s="1809" t="s">
        <v>232</v>
      </c>
      <c r="E58" s="1810"/>
      <c r="F58" s="1843">
        <v>147752539</v>
      </c>
      <c r="G58" s="1812">
        <f t="shared" si="2"/>
        <v>147752539</v>
      </c>
      <c r="H58" s="1813" t="s">
        <v>237</v>
      </c>
      <c r="I58" s="1814">
        <v>42185</v>
      </c>
      <c r="J58" s="1815" t="s">
        <v>238</v>
      </c>
      <c r="K58" s="1816" t="s">
        <v>231</v>
      </c>
      <c r="L58" s="1844" t="s">
        <v>194</v>
      </c>
      <c r="M58" s="1809" t="s">
        <v>232</v>
      </c>
      <c r="N58" s="1810"/>
      <c r="O58" s="1843">
        <v>147752539</v>
      </c>
      <c r="P58" s="1812">
        <f t="shared" si="6"/>
        <v>147752539</v>
      </c>
      <c r="Q58" s="1819"/>
      <c r="R58" s="1819"/>
      <c r="S58" s="1819"/>
      <c r="T58" s="1819"/>
      <c r="U58" s="1819"/>
      <c r="V58" s="1811">
        <f t="shared" si="7"/>
        <v>147752539</v>
      </c>
      <c r="W58" s="1820" t="s">
        <v>2000</v>
      </c>
      <c r="X58" s="1821">
        <v>42552</v>
      </c>
      <c r="Y58" s="1821">
        <v>42571</v>
      </c>
      <c r="Z58" s="1822">
        <v>140364912</v>
      </c>
      <c r="AA58" s="1823">
        <v>0.95</v>
      </c>
      <c r="AB58" s="1824">
        <f>G58-V58</f>
        <v>0</v>
      </c>
      <c r="AC58" s="1825">
        <v>0</v>
      </c>
      <c r="AD58" s="1826"/>
      <c r="AE58" s="1827">
        <v>0</v>
      </c>
      <c r="AF58" s="1828"/>
      <c r="AG58" s="1828"/>
      <c r="AH58" s="1828"/>
      <c r="AI58" s="1828"/>
      <c r="AJ58" s="1828"/>
      <c r="AK58" s="1830"/>
      <c r="AL58" s="1825"/>
      <c r="AM58" s="1831"/>
      <c r="AN58" s="1831"/>
      <c r="AO58" s="1832"/>
      <c r="AP58" s="1832"/>
      <c r="AQ58" s="1833"/>
      <c r="AR58" s="1831"/>
      <c r="AS58" s="1831"/>
      <c r="AT58" s="1831"/>
      <c r="AU58" s="1831"/>
      <c r="AV58" s="1831"/>
      <c r="AW58" s="1831"/>
      <c r="AX58" s="1831"/>
      <c r="AY58" s="1831"/>
      <c r="AZ58" s="1831"/>
      <c r="BA58" s="1831"/>
      <c r="BB58" s="1831"/>
      <c r="BD58" s="1834"/>
      <c r="BF58" s="1779">
        <v>2</v>
      </c>
      <c r="BG58" s="1779">
        <v>150</v>
      </c>
      <c r="BH58" s="2000">
        <v>2.4239999999999999</v>
      </c>
      <c r="BI58" s="2000"/>
      <c r="BM58" s="2000"/>
      <c r="BN58" s="2000"/>
    </row>
    <row r="59" spans="1:66">
      <c r="A59" s="22"/>
      <c r="B59" s="166"/>
      <c r="C59" s="188"/>
      <c r="D59" s="180"/>
      <c r="E59" s="199"/>
      <c r="F59" s="209"/>
      <c r="G59" s="155"/>
      <c r="H59" s="155"/>
      <c r="I59" s="232"/>
      <c r="J59" s="170"/>
      <c r="K59" s="210"/>
      <c r="L59" s="211"/>
      <c r="M59" s="212"/>
      <c r="N59" s="199"/>
      <c r="O59" s="186"/>
      <c r="P59" s="155"/>
      <c r="Q59" s="173"/>
      <c r="R59" s="173"/>
      <c r="S59" s="173"/>
      <c r="T59" s="173"/>
      <c r="U59" s="173"/>
      <c r="V59" s="179"/>
      <c r="W59" s="297" t="s">
        <v>2117</v>
      </c>
      <c r="X59" s="424">
        <v>42592</v>
      </c>
      <c r="Y59" s="424">
        <v>42601</v>
      </c>
      <c r="Z59" s="295">
        <v>7387627</v>
      </c>
      <c r="AA59" s="1263">
        <v>0.05</v>
      </c>
      <c r="AB59" s="59"/>
      <c r="AC59" s="59"/>
      <c r="AD59" s="47"/>
      <c r="AE59" s="1382"/>
      <c r="AF59" s="38"/>
      <c r="AG59" s="38"/>
      <c r="AH59" s="38"/>
      <c r="AI59" s="38"/>
      <c r="AJ59" s="38"/>
      <c r="AK59" s="383"/>
      <c r="AL59" s="59"/>
      <c r="AM59" s="175"/>
      <c r="AN59" s="175"/>
      <c r="AO59" s="176"/>
      <c r="AP59" s="176"/>
      <c r="AQ59" s="177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D59" s="40"/>
    </row>
    <row r="60" spans="1:66" ht="47.25">
      <c r="A60" s="22"/>
      <c r="B60" s="166"/>
      <c r="C60" s="237"/>
      <c r="D60" s="197" t="s">
        <v>245</v>
      </c>
      <c r="E60" s="199"/>
      <c r="F60" s="158">
        <v>125390650</v>
      </c>
      <c r="G60" s="155">
        <f t="shared" si="2"/>
        <v>125390650</v>
      </c>
      <c r="H60" s="253" t="s">
        <v>254</v>
      </c>
      <c r="I60" s="228">
        <v>42135</v>
      </c>
      <c r="J60" s="221" t="s">
        <v>256</v>
      </c>
      <c r="K60" s="198" t="s">
        <v>244</v>
      </c>
      <c r="L60" s="196" t="s">
        <v>251</v>
      </c>
      <c r="M60" s="197" t="s">
        <v>245</v>
      </c>
      <c r="N60" s="199"/>
      <c r="O60" s="172">
        <v>15024350</v>
      </c>
      <c r="P60" s="172">
        <v>15024350</v>
      </c>
      <c r="Q60" s="173"/>
      <c r="R60" s="173"/>
      <c r="S60" s="173"/>
      <c r="T60" s="173"/>
      <c r="U60" s="173"/>
      <c r="V60" s="179">
        <f>P60</f>
        <v>15024350</v>
      </c>
      <c r="W60" s="297" t="s">
        <v>971</v>
      </c>
      <c r="X60" s="424"/>
      <c r="Y60" s="424"/>
      <c r="Z60" s="295">
        <v>15024350</v>
      </c>
      <c r="AA60" s="2642">
        <v>1</v>
      </c>
      <c r="AB60" s="59">
        <f>G60-V60</f>
        <v>110366300</v>
      </c>
      <c r="AC60" s="390">
        <v>1</v>
      </c>
      <c r="AD60" s="389"/>
      <c r="AE60" s="1382"/>
      <c r="AF60" s="38"/>
      <c r="AG60" s="38"/>
      <c r="AH60" s="38"/>
      <c r="AI60" s="38"/>
      <c r="AJ60" s="38"/>
      <c r="AK60" s="383"/>
      <c r="AL60" s="390"/>
      <c r="AM60" s="175"/>
      <c r="AN60" s="175"/>
      <c r="AO60" s="176"/>
      <c r="AP60" s="176"/>
      <c r="AQ60" s="177"/>
      <c r="AR60" s="175"/>
      <c r="AS60" s="175"/>
      <c r="AT60" s="175"/>
      <c r="AU60" s="175"/>
      <c r="AV60" s="175"/>
      <c r="AW60" s="175"/>
      <c r="AX60" s="175"/>
      <c r="AY60" s="175"/>
      <c r="AZ60" s="175"/>
      <c r="BA60" s="175"/>
      <c r="BB60" s="175"/>
      <c r="BD60" s="40"/>
    </row>
    <row r="61" spans="1:66">
      <c r="A61" s="22"/>
      <c r="B61" s="166"/>
      <c r="C61" s="237"/>
      <c r="D61" s="197"/>
      <c r="E61" s="199"/>
      <c r="F61" s="158"/>
      <c r="G61" s="155"/>
      <c r="H61" s="158"/>
      <c r="I61" s="228"/>
      <c r="J61" s="170"/>
      <c r="K61" s="198"/>
      <c r="L61" s="196"/>
      <c r="M61" s="197"/>
      <c r="N61" s="199"/>
      <c r="O61" s="158"/>
      <c r="P61" s="155"/>
      <c r="Q61" s="173"/>
      <c r="R61" s="173"/>
      <c r="S61" s="173"/>
      <c r="T61" s="173"/>
      <c r="U61" s="173"/>
      <c r="V61" s="179"/>
      <c r="W61" s="297"/>
      <c r="X61" s="424"/>
      <c r="Y61" s="424"/>
      <c r="Z61" s="295"/>
      <c r="AA61" s="1262"/>
      <c r="AB61" s="59"/>
      <c r="AC61" s="59"/>
      <c r="AD61" s="47"/>
      <c r="AE61" s="1382"/>
      <c r="AF61" s="38"/>
      <c r="AG61" s="38"/>
      <c r="AH61" s="38"/>
      <c r="AI61" s="38"/>
      <c r="AJ61" s="38"/>
      <c r="AK61" s="383"/>
      <c r="AL61" s="59"/>
      <c r="AM61" s="175"/>
      <c r="AN61" s="175"/>
      <c r="AO61" s="176"/>
      <c r="AP61" s="176"/>
      <c r="AQ61" s="177"/>
      <c r="AR61" s="175"/>
      <c r="AS61" s="175"/>
      <c r="AT61" s="175"/>
      <c r="AU61" s="175"/>
      <c r="AV61" s="175"/>
      <c r="AW61" s="175"/>
      <c r="AX61" s="175"/>
      <c r="AY61" s="175"/>
      <c r="AZ61" s="175"/>
      <c r="BA61" s="175"/>
      <c r="BB61" s="175"/>
      <c r="BD61" s="40"/>
    </row>
    <row r="62" spans="1:66" ht="47.25">
      <c r="A62" s="22"/>
      <c r="B62" s="166"/>
      <c r="C62" s="237"/>
      <c r="D62" s="197" t="s">
        <v>247</v>
      </c>
      <c r="E62" s="199"/>
      <c r="F62" s="158">
        <v>20121948</v>
      </c>
      <c r="G62" s="155">
        <f t="shared" si="2"/>
        <v>20121948</v>
      </c>
      <c r="H62" s="253" t="s">
        <v>255</v>
      </c>
      <c r="I62" s="228">
        <v>42135</v>
      </c>
      <c r="J62" s="170"/>
      <c r="K62" s="198" t="s">
        <v>246</v>
      </c>
      <c r="L62" s="196" t="s">
        <v>252</v>
      </c>
      <c r="M62" s="197" t="s">
        <v>247</v>
      </c>
      <c r="N62" s="199"/>
      <c r="O62" s="158">
        <v>4537302</v>
      </c>
      <c r="P62" s="155">
        <f>N62+O62</f>
        <v>4537302</v>
      </c>
      <c r="Q62" s="173"/>
      <c r="R62" s="173"/>
      <c r="S62" s="173"/>
      <c r="T62" s="173"/>
      <c r="U62" s="173"/>
      <c r="V62" s="179">
        <f>P62</f>
        <v>4537302</v>
      </c>
      <c r="W62" s="297" t="s">
        <v>1781</v>
      </c>
      <c r="X62" s="424">
        <v>42549</v>
      </c>
      <c r="Y62" s="424">
        <v>42571</v>
      </c>
      <c r="Z62" s="295">
        <v>4537302</v>
      </c>
      <c r="AA62" s="1262"/>
      <c r="AB62" s="59">
        <f>G62-V62</f>
        <v>15584646</v>
      </c>
      <c r="AC62" s="390">
        <v>1</v>
      </c>
      <c r="AD62" s="47"/>
      <c r="AE62" s="1382"/>
      <c r="AF62" s="38"/>
      <c r="AG62" s="38"/>
      <c r="AH62" s="38"/>
      <c r="AI62" s="38"/>
      <c r="AJ62" s="38"/>
      <c r="AK62" s="383"/>
      <c r="AL62" s="390"/>
      <c r="AM62" s="175"/>
      <c r="AN62" s="175"/>
      <c r="AO62" s="176"/>
      <c r="AP62" s="176"/>
      <c r="AQ62" s="177"/>
      <c r="AR62" s="175"/>
      <c r="AS62" s="175"/>
      <c r="AT62" s="175"/>
      <c r="AU62" s="175"/>
      <c r="AV62" s="175"/>
      <c r="AW62" s="175"/>
      <c r="AX62" s="175"/>
      <c r="AY62" s="175"/>
      <c r="AZ62" s="175"/>
      <c r="BA62" s="175"/>
      <c r="BB62" s="175"/>
      <c r="BD62" s="40"/>
    </row>
    <row r="63" spans="1:66">
      <c r="A63" s="22"/>
      <c r="B63" s="166"/>
      <c r="C63" s="237"/>
      <c r="D63" s="197"/>
      <c r="E63" s="199"/>
      <c r="F63" s="158"/>
      <c r="G63" s="155"/>
      <c r="H63" s="155"/>
      <c r="I63" s="232"/>
      <c r="J63" s="170"/>
      <c r="K63" s="198"/>
      <c r="L63" s="197"/>
      <c r="M63" s="197"/>
      <c r="N63" s="199"/>
      <c r="O63" s="158"/>
      <c r="P63" s="155"/>
      <c r="Q63" s="173"/>
      <c r="R63" s="173"/>
      <c r="S63" s="173"/>
      <c r="T63" s="173"/>
      <c r="U63" s="173"/>
      <c r="V63" s="179"/>
      <c r="W63" s="297"/>
      <c r="X63" s="424"/>
      <c r="Y63" s="424"/>
      <c r="Z63" s="295"/>
      <c r="AA63" s="1262"/>
      <c r="AB63" s="59"/>
      <c r="AC63" s="59"/>
      <c r="AD63" s="47"/>
      <c r="AE63" s="1382"/>
      <c r="AF63" s="38"/>
      <c r="AG63" s="38"/>
      <c r="AH63" s="38"/>
      <c r="AI63" s="38"/>
      <c r="AJ63" s="38"/>
      <c r="AK63" s="383"/>
      <c r="AL63" s="59"/>
      <c r="AM63" s="175"/>
      <c r="AN63" s="175"/>
      <c r="AO63" s="176"/>
      <c r="AP63" s="176"/>
      <c r="AQ63" s="177"/>
      <c r="AR63" s="175"/>
      <c r="AS63" s="175"/>
      <c r="AT63" s="175"/>
      <c r="AU63" s="175"/>
      <c r="AV63" s="175"/>
      <c r="AW63" s="175"/>
      <c r="AX63" s="175"/>
      <c r="AY63" s="175"/>
      <c r="AZ63" s="175"/>
      <c r="BA63" s="175"/>
      <c r="BB63" s="175"/>
      <c r="BD63" s="40"/>
    </row>
    <row r="64" spans="1:66" s="1178" customFormat="1" ht="48" thickBot="1">
      <c r="A64" s="1177"/>
      <c r="B64" s="166"/>
      <c r="C64" s="1543"/>
      <c r="D64" s="1544" t="s">
        <v>249</v>
      </c>
      <c r="E64" s="1545"/>
      <c r="F64" s="1546">
        <v>264000000</v>
      </c>
      <c r="G64" s="1547">
        <f t="shared" si="2"/>
        <v>264000000</v>
      </c>
      <c r="H64" s="1548" t="s">
        <v>253</v>
      </c>
      <c r="I64" s="1549">
        <v>42135</v>
      </c>
      <c r="J64" s="1181"/>
      <c r="K64" s="218" t="s">
        <v>248</v>
      </c>
      <c r="L64" s="1550" t="s">
        <v>250</v>
      </c>
      <c r="M64" s="1544" t="s">
        <v>249</v>
      </c>
      <c r="N64" s="1545"/>
      <c r="O64" s="1546">
        <v>194027680</v>
      </c>
      <c r="P64" s="1547">
        <f>N64+O64</f>
        <v>194027680</v>
      </c>
      <c r="Q64" s="1188"/>
      <c r="R64" s="1188"/>
      <c r="S64" s="1188"/>
      <c r="T64" s="1188"/>
      <c r="U64" s="1188"/>
      <c r="V64" s="1551">
        <f>P64</f>
        <v>194027680</v>
      </c>
      <c r="W64" s="511" t="s">
        <v>3007</v>
      </c>
      <c r="X64" s="1552"/>
      <c r="Y64" s="1552">
        <v>42451</v>
      </c>
      <c r="Z64" s="1553">
        <v>175096460</v>
      </c>
      <c r="AA64" s="1554"/>
      <c r="AB64" s="426">
        <f>G64-V64</f>
        <v>69972320</v>
      </c>
      <c r="AC64" s="1555">
        <v>1</v>
      </c>
      <c r="AD64" s="1556"/>
      <c r="AE64" s="1407"/>
      <c r="AF64" s="1406"/>
      <c r="AG64" s="1406"/>
      <c r="AH64" s="1406"/>
      <c r="AI64" s="1406"/>
      <c r="AJ64" s="1406"/>
      <c r="AK64" s="1557"/>
      <c r="AL64" s="1555"/>
      <c r="AM64" s="1558"/>
      <c r="AN64" s="1558"/>
      <c r="AO64" s="1559"/>
      <c r="AP64" s="1559"/>
      <c r="AQ64" s="1189"/>
      <c r="AR64" s="1558"/>
      <c r="AS64" s="1558"/>
      <c r="AT64" s="1558"/>
      <c r="AU64" s="1558"/>
      <c r="AV64" s="1558"/>
      <c r="AW64" s="1558"/>
      <c r="AX64" s="1558"/>
      <c r="AY64" s="1558"/>
      <c r="AZ64" s="1558"/>
      <c r="BA64" s="1558"/>
      <c r="BB64" s="1558"/>
      <c r="BD64" s="1560"/>
      <c r="BH64" s="2005"/>
      <c r="BI64" s="2005"/>
      <c r="BM64" s="2005"/>
      <c r="BN64" s="2005"/>
    </row>
    <row r="65" spans="1:66">
      <c r="A65" s="22"/>
      <c r="B65" s="166"/>
      <c r="C65" s="236"/>
      <c r="D65" s="202"/>
      <c r="E65" s="199"/>
      <c r="F65" s="229"/>
      <c r="G65" s="155"/>
      <c r="H65" s="229"/>
      <c r="I65" s="233"/>
      <c r="J65" s="170"/>
      <c r="K65" s="222"/>
      <c r="L65" s="227"/>
      <c r="M65" s="244"/>
      <c r="N65" s="199"/>
      <c r="O65" s="183"/>
      <c r="P65" s="155"/>
      <c r="Q65" s="173"/>
      <c r="R65" s="173"/>
      <c r="S65" s="173"/>
      <c r="T65" s="173"/>
      <c r="U65" s="173"/>
      <c r="V65" s="179"/>
      <c r="W65" s="297" t="s">
        <v>3008</v>
      </c>
      <c r="X65" s="424">
        <v>42580</v>
      </c>
      <c r="Y65" s="424">
        <v>42585</v>
      </c>
      <c r="Z65" s="295">
        <v>18931220</v>
      </c>
      <c r="AA65" s="1262"/>
      <c r="AB65" s="59"/>
      <c r="AC65" s="59"/>
      <c r="AD65" s="47"/>
      <c r="AE65" s="1382"/>
      <c r="AF65" s="38"/>
      <c r="AG65" s="38"/>
      <c r="AH65" s="38"/>
      <c r="AI65" s="38"/>
      <c r="AJ65" s="38"/>
      <c r="AK65" s="383"/>
      <c r="AL65" s="59"/>
      <c r="AM65" s="175"/>
      <c r="AN65" s="175"/>
      <c r="AO65" s="176"/>
      <c r="AP65" s="176"/>
      <c r="AQ65" s="177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D65" s="40"/>
    </row>
    <row r="66" spans="1:66" s="1779" customFormat="1" ht="47.25">
      <c r="A66" s="1806"/>
      <c r="B66" s="1807"/>
      <c r="C66" s="1808"/>
      <c r="D66" s="1845" t="s">
        <v>263</v>
      </c>
      <c r="E66" s="1810"/>
      <c r="F66" s="1843">
        <v>211738000</v>
      </c>
      <c r="G66" s="1812">
        <f t="shared" si="2"/>
        <v>211738000</v>
      </c>
      <c r="H66" s="1843"/>
      <c r="I66" s="1846"/>
      <c r="J66" s="1811" t="s">
        <v>259</v>
      </c>
      <c r="K66" s="1816" t="s">
        <v>257</v>
      </c>
      <c r="L66" s="1817" t="s">
        <v>260</v>
      </c>
      <c r="M66" s="1847" t="s">
        <v>258</v>
      </c>
      <c r="N66" s="1810"/>
      <c r="O66" s="1822">
        <v>208725000</v>
      </c>
      <c r="P66" s="1812">
        <f>N66+O66</f>
        <v>208725000</v>
      </c>
      <c r="Q66" s="1848"/>
      <c r="R66" s="1848"/>
      <c r="S66" s="1848"/>
      <c r="T66" s="1848"/>
      <c r="U66" s="1848"/>
      <c r="V66" s="1822">
        <v>208725000</v>
      </c>
      <c r="W66" s="1820" t="s">
        <v>3009</v>
      </c>
      <c r="X66" s="1836"/>
      <c r="Y66" s="1836">
        <v>42489</v>
      </c>
      <c r="Z66" s="1849">
        <v>208725000</v>
      </c>
      <c r="AA66" s="2640">
        <v>1</v>
      </c>
      <c r="AB66" s="1824">
        <f>G66-V66</f>
        <v>3013000</v>
      </c>
      <c r="AC66" s="1825">
        <v>1</v>
      </c>
      <c r="AD66" s="1850"/>
      <c r="AE66" s="1827"/>
      <c r="AF66" s="1828"/>
      <c r="AG66" s="1828"/>
      <c r="AH66" s="1828"/>
      <c r="AI66" s="1828"/>
      <c r="AJ66" s="1828"/>
      <c r="AK66" s="1830"/>
      <c r="AL66" s="1825"/>
      <c r="AM66" s="1831"/>
      <c r="AN66" s="1831"/>
      <c r="AO66" s="1832"/>
      <c r="AP66" s="1832"/>
      <c r="AQ66" s="1833"/>
      <c r="AR66" s="1831"/>
      <c r="AS66" s="1831"/>
      <c r="AT66" s="1831"/>
      <c r="AU66" s="1831"/>
      <c r="AV66" s="1831"/>
      <c r="AW66" s="1831"/>
      <c r="AX66" s="1831"/>
      <c r="AY66" s="1831"/>
      <c r="AZ66" s="1831"/>
      <c r="BA66" s="1831"/>
      <c r="BB66" s="1831"/>
      <c r="BD66" s="1834"/>
      <c r="BH66" s="2000"/>
      <c r="BI66" s="2000"/>
      <c r="BM66" s="2000"/>
      <c r="BN66" s="2000"/>
    </row>
    <row r="67" spans="1:66">
      <c r="A67" s="22"/>
      <c r="B67" s="166"/>
      <c r="C67" s="236"/>
      <c r="D67" s="202"/>
      <c r="E67" s="199"/>
      <c r="F67" s="229"/>
      <c r="G67" s="155"/>
      <c r="H67" s="229"/>
      <c r="I67" s="233"/>
      <c r="J67" s="170"/>
      <c r="K67" s="159"/>
      <c r="L67" s="227"/>
      <c r="M67" s="244"/>
      <c r="N67" s="199"/>
      <c r="O67" s="183"/>
      <c r="P67" s="155"/>
      <c r="Q67" s="173"/>
      <c r="R67" s="173"/>
      <c r="S67" s="173"/>
      <c r="T67" s="173"/>
      <c r="U67" s="173"/>
      <c r="V67" s="179"/>
      <c r="W67" s="297"/>
      <c r="X67" s="424"/>
      <c r="Y67" s="424"/>
      <c r="Z67" s="295"/>
      <c r="AA67" s="1262"/>
      <c r="AB67" s="59"/>
      <c r="AC67" s="59"/>
      <c r="AD67" s="47"/>
      <c r="AE67" s="1382"/>
      <c r="AF67" s="38"/>
      <c r="AG67" s="38"/>
      <c r="AH67" s="38"/>
      <c r="AI67" s="38"/>
      <c r="AJ67" s="38"/>
      <c r="AK67" s="383"/>
      <c r="AL67" s="59"/>
      <c r="AM67" s="175"/>
      <c r="AN67" s="175"/>
      <c r="AO67" s="176"/>
      <c r="AP67" s="176"/>
      <c r="AQ67" s="177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  <c r="BB67" s="175"/>
      <c r="BD67" s="40"/>
    </row>
    <row r="68" spans="1:66" ht="31.5">
      <c r="A68" s="22"/>
      <c r="B68" s="166"/>
      <c r="C68" s="236"/>
      <c r="D68" s="163" t="s">
        <v>262</v>
      </c>
      <c r="E68" s="229">
        <v>200337500</v>
      </c>
      <c r="F68" s="229"/>
      <c r="G68" s="155">
        <f t="shared" si="2"/>
        <v>200337500</v>
      </c>
      <c r="H68" s="229"/>
      <c r="I68" s="233"/>
      <c r="J68" s="158" t="s">
        <v>264</v>
      </c>
      <c r="K68" s="159" t="s">
        <v>261</v>
      </c>
      <c r="L68" s="206" t="s">
        <v>265</v>
      </c>
      <c r="M68" s="163" t="s">
        <v>262</v>
      </c>
      <c r="N68" s="229">
        <v>200337500</v>
      </c>
      <c r="O68" s="229"/>
      <c r="P68" s="155">
        <f>N68+O68</f>
        <v>200337500</v>
      </c>
      <c r="Q68" s="173"/>
      <c r="R68" s="173"/>
      <c r="S68" s="173"/>
      <c r="T68" s="173"/>
      <c r="U68" s="173"/>
      <c r="V68" s="179">
        <f>P68</f>
        <v>200337500</v>
      </c>
      <c r="W68" s="297" t="s">
        <v>970</v>
      </c>
      <c r="X68" s="424"/>
      <c r="Y68" s="424">
        <v>42460</v>
      </c>
      <c r="Z68" s="295">
        <f>V68</f>
        <v>200337500</v>
      </c>
      <c r="AA68" s="2640">
        <v>1</v>
      </c>
      <c r="AB68" s="59">
        <f>G68-V68</f>
        <v>0</v>
      </c>
      <c r="AC68" s="59"/>
      <c r="AD68" s="47"/>
      <c r="AE68" s="1382"/>
      <c r="AF68" s="38"/>
      <c r="AG68" s="38"/>
      <c r="AH68" s="38"/>
      <c r="AI68" s="38"/>
      <c r="AJ68" s="38"/>
      <c r="AK68" s="383"/>
      <c r="AL68" s="59"/>
      <c r="AM68" s="175"/>
      <c r="AN68" s="175"/>
      <c r="AO68" s="176"/>
      <c r="AP68" s="176"/>
      <c r="AQ68" s="177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D68" s="40"/>
    </row>
    <row r="69" spans="1:66">
      <c r="A69" s="22"/>
      <c r="B69" s="166"/>
      <c r="C69" s="236"/>
      <c r="D69" s="202"/>
      <c r="E69" s="229"/>
      <c r="F69" s="229"/>
      <c r="G69" s="155"/>
      <c r="H69" s="229"/>
      <c r="I69" s="233"/>
      <c r="J69" s="170"/>
      <c r="K69" s="159"/>
      <c r="L69" s="227"/>
      <c r="M69" s="244"/>
      <c r="N69" s="183"/>
      <c r="O69" s="158"/>
      <c r="P69" s="155"/>
      <c r="Q69" s="173"/>
      <c r="R69" s="173"/>
      <c r="S69" s="173"/>
      <c r="T69" s="173"/>
      <c r="U69" s="173"/>
      <c r="V69" s="179"/>
      <c r="W69" s="297"/>
      <c r="X69" s="424"/>
      <c r="Y69" s="424"/>
      <c r="Z69" s="295"/>
      <c r="AA69" s="1262"/>
      <c r="AB69" s="59"/>
      <c r="AC69" s="59"/>
      <c r="AD69" s="47"/>
      <c r="AE69" s="1382"/>
      <c r="AF69" s="38"/>
      <c r="AG69" s="38"/>
      <c r="AH69" s="38"/>
      <c r="AI69" s="38"/>
      <c r="AJ69" s="38"/>
      <c r="AK69" s="383"/>
      <c r="AL69" s="59"/>
      <c r="AM69" s="175"/>
      <c r="AN69" s="175"/>
      <c r="AO69" s="176"/>
      <c r="AP69" s="176"/>
      <c r="AQ69" s="177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D69" s="40"/>
    </row>
    <row r="70" spans="1:66" ht="31.5">
      <c r="A70" s="22"/>
      <c r="B70" s="166"/>
      <c r="C70" s="214"/>
      <c r="D70" s="163" t="s">
        <v>267</v>
      </c>
      <c r="E70" s="229">
        <v>12375000</v>
      </c>
      <c r="F70" s="229"/>
      <c r="G70" s="155">
        <f t="shared" si="2"/>
        <v>12375000</v>
      </c>
      <c r="H70" s="229"/>
      <c r="I70" s="233"/>
      <c r="J70" s="158" t="s">
        <v>268</v>
      </c>
      <c r="K70" s="159" t="s">
        <v>266</v>
      </c>
      <c r="L70" s="206" t="s">
        <v>265</v>
      </c>
      <c r="M70" s="163" t="s">
        <v>267</v>
      </c>
      <c r="N70" s="229">
        <v>12375000</v>
      </c>
      <c r="O70" s="229"/>
      <c r="P70" s="155">
        <f>N70+O70</f>
        <v>12375000</v>
      </c>
      <c r="Q70" s="173"/>
      <c r="R70" s="173"/>
      <c r="S70" s="173"/>
      <c r="T70" s="173"/>
      <c r="U70" s="173"/>
      <c r="V70" s="179">
        <f>P70</f>
        <v>12375000</v>
      </c>
      <c r="W70" s="297" t="s">
        <v>3013</v>
      </c>
      <c r="X70" s="424"/>
      <c r="Y70" s="424">
        <v>42460</v>
      </c>
      <c r="Z70" s="295">
        <f>V70</f>
        <v>12375000</v>
      </c>
      <c r="AA70" s="2640">
        <v>1</v>
      </c>
      <c r="AB70" s="59">
        <f>G70-V70</f>
        <v>0</v>
      </c>
      <c r="AC70" s="59"/>
      <c r="AD70" s="47"/>
      <c r="AE70" s="1382"/>
      <c r="AF70" s="38"/>
      <c r="AG70" s="38"/>
      <c r="AH70" s="38"/>
      <c r="AI70" s="38"/>
      <c r="AJ70" s="38"/>
      <c r="AK70" s="383"/>
      <c r="AL70" s="59"/>
      <c r="AM70" s="175"/>
      <c r="AN70" s="175"/>
      <c r="AO70" s="176"/>
      <c r="AP70" s="176"/>
      <c r="AQ70" s="177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D70" s="40"/>
    </row>
    <row r="71" spans="1:66">
      <c r="A71" s="22"/>
      <c r="B71" s="166"/>
      <c r="C71" s="236"/>
      <c r="D71" s="202"/>
      <c r="E71" s="199"/>
      <c r="F71" s="229"/>
      <c r="G71" s="155"/>
      <c r="H71" s="229"/>
      <c r="I71" s="233"/>
      <c r="J71" s="170"/>
      <c r="K71" s="159"/>
      <c r="L71" s="227"/>
      <c r="M71" s="244"/>
      <c r="N71" s="199"/>
      <c r="O71" s="183"/>
      <c r="P71" s="155"/>
      <c r="Q71" s="173"/>
      <c r="R71" s="173"/>
      <c r="S71" s="173"/>
      <c r="T71" s="173"/>
      <c r="U71" s="173"/>
      <c r="V71" s="179"/>
      <c r="W71" s="297"/>
      <c r="X71" s="424"/>
      <c r="Y71" s="424"/>
      <c r="Z71" s="295"/>
      <c r="AA71" s="1262"/>
      <c r="AB71" s="59"/>
      <c r="AC71" s="59"/>
      <c r="AD71" s="47"/>
      <c r="AE71" s="1382"/>
      <c r="AF71" s="38"/>
      <c r="AG71" s="38"/>
      <c r="AH71" s="38"/>
      <c r="AI71" s="38"/>
      <c r="AJ71" s="38"/>
      <c r="AK71" s="383"/>
      <c r="AL71" s="59"/>
      <c r="AM71" s="175"/>
      <c r="AN71" s="175"/>
      <c r="AO71" s="176"/>
      <c r="AP71" s="176"/>
      <c r="AQ71" s="177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D71" s="40"/>
    </row>
    <row r="72" spans="1:66" s="1780" customFormat="1" ht="31.5">
      <c r="A72" s="1885"/>
      <c r="B72" s="1886"/>
      <c r="C72" s="1939"/>
      <c r="D72" s="1940" t="s">
        <v>270</v>
      </c>
      <c r="E72" s="1913"/>
      <c r="F72" s="1941">
        <v>106266360</v>
      </c>
      <c r="G72" s="1890">
        <f t="shared" si="2"/>
        <v>106266360</v>
      </c>
      <c r="H72" s="1941"/>
      <c r="I72" s="1942"/>
      <c r="J72" s="1914"/>
      <c r="K72" s="1929" t="s">
        <v>269</v>
      </c>
      <c r="L72" s="1943" t="s">
        <v>271</v>
      </c>
      <c r="M72" s="1940" t="s">
        <v>270</v>
      </c>
      <c r="N72" s="1913"/>
      <c r="O72" s="1941">
        <v>106266360</v>
      </c>
      <c r="P72" s="1890">
        <f t="shared" ref="P72:P79" si="8">N72+O72</f>
        <v>106266360</v>
      </c>
      <c r="Q72" s="1918"/>
      <c r="R72" s="1918"/>
      <c r="S72" s="1918"/>
      <c r="T72" s="1918"/>
      <c r="U72" s="1918"/>
      <c r="V72" s="1897">
        <v>85540326</v>
      </c>
      <c r="W72" s="1919" t="s">
        <v>1778</v>
      </c>
      <c r="X72" s="1920">
        <v>42524</v>
      </c>
      <c r="Y72" s="1920">
        <v>42528</v>
      </c>
      <c r="Z72" s="1917">
        <v>4277016</v>
      </c>
      <c r="AA72" s="1924">
        <v>0.05</v>
      </c>
      <c r="AB72" s="1901">
        <f>G72-V72</f>
        <v>20726034</v>
      </c>
      <c r="AC72" s="1934">
        <v>1</v>
      </c>
      <c r="AD72" s="1930"/>
      <c r="AE72" s="1903"/>
      <c r="AF72" s="1904"/>
      <c r="AG72" s="1904"/>
      <c r="AH72" s="1904"/>
      <c r="AI72" s="1904"/>
      <c r="AJ72" s="1904"/>
      <c r="AK72" s="1906"/>
      <c r="AL72" s="1934"/>
      <c r="AM72" s="1907"/>
      <c r="AN72" s="1907"/>
      <c r="AO72" s="1908"/>
      <c r="AP72" s="1908"/>
      <c r="AQ72" s="1909"/>
      <c r="AR72" s="1907"/>
      <c r="AS72" s="1907"/>
      <c r="AT72" s="1907"/>
      <c r="AU72" s="1907"/>
      <c r="AV72" s="1907"/>
      <c r="AW72" s="1907"/>
      <c r="AX72" s="1907"/>
      <c r="AY72" s="1907"/>
      <c r="AZ72" s="1907"/>
      <c r="BA72" s="1907"/>
      <c r="BB72" s="1907"/>
      <c r="BD72" s="1910"/>
      <c r="BH72" s="2004"/>
      <c r="BI72" s="2004"/>
      <c r="BM72" s="2004"/>
      <c r="BN72" s="2004"/>
    </row>
    <row r="73" spans="1:66">
      <c r="A73" s="22"/>
      <c r="B73" s="166"/>
      <c r="C73" s="236"/>
      <c r="D73" s="180"/>
      <c r="E73" s="199"/>
      <c r="F73" s="209"/>
      <c r="G73" s="155"/>
      <c r="H73" s="229"/>
      <c r="I73" s="233"/>
      <c r="J73" s="170"/>
      <c r="K73" s="159"/>
      <c r="L73" s="226"/>
      <c r="M73" s="1101"/>
      <c r="N73" s="199"/>
      <c r="O73" s="186"/>
      <c r="P73" s="155"/>
      <c r="Q73" s="173"/>
      <c r="R73" s="173"/>
      <c r="S73" s="173"/>
      <c r="T73" s="173"/>
      <c r="U73" s="173"/>
      <c r="V73" s="179"/>
      <c r="W73" s="297" t="s">
        <v>1779</v>
      </c>
      <c r="X73" s="424">
        <v>42524</v>
      </c>
      <c r="Y73" s="424">
        <v>42530</v>
      </c>
      <c r="Z73" s="295">
        <v>81263310</v>
      </c>
      <c r="AA73" s="1263">
        <v>0.95</v>
      </c>
      <c r="AB73" s="59">
        <f>G73-V73</f>
        <v>0</v>
      </c>
      <c r="AC73" s="390"/>
      <c r="AD73" s="47"/>
      <c r="AE73" s="1382"/>
      <c r="AF73" s="38"/>
      <c r="AG73" s="38"/>
      <c r="AH73" s="38"/>
      <c r="AI73" s="38"/>
      <c r="AJ73" s="38"/>
      <c r="AK73" s="383"/>
      <c r="AL73" s="390"/>
      <c r="AM73" s="175"/>
      <c r="AN73" s="175"/>
      <c r="AO73" s="176"/>
      <c r="AP73" s="176"/>
      <c r="AQ73" s="177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D73" s="40"/>
    </row>
    <row r="74" spans="1:66">
      <c r="A74" s="22"/>
      <c r="B74" s="166"/>
      <c r="C74" s="236"/>
      <c r="D74" s="202"/>
      <c r="E74" s="199"/>
      <c r="F74" s="229"/>
      <c r="G74" s="155"/>
      <c r="H74" s="229"/>
      <c r="I74" s="233"/>
      <c r="J74" s="170"/>
      <c r="K74" s="159"/>
      <c r="L74" s="227"/>
      <c r="M74" s="244"/>
      <c r="N74" s="199"/>
      <c r="O74" s="183"/>
      <c r="P74" s="155"/>
      <c r="Q74" s="173"/>
      <c r="R74" s="173"/>
      <c r="S74" s="173"/>
      <c r="T74" s="173"/>
      <c r="U74" s="173"/>
      <c r="V74" s="179"/>
      <c r="W74" s="297"/>
      <c r="X74" s="424"/>
      <c r="Y74" s="424"/>
      <c r="Z74" s="295"/>
      <c r="AA74" s="1262"/>
      <c r="AB74" s="59"/>
      <c r="AC74" s="59"/>
      <c r="AD74" s="47"/>
      <c r="AE74" s="1382"/>
      <c r="AF74" s="38"/>
      <c r="AG74" s="38"/>
      <c r="AH74" s="38"/>
      <c r="AI74" s="38"/>
      <c r="AJ74" s="38"/>
      <c r="AK74" s="383"/>
      <c r="AL74" s="59"/>
      <c r="AM74" s="175"/>
      <c r="AN74" s="175"/>
      <c r="AO74" s="176"/>
      <c r="AP74" s="176"/>
      <c r="AQ74" s="177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5"/>
      <c r="BD74" s="40"/>
    </row>
    <row r="75" spans="1:66" s="1780" customFormat="1" ht="31.5">
      <c r="A75" s="1885"/>
      <c r="B75" s="1886"/>
      <c r="C75" s="1929"/>
      <c r="D75" s="1912" t="s">
        <v>277</v>
      </c>
      <c r="E75" s="1913"/>
      <c r="F75" s="1941">
        <v>245018422</v>
      </c>
      <c r="G75" s="1890">
        <f t="shared" si="2"/>
        <v>245018422</v>
      </c>
      <c r="H75" s="1941"/>
      <c r="I75" s="1942"/>
      <c r="J75" s="1914"/>
      <c r="K75" s="1929" t="s">
        <v>272</v>
      </c>
      <c r="L75" s="1929" t="s">
        <v>278</v>
      </c>
      <c r="M75" s="1912" t="s">
        <v>277</v>
      </c>
      <c r="N75" s="1913"/>
      <c r="O75" s="1941">
        <v>244204422</v>
      </c>
      <c r="P75" s="1890">
        <f t="shared" si="8"/>
        <v>244204422</v>
      </c>
      <c r="Q75" s="1918"/>
      <c r="R75" s="1918"/>
      <c r="S75" s="1918"/>
      <c r="T75" s="1918"/>
      <c r="U75" s="1918"/>
      <c r="V75" s="1897">
        <f>P75</f>
        <v>244204422</v>
      </c>
      <c r="W75" s="1919" t="s">
        <v>3014</v>
      </c>
      <c r="X75" s="1920">
        <v>42522</v>
      </c>
      <c r="Y75" s="1920">
        <v>42528</v>
      </c>
      <c r="Z75" s="1917">
        <f>V75</f>
        <v>244204422</v>
      </c>
      <c r="AA75" s="2640">
        <v>1</v>
      </c>
      <c r="AB75" s="1901">
        <f>G75-V75</f>
        <v>814000</v>
      </c>
      <c r="AC75" s="1934">
        <v>1</v>
      </c>
      <c r="AD75" s="1902"/>
      <c r="AE75" s="1903"/>
      <c r="AF75" s="1904"/>
      <c r="AG75" s="1904"/>
      <c r="AH75" s="1904"/>
      <c r="AI75" s="1904"/>
      <c r="AJ75" s="1904"/>
      <c r="AK75" s="1906"/>
      <c r="AL75" s="1934"/>
      <c r="AM75" s="1907"/>
      <c r="AN75" s="1907"/>
      <c r="AO75" s="1908"/>
      <c r="AP75" s="1908"/>
      <c r="AQ75" s="1909"/>
      <c r="AR75" s="1907"/>
      <c r="AS75" s="1907"/>
      <c r="AT75" s="1907"/>
      <c r="AU75" s="1907"/>
      <c r="AV75" s="1907"/>
      <c r="AW75" s="1907"/>
      <c r="AX75" s="1907"/>
      <c r="AY75" s="1907"/>
      <c r="AZ75" s="1907"/>
      <c r="BA75" s="1907"/>
      <c r="BB75" s="1907"/>
      <c r="BD75" s="1910"/>
      <c r="BH75" s="2004"/>
      <c r="BI75" s="2004"/>
      <c r="BM75" s="2004"/>
      <c r="BN75" s="2004"/>
    </row>
    <row r="76" spans="1:66">
      <c r="A76" s="22"/>
      <c r="B76" s="166"/>
      <c r="C76" s="159"/>
      <c r="D76" s="163"/>
      <c r="E76" s="199"/>
      <c r="F76" s="229"/>
      <c r="G76" s="155"/>
      <c r="H76" s="229"/>
      <c r="I76" s="233"/>
      <c r="J76" s="170"/>
      <c r="K76" s="159"/>
      <c r="L76" s="227"/>
      <c r="M76" s="163"/>
      <c r="N76" s="199"/>
      <c r="O76" s="229"/>
      <c r="P76" s="155"/>
      <c r="Q76" s="173"/>
      <c r="R76" s="173"/>
      <c r="S76" s="173"/>
      <c r="T76" s="173"/>
      <c r="U76" s="173"/>
      <c r="V76" s="179"/>
      <c r="W76" s="297"/>
      <c r="X76" s="424"/>
      <c r="Y76" s="424"/>
      <c r="Z76" s="295"/>
      <c r="AA76" s="1262"/>
      <c r="AB76" s="59"/>
      <c r="AC76" s="59"/>
      <c r="AD76" s="47"/>
      <c r="AE76" s="1382"/>
      <c r="AF76" s="38"/>
      <c r="AG76" s="38"/>
      <c r="AH76" s="38"/>
      <c r="AI76" s="38"/>
      <c r="AJ76" s="38"/>
      <c r="AK76" s="383"/>
      <c r="AL76" s="59"/>
      <c r="AM76" s="175"/>
      <c r="AN76" s="175"/>
      <c r="AO76" s="176"/>
      <c r="AP76" s="176"/>
      <c r="AQ76" s="177"/>
      <c r="AR76" s="175"/>
      <c r="AS76" s="175"/>
      <c r="AT76" s="175"/>
      <c r="AU76" s="175"/>
      <c r="AV76" s="175"/>
      <c r="AW76" s="175"/>
      <c r="AX76" s="175"/>
      <c r="AY76" s="175"/>
      <c r="AZ76" s="175"/>
      <c r="BA76" s="175"/>
      <c r="BB76" s="175"/>
      <c r="BD76" s="40"/>
    </row>
    <row r="77" spans="1:66" s="1780" customFormat="1" ht="31.5">
      <c r="A77" s="1885"/>
      <c r="B77" s="1886"/>
      <c r="C77" s="1929"/>
      <c r="D77" s="1912" t="s">
        <v>276</v>
      </c>
      <c r="E77" s="1913"/>
      <c r="F77" s="1941">
        <v>245018422</v>
      </c>
      <c r="G77" s="1890">
        <f t="shared" si="2"/>
        <v>245018422</v>
      </c>
      <c r="H77" s="1941"/>
      <c r="I77" s="1942"/>
      <c r="J77" s="1914"/>
      <c r="K77" s="1929" t="s">
        <v>273</v>
      </c>
      <c r="L77" s="1929" t="s">
        <v>278</v>
      </c>
      <c r="M77" s="1912" t="s">
        <v>276</v>
      </c>
      <c r="N77" s="1913"/>
      <c r="O77" s="1941">
        <v>244204422</v>
      </c>
      <c r="P77" s="1890">
        <f t="shared" si="8"/>
        <v>244204422</v>
      </c>
      <c r="Q77" s="1918"/>
      <c r="R77" s="1918"/>
      <c r="S77" s="1918"/>
      <c r="T77" s="1918"/>
      <c r="U77" s="1918"/>
      <c r="V77" s="1897">
        <f>P77</f>
        <v>244204422</v>
      </c>
      <c r="W77" s="1919" t="s">
        <v>3014</v>
      </c>
      <c r="X77" s="1920">
        <v>42522</v>
      </c>
      <c r="Y77" s="1920">
        <v>42528</v>
      </c>
      <c r="Z77" s="1917">
        <f>V77</f>
        <v>244204422</v>
      </c>
      <c r="AA77" s="2640">
        <v>1</v>
      </c>
      <c r="AB77" s="1901">
        <f>G77-V77</f>
        <v>814000</v>
      </c>
      <c r="AC77" s="1934">
        <v>1</v>
      </c>
      <c r="AD77" s="1902"/>
      <c r="AE77" s="1903"/>
      <c r="AF77" s="1904"/>
      <c r="AG77" s="1904"/>
      <c r="AH77" s="1904"/>
      <c r="AI77" s="1904"/>
      <c r="AJ77" s="1904"/>
      <c r="AK77" s="1906"/>
      <c r="AL77" s="1934"/>
      <c r="AM77" s="1907"/>
      <c r="AN77" s="1907"/>
      <c r="AO77" s="1908"/>
      <c r="AP77" s="1908"/>
      <c r="AQ77" s="1909"/>
      <c r="AR77" s="1907"/>
      <c r="AS77" s="1907"/>
      <c r="AT77" s="1907"/>
      <c r="AU77" s="1907"/>
      <c r="AV77" s="1907"/>
      <c r="AW77" s="1907"/>
      <c r="AX77" s="1907"/>
      <c r="AY77" s="1907"/>
      <c r="AZ77" s="1907"/>
      <c r="BA77" s="1907"/>
      <c r="BB77" s="1907"/>
      <c r="BD77" s="1910"/>
      <c r="BH77" s="2004"/>
      <c r="BI77" s="2004"/>
      <c r="BM77" s="2004"/>
      <c r="BN77" s="2004"/>
    </row>
    <row r="78" spans="1:66">
      <c r="A78" s="22"/>
      <c r="B78" s="166"/>
      <c r="C78" s="206"/>
      <c r="D78" s="163"/>
      <c r="E78" s="199"/>
      <c r="F78" s="229"/>
      <c r="G78" s="155"/>
      <c r="H78" s="229"/>
      <c r="I78" s="233"/>
      <c r="J78" s="170"/>
      <c r="K78" s="206"/>
      <c r="L78" s="227"/>
      <c r="M78" s="163"/>
      <c r="N78" s="199"/>
      <c r="O78" s="229"/>
      <c r="P78" s="155"/>
      <c r="Q78" s="173"/>
      <c r="R78" s="173"/>
      <c r="S78" s="173"/>
      <c r="T78" s="173"/>
      <c r="U78" s="173"/>
      <c r="V78" s="179"/>
      <c r="W78" s="297"/>
      <c r="X78" s="424"/>
      <c r="Y78" s="424"/>
      <c r="Z78" s="295"/>
      <c r="AA78" s="1262"/>
      <c r="AB78" s="59"/>
      <c r="AC78" s="59"/>
      <c r="AD78" s="47"/>
      <c r="AE78" s="1382"/>
      <c r="AF78" s="38"/>
      <c r="AG78" s="38"/>
      <c r="AH78" s="38"/>
      <c r="AI78" s="38"/>
      <c r="AJ78" s="38"/>
      <c r="AK78" s="383"/>
      <c r="AL78" s="59"/>
      <c r="AM78" s="175"/>
      <c r="AN78" s="175"/>
      <c r="AO78" s="176"/>
      <c r="AP78" s="176"/>
      <c r="AQ78" s="177"/>
      <c r="AR78" s="175"/>
      <c r="AS78" s="175"/>
      <c r="AT78" s="175"/>
      <c r="AU78" s="175"/>
      <c r="AV78" s="175"/>
      <c r="AW78" s="175"/>
      <c r="AX78" s="175"/>
      <c r="AY78" s="175"/>
      <c r="AZ78" s="175"/>
      <c r="BA78" s="175"/>
      <c r="BB78" s="175"/>
      <c r="BD78" s="40"/>
    </row>
    <row r="79" spans="1:66" s="1780" customFormat="1" ht="31.5">
      <c r="A79" s="1885"/>
      <c r="B79" s="1886"/>
      <c r="C79" s="1916"/>
      <c r="D79" s="1912" t="s">
        <v>275</v>
      </c>
      <c r="E79" s="1913"/>
      <c r="F79" s="1941">
        <v>245018422</v>
      </c>
      <c r="G79" s="1890">
        <f t="shared" si="2"/>
        <v>245018422</v>
      </c>
      <c r="H79" s="1941"/>
      <c r="I79" s="1942"/>
      <c r="J79" s="1914"/>
      <c r="K79" s="1916" t="s">
        <v>274</v>
      </c>
      <c r="L79" s="1929" t="s">
        <v>278</v>
      </c>
      <c r="M79" s="1912" t="s">
        <v>275</v>
      </c>
      <c r="N79" s="1913"/>
      <c r="O79" s="1941">
        <v>244204422</v>
      </c>
      <c r="P79" s="1890">
        <f t="shared" si="8"/>
        <v>244204422</v>
      </c>
      <c r="Q79" s="1918"/>
      <c r="R79" s="1918"/>
      <c r="S79" s="1918"/>
      <c r="T79" s="1918"/>
      <c r="U79" s="1918"/>
      <c r="V79" s="1897">
        <f>P79</f>
        <v>244204422</v>
      </c>
      <c r="W79" s="1919" t="s">
        <v>3014</v>
      </c>
      <c r="X79" s="1920">
        <v>42522</v>
      </c>
      <c r="Y79" s="1920">
        <v>42528</v>
      </c>
      <c r="Z79" s="1917">
        <f>V79</f>
        <v>244204422</v>
      </c>
      <c r="AA79" s="2640">
        <v>1</v>
      </c>
      <c r="AB79" s="1901">
        <f>G79-V79</f>
        <v>814000</v>
      </c>
      <c r="AC79" s="1934">
        <v>1</v>
      </c>
      <c r="AD79" s="1902"/>
      <c r="AE79" s="1903"/>
      <c r="AF79" s="1904"/>
      <c r="AG79" s="1904"/>
      <c r="AH79" s="1904"/>
      <c r="AI79" s="1904"/>
      <c r="AJ79" s="1904"/>
      <c r="AK79" s="1906"/>
      <c r="AL79" s="1934"/>
      <c r="AM79" s="1907"/>
      <c r="AN79" s="1907"/>
      <c r="AO79" s="1908"/>
      <c r="AP79" s="1908"/>
      <c r="AQ79" s="1909"/>
      <c r="AR79" s="1907"/>
      <c r="AS79" s="1907"/>
      <c r="AT79" s="1907"/>
      <c r="AU79" s="1907"/>
      <c r="AV79" s="1907"/>
      <c r="AW79" s="1907"/>
      <c r="AX79" s="1907"/>
      <c r="AY79" s="1907"/>
      <c r="AZ79" s="1907"/>
      <c r="BA79" s="1907"/>
      <c r="BB79" s="1907"/>
      <c r="BD79" s="1910"/>
      <c r="BH79" s="2004"/>
      <c r="BI79" s="2004"/>
      <c r="BM79" s="2004"/>
      <c r="BN79" s="2004"/>
    </row>
    <row r="80" spans="1:66" s="63" customFormat="1" ht="15.75" customHeight="1" thickBot="1">
      <c r="A80" s="121"/>
      <c r="B80" s="122"/>
      <c r="C80" s="239"/>
      <c r="D80" s="124"/>
      <c r="E80" s="125"/>
      <c r="F80" s="125"/>
      <c r="G80" s="155"/>
      <c r="H80" s="155"/>
      <c r="I80" s="235"/>
      <c r="J80" s="231"/>
      <c r="K80" s="133"/>
      <c r="L80" s="133"/>
      <c r="M80" s="245"/>
      <c r="N80" s="247"/>
      <c r="O80" s="246"/>
      <c r="P80" s="46">
        <f>N80+O80</f>
        <v>0</v>
      </c>
      <c r="Q80" s="117"/>
      <c r="R80" s="117"/>
      <c r="S80" s="117"/>
      <c r="T80" s="117"/>
      <c r="U80" s="117"/>
      <c r="V80" s="59">
        <f>+P80</f>
        <v>0</v>
      </c>
      <c r="W80" s="145"/>
      <c r="X80" s="146"/>
      <c r="Y80" s="146"/>
      <c r="Z80" s="57">
        <f>V80</f>
        <v>0</v>
      </c>
      <c r="AA80" s="119"/>
      <c r="AB80" s="46"/>
      <c r="AC80" s="46"/>
      <c r="AD80" s="46"/>
      <c r="AE80" s="1382"/>
      <c r="AF80" s="38"/>
      <c r="AG80" s="38"/>
      <c r="AH80" s="38"/>
      <c r="AI80" s="38"/>
      <c r="AJ80" s="38"/>
      <c r="AK80" s="383"/>
      <c r="AL80" s="46"/>
      <c r="AM80" s="384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2"/>
      <c r="BH80" s="2002"/>
      <c r="BI80" s="2002"/>
      <c r="BM80" s="2002"/>
      <c r="BN80" s="2002"/>
    </row>
    <row r="81" spans="1:66" s="55" customFormat="1" ht="15.75" customHeight="1" thickBot="1">
      <c r="A81" s="2703" t="s">
        <v>163</v>
      </c>
      <c r="B81" s="2704"/>
      <c r="C81" s="2704"/>
      <c r="D81" s="2705"/>
      <c r="E81" s="65">
        <f>SUM(E17:E80)</f>
        <v>458141750</v>
      </c>
      <c r="F81" s="65">
        <f>SUM(F17:F80)</f>
        <v>5894161613</v>
      </c>
      <c r="G81" s="65">
        <f>SUM(G17:G80)</f>
        <v>6352303363</v>
      </c>
      <c r="H81" s="65"/>
      <c r="I81" s="65"/>
      <c r="J81" s="65"/>
      <c r="K81" s="66"/>
      <c r="L81" s="66"/>
      <c r="M81" s="156"/>
      <c r="N81" s="65">
        <f t="shared" ref="N81:V81" si="9">SUM(N17:N80)</f>
        <v>458141750</v>
      </c>
      <c r="O81" s="65">
        <f t="shared" si="9"/>
        <v>5626635367</v>
      </c>
      <c r="P81" s="65">
        <f t="shared" si="9"/>
        <v>6084777117</v>
      </c>
      <c r="Q81" s="65">
        <f t="shared" si="9"/>
        <v>0</v>
      </c>
      <c r="R81" s="65">
        <f t="shared" si="9"/>
        <v>0</v>
      </c>
      <c r="S81" s="65">
        <f t="shared" si="9"/>
        <v>0</v>
      </c>
      <c r="T81" s="65">
        <f t="shared" si="9"/>
        <v>0</v>
      </c>
      <c r="U81" s="65">
        <f t="shared" si="9"/>
        <v>0</v>
      </c>
      <c r="V81" s="65">
        <f t="shared" si="9"/>
        <v>6064051083</v>
      </c>
      <c r="W81" s="1257"/>
      <c r="X81" s="1258"/>
      <c r="Y81" s="1258"/>
      <c r="Z81" s="65">
        <f>SUM(Z17:Z80)</f>
        <v>5644300806</v>
      </c>
      <c r="AA81" s="65"/>
      <c r="AB81" s="65">
        <f>SUM(AB17:AB80)</f>
        <v>288252280</v>
      </c>
      <c r="AC81" s="65"/>
      <c r="AD81" s="76"/>
      <c r="AE81" s="1382"/>
      <c r="AF81" s="38"/>
      <c r="AG81" s="38"/>
      <c r="AH81" s="38"/>
      <c r="AI81" s="38"/>
      <c r="AJ81" s="38"/>
      <c r="AK81" s="383"/>
      <c r="AL81" s="65"/>
      <c r="AM81" s="385"/>
      <c r="AN81" s="100"/>
      <c r="AO81" s="100"/>
      <c r="AP81" s="74"/>
      <c r="AQ81" s="74"/>
      <c r="AR81" s="74"/>
      <c r="AS81" s="74"/>
      <c r="AT81" s="64"/>
      <c r="AU81" s="101" t="e">
        <f>SUM(#REF!)</f>
        <v>#REF!</v>
      </c>
      <c r="AV81" s="101">
        <f t="shared" ref="AV81:BB81" si="10">SUM(AV80:AV80)</f>
        <v>0</v>
      </c>
      <c r="AW81" s="101">
        <f t="shared" si="10"/>
        <v>0</v>
      </c>
      <c r="AX81" s="101">
        <f t="shared" si="10"/>
        <v>0</v>
      </c>
      <c r="AY81" s="101">
        <f t="shared" si="10"/>
        <v>0</v>
      </c>
      <c r="AZ81" s="101">
        <f t="shared" si="10"/>
        <v>0</v>
      </c>
      <c r="BA81" s="101">
        <f t="shared" si="10"/>
        <v>0</v>
      </c>
      <c r="BB81" s="102">
        <f t="shared" si="10"/>
        <v>0</v>
      </c>
      <c r="BD81" s="56"/>
      <c r="BH81" s="2003"/>
      <c r="BI81" s="2003"/>
      <c r="BM81" s="2003"/>
      <c r="BN81" s="2003"/>
    </row>
    <row r="82" spans="1:66" ht="15.75" customHeight="1">
      <c r="A82" s="95"/>
      <c r="B82" s="95"/>
      <c r="C82" s="95"/>
      <c r="D82" s="95"/>
      <c r="E82" s="95"/>
      <c r="F82" s="95"/>
      <c r="G82" s="95"/>
      <c r="H82" s="95"/>
      <c r="I82" s="95"/>
      <c r="J82" s="93"/>
      <c r="K82" s="5"/>
      <c r="L82" s="5"/>
      <c r="M82" s="5"/>
      <c r="N82" s="96"/>
      <c r="O82" s="96"/>
      <c r="P82" s="97"/>
      <c r="Q82" s="9"/>
      <c r="R82" s="9"/>
      <c r="S82" s="9"/>
      <c r="T82" s="9"/>
      <c r="U82" s="9"/>
      <c r="V82" s="136"/>
      <c r="W82" s="1242"/>
      <c r="X82" s="1242"/>
      <c r="Y82" s="1242"/>
      <c r="Z82" s="1256"/>
      <c r="AA82" s="1256"/>
      <c r="AB82" s="391"/>
      <c r="AC82" s="391"/>
      <c r="AD82" s="391"/>
      <c r="AE82" s="1382"/>
      <c r="AF82" s="38"/>
      <c r="AG82" s="38"/>
      <c r="AH82" s="38"/>
      <c r="AI82" s="38"/>
      <c r="AJ82" s="38"/>
      <c r="AK82" s="383"/>
      <c r="AL82" s="391"/>
      <c r="AM82" s="382"/>
      <c r="AN82" s="98"/>
      <c r="AO82" s="98"/>
      <c r="AP82" s="98"/>
      <c r="AQ82" s="98"/>
      <c r="AR82" s="98"/>
      <c r="AS82" s="98"/>
      <c r="AT82" s="99"/>
      <c r="AU82" s="78"/>
      <c r="AV82" s="78"/>
      <c r="AW82" s="78"/>
      <c r="AX82" s="78"/>
      <c r="AY82" s="78"/>
      <c r="AZ82" s="78"/>
      <c r="BA82" s="78"/>
      <c r="BB82" s="78"/>
    </row>
    <row r="83" spans="1:66" s="1780" customFormat="1" ht="47.25">
      <c r="A83" s="1945">
        <v>3</v>
      </c>
      <c r="B83" s="1946" t="s">
        <v>522</v>
      </c>
      <c r="C83" s="1947" t="s">
        <v>523</v>
      </c>
      <c r="D83" s="1948" t="s">
        <v>526</v>
      </c>
      <c r="E83" s="1949"/>
      <c r="F83" s="1949">
        <v>296450000</v>
      </c>
      <c r="G83" s="1949">
        <f>E83+F83</f>
        <v>296450000</v>
      </c>
      <c r="H83" s="1950" t="s">
        <v>698</v>
      </c>
      <c r="I83" s="1951">
        <v>42459</v>
      </c>
      <c r="J83" s="1952" t="s">
        <v>611</v>
      </c>
      <c r="K83" s="1953" t="s">
        <v>2931</v>
      </c>
      <c r="L83" s="1954" t="s">
        <v>1777</v>
      </c>
      <c r="M83" s="1955" t="s">
        <v>2220</v>
      </c>
      <c r="N83" s="1956"/>
      <c r="O83" s="1957">
        <v>22880000</v>
      </c>
      <c r="P83" s="1958">
        <f>N83+O83</f>
        <v>22880000</v>
      </c>
      <c r="Q83" s="1959"/>
      <c r="R83" s="1959"/>
      <c r="S83" s="1959"/>
      <c r="T83" s="1959"/>
      <c r="U83" s="1959"/>
      <c r="V83" s="1960">
        <f>P83</f>
        <v>22880000</v>
      </c>
      <c r="W83" s="1919" t="s">
        <v>3015</v>
      </c>
      <c r="X83" s="1961">
        <v>42608</v>
      </c>
      <c r="Y83" s="1962">
        <v>42612</v>
      </c>
      <c r="Z83" s="1960">
        <f>V83</f>
        <v>22880000</v>
      </c>
      <c r="AA83" s="2640">
        <v>1</v>
      </c>
      <c r="AB83" s="1901">
        <f t="shared" ref="AB83:AB106" si="11">+G83-P83</f>
        <v>273570000</v>
      </c>
      <c r="AC83" s="1901"/>
      <c r="AD83" s="1904"/>
      <c r="AE83" s="1903">
        <v>1</v>
      </c>
      <c r="AF83" s="1904"/>
      <c r="AG83" s="1904"/>
      <c r="AH83" s="1904"/>
      <c r="AI83" s="1904"/>
      <c r="AJ83" s="1904"/>
      <c r="AK83" s="1906"/>
      <c r="AL83" s="1901"/>
      <c r="AM83" s="1906"/>
      <c r="AN83" s="1963"/>
      <c r="AO83" s="1963"/>
      <c r="AP83" s="1963"/>
      <c r="AQ83" s="1963"/>
      <c r="AR83" s="1963"/>
      <c r="AS83" s="1963"/>
      <c r="AT83" s="1964"/>
      <c r="AU83" s="1963"/>
      <c r="AV83" s="1963"/>
      <c r="AW83" s="1963"/>
      <c r="AX83" s="1963"/>
      <c r="AY83" s="1963"/>
      <c r="AZ83" s="1963"/>
      <c r="BA83" s="1963"/>
      <c r="BB83" s="1963"/>
      <c r="BH83" s="2004"/>
      <c r="BI83" s="2004"/>
      <c r="BM83" s="2004"/>
      <c r="BN83" s="2004"/>
    </row>
    <row r="84" spans="1:66" s="1780" customFormat="1" ht="47.25">
      <c r="A84" s="1945"/>
      <c r="B84" s="1946" t="s">
        <v>1561</v>
      </c>
      <c r="C84" s="1947"/>
      <c r="D84" s="1948"/>
      <c r="E84" s="1965"/>
      <c r="F84" s="1965"/>
      <c r="G84" s="1949"/>
      <c r="H84" s="1950" t="s">
        <v>1670</v>
      </c>
      <c r="I84" s="1951">
        <v>42549</v>
      </c>
      <c r="J84" s="1952" t="s">
        <v>1662</v>
      </c>
      <c r="K84" s="1966" t="s">
        <v>2932</v>
      </c>
      <c r="L84" s="1967" t="s">
        <v>2930</v>
      </c>
      <c r="M84" s="1968" t="s">
        <v>1663</v>
      </c>
      <c r="N84" s="1896"/>
      <c r="O84" s="1957">
        <v>270834300</v>
      </c>
      <c r="P84" s="1958">
        <f>N84+O84</f>
        <v>270834300</v>
      </c>
      <c r="Q84" s="1969"/>
      <c r="R84" s="1969"/>
      <c r="S84" s="1969"/>
      <c r="T84" s="1969"/>
      <c r="U84" s="1969"/>
      <c r="V84" s="1960">
        <f>P84</f>
        <v>270834300</v>
      </c>
      <c r="W84" s="1919" t="s">
        <v>3104</v>
      </c>
      <c r="X84" s="1920">
        <v>42690</v>
      </c>
      <c r="Y84" s="1970">
        <v>42696</v>
      </c>
      <c r="Z84" s="1960">
        <f>V84</f>
        <v>270834300</v>
      </c>
      <c r="AA84" s="2640">
        <v>1</v>
      </c>
      <c r="AB84" s="1901">
        <f t="shared" si="11"/>
        <v>-270834300</v>
      </c>
      <c r="AC84" s="1901"/>
      <c r="AD84" s="1904"/>
      <c r="AE84" s="1903">
        <v>0</v>
      </c>
      <c r="AF84" s="1904"/>
      <c r="AG84" s="1904"/>
      <c r="AH84" s="1904"/>
      <c r="AI84" s="1971">
        <f>P84</f>
        <v>270834300</v>
      </c>
      <c r="AJ84" s="1904"/>
      <c r="AK84" s="1906"/>
      <c r="AL84" s="1901"/>
      <c r="AM84" s="1972"/>
      <c r="AN84" s="1972"/>
      <c r="AO84" s="1972"/>
      <c r="AP84" s="1972"/>
      <c r="AQ84" s="1972"/>
      <c r="AR84" s="1972"/>
      <c r="AS84" s="1972"/>
      <c r="AT84" s="1972"/>
      <c r="AU84" s="1972"/>
      <c r="AV84" s="1972"/>
      <c r="AW84" s="1972"/>
      <c r="AX84" s="1972"/>
      <c r="AY84" s="1972"/>
      <c r="AZ84" s="1972"/>
      <c r="BA84" s="1972"/>
      <c r="BB84" s="1972"/>
      <c r="BH84" s="2004"/>
      <c r="BI84" s="2004"/>
      <c r="BM84" s="2004"/>
      <c r="BN84" s="2004"/>
    </row>
    <row r="85" spans="1:66" s="1000" customFormat="1">
      <c r="A85" s="1003"/>
      <c r="B85" s="564">
        <v>42503</v>
      </c>
      <c r="C85" s="1024" t="str">
        <f>C83</f>
        <v>PRK.2016.WKT-4.3.1</v>
      </c>
      <c r="D85" s="1018"/>
      <c r="E85" s="992"/>
      <c r="F85" s="992">
        <f>F83</f>
        <v>296450000</v>
      </c>
      <c r="G85" s="656">
        <f>G83</f>
        <v>296450000</v>
      </c>
      <c r="H85" s="1093"/>
      <c r="I85" s="993"/>
      <c r="J85" s="1020"/>
      <c r="K85" s="1021"/>
      <c r="L85" s="995"/>
      <c r="M85" s="1094"/>
      <c r="N85" s="1029">
        <f>SUM(N83:N84)</f>
        <v>0</v>
      </c>
      <c r="O85" s="1029">
        <f>SUM(O83:O84)</f>
        <v>293714300</v>
      </c>
      <c r="P85" s="1029">
        <f>SUM(P83:P84)</f>
        <v>293714300</v>
      </c>
      <c r="Q85" s="1095"/>
      <c r="R85" s="1095"/>
      <c r="S85" s="1095"/>
      <c r="T85" s="1095"/>
      <c r="U85" s="1095"/>
      <c r="V85" s="1029">
        <f>SUM(V83:V84)</f>
        <v>293714300</v>
      </c>
      <c r="W85" s="882"/>
      <c r="X85" s="1264"/>
      <c r="Y85" s="997"/>
      <c r="Z85" s="1029">
        <f>SUM(Z83:Z84)</f>
        <v>293714300</v>
      </c>
      <c r="AA85" s="1265"/>
      <c r="AB85" s="1022">
        <f t="shared" si="11"/>
        <v>2735700</v>
      </c>
      <c r="AC85" s="1022"/>
      <c r="AD85" s="772"/>
      <c r="AE85" s="1382"/>
      <c r="AF85" s="38"/>
      <c r="AG85" s="38"/>
      <c r="AH85" s="38"/>
      <c r="AI85" s="38"/>
      <c r="AJ85" s="38"/>
      <c r="AK85" s="383"/>
      <c r="AL85" s="1022"/>
      <c r="AM85" s="999"/>
      <c r="AN85" s="999"/>
      <c r="AO85" s="999"/>
      <c r="AP85" s="999"/>
      <c r="AQ85" s="999"/>
      <c r="AR85" s="999"/>
      <c r="AS85" s="999"/>
      <c r="AT85" s="999"/>
      <c r="AU85" s="999"/>
      <c r="AV85" s="999"/>
      <c r="AW85" s="999"/>
      <c r="AX85" s="999"/>
      <c r="AY85" s="999"/>
      <c r="AZ85" s="999"/>
      <c r="BA85" s="999"/>
      <c r="BB85" s="999"/>
      <c r="BH85" s="2006"/>
      <c r="BI85" s="2006"/>
      <c r="BM85" s="2006"/>
      <c r="BN85" s="2006"/>
    </row>
    <row r="86" spans="1:66">
      <c r="A86" s="22"/>
      <c r="C86" s="301"/>
      <c r="D86" s="302"/>
      <c r="E86" s="169"/>
      <c r="F86" s="169"/>
      <c r="G86" s="26"/>
      <c r="H86" s="169"/>
      <c r="I86" s="170"/>
      <c r="J86" s="303"/>
      <c r="K86" s="293"/>
      <c r="L86" s="294"/>
      <c r="M86" s="294"/>
      <c r="N86" s="184"/>
      <c r="O86" s="229"/>
      <c r="P86" s="295"/>
      <c r="Q86" s="296"/>
      <c r="R86" s="296"/>
      <c r="S86" s="296"/>
      <c r="T86" s="296"/>
      <c r="U86" s="296"/>
      <c r="V86" s="144"/>
      <c r="W86" s="297"/>
      <c r="X86" s="424"/>
      <c r="Y86" s="298"/>
      <c r="Z86" s="295"/>
      <c r="AA86" s="1254"/>
      <c r="AB86" s="59"/>
      <c r="AC86" s="59"/>
      <c r="AD86" s="38"/>
      <c r="AE86" s="1382"/>
      <c r="AF86" s="38"/>
      <c r="AG86" s="38"/>
      <c r="AH86" s="38"/>
      <c r="AI86" s="38"/>
      <c r="AJ86" s="38"/>
      <c r="AK86" s="383"/>
      <c r="AL86" s="59"/>
      <c r="AM86" s="299"/>
      <c r="AN86" s="299"/>
      <c r="AO86" s="299"/>
      <c r="AP86" s="299"/>
      <c r="AQ86" s="299"/>
      <c r="AR86" s="299"/>
      <c r="AS86" s="299"/>
      <c r="AT86" s="299"/>
      <c r="AU86" s="299"/>
      <c r="AV86" s="299"/>
      <c r="AW86" s="299"/>
      <c r="AX86" s="299"/>
      <c r="AY86" s="299"/>
      <c r="AZ86" s="299"/>
      <c r="BA86" s="299"/>
      <c r="BB86" s="299"/>
    </row>
    <row r="87" spans="1:66" s="1780" customFormat="1" ht="47.25">
      <c r="A87" s="1885"/>
      <c r="C87" s="1947" t="s">
        <v>524</v>
      </c>
      <c r="D87" s="1948" t="s">
        <v>527</v>
      </c>
      <c r="E87" s="1965"/>
      <c r="F87" s="1965">
        <v>193861000</v>
      </c>
      <c r="G87" s="1949">
        <f>E87+F87</f>
        <v>193861000</v>
      </c>
      <c r="H87" s="1965" t="s">
        <v>1004</v>
      </c>
      <c r="I87" s="1951">
        <v>42482</v>
      </c>
      <c r="J87" s="1965" t="s">
        <v>981</v>
      </c>
      <c r="K87" s="1966" t="s">
        <v>2923</v>
      </c>
      <c r="L87" s="1973" t="s">
        <v>193</v>
      </c>
      <c r="M87" s="1967" t="s">
        <v>982</v>
      </c>
      <c r="N87" s="1896"/>
      <c r="O87" s="1941">
        <v>190383160</v>
      </c>
      <c r="P87" s="1958">
        <f>N87+O87</f>
        <v>190383160</v>
      </c>
      <c r="Q87" s="1969"/>
      <c r="R87" s="1969"/>
      <c r="S87" s="1969"/>
      <c r="T87" s="1969"/>
      <c r="U87" s="1969"/>
      <c r="V87" s="1960">
        <f>P87</f>
        <v>190383160</v>
      </c>
      <c r="W87" s="1919"/>
      <c r="X87" s="1920"/>
      <c r="Y87" s="1970"/>
      <c r="Z87" s="1917"/>
      <c r="AA87" s="1921"/>
      <c r="AB87" s="1901">
        <f t="shared" si="11"/>
        <v>3477840</v>
      </c>
      <c r="AC87" s="1901"/>
      <c r="AD87" s="1904"/>
      <c r="AE87" s="1903">
        <v>0</v>
      </c>
      <c r="AF87" s="1904"/>
      <c r="AG87" s="1904"/>
      <c r="AH87" s="1904"/>
      <c r="AI87" s="1904"/>
      <c r="AJ87" s="1971">
        <f>P87</f>
        <v>190383160</v>
      </c>
      <c r="AK87" s="1906"/>
      <c r="AL87" s="1901"/>
      <c r="AM87" s="1972"/>
      <c r="AN87" s="1972"/>
      <c r="AO87" s="1972"/>
      <c r="AP87" s="1972"/>
      <c r="AQ87" s="1972"/>
      <c r="AR87" s="1972"/>
      <c r="AS87" s="1972"/>
      <c r="AT87" s="1972"/>
      <c r="AU87" s="1972"/>
      <c r="AV87" s="1972"/>
      <c r="AW87" s="1972"/>
      <c r="AX87" s="1972"/>
      <c r="AY87" s="1972"/>
      <c r="AZ87" s="1972"/>
      <c r="BA87" s="1972"/>
      <c r="BB87" s="1972"/>
      <c r="BH87" s="2004"/>
      <c r="BI87" s="2004"/>
      <c r="BM87" s="2004"/>
      <c r="BN87" s="2004"/>
    </row>
    <row r="88" spans="1:66">
      <c r="A88" s="22"/>
      <c r="B88" s="292"/>
      <c r="C88" s="301"/>
      <c r="D88" s="302"/>
      <c r="E88" s="169"/>
      <c r="F88" s="169"/>
      <c r="G88" s="26"/>
      <c r="H88" s="169"/>
      <c r="I88" s="170"/>
      <c r="J88" s="169"/>
      <c r="K88" s="293"/>
      <c r="L88" s="294"/>
      <c r="M88" s="294"/>
      <c r="N88" s="184"/>
      <c r="O88" s="229"/>
      <c r="P88" s="295"/>
      <c r="Q88" s="296"/>
      <c r="R88" s="296"/>
      <c r="S88" s="296"/>
      <c r="T88" s="296"/>
      <c r="U88" s="296"/>
      <c r="V88" s="144"/>
      <c r="W88" s="297"/>
      <c r="X88" s="424"/>
      <c r="Y88" s="298"/>
      <c r="Z88" s="295"/>
      <c r="AA88" s="1254"/>
      <c r="AB88" s="59"/>
      <c r="AC88" s="59"/>
      <c r="AD88" s="38"/>
      <c r="AE88" s="1382"/>
      <c r="AF88" s="38"/>
      <c r="AG88" s="38"/>
      <c r="AH88" s="38"/>
      <c r="AI88" s="38"/>
      <c r="AJ88" s="38"/>
      <c r="AK88" s="383"/>
      <c r="AL88" s="59"/>
      <c r="AM88" s="299"/>
      <c r="AN88" s="299"/>
      <c r="AO88" s="299"/>
      <c r="AP88" s="299"/>
      <c r="AQ88" s="299"/>
      <c r="AR88" s="299"/>
      <c r="AS88" s="299"/>
      <c r="AT88" s="299"/>
      <c r="AU88" s="299"/>
      <c r="AV88" s="299"/>
      <c r="AW88" s="299"/>
      <c r="AX88" s="299"/>
      <c r="AY88" s="299"/>
      <c r="AZ88" s="299"/>
      <c r="BA88" s="299"/>
      <c r="BB88" s="299"/>
    </row>
    <row r="89" spans="1:66" s="1780" customFormat="1" ht="47.25">
      <c r="A89" s="1885"/>
      <c r="B89" s="1974"/>
      <c r="C89" s="1947" t="s">
        <v>525</v>
      </c>
      <c r="D89" s="1948" t="s">
        <v>528</v>
      </c>
      <c r="E89" s="1965"/>
      <c r="F89" s="1965">
        <v>144968736</v>
      </c>
      <c r="G89" s="1949">
        <f>E89+F89</f>
        <v>144968736</v>
      </c>
      <c r="H89" s="1965" t="s">
        <v>1578</v>
      </c>
      <c r="I89" s="1951">
        <v>42535</v>
      </c>
      <c r="J89" s="1965" t="s">
        <v>1574</v>
      </c>
      <c r="K89" s="1954" t="s">
        <v>2514</v>
      </c>
      <c r="L89" s="1973" t="s">
        <v>2184</v>
      </c>
      <c r="M89" s="1968" t="s">
        <v>1575</v>
      </c>
      <c r="N89" s="1896"/>
      <c r="O89" s="1941">
        <v>143514800</v>
      </c>
      <c r="P89" s="1958">
        <f>N89+O89</f>
        <v>143514800</v>
      </c>
      <c r="Q89" s="1969"/>
      <c r="R89" s="1969"/>
      <c r="S89" s="1969"/>
      <c r="T89" s="1969"/>
      <c r="U89" s="1969"/>
      <c r="V89" s="1960">
        <f>P89</f>
        <v>143514800</v>
      </c>
      <c r="W89" s="1919" t="s">
        <v>3515</v>
      </c>
      <c r="X89" s="1920">
        <v>42728</v>
      </c>
      <c r="Y89" s="1970">
        <v>42731</v>
      </c>
      <c r="Z89" s="1917">
        <f>V89</f>
        <v>143514800</v>
      </c>
      <c r="AA89" s="2641">
        <v>1</v>
      </c>
      <c r="AB89" s="1901">
        <f t="shared" si="11"/>
        <v>1453936</v>
      </c>
      <c r="AC89" s="1901"/>
      <c r="AD89" s="1904"/>
      <c r="AE89" s="1903">
        <v>0.9</v>
      </c>
      <c r="AF89" s="1904"/>
      <c r="AG89" s="1904"/>
      <c r="AH89" s="1904"/>
      <c r="AI89" s="1971">
        <f>F89</f>
        <v>144968736</v>
      </c>
      <c r="AJ89" s="1904"/>
      <c r="AK89" s="1906"/>
      <c r="AL89" s="1901"/>
      <c r="AM89" s="1972"/>
      <c r="AN89" s="1972"/>
      <c r="AO89" s="1972"/>
      <c r="AP89" s="1972"/>
      <c r="AQ89" s="1972"/>
      <c r="AR89" s="1972"/>
      <c r="AS89" s="1972"/>
      <c r="AT89" s="1972"/>
      <c r="AU89" s="1972"/>
      <c r="AV89" s="1972"/>
      <c r="AW89" s="1972"/>
      <c r="AX89" s="1972"/>
      <c r="AY89" s="1972"/>
      <c r="AZ89" s="1972"/>
      <c r="BA89" s="1972"/>
      <c r="BB89" s="1972"/>
      <c r="BH89" s="2004"/>
      <c r="BI89" s="2004"/>
      <c r="BM89" s="2004"/>
      <c r="BN89" s="2004">
        <f>7733/3/1000</f>
        <v>2.5776666666666666</v>
      </c>
    </row>
    <row r="90" spans="1:66">
      <c r="A90" s="22"/>
      <c r="B90" s="292"/>
      <c r="C90" s="301"/>
      <c r="D90" s="302"/>
      <c r="E90" s="169"/>
      <c r="F90" s="169"/>
      <c r="G90" s="26"/>
      <c r="H90" s="169"/>
      <c r="I90" s="170"/>
      <c r="J90" s="169"/>
      <c r="K90" s="293"/>
      <c r="L90" s="294"/>
      <c r="M90" s="294"/>
      <c r="N90" s="184"/>
      <c r="O90" s="229"/>
      <c r="P90" s="295"/>
      <c r="Q90" s="296"/>
      <c r="R90" s="296"/>
      <c r="S90" s="296"/>
      <c r="T90" s="296"/>
      <c r="U90" s="296"/>
      <c r="V90" s="144"/>
      <c r="W90" s="297"/>
      <c r="X90" s="424"/>
      <c r="Y90" s="298"/>
      <c r="Z90" s="295"/>
      <c r="AA90" s="1254"/>
      <c r="AB90" s="59"/>
      <c r="AC90" s="59"/>
      <c r="AD90" s="38"/>
      <c r="AE90" s="1382"/>
      <c r="AF90" s="38"/>
      <c r="AG90" s="38"/>
      <c r="AH90" s="38"/>
      <c r="AI90" s="38"/>
      <c r="AJ90" s="38"/>
      <c r="AK90" s="383"/>
      <c r="AL90" s="59"/>
      <c r="AM90" s="299"/>
      <c r="AN90" s="299"/>
      <c r="AO90" s="299"/>
      <c r="AP90" s="299"/>
      <c r="AQ90" s="299"/>
      <c r="AR90" s="299"/>
      <c r="AS90" s="299"/>
      <c r="AT90" s="299"/>
      <c r="AU90" s="299"/>
      <c r="AV90" s="299"/>
      <c r="AW90" s="299"/>
      <c r="AX90" s="299"/>
      <c r="AY90" s="299"/>
      <c r="AZ90" s="299"/>
      <c r="BA90" s="299"/>
      <c r="BB90" s="299"/>
    </row>
    <row r="91" spans="1:66" s="1779" customFormat="1" ht="31.5">
      <c r="A91" s="1806"/>
      <c r="B91" s="1851"/>
      <c r="C91" s="1852" t="s">
        <v>529</v>
      </c>
      <c r="D91" s="1853" t="s">
        <v>530</v>
      </c>
      <c r="E91" s="1854"/>
      <c r="F91" s="1854">
        <v>238382121</v>
      </c>
      <c r="G91" s="1855">
        <f>E91+F91</f>
        <v>238382121</v>
      </c>
      <c r="H91" s="1854" t="s">
        <v>3155</v>
      </c>
      <c r="I91" s="1856">
        <v>42698</v>
      </c>
      <c r="J91" s="1854" t="s">
        <v>3145</v>
      </c>
      <c r="K91" s="1857" t="s">
        <v>3510</v>
      </c>
      <c r="L91" s="1858" t="s">
        <v>396</v>
      </c>
      <c r="M91" s="1859" t="s">
        <v>3146</v>
      </c>
      <c r="N91" s="1860"/>
      <c r="O91" s="1843">
        <v>89650000</v>
      </c>
      <c r="P91" s="1861">
        <f>N91+O91</f>
        <v>89650000</v>
      </c>
      <c r="Q91" s="1862"/>
      <c r="R91" s="1862"/>
      <c r="S91" s="1862"/>
      <c r="T91" s="1862"/>
      <c r="U91" s="1862"/>
      <c r="V91" s="1863">
        <f>P91</f>
        <v>89650000</v>
      </c>
      <c r="W91" s="1820" t="s">
        <v>3511</v>
      </c>
      <c r="X91" s="1821">
        <v>42725</v>
      </c>
      <c r="Y91" s="1836">
        <v>42727</v>
      </c>
      <c r="Z91" s="1822">
        <f>V91</f>
        <v>89650000</v>
      </c>
      <c r="AA91" s="2641">
        <v>1</v>
      </c>
      <c r="AB91" s="1824">
        <f t="shared" si="11"/>
        <v>148732121</v>
      </c>
      <c r="AC91" s="1824"/>
      <c r="AD91" s="1828"/>
      <c r="AE91" s="1827"/>
      <c r="AF91" s="1828"/>
      <c r="AG91" s="1828"/>
      <c r="AH91" s="1828"/>
      <c r="AI91" s="1828"/>
      <c r="AJ91" s="1828"/>
      <c r="AK91" s="1830"/>
      <c r="AL91" s="1824"/>
      <c r="AM91" s="1865"/>
      <c r="AN91" s="1865"/>
      <c r="AO91" s="1865"/>
      <c r="AP91" s="1865"/>
      <c r="AQ91" s="1865"/>
      <c r="AR91" s="1865"/>
      <c r="AS91" s="1865"/>
      <c r="AT91" s="1865"/>
      <c r="AU91" s="1865"/>
      <c r="AV91" s="1865"/>
      <c r="AW91" s="1865"/>
      <c r="AX91" s="1865"/>
      <c r="AY91" s="1865"/>
      <c r="AZ91" s="1865"/>
      <c r="BA91" s="1865"/>
      <c r="BB91" s="1865"/>
      <c r="BH91" s="2000"/>
      <c r="BI91" s="2000"/>
      <c r="BM91" s="2000"/>
      <c r="BN91" s="2000"/>
    </row>
    <row r="92" spans="1:66" s="1779" customFormat="1" ht="31.5">
      <c r="A92" s="1806"/>
      <c r="B92" s="1851"/>
      <c r="C92" s="1852"/>
      <c r="D92" s="1853"/>
      <c r="E92" s="1854"/>
      <c r="F92" s="1854"/>
      <c r="G92" s="1855"/>
      <c r="H92" s="1854" t="s">
        <v>3281</v>
      </c>
      <c r="I92" s="1856">
        <v>42699</v>
      </c>
      <c r="J92" s="1854" t="s">
        <v>3279</v>
      </c>
      <c r="K92" s="1866" t="s">
        <v>3503</v>
      </c>
      <c r="L92" s="1867" t="s">
        <v>3504</v>
      </c>
      <c r="M92" s="1859" t="s">
        <v>3280</v>
      </c>
      <c r="N92" s="1860"/>
      <c r="O92" s="1843">
        <v>55000000</v>
      </c>
      <c r="P92" s="1861">
        <f>N92+O92</f>
        <v>55000000</v>
      </c>
      <c r="Q92" s="1862"/>
      <c r="R92" s="1862"/>
      <c r="S92" s="1862"/>
      <c r="T92" s="1862"/>
      <c r="U92" s="1862"/>
      <c r="V92" s="1863">
        <f>P92</f>
        <v>55000000</v>
      </c>
      <c r="W92" s="1820" t="s">
        <v>3522</v>
      </c>
      <c r="X92" s="1821">
        <v>42732</v>
      </c>
      <c r="Y92" s="1836">
        <v>42734</v>
      </c>
      <c r="Z92" s="1822">
        <f>V92</f>
        <v>55000000</v>
      </c>
      <c r="AA92" s="1791">
        <v>1</v>
      </c>
      <c r="AB92" s="1824">
        <f t="shared" si="11"/>
        <v>-55000000</v>
      </c>
      <c r="AC92" s="1824"/>
      <c r="AD92" s="1828"/>
      <c r="AE92" s="1827"/>
      <c r="AF92" s="1828"/>
      <c r="AG92" s="1828"/>
      <c r="AH92" s="1828"/>
      <c r="AI92" s="1828"/>
      <c r="AJ92" s="1828"/>
      <c r="AK92" s="1830"/>
      <c r="AL92" s="1824"/>
      <c r="AM92" s="1865"/>
      <c r="AN92" s="1865"/>
      <c r="AO92" s="1865"/>
      <c r="AP92" s="1865"/>
      <c r="AQ92" s="1865"/>
      <c r="AR92" s="1865"/>
      <c r="AS92" s="1865"/>
      <c r="AT92" s="1865"/>
      <c r="AU92" s="1865"/>
      <c r="AV92" s="1865"/>
      <c r="AW92" s="1865"/>
      <c r="AX92" s="1865"/>
      <c r="AY92" s="1865"/>
      <c r="AZ92" s="1865"/>
      <c r="BA92" s="1865"/>
      <c r="BB92" s="1865"/>
      <c r="BH92" s="2000"/>
      <c r="BI92" s="2000"/>
      <c r="BM92" s="2000"/>
      <c r="BN92" s="2000"/>
    </row>
    <row r="93" spans="1:66" s="1779" customFormat="1" ht="31.5">
      <c r="A93" s="1806"/>
      <c r="B93" s="1851"/>
      <c r="C93" s="1852"/>
      <c r="D93" s="1853"/>
      <c r="E93" s="1854"/>
      <c r="F93" s="1854"/>
      <c r="G93" s="1855"/>
      <c r="H93" s="1854"/>
      <c r="I93" s="1856"/>
      <c r="J93" s="1854" t="s">
        <v>3480</v>
      </c>
      <c r="K93" s="1857" t="s">
        <v>3499</v>
      </c>
      <c r="L93" s="1867" t="s">
        <v>786</v>
      </c>
      <c r="M93" s="1859" t="s">
        <v>3481</v>
      </c>
      <c r="N93" s="1860"/>
      <c r="O93" s="1868">
        <v>9716300</v>
      </c>
      <c r="P93" s="1861">
        <f>N93+O93</f>
        <v>9716300</v>
      </c>
      <c r="Q93" s="1862"/>
      <c r="R93" s="1862"/>
      <c r="S93" s="1862"/>
      <c r="T93" s="1862"/>
      <c r="U93" s="1862"/>
      <c r="V93" s="1848">
        <f>P93</f>
        <v>9716300</v>
      </c>
      <c r="W93" s="1820" t="s">
        <v>3521</v>
      </c>
      <c r="X93" s="1821">
        <v>42732</v>
      </c>
      <c r="Y93" s="1836">
        <v>42734</v>
      </c>
      <c r="Z93" s="1822">
        <f>V93</f>
        <v>9716300</v>
      </c>
      <c r="AA93" s="2641">
        <v>1</v>
      </c>
      <c r="AB93" s="1824">
        <f t="shared" si="11"/>
        <v>-9716300</v>
      </c>
      <c r="AC93" s="1824"/>
      <c r="AD93" s="1828"/>
      <c r="AE93" s="1827"/>
      <c r="AF93" s="1828"/>
      <c r="AG93" s="1828"/>
      <c r="AH93" s="1828"/>
      <c r="AI93" s="1828"/>
      <c r="AJ93" s="1828"/>
      <c r="AK93" s="1830"/>
      <c r="AL93" s="1824"/>
      <c r="AM93" s="1865"/>
      <c r="AN93" s="1865"/>
      <c r="AO93" s="1865"/>
      <c r="AP93" s="1865"/>
      <c r="AQ93" s="1865"/>
      <c r="AR93" s="1865"/>
      <c r="AS93" s="1865"/>
      <c r="AT93" s="1865"/>
      <c r="AU93" s="1865"/>
      <c r="AV93" s="1865"/>
      <c r="AW93" s="1865"/>
      <c r="AX93" s="1865"/>
      <c r="AY93" s="1865"/>
      <c r="AZ93" s="1865"/>
      <c r="BA93" s="1865"/>
      <c r="BB93" s="1865"/>
      <c r="BH93" s="2000"/>
      <c r="BI93" s="2000"/>
      <c r="BM93" s="2000"/>
      <c r="BN93" s="2000"/>
    </row>
    <row r="94" spans="1:66" s="1000" customFormat="1">
      <c r="A94" s="988"/>
      <c r="B94" s="989"/>
      <c r="C94" s="1692" t="str">
        <f>C91</f>
        <v>PRK.2016.WKT-4.3.7</v>
      </c>
      <c r="D94" s="1018"/>
      <c r="E94" s="992"/>
      <c r="F94" s="992"/>
      <c r="G94" s="860">
        <f>G91</f>
        <v>238382121</v>
      </c>
      <c r="H94" s="992"/>
      <c r="I94" s="993"/>
      <c r="J94" s="992"/>
      <c r="K94" s="1021"/>
      <c r="L94" s="995"/>
      <c r="M94" s="1119"/>
      <c r="N94" s="1029">
        <f>SUM(N91:N92)</f>
        <v>0</v>
      </c>
      <c r="O94" s="1029">
        <f>SUM(O91:O93)</f>
        <v>154366300</v>
      </c>
      <c r="P94" s="1029">
        <f>SUM(P91:P93)</f>
        <v>154366300</v>
      </c>
      <c r="Q94" s="1029">
        <f t="shared" ref="Q94:V94" si="12">SUM(Q91:Q93)</f>
        <v>0</v>
      </c>
      <c r="R94" s="1029">
        <f t="shared" si="12"/>
        <v>0</v>
      </c>
      <c r="S94" s="1029">
        <f t="shared" si="12"/>
        <v>0</v>
      </c>
      <c r="T94" s="1029">
        <f t="shared" si="12"/>
        <v>0</v>
      </c>
      <c r="U94" s="1029">
        <f t="shared" si="12"/>
        <v>0</v>
      </c>
      <c r="V94" s="1029">
        <f t="shared" si="12"/>
        <v>154366300</v>
      </c>
      <c r="W94" s="882"/>
      <c r="X94" s="1264"/>
      <c r="Y94" s="997"/>
      <c r="Z94" s="1029">
        <f>SUM(Z91:Z93)</f>
        <v>154366300</v>
      </c>
      <c r="AA94" s="1265"/>
      <c r="AB94" s="1029">
        <f>SUM(AB91:AB93)</f>
        <v>84015821</v>
      </c>
      <c r="AC94" s="1022"/>
      <c r="AD94" s="772"/>
      <c r="AE94" s="1446"/>
      <c r="AF94" s="772"/>
      <c r="AG94" s="772"/>
      <c r="AH94" s="772"/>
      <c r="AI94" s="772"/>
      <c r="AJ94" s="772"/>
      <c r="AK94" s="1447"/>
      <c r="AL94" s="1022"/>
      <c r="AM94" s="999"/>
      <c r="AN94" s="999"/>
      <c r="AO94" s="999"/>
      <c r="AP94" s="999"/>
      <c r="AQ94" s="999"/>
      <c r="AR94" s="999"/>
      <c r="AS94" s="999"/>
      <c r="AT94" s="999"/>
      <c r="AU94" s="999"/>
      <c r="AV94" s="999"/>
      <c r="AW94" s="999"/>
      <c r="AX94" s="999"/>
      <c r="AY94" s="999"/>
      <c r="AZ94" s="999"/>
      <c r="BA94" s="999"/>
      <c r="BB94" s="999"/>
      <c r="BH94" s="2006"/>
      <c r="BI94" s="2006"/>
      <c r="BM94" s="2006"/>
      <c r="BN94" s="2006"/>
    </row>
    <row r="95" spans="1:66">
      <c r="A95" s="22"/>
      <c r="B95" s="292"/>
      <c r="C95" s="301"/>
      <c r="D95" s="302"/>
      <c r="E95" s="169"/>
      <c r="F95" s="169"/>
      <c r="G95" s="26"/>
      <c r="H95" s="169"/>
      <c r="I95" s="170"/>
      <c r="J95" s="169"/>
      <c r="K95" s="293"/>
      <c r="L95" s="294"/>
      <c r="M95" s="294"/>
      <c r="N95" s="184"/>
      <c r="O95" s="229"/>
      <c r="P95" s="295"/>
      <c r="Q95" s="296"/>
      <c r="R95" s="296"/>
      <c r="S95" s="296"/>
      <c r="T95" s="296"/>
      <c r="U95" s="296"/>
      <c r="V95" s="144"/>
      <c r="W95" s="297"/>
      <c r="X95" s="424"/>
      <c r="Y95" s="298"/>
      <c r="Z95" s="295"/>
      <c r="AA95" s="1254"/>
      <c r="AB95" s="59"/>
      <c r="AC95" s="59"/>
      <c r="AD95" s="38"/>
      <c r="AE95" s="1382"/>
      <c r="AF95" s="38"/>
      <c r="AG95" s="38"/>
      <c r="AH95" s="38"/>
      <c r="AI95" s="38"/>
      <c r="AJ95" s="38"/>
      <c r="AK95" s="383"/>
      <c r="AL95" s="59"/>
      <c r="AM95" s="299"/>
      <c r="AN95" s="299"/>
      <c r="AO95" s="299"/>
      <c r="AP95" s="299"/>
      <c r="AQ95" s="299"/>
      <c r="AR95" s="299"/>
      <c r="AS95" s="299"/>
      <c r="AT95" s="299"/>
      <c r="AU95" s="299"/>
      <c r="AV95" s="299"/>
      <c r="AW95" s="299"/>
      <c r="AX95" s="299"/>
      <c r="AY95" s="299"/>
      <c r="AZ95" s="299"/>
      <c r="BA95" s="299"/>
      <c r="BB95" s="299"/>
    </row>
    <row r="96" spans="1:66" s="1778" customFormat="1" ht="47.25">
      <c r="A96" s="567"/>
      <c r="B96" s="1781"/>
      <c r="C96" s="1782" t="s">
        <v>531</v>
      </c>
      <c r="D96" s="1783" t="s">
        <v>535</v>
      </c>
      <c r="E96" s="733"/>
      <c r="F96" s="733">
        <v>198583660</v>
      </c>
      <c r="G96" s="569">
        <f>E96+F96</f>
        <v>198583660</v>
      </c>
      <c r="H96" s="733" t="s">
        <v>1262</v>
      </c>
      <c r="I96" s="1784">
        <v>42503</v>
      </c>
      <c r="J96" s="733" t="s">
        <v>1253</v>
      </c>
      <c r="K96" s="714" t="s">
        <v>2933</v>
      </c>
      <c r="L96" s="613" t="s">
        <v>271</v>
      </c>
      <c r="M96" s="1785" t="s">
        <v>1254</v>
      </c>
      <c r="N96" s="1786"/>
      <c r="O96" s="1787">
        <v>194749500</v>
      </c>
      <c r="P96" s="1788">
        <f>N96+O96</f>
        <v>194749500</v>
      </c>
      <c r="Q96" s="1789"/>
      <c r="R96" s="1789"/>
      <c r="S96" s="1789"/>
      <c r="T96" s="1789"/>
      <c r="U96" s="1789"/>
      <c r="V96" s="576">
        <f>P96</f>
        <v>194749500</v>
      </c>
      <c r="W96" s="603"/>
      <c r="X96" s="742"/>
      <c r="Y96" s="1790"/>
      <c r="Z96" s="1788"/>
      <c r="AA96" s="1791"/>
      <c r="AB96" s="721">
        <f t="shared" si="11"/>
        <v>3834160</v>
      </c>
      <c r="AC96" s="721"/>
      <c r="AD96" s="581"/>
      <c r="AE96" s="1792">
        <v>0</v>
      </c>
      <c r="AF96" s="581"/>
      <c r="AG96" s="581"/>
      <c r="AH96" s="581"/>
      <c r="AI96" s="581"/>
      <c r="AJ96" s="1793">
        <f>P96</f>
        <v>194749500</v>
      </c>
      <c r="AK96" s="1794"/>
      <c r="AL96" s="721"/>
      <c r="AM96" s="1795"/>
      <c r="AN96" s="1795"/>
      <c r="AO96" s="1795"/>
      <c r="AP96" s="1795"/>
      <c r="AQ96" s="1795"/>
      <c r="AR96" s="1795"/>
      <c r="AS96" s="1795"/>
      <c r="AT96" s="1795"/>
      <c r="AU96" s="1795"/>
      <c r="AV96" s="1795"/>
      <c r="AW96" s="1795"/>
      <c r="AX96" s="1795"/>
      <c r="AY96" s="1795"/>
      <c r="AZ96" s="1795"/>
      <c r="BA96" s="1795"/>
      <c r="BB96" s="1795"/>
      <c r="BC96" s="1778">
        <v>8</v>
      </c>
      <c r="BD96" s="1999">
        <f>BC96*100</f>
        <v>800</v>
      </c>
      <c r="BH96" s="1998"/>
      <c r="BI96" s="1998"/>
      <c r="BM96" s="1998"/>
      <c r="BN96" s="1998"/>
    </row>
    <row r="97" spans="1:66">
      <c r="A97" s="22"/>
      <c r="B97" s="292"/>
      <c r="C97" s="301"/>
      <c r="D97" s="302"/>
      <c r="E97" s="169"/>
      <c r="F97" s="169"/>
      <c r="G97" s="26"/>
      <c r="H97" s="169"/>
      <c r="I97" s="170"/>
      <c r="J97" s="169"/>
      <c r="K97" s="293"/>
      <c r="L97" s="294"/>
      <c r="M97" s="294"/>
      <c r="N97" s="184"/>
      <c r="O97" s="229"/>
      <c r="P97" s="295"/>
      <c r="Q97" s="296"/>
      <c r="R97" s="296"/>
      <c r="S97" s="296"/>
      <c r="T97" s="296"/>
      <c r="U97" s="296"/>
      <c r="V97" s="144"/>
      <c r="W97" s="297"/>
      <c r="X97" s="424"/>
      <c r="Y97" s="298"/>
      <c r="Z97" s="295"/>
      <c r="AA97" s="1254"/>
      <c r="AB97" s="59"/>
      <c r="AC97" s="59"/>
      <c r="AD97" s="38"/>
      <c r="AE97" s="1382"/>
      <c r="AF97" s="38"/>
      <c r="AG97" s="38"/>
      <c r="AH97" s="38"/>
      <c r="AI97" s="38"/>
      <c r="AJ97" s="38"/>
      <c r="AK97" s="383"/>
      <c r="AL97" s="59"/>
      <c r="AM97" s="299"/>
      <c r="AN97" s="299"/>
      <c r="AO97" s="299"/>
      <c r="AP97" s="299"/>
      <c r="AQ97" s="299"/>
      <c r="AR97" s="299"/>
      <c r="AS97" s="299"/>
      <c r="AT97" s="299"/>
      <c r="AU97" s="299"/>
      <c r="AV97" s="299"/>
      <c r="AW97" s="299"/>
      <c r="AX97" s="299"/>
      <c r="AY97" s="299"/>
      <c r="AZ97" s="299"/>
      <c r="BA97" s="299"/>
      <c r="BB97" s="299"/>
    </row>
    <row r="98" spans="1:66" s="1778" customFormat="1" ht="31.5" customHeight="1">
      <c r="A98" s="567"/>
      <c r="B98" s="1781"/>
      <c r="C98" s="1782" t="s">
        <v>532</v>
      </c>
      <c r="D98" s="1783" t="s">
        <v>536</v>
      </c>
      <c r="E98" s="733"/>
      <c r="F98" s="733">
        <v>123676548</v>
      </c>
      <c r="G98" s="569">
        <f>E98+F98</f>
        <v>123676548</v>
      </c>
      <c r="H98" s="733" t="s">
        <v>1263</v>
      </c>
      <c r="I98" s="1784">
        <v>42503</v>
      </c>
      <c r="J98" s="733" t="s">
        <v>1257</v>
      </c>
      <c r="K98" s="714" t="s">
        <v>2934</v>
      </c>
      <c r="L98" s="613" t="s">
        <v>271</v>
      </c>
      <c r="M98" s="1785" t="s">
        <v>1258</v>
      </c>
      <c r="N98" s="1786"/>
      <c r="O98" s="1788">
        <v>121755288</v>
      </c>
      <c r="P98" s="1788">
        <f>N98+O98</f>
        <v>121755288</v>
      </c>
      <c r="Q98" s="1789"/>
      <c r="R98" s="1789"/>
      <c r="S98" s="1789"/>
      <c r="T98" s="1789"/>
      <c r="U98" s="1789"/>
      <c r="V98" s="576">
        <f>P98</f>
        <v>121755288</v>
      </c>
      <c r="W98" s="603" t="s">
        <v>3511</v>
      </c>
      <c r="X98" s="742">
        <v>42725</v>
      </c>
      <c r="Y98" s="1790">
        <v>42727</v>
      </c>
      <c r="Z98" s="1788">
        <f>V98</f>
        <v>121755288</v>
      </c>
      <c r="AA98" s="2641">
        <f>Z98/V98</f>
        <v>1</v>
      </c>
      <c r="AB98" s="721">
        <f t="shared" si="11"/>
        <v>1921260</v>
      </c>
      <c r="AC98" s="721"/>
      <c r="AD98" s="581"/>
      <c r="AE98" s="1792">
        <v>0</v>
      </c>
      <c r="AF98" s="581"/>
      <c r="AG98" s="581"/>
      <c r="AH98" s="581"/>
      <c r="AI98" s="581"/>
      <c r="AJ98" s="1793">
        <f>P98</f>
        <v>121755288</v>
      </c>
      <c r="AK98" s="1794"/>
      <c r="AL98" s="721"/>
      <c r="AM98" s="1795"/>
      <c r="AN98" s="1795"/>
      <c r="AO98" s="1795"/>
      <c r="AP98" s="1795"/>
      <c r="AQ98" s="1795"/>
      <c r="AR98" s="1795"/>
      <c r="AS98" s="1795"/>
      <c r="AT98" s="1795"/>
      <c r="AU98" s="1795"/>
      <c r="AV98" s="1795"/>
      <c r="AW98" s="1795"/>
      <c r="AX98" s="1795"/>
      <c r="AY98" s="1795"/>
      <c r="AZ98" s="1795"/>
      <c r="BA98" s="1795"/>
      <c r="BB98" s="1795"/>
      <c r="BC98" s="1778">
        <v>5</v>
      </c>
      <c r="BD98" s="1778">
        <f>(2*100)+(3*50)</f>
        <v>350</v>
      </c>
      <c r="BH98" s="1998"/>
      <c r="BI98" s="1998"/>
      <c r="BM98" s="1998"/>
      <c r="BN98" s="1998"/>
    </row>
    <row r="99" spans="1:66">
      <c r="A99" s="22"/>
      <c r="B99" s="292"/>
      <c r="C99" s="301"/>
      <c r="D99" s="302"/>
      <c r="E99" s="169"/>
      <c r="F99" s="169"/>
      <c r="G99" s="26"/>
      <c r="H99" s="169"/>
      <c r="I99" s="170"/>
      <c r="J99" s="169"/>
      <c r="K99" s="293"/>
      <c r="L99" s="294"/>
      <c r="M99" s="294"/>
      <c r="N99" s="184"/>
      <c r="O99" s="229"/>
      <c r="P99" s="295"/>
      <c r="Q99" s="296"/>
      <c r="R99" s="296"/>
      <c r="S99" s="296"/>
      <c r="T99" s="296"/>
      <c r="U99" s="296"/>
      <c r="V99" s="144"/>
      <c r="W99" s="297"/>
      <c r="X99" s="424"/>
      <c r="Y99" s="298"/>
      <c r="Z99" s="295"/>
      <c r="AA99" s="1254"/>
      <c r="AB99" s="59"/>
      <c r="AC99" s="59"/>
      <c r="AD99" s="38"/>
      <c r="AE99" s="1382"/>
      <c r="AF99" s="38"/>
      <c r="AG99" s="38"/>
      <c r="AH99" s="38"/>
      <c r="AI99" s="38"/>
      <c r="AJ99" s="38"/>
      <c r="AK99" s="383"/>
      <c r="AL99" s="59"/>
      <c r="AM99" s="299"/>
      <c r="AN99" s="299"/>
      <c r="AO99" s="299"/>
      <c r="AP99" s="299"/>
      <c r="AQ99" s="299"/>
      <c r="AR99" s="299"/>
      <c r="AS99" s="299"/>
      <c r="AT99" s="299"/>
      <c r="AU99" s="299"/>
      <c r="AV99" s="299"/>
      <c r="AW99" s="299"/>
      <c r="AX99" s="299"/>
      <c r="AY99" s="299"/>
      <c r="AZ99" s="299"/>
      <c r="BA99" s="299"/>
      <c r="BB99" s="299"/>
    </row>
    <row r="100" spans="1:66" s="1778" customFormat="1" ht="31.5">
      <c r="A100" s="567"/>
      <c r="B100" s="1781"/>
      <c r="C100" s="1782" t="s">
        <v>533</v>
      </c>
      <c r="D100" s="1783" t="s">
        <v>537</v>
      </c>
      <c r="E100" s="733"/>
      <c r="F100" s="733">
        <v>98707510</v>
      </c>
      <c r="G100" s="569">
        <f>E100+F100</f>
        <v>98707510</v>
      </c>
      <c r="H100" s="733" t="s">
        <v>1264</v>
      </c>
      <c r="I100" s="1784">
        <v>42503</v>
      </c>
      <c r="J100" s="733" t="s">
        <v>1255</v>
      </c>
      <c r="K100" s="1651" t="s">
        <v>1980</v>
      </c>
      <c r="L100" s="613" t="s">
        <v>271</v>
      </c>
      <c r="M100" s="1796" t="s">
        <v>1256</v>
      </c>
      <c r="N100" s="1786"/>
      <c r="O100" s="1787">
        <v>97710030</v>
      </c>
      <c r="P100" s="1788">
        <f>N100+O100</f>
        <v>97710030</v>
      </c>
      <c r="Q100" s="1789"/>
      <c r="R100" s="1789"/>
      <c r="S100" s="1789"/>
      <c r="T100" s="1789"/>
      <c r="U100" s="1789"/>
      <c r="V100" s="576">
        <f>P100</f>
        <v>97710030</v>
      </c>
      <c r="W100" s="603" t="s">
        <v>3511</v>
      </c>
      <c r="X100" s="742">
        <v>42725</v>
      </c>
      <c r="Y100" s="1790">
        <v>42727</v>
      </c>
      <c r="Z100" s="1788">
        <f>V100</f>
        <v>97710030</v>
      </c>
      <c r="AA100" s="2641">
        <f>Z100/V100</f>
        <v>1</v>
      </c>
      <c r="AB100" s="721">
        <f t="shared" si="11"/>
        <v>997480</v>
      </c>
      <c r="AC100" s="721"/>
      <c r="AD100" s="581"/>
      <c r="AE100" s="1792">
        <v>0</v>
      </c>
      <c r="AF100" s="581"/>
      <c r="AG100" s="581"/>
      <c r="AH100" s="581"/>
      <c r="AI100" s="581"/>
      <c r="AJ100" s="1793">
        <f>V100</f>
        <v>97710030</v>
      </c>
      <c r="AK100" s="1794"/>
      <c r="AL100" s="721"/>
      <c r="AM100" s="1795"/>
      <c r="AN100" s="1795"/>
      <c r="AO100" s="1795"/>
      <c r="AP100" s="1795"/>
      <c r="AQ100" s="1795"/>
      <c r="AR100" s="1795"/>
      <c r="AS100" s="1795"/>
      <c r="AT100" s="1795"/>
      <c r="AU100" s="1795"/>
      <c r="AV100" s="1795"/>
      <c r="AW100" s="1795"/>
      <c r="AX100" s="1795"/>
      <c r="AY100" s="1795"/>
      <c r="AZ100" s="1795"/>
      <c r="BA100" s="1795"/>
      <c r="BB100" s="1795"/>
      <c r="BC100" s="1778">
        <v>4</v>
      </c>
      <c r="BD100" s="1778">
        <f>4*50</f>
        <v>200</v>
      </c>
      <c r="BH100" s="1998"/>
      <c r="BI100" s="1998"/>
      <c r="BM100" s="1998"/>
      <c r="BN100" s="1998"/>
    </row>
    <row r="101" spans="1:66">
      <c r="A101" s="22"/>
      <c r="B101" s="292"/>
      <c r="C101" s="301"/>
      <c r="D101" s="302"/>
      <c r="E101" s="169"/>
      <c r="F101" s="169"/>
      <c r="G101" s="26"/>
      <c r="H101" s="169"/>
      <c r="I101" s="170"/>
      <c r="J101" s="169"/>
      <c r="K101" s="293"/>
      <c r="L101" s="294"/>
      <c r="M101" s="294"/>
      <c r="N101" s="184"/>
      <c r="O101" s="229"/>
      <c r="P101" s="295"/>
      <c r="Q101" s="296"/>
      <c r="R101" s="296"/>
      <c r="S101" s="296"/>
      <c r="T101" s="296"/>
      <c r="U101" s="296"/>
      <c r="V101" s="144"/>
      <c r="W101" s="297"/>
      <c r="X101" s="424"/>
      <c r="Y101" s="298"/>
      <c r="Z101" s="295"/>
      <c r="AA101" s="1254"/>
      <c r="AB101" s="59"/>
      <c r="AC101" s="59"/>
      <c r="AD101" s="38"/>
      <c r="AE101" s="1382"/>
      <c r="AF101" s="38"/>
      <c r="AG101" s="38"/>
      <c r="AH101" s="38"/>
      <c r="AI101" s="38"/>
      <c r="AJ101" s="38"/>
      <c r="AK101" s="383"/>
      <c r="AL101" s="59"/>
      <c r="AM101" s="299"/>
      <c r="AN101" s="299"/>
      <c r="AO101" s="299"/>
      <c r="AP101" s="299"/>
      <c r="AQ101" s="299"/>
      <c r="AR101" s="299"/>
      <c r="AS101" s="299"/>
      <c r="AT101" s="299"/>
      <c r="AU101" s="299"/>
      <c r="AV101" s="299"/>
      <c r="AW101" s="299"/>
      <c r="AX101" s="299"/>
      <c r="AY101" s="299"/>
      <c r="AZ101" s="299"/>
      <c r="BA101" s="299"/>
      <c r="BB101" s="299"/>
    </row>
    <row r="102" spans="1:66" s="1778" customFormat="1" ht="31.5">
      <c r="A102" s="567"/>
      <c r="B102" s="1781"/>
      <c r="C102" s="1782" t="s">
        <v>534</v>
      </c>
      <c r="D102" s="1783" t="s">
        <v>538</v>
      </c>
      <c r="E102" s="733"/>
      <c r="F102" s="733">
        <v>173760703</v>
      </c>
      <c r="G102" s="569">
        <f>E102+F102</f>
        <v>173760703</v>
      </c>
      <c r="H102" s="733" t="s">
        <v>1261</v>
      </c>
      <c r="I102" s="1784">
        <v>42503</v>
      </c>
      <c r="J102" s="733" t="s">
        <v>1259</v>
      </c>
      <c r="K102" s="714" t="s">
        <v>1791</v>
      </c>
      <c r="L102" s="613" t="s">
        <v>193</v>
      </c>
      <c r="M102" s="1796" t="s">
        <v>1260</v>
      </c>
      <c r="N102" s="1786">
        <v>126434000</v>
      </c>
      <c r="O102" s="1787">
        <v>43266300</v>
      </c>
      <c r="P102" s="1788">
        <v>169700300</v>
      </c>
      <c r="Q102" s="1789"/>
      <c r="R102" s="1789"/>
      <c r="S102" s="1789"/>
      <c r="T102" s="1789"/>
      <c r="U102" s="1789"/>
      <c r="V102" s="576">
        <f>P102</f>
        <v>169700300</v>
      </c>
      <c r="W102" s="603"/>
      <c r="X102" s="742"/>
      <c r="Y102" s="1790"/>
      <c r="Z102" s="1788"/>
      <c r="AA102" s="1791"/>
      <c r="AB102" s="721">
        <f t="shared" si="11"/>
        <v>4060403</v>
      </c>
      <c r="AC102" s="721"/>
      <c r="AD102" s="581"/>
      <c r="AE102" s="1792">
        <v>0</v>
      </c>
      <c r="AF102" s="581"/>
      <c r="AG102" s="581"/>
      <c r="AH102" s="581"/>
      <c r="AI102" s="581"/>
      <c r="AJ102" s="1793">
        <f>V102</f>
        <v>169700300</v>
      </c>
      <c r="AK102" s="1794"/>
      <c r="AL102" s="721"/>
      <c r="AM102" s="1795"/>
      <c r="AN102" s="1795"/>
      <c r="AO102" s="1795"/>
      <c r="AP102" s="1795"/>
      <c r="AQ102" s="1795"/>
      <c r="AR102" s="1795"/>
      <c r="AS102" s="1795"/>
      <c r="AT102" s="1795"/>
      <c r="AU102" s="1795"/>
      <c r="AV102" s="1795"/>
      <c r="AW102" s="1795"/>
      <c r="AX102" s="1795"/>
      <c r="AY102" s="1795"/>
      <c r="AZ102" s="1795"/>
      <c r="BA102" s="1795"/>
      <c r="BB102" s="1795"/>
      <c r="BC102" s="1778">
        <v>7</v>
      </c>
      <c r="BD102" s="1778">
        <f>BC102*100</f>
        <v>700</v>
      </c>
      <c r="BH102" s="1998"/>
      <c r="BI102" s="1998"/>
      <c r="BM102" s="1998"/>
      <c r="BN102" s="1998"/>
    </row>
    <row r="103" spans="1:66">
      <c r="A103" s="22"/>
      <c r="B103" s="292"/>
      <c r="C103" s="301"/>
      <c r="D103" s="302"/>
      <c r="E103" s="169"/>
      <c r="F103" s="169"/>
      <c r="G103" s="26"/>
      <c r="H103" s="169"/>
      <c r="I103" s="170"/>
      <c r="J103" s="169"/>
      <c r="K103" s="293"/>
      <c r="L103" s="294"/>
      <c r="M103" s="294"/>
      <c r="N103" s="184"/>
      <c r="O103" s="229"/>
      <c r="P103" s="295"/>
      <c r="Q103" s="296"/>
      <c r="R103" s="296"/>
      <c r="S103" s="296"/>
      <c r="T103" s="296"/>
      <c r="U103" s="296"/>
      <c r="V103" s="144"/>
      <c r="W103" s="297"/>
      <c r="X103" s="424"/>
      <c r="Y103" s="298"/>
      <c r="Z103" s="295"/>
      <c r="AA103" s="1254"/>
      <c r="AB103" s="59"/>
      <c r="AC103" s="59"/>
      <c r="AD103" s="38"/>
      <c r="AE103" s="1382"/>
      <c r="AF103" s="38"/>
      <c r="AG103" s="38"/>
      <c r="AH103" s="38"/>
      <c r="AI103" s="38"/>
      <c r="AJ103" s="38"/>
      <c r="AK103" s="383"/>
      <c r="AL103" s="59"/>
      <c r="AM103" s="299"/>
      <c r="AN103" s="299"/>
      <c r="AO103" s="299"/>
      <c r="AP103" s="299"/>
      <c r="AQ103" s="299"/>
      <c r="AR103" s="299"/>
      <c r="AS103" s="299"/>
      <c r="AT103" s="299"/>
      <c r="AU103" s="299"/>
      <c r="AV103" s="299"/>
      <c r="AW103" s="299"/>
      <c r="AX103" s="299"/>
      <c r="AY103" s="299"/>
      <c r="AZ103" s="299"/>
      <c r="BA103" s="299"/>
      <c r="BB103" s="299"/>
    </row>
    <row r="104" spans="1:66" s="1780" customFormat="1" ht="31.5">
      <c r="A104" s="1885"/>
      <c r="B104" s="1974"/>
      <c r="C104" s="1947" t="s">
        <v>539</v>
      </c>
      <c r="D104" s="1948" t="s">
        <v>540</v>
      </c>
      <c r="E104" s="1965"/>
      <c r="F104" s="1965">
        <v>332811600</v>
      </c>
      <c r="G104" s="1949">
        <f>E104+F104</f>
        <v>332811600</v>
      </c>
      <c r="H104" s="1965" t="s">
        <v>571</v>
      </c>
      <c r="I104" s="1951">
        <v>42450</v>
      </c>
      <c r="J104" s="1965" t="s">
        <v>554</v>
      </c>
      <c r="K104" s="1967" t="s">
        <v>1320</v>
      </c>
      <c r="L104" s="1973" t="s">
        <v>193</v>
      </c>
      <c r="M104" s="1948" t="s">
        <v>540</v>
      </c>
      <c r="N104" s="1896"/>
      <c r="O104" s="1941">
        <v>297886600</v>
      </c>
      <c r="P104" s="1917">
        <f>N104+O104</f>
        <v>297886600</v>
      </c>
      <c r="Q104" s="1969"/>
      <c r="R104" s="1969"/>
      <c r="S104" s="1969"/>
      <c r="T104" s="1969"/>
      <c r="U104" s="1969"/>
      <c r="V104" s="1960">
        <f>P104</f>
        <v>297886600</v>
      </c>
      <c r="W104" s="1919" t="s">
        <v>1459</v>
      </c>
      <c r="X104" s="1920">
        <v>42514</v>
      </c>
      <c r="Y104" s="1970">
        <v>42517</v>
      </c>
      <c r="Z104" s="1917">
        <f>V104</f>
        <v>297886600</v>
      </c>
      <c r="AA104" s="2641">
        <v>1</v>
      </c>
      <c r="AB104" s="1901">
        <f t="shared" si="11"/>
        <v>34925000</v>
      </c>
      <c r="AC104" s="1901"/>
      <c r="AD104" s="1904"/>
      <c r="AE104" s="1903"/>
      <c r="AF104" s="1904"/>
      <c r="AG104" s="1904"/>
      <c r="AH104" s="1904"/>
      <c r="AI104" s="1904"/>
      <c r="AJ104" s="1904"/>
      <c r="AK104" s="1906"/>
      <c r="AL104" s="1901"/>
      <c r="AM104" s="1972"/>
      <c r="AN104" s="1972"/>
      <c r="AO104" s="1972"/>
      <c r="AP104" s="1972"/>
      <c r="AQ104" s="1972"/>
      <c r="AR104" s="1972"/>
      <c r="AS104" s="1972"/>
      <c r="AT104" s="1972"/>
      <c r="AU104" s="1972"/>
      <c r="AV104" s="1972"/>
      <c r="AW104" s="1972"/>
      <c r="AX104" s="1972"/>
      <c r="AY104" s="1972"/>
      <c r="AZ104" s="1972"/>
      <c r="BA104" s="1972"/>
      <c r="BB104" s="1972"/>
      <c r="BH104" s="2004"/>
      <c r="BI104" s="2004"/>
      <c r="BM104" s="2004"/>
      <c r="BN104" s="2004">
        <f>31680/3/1000</f>
        <v>10.56</v>
      </c>
    </row>
    <row r="105" spans="1:66" s="1780" customFormat="1" ht="31.5">
      <c r="A105" s="1885"/>
      <c r="B105" s="1974"/>
      <c r="C105" s="1975"/>
      <c r="D105" s="1976"/>
      <c r="E105" s="1965"/>
      <c r="F105" s="1965"/>
      <c r="G105" s="1914"/>
      <c r="H105" s="1965" t="s">
        <v>1427</v>
      </c>
      <c r="I105" s="1951">
        <v>42517</v>
      </c>
      <c r="J105" s="1965" t="s">
        <v>1401</v>
      </c>
      <c r="K105" s="1967" t="s">
        <v>1765</v>
      </c>
      <c r="L105" s="1973" t="s">
        <v>193</v>
      </c>
      <c r="M105" s="1976" t="s">
        <v>1402</v>
      </c>
      <c r="N105" s="1896"/>
      <c r="O105" s="1941">
        <v>34925000</v>
      </c>
      <c r="P105" s="1917">
        <f>N105+O105</f>
        <v>34925000</v>
      </c>
      <c r="Q105" s="1969"/>
      <c r="R105" s="1969"/>
      <c r="S105" s="1969"/>
      <c r="T105" s="1969"/>
      <c r="U105" s="1969"/>
      <c r="V105" s="1960">
        <f>P105</f>
        <v>34925000</v>
      </c>
      <c r="W105" s="1919" t="s">
        <v>3072</v>
      </c>
      <c r="X105" s="1920">
        <v>42678</v>
      </c>
      <c r="Y105" s="1970">
        <v>42684</v>
      </c>
      <c r="Z105" s="1917">
        <f>V105</f>
        <v>34925000</v>
      </c>
      <c r="AA105" s="2641">
        <v>1</v>
      </c>
      <c r="AB105" s="1901">
        <f t="shared" si="11"/>
        <v>-34925000</v>
      </c>
      <c r="AC105" s="1919"/>
      <c r="AD105" s="1977"/>
      <c r="AE105" s="1903">
        <v>1</v>
      </c>
      <c r="AF105" s="1904"/>
      <c r="AG105" s="1904"/>
      <c r="AH105" s="1971">
        <f>V105</f>
        <v>34925000</v>
      </c>
      <c r="AI105" s="1904"/>
      <c r="AJ105" s="1904"/>
      <c r="AK105" s="1906"/>
      <c r="AL105" s="1919"/>
      <c r="AM105" s="1972"/>
      <c r="AN105" s="1972"/>
      <c r="AO105" s="1972"/>
      <c r="AP105" s="1972"/>
      <c r="AQ105" s="1972"/>
      <c r="AR105" s="1972"/>
      <c r="AS105" s="1972"/>
      <c r="AT105" s="1972"/>
      <c r="AU105" s="1972"/>
      <c r="AV105" s="1972"/>
      <c r="AW105" s="1972"/>
      <c r="AX105" s="1972"/>
      <c r="AY105" s="1972"/>
      <c r="AZ105" s="1972"/>
      <c r="BA105" s="1972"/>
      <c r="BB105" s="1972"/>
      <c r="BH105" s="2004"/>
      <c r="BI105" s="2004"/>
      <c r="BM105" s="2004"/>
      <c r="BN105" s="2004"/>
    </row>
    <row r="106" spans="1:66" s="1000" customFormat="1">
      <c r="A106" s="988"/>
      <c r="B106" s="989"/>
      <c r="C106" s="990"/>
      <c r="D106" s="991"/>
      <c r="E106" s="992"/>
      <c r="F106" s="655">
        <f>F104</f>
        <v>332811600</v>
      </c>
      <c r="G106" s="657">
        <f>G104</f>
        <v>332811600</v>
      </c>
      <c r="H106" s="992"/>
      <c r="I106" s="993"/>
      <c r="J106" s="992"/>
      <c r="K106" s="994"/>
      <c r="L106" s="995"/>
      <c r="M106" s="991"/>
      <c r="N106" s="996"/>
      <c r="O106" s="1001">
        <f>SUM(O104:O105)</f>
        <v>332811600</v>
      </c>
      <c r="P106" s="1001">
        <f>SUM(P104:P105)</f>
        <v>332811600</v>
      </c>
      <c r="Q106" s="1001">
        <f t="shared" ref="Q106:V106" si="13">SUM(Q104:Q105)</f>
        <v>0</v>
      </c>
      <c r="R106" s="1001">
        <f t="shared" si="13"/>
        <v>0</v>
      </c>
      <c r="S106" s="1001">
        <f t="shared" si="13"/>
        <v>0</v>
      </c>
      <c r="T106" s="1001">
        <f t="shared" si="13"/>
        <v>0</v>
      </c>
      <c r="U106" s="1001">
        <f t="shared" si="13"/>
        <v>0</v>
      </c>
      <c r="V106" s="1001">
        <f t="shared" si="13"/>
        <v>332811600</v>
      </c>
      <c r="W106" s="882"/>
      <c r="X106" s="1264"/>
      <c r="Y106" s="997"/>
      <c r="Z106" s="1001">
        <f>SUM(Z104:Z105)</f>
        <v>332811600</v>
      </c>
      <c r="AA106" s="1265"/>
      <c r="AB106" s="1002">
        <f t="shared" si="11"/>
        <v>0</v>
      </c>
      <c r="AC106" s="882"/>
      <c r="AD106" s="998"/>
      <c r="AE106" s="1382"/>
      <c r="AF106" s="38"/>
      <c r="AG106" s="38"/>
      <c r="AH106" s="38"/>
      <c r="AI106" s="38"/>
      <c r="AJ106" s="38"/>
      <c r="AK106" s="383"/>
      <c r="AL106" s="882"/>
      <c r="AM106" s="999"/>
      <c r="AN106" s="999"/>
      <c r="AO106" s="999"/>
      <c r="AP106" s="999"/>
      <c r="AQ106" s="999"/>
      <c r="AR106" s="999"/>
      <c r="AS106" s="999"/>
      <c r="AT106" s="999"/>
      <c r="AU106" s="999"/>
      <c r="AV106" s="999"/>
      <c r="AW106" s="999"/>
      <c r="AX106" s="999"/>
      <c r="AY106" s="999"/>
      <c r="AZ106" s="999"/>
      <c r="BA106" s="999"/>
      <c r="BB106" s="999"/>
      <c r="BH106" s="2006"/>
      <c r="BI106" s="2006"/>
      <c r="BM106" s="2006"/>
      <c r="BN106" s="2006"/>
    </row>
    <row r="107" spans="1:66" s="63" customFormat="1" ht="15.75" customHeight="1" thickBot="1">
      <c r="A107" s="121"/>
      <c r="B107" s="122"/>
      <c r="C107" s="123"/>
      <c r="D107" s="124"/>
      <c r="E107" s="125"/>
      <c r="F107" s="125"/>
      <c r="G107" s="300"/>
      <c r="H107" s="125"/>
      <c r="I107" s="300"/>
      <c r="J107" s="133"/>
      <c r="K107" s="133"/>
      <c r="L107" s="133"/>
      <c r="M107" s="134"/>
      <c r="N107" s="329"/>
      <c r="O107" s="330"/>
      <c r="P107" s="57">
        <f>N107+O107</f>
        <v>0</v>
      </c>
      <c r="Q107" s="117"/>
      <c r="R107" s="117"/>
      <c r="S107" s="117"/>
      <c r="T107" s="117"/>
      <c r="U107" s="117"/>
      <c r="V107" s="59">
        <f>+P107</f>
        <v>0</v>
      </c>
      <c r="W107" s="145"/>
      <c r="X107" s="146"/>
      <c r="Y107" s="146"/>
      <c r="Z107" s="57"/>
      <c r="AA107" s="332"/>
      <c r="AB107" s="46"/>
      <c r="AC107" s="46"/>
      <c r="AD107" s="46"/>
      <c r="AE107" s="1382"/>
      <c r="AF107" s="38"/>
      <c r="AG107" s="38"/>
      <c r="AH107" s="38"/>
      <c r="AI107" s="38"/>
      <c r="AJ107" s="38"/>
      <c r="AK107" s="383"/>
      <c r="AL107" s="46"/>
      <c r="AM107" s="384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2"/>
      <c r="BH107" s="2002"/>
      <c r="BI107" s="2002"/>
      <c r="BM107" s="2002"/>
      <c r="BN107" s="2002"/>
    </row>
    <row r="108" spans="1:66" s="55" customFormat="1" ht="15.75" customHeight="1" thickBot="1">
      <c r="A108" s="2703" t="str">
        <f>B83</f>
        <v>001.DIST/AI-R/BRU/2016/M</v>
      </c>
      <c r="B108" s="2704"/>
      <c r="C108" s="2704"/>
      <c r="D108" s="2705"/>
      <c r="E108" s="65">
        <f>+E85+E87+E89+E91+E96+E98+E100+E102+E106</f>
        <v>0</v>
      </c>
      <c r="F108" s="65">
        <f>+F85+F87+F89+F91+F96+F98+F100+F102+F106</f>
        <v>1801201878</v>
      </c>
      <c r="G108" s="65">
        <f>+G85+G87+G89+G91+G96+G98+G100+G102+G106</f>
        <v>1801201878</v>
      </c>
      <c r="H108" s="65"/>
      <c r="I108" s="65"/>
      <c r="J108" s="65"/>
      <c r="K108" s="66"/>
      <c r="L108" s="94"/>
      <c r="M108" s="67"/>
      <c r="N108" s="65">
        <f>+N85+N87+N89+N94+N96+N98+N100+N102+N106</f>
        <v>126434000</v>
      </c>
      <c r="O108" s="65">
        <f t="shared" ref="O108:V108" si="14">+O85+O87+O89+O94+O96+O98+O100+O102+O106</f>
        <v>1572271278</v>
      </c>
      <c r="P108" s="65">
        <f t="shared" si="14"/>
        <v>1698705278</v>
      </c>
      <c r="Q108" s="65">
        <f t="shared" si="14"/>
        <v>0</v>
      </c>
      <c r="R108" s="65">
        <f t="shared" si="14"/>
        <v>0</v>
      </c>
      <c r="S108" s="65">
        <f t="shared" si="14"/>
        <v>0</v>
      </c>
      <c r="T108" s="65">
        <f t="shared" si="14"/>
        <v>0</v>
      </c>
      <c r="U108" s="65">
        <f t="shared" si="14"/>
        <v>0</v>
      </c>
      <c r="V108" s="65">
        <f t="shared" si="14"/>
        <v>1698705278</v>
      </c>
      <c r="W108" s="1257"/>
      <c r="X108" s="1258"/>
      <c r="Y108" s="1258"/>
      <c r="Z108" s="65">
        <f>+Z85+Z87+Z89+Z94+Z96+Z98+Z100+Z102+Z106</f>
        <v>1143872318</v>
      </c>
      <c r="AA108" s="65"/>
      <c r="AB108" s="65">
        <f>+AB85+AB87+AB89+AB94+AB96+AB98+AB100+AB102+AB106</f>
        <v>102496600</v>
      </c>
      <c r="AC108" s="65"/>
      <c r="AD108" s="76"/>
      <c r="AE108" s="1382"/>
      <c r="AF108" s="38"/>
      <c r="AG108" s="38"/>
      <c r="AH108" s="38"/>
      <c r="AI108" s="38"/>
      <c r="AJ108" s="38"/>
      <c r="AK108" s="383"/>
      <c r="AL108" s="65"/>
      <c r="AM108" s="385"/>
      <c r="AN108" s="100"/>
      <c r="AO108" s="100"/>
      <c r="AP108" s="74"/>
      <c r="AQ108" s="74"/>
      <c r="AR108" s="74"/>
      <c r="AS108" s="74"/>
      <c r="AT108" s="64"/>
      <c r="AU108" s="101" t="e">
        <f>SUM(#REF!)</f>
        <v>#REF!</v>
      </c>
      <c r="AV108" s="101">
        <f t="shared" ref="AV108:BB108" si="15">SUM(AV107:AV107)</f>
        <v>0</v>
      </c>
      <c r="AW108" s="101">
        <f t="shared" si="15"/>
        <v>0</v>
      </c>
      <c r="AX108" s="101">
        <f t="shared" si="15"/>
        <v>0</v>
      </c>
      <c r="AY108" s="101">
        <f t="shared" si="15"/>
        <v>0</v>
      </c>
      <c r="AZ108" s="101">
        <f t="shared" si="15"/>
        <v>0</v>
      </c>
      <c r="BA108" s="101">
        <f t="shared" si="15"/>
        <v>0</v>
      </c>
      <c r="BB108" s="102">
        <f t="shared" si="15"/>
        <v>0</v>
      </c>
      <c r="BD108" s="56"/>
      <c r="BH108" s="2003"/>
      <c r="BI108" s="2003"/>
      <c r="BM108" s="2003"/>
      <c r="BN108" s="2003"/>
    </row>
    <row r="109" spans="1:66" ht="15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3"/>
      <c r="K109" s="5"/>
      <c r="L109" s="5"/>
      <c r="M109" s="5"/>
      <c r="N109" s="96"/>
      <c r="O109" s="96"/>
      <c r="P109" s="97"/>
      <c r="Q109" s="9"/>
      <c r="R109" s="9"/>
      <c r="S109" s="9"/>
      <c r="T109" s="9"/>
      <c r="U109" s="9"/>
      <c r="V109" s="136"/>
      <c r="W109" s="1242"/>
      <c r="X109" s="1242"/>
      <c r="Y109" s="1242"/>
      <c r="Z109" s="1256"/>
      <c r="AA109" s="1256"/>
      <c r="AB109" s="391"/>
      <c r="AC109" s="391"/>
      <c r="AD109" s="391"/>
      <c r="AE109" s="1382"/>
      <c r="AF109" s="38"/>
      <c r="AG109" s="38"/>
      <c r="AH109" s="38"/>
      <c r="AI109" s="38"/>
      <c r="AJ109" s="38"/>
      <c r="AK109" s="383"/>
      <c r="AL109" s="391"/>
      <c r="AM109" s="382"/>
      <c r="AN109" s="98"/>
      <c r="AO109" s="98"/>
      <c r="AP109" s="98"/>
      <c r="AQ109" s="98"/>
      <c r="AR109" s="98"/>
      <c r="AS109" s="98"/>
      <c r="AT109" s="99"/>
      <c r="AU109" s="78"/>
      <c r="AV109" s="78"/>
      <c r="AW109" s="78"/>
      <c r="AX109" s="78"/>
      <c r="AY109" s="78"/>
      <c r="AZ109" s="78"/>
      <c r="BA109" s="78"/>
      <c r="BB109" s="78"/>
    </row>
    <row r="110" spans="1:66" s="1779" customFormat="1" ht="47.25">
      <c r="A110" s="1869">
        <v>4</v>
      </c>
      <c r="B110" s="1870" t="s">
        <v>541</v>
      </c>
      <c r="C110" s="1852" t="s">
        <v>542</v>
      </c>
      <c r="D110" s="1853" t="s">
        <v>548</v>
      </c>
      <c r="E110" s="1855"/>
      <c r="F110" s="1855">
        <v>794047081</v>
      </c>
      <c r="G110" s="1855">
        <f>E110+F110</f>
        <v>794047081</v>
      </c>
      <c r="H110" s="1871" t="s">
        <v>1184</v>
      </c>
      <c r="I110" s="1872">
        <v>42489</v>
      </c>
      <c r="J110" s="1873" t="s">
        <v>1160</v>
      </c>
      <c r="K110" s="1858" t="s">
        <v>1775</v>
      </c>
      <c r="L110" s="1867" t="s">
        <v>193</v>
      </c>
      <c r="M110" s="1874" t="s">
        <v>1161</v>
      </c>
      <c r="N110" s="1875">
        <v>0</v>
      </c>
      <c r="O110" s="1876">
        <v>52444480</v>
      </c>
      <c r="P110" s="1861">
        <f t="shared" ref="P110:P128" si="16">N110+O110</f>
        <v>52444480</v>
      </c>
      <c r="Q110" s="1877"/>
      <c r="R110" s="1877"/>
      <c r="S110" s="1877"/>
      <c r="T110" s="1877"/>
      <c r="U110" s="1877"/>
      <c r="V110" s="1863">
        <f t="shared" ref="V110:V115" si="17">P110</f>
        <v>52444480</v>
      </c>
      <c r="W110" s="1824" t="s">
        <v>2000</v>
      </c>
      <c r="X110" s="1878">
        <v>42552</v>
      </c>
      <c r="Y110" s="1879">
        <v>42576</v>
      </c>
      <c r="Z110" s="1863">
        <f>V110</f>
        <v>52444480</v>
      </c>
      <c r="AA110" s="2641">
        <v>1</v>
      </c>
      <c r="AB110" s="1824">
        <f t="shared" ref="AB110:AB154" si="18">+G110-P110</f>
        <v>741602601</v>
      </c>
      <c r="AC110" s="1824"/>
      <c r="AD110" s="1828"/>
      <c r="AE110" s="1827"/>
      <c r="AF110" s="1828"/>
      <c r="AG110" s="1828"/>
      <c r="AH110" s="1828"/>
      <c r="AI110" s="1828"/>
      <c r="AJ110" s="1839"/>
      <c r="AK110" s="1830"/>
      <c r="AL110" s="1824"/>
      <c r="AM110" s="1830"/>
      <c r="AN110" s="1880"/>
      <c r="AO110" s="1880"/>
      <c r="AP110" s="1880"/>
      <c r="AQ110" s="1880"/>
      <c r="AR110" s="1880"/>
      <c r="AS110" s="1880"/>
      <c r="AT110" s="1881"/>
      <c r="AU110" s="1880"/>
      <c r="AV110" s="1880"/>
      <c r="AW110" s="1880"/>
      <c r="AX110" s="1880"/>
      <c r="AY110" s="1880"/>
      <c r="AZ110" s="1880"/>
      <c r="BA110" s="1880"/>
      <c r="BB110" s="1880"/>
      <c r="BH110" s="2000"/>
      <c r="BI110" s="2000">
        <f>4604.1/3/1000</f>
        <v>1.5347</v>
      </c>
      <c r="BM110" s="2000"/>
      <c r="BN110" s="2000"/>
    </row>
    <row r="111" spans="1:66" s="1779" customFormat="1" ht="47.25">
      <c r="A111" s="1869"/>
      <c r="B111" s="1870" t="s">
        <v>931</v>
      </c>
      <c r="C111" s="1852"/>
      <c r="D111" s="1853"/>
      <c r="E111" s="1854"/>
      <c r="F111" s="1854"/>
      <c r="G111" s="1855"/>
      <c r="H111" s="1871" t="s">
        <v>1486</v>
      </c>
      <c r="I111" s="1856">
        <v>42520</v>
      </c>
      <c r="J111" s="1873" t="s">
        <v>1430</v>
      </c>
      <c r="K111" s="1857" t="s">
        <v>2515</v>
      </c>
      <c r="L111" s="1867" t="s">
        <v>1736</v>
      </c>
      <c r="M111" s="1859" t="s">
        <v>1432</v>
      </c>
      <c r="N111" s="1860"/>
      <c r="O111" s="1843">
        <v>284163000</v>
      </c>
      <c r="P111" s="1861">
        <f t="shared" si="16"/>
        <v>284163000</v>
      </c>
      <c r="Q111" s="1862"/>
      <c r="R111" s="1862"/>
      <c r="S111" s="1862"/>
      <c r="T111" s="1862"/>
      <c r="U111" s="1862"/>
      <c r="V111" s="1863">
        <f t="shared" si="17"/>
        <v>284163000</v>
      </c>
      <c r="W111" s="1820"/>
      <c r="X111" s="1821"/>
      <c r="Y111" s="1836"/>
      <c r="Z111" s="1822"/>
      <c r="AA111" s="1864"/>
      <c r="AB111" s="1824">
        <f t="shared" si="18"/>
        <v>-284163000</v>
      </c>
      <c r="AC111" s="1824"/>
      <c r="AD111" s="1828"/>
      <c r="AE111" s="1827">
        <v>0</v>
      </c>
      <c r="AF111" s="1828"/>
      <c r="AG111" s="1828"/>
      <c r="AH111" s="1828"/>
      <c r="AI111" s="1828"/>
      <c r="AJ111" s="1839">
        <f>V111</f>
        <v>284163000</v>
      </c>
      <c r="AK111" s="1830"/>
      <c r="AL111" s="1824"/>
      <c r="AM111" s="1865"/>
      <c r="AN111" s="1865"/>
      <c r="AO111" s="1865"/>
      <c r="AP111" s="1865"/>
      <c r="AQ111" s="1865"/>
      <c r="AR111" s="1865"/>
      <c r="AS111" s="1865"/>
      <c r="AT111" s="1865"/>
      <c r="AU111" s="1865"/>
      <c r="AV111" s="1865"/>
      <c r="AW111" s="1865"/>
      <c r="AX111" s="1865"/>
      <c r="AY111" s="1865"/>
      <c r="AZ111" s="1865"/>
      <c r="BA111" s="1865"/>
      <c r="BB111" s="1865"/>
      <c r="BH111" s="2000">
        <f>12057/1000</f>
        <v>12.057</v>
      </c>
      <c r="BI111" s="2000"/>
      <c r="BM111" s="2000"/>
      <c r="BN111" s="2000"/>
    </row>
    <row r="112" spans="1:66" s="1779" customFormat="1" ht="47.25">
      <c r="A112" s="1869"/>
      <c r="B112" s="1882">
        <v>42432</v>
      </c>
      <c r="C112" s="1852"/>
      <c r="D112" s="1853"/>
      <c r="E112" s="1854"/>
      <c r="F112" s="1854"/>
      <c r="G112" s="1855"/>
      <c r="H112" s="1871" t="s">
        <v>1488</v>
      </c>
      <c r="I112" s="1856">
        <v>42520</v>
      </c>
      <c r="J112" s="1873" t="s">
        <v>1431</v>
      </c>
      <c r="K112" s="1857" t="s">
        <v>2516</v>
      </c>
      <c r="L112" s="1867" t="s">
        <v>1737</v>
      </c>
      <c r="M112" s="1859" t="s">
        <v>1433</v>
      </c>
      <c r="N112" s="1860"/>
      <c r="O112" s="1843">
        <v>172583400</v>
      </c>
      <c r="P112" s="1861">
        <f t="shared" si="16"/>
        <v>172583400</v>
      </c>
      <c r="Q112" s="1862"/>
      <c r="R112" s="1862"/>
      <c r="S112" s="1862"/>
      <c r="T112" s="1862"/>
      <c r="U112" s="1862"/>
      <c r="V112" s="1863">
        <f t="shared" si="17"/>
        <v>172583400</v>
      </c>
      <c r="W112" s="1820"/>
      <c r="X112" s="1821"/>
      <c r="Y112" s="1836"/>
      <c r="Z112" s="1822"/>
      <c r="AA112" s="1864"/>
      <c r="AB112" s="1824">
        <f t="shared" si="18"/>
        <v>-172583400</v>
      </c>
      <c r="AC112" s="1824"/>
      <c r="AD112" s="1828"/>
      <c r="AE112" s="1827">
        <v>0</v>
      </c>
      <c r="AF112" s="1828"/>
      <c r="AG112" s="1828"/>
      <c r="AH112" s="1828"/>
      <c r="AI112" s="1828"/>
      <c r="AJ112" s="1839">
        <f>V112</f>
        <v>172583400</v>
      </c>
      <c r="AK112" s="1830"/>
      <c r="AL112" s="1824"/>
      <c r="AM112" s="1865"/>
      <c r="AN112" s="1865"/>
      <c r="AO112" s="1865"/>
      <c r="AP112" s="1865"/>
      <c r="AQ112" s="1865"/>
      <c r="AR112" s="1865"/>
      <c r="AS112" s="1865"/>
      <c r="AT112" s="1865"/>
      <c r="AU112" s="1865"/>
      <c r="AV112" s="1865"/>
      <c r="AW112" s="1865"/>
      <c r="AX112" s="1865"/>
      <c r="AY112" s="1865"/>
      <c r="AZ112" s="1865"/>
      <c r="BA112" s="1865"/>
      <c r="BB112" s="1865"/>
      <c r="BF112" s="1779">
        <v>7</v>
      </c>
      <c r="BG112" s="1779">
        <f>(2*50)+(5*100)</f>
        <v>600</v>
      </c>
      <c r="BH112" s="2000"/>
      <c r="BI112" s="2000"/>
      <c r="BM112" s="2000"/>
      <c r="BN112" s="2000"/>
    </row>
    <row r="113" spans="1:66" s="1779" customFormat="1" ht="47.25">
      <c r="A113" s="1869"/>
      <c r="B113" s="1882"/>
      <c r="C113" s="1852"/>
      <c r="D113" s="1853"/>
      <c r="E113" s="1854"/>
      <c r="F113" s="1854"/>
      <c r="G113" s="1855"/>
      <c r="H113" s="1871" t="s">
        <v>1638</v>
      </c>
      <c r="I113" s="1856">
        <v>42544</v>
      </c>
      <c r="J113" s="1873" t="s">
        <v>1627</v>
      </c>
      <c r="K113" s="1858" t="s">
        <v>2167</v>
      </c>
      <c r="L113" s="1867" t="s">
        <v>193</v>
      </c>
      <c r="M113" s="1859" t="s">
        <v>2165</v>
      </c>
      <c r="N113" s="1860">
        <v>26730000</v>
      </c>
      <c r="O113" s="1843"/>
      <c r="P113" s="1861">
        <f t="shared" si="16"/>
        <v>26730000</v>
      </c>
      <c r="Q113" s="1862"/>
      <c r="R113" s="1862"/>
      <c r="S113" s="1862"/>
      <c r="T113" s="1862"/>
      <c r="U113" s="1862"/>
      <c r="V113" s="1863">
        <f t="shared" si="17"/>
        <v>26730000</v>
      </c>
      <c r="W113" s="1820" t="s">
        <v>2754</v>
      </c>
      <c r="X113" s="1821">
        <v>42640</v>
      </c>
      <c r="Y113" s="1836">
        <v>42648</v>
      </c>
      <c r="Z113" s="1822">
        <f>V113</f>
        <v>26730000</v>
      </c>
      <c r="AA113" s="2641">
        <v>1</v>
      </c>
      <c r="AB113" s="1824">
        <f t="shared" si="18"/>
        <v>-26730000</v>
      </c>
      <c r="AC113" s="1824"/>
      <c r="AD113" s="1828"/>
      <c r="AE113" s="1827">
        <v>0.8</v>
      </c>
      <c r="AF113" s="1828"/>
      <c r="AG113" s="1828"/>
      <c r="AH113" s="1828"/>
      <c r="AI113" s="1839">
        <f>V113</f>
        <v>26730000</v>
      </c>
      <c r="AJ113" s="1828"/>
      <c r="AK113" s="1830"/>
      <c r="AL113" s="1824"/>
      <c r="AM113" s="1865"/>
      <c r="AN113" s="1865"/>
      <c r="AO113" s="1865"/>
      <c r="AP113" s="1865"/>
      <c r="AQ113" s="1865"/>
      <c r="AR113" s="1865"/>
      <c r="AS113" s="1865"/>
      <c r="AT113" s="1865"/>
      <c r="AU113" s="1865"/>
      <c r="AV113" s="1865"/>
      <c r="AW113" s="1865"/>
      <c r="AX113" s="1865"/>
      <c r="AY113" s="1865"/>
      <c r="AZ113" s="1865"/>
      <c r="BA113" s="1865"/>
      <c r="BB113" s="1865"/>
      <c r="BH113" s="2000"/>
      <c r="BI113" s="2000"/>
      <c r="BM113" s="2000"/>
      <c r="BN113" s="2000"/>
    </row>
    <row r="114" spans="1:66" s="1779" customFormat="1" ht="47.25">
      <c r="A114" s="1869"/>
      <c r="B114" s="1882"/>
      <c r="C114" s="1852"/>
      <c r="D114" s="1853"/>
      <c r="E114" s="1854"/>
      <c r="F114" s="1854"/>
      <c r="G114" s="1855"/>
      <c r="H114" s="1871" t="s">
        <v>2755</v>
      </c>
      <c r="I114" s="1856">
        <v>42661</v>
      </c>
      <c r="J114" s="1873" t="s">
        <v>2753</v>
      </c>
      <c r="K114" s="1858" t="s">
        <v>3092</v>
      </c>
      <c r="L114" s="1867" t="s">
        <v>1736</v>
      </c>
      <c r="M114" s="1859" t="s">
        <v>2192</v>
      </c>
      <c r="N114" s="1860"/>
      <c r="O114" s="1843">
        <v>183047700</v>
      </c>
      <c r="P114" s="1861">
        <f t="shared" si="16"/>
        <v>183047700</v>
      </c>
      <c r="Q114" s="1862"/>
      <c r="R114" s="1862"/>
      <c r="S114" s="1862"/>
      <c r="T114" s="1862"/>
      <c r="U114" s="1862"/>
      <c r="V114" s="1863">
        <f t="shared" si="17"/>
        <v>183047700</v>
      </c>
      <c r="W114" s="1820"/>
      <c r="X114" s="1821"/>
      <c r="Y114" s="1836"/>
      <c r="Z114" s="1822"/>
      <c r="AA114" s="1864"/>
      <c r="AB114" s="1824">
        <f t="shared" si="18"/>
        <v>-183047700</v>
      </c>
      <c r="AC114" s="1824"/>
      <c r="AD114" s="1828"/>
      <c r="AE114" s="1827">
        <v>0</v>
      </c>
      <c r="AF114" s="1828"/>
      <c r="AG114" s="1828"/>
      <c r="AH114" s="1828"/>
      <c r="AI114" s="1828"/>
      <c r="AJ114" s="1839">
        <f>P114</f>
        <v>183047700</v>
      </c>
      <c r="AK114" s="1830"/>
      <c r="AL114" s="1824"/>
      <c r="AM114" s="1865"/>
      <c r="AN114" s="1865"/>
      <c r="AO114" s="1865"/>
      <c r="AP114" s="1865"/>
      <c r="AQ114" s="1865"/>
      <c r="AR114" s="1865"/>
      <c r="AS114" s="1865"/>
      <c r="AT114" s="1865"/>
      <c r="AU114" s="1865"/>
      <c r="AV114" s="1865"/>
      <c r="AW114" s="1865"/>
      <c r="AX114" s="1865"/>
      <c r="AY114" s="1865"/>
      <c r="AZ114" s="1865"/>
      <c r="BA114" s="1865"/>
      <c r="BB114" s="1865"/>
      <c r="BH114" s="2000"/>
      <c r="BI114" s="2000"/>
      <c r="BM114" s="2000"/>
      <c r="BN114" s="2000"/>
    </row>
    <row r="115" spans="1:66" s="1779" customFormat="1" ht="47.25">
      <c r="A115" s="1869"/>
      <c r="B115" s="1882"/>
      <c r="C115" s="1852"/>
      <c r="D115" s="1853"/>
      <c r="E115" s="1854"/>
      <c r="F115" s="1854"/>
      <c r="G115" s="1855"/>
      <c r="H115" s="1871" t="s">
        <v>2940</v>
      </c>
      <c r="I115" s="1856">
        <v>42674</v>
      </c>
      <c r="J115" s="1873" t="s">
        <v>2861</v>
      </c>
      <c r="K115" s="1858" t="s">
        <v>3329</v>
      </c>
      <c r="L115" s="1867" t="s">
        <v>2184</v>
      </c>
      <c r="M115" s="1859" t="s">
        <v>2862</v>
      </c>
      <c r="N115" s="1860"/>
      <c r="O115" s="1843">
        <v>55707300</v>
      </c>
      <c r="P115" s="1861">
        <f t="shared" si="16"/>
        <v>55707300</v>
      </c>
      <c r="Q115" s="1862"/>
      <c r="R115" s="1862"/>
      <c r="S115" s="1862"/>
      <c r="T115" s="1862"/>
      <c r="U115" s="1862"/>
      <c r="V115" s="1863">
        <f t="shared" si="17"/>
        <v>55707300</v>
      </c>
      <c r="W115" s="1820" t="s">
        <v>3515</v>
      </c>
      <c r="X115" s="1821">
        <v>42728</v>
      </c>
      <c r="Y115" s="1836">
        <v>42731</v>
      </c>
      <c r="Z115" s="1822">
        <f>V115</f>
        <v>55707300</v>
      </c>
      <c r="AA115" s="2641">
        <v>1</v>
      </c>
      <c r="AB115" s="1824">
        <f t="shared" si="18"/>
        <v>-55707300</v>
      </c>
      <c r="AC115" s="1824"/>
      <c r="AD115" s="1828"/>
      <c r="AE115" s="1827"/>
      <c r="AF115" s="1828"/>
      <c r="AG115" s="1828"/>
      <c r="AH115" s="1828"/>
      <c r="AI115" s="1828"/>
      <c r="AJ115" s="1839"/>
      <c r="AK115" s="1830"/>
      <c r="AL115" s="1824"/>
      <c r="AM115" s="1865"/>
      <c r="AN115" s="1865"/>
      <c r="AO115" s="1865"/>
      <c r="AP115" s="1865"/>
      <c r="AQ115" s="1865"/>
      <c r="AR115" s="1865"/>
      <c r="AS115" s="1865"/>
      <c r="AT115" s="1865"/>
      <c r="AU115" s="1865"/>
      <c r="AV115" s="1865"/>
      <c r="AW115" s="1865"/>
      <c r="AX115" s="1865"/>
      <c r="AY115" s="1865"/>
      <c r="AZ115" s="1865"/>
      <c r="BA115" s="1865"/>
      <c r="BB115" s="1865"/>
      <c r="BH115" s="2000"/>
      <c r="BI115" s="2000"/>
      <c r="BM115" s="2000"/>
      <c r="BN115" s="2000"/>
    </row>
    <row r="116" spans="1:66">
      <c r="A116" s="291"/>
      <c r="B116" s="564"/>
      <c r="C116" s="301"/>
      <c r="D116" s="302"/>
      <c r="E116" s="169"/>
      <c r="F116" s="169"/>
      <c r="G116" s="26"/>
      <c r="H116" s="380"/>
      <c r="I116" s="319" t="s">
        <v>2950</v>
      </c>
      <c r="J116" s="303"/>
      <c r="K116" s="454"/>
      <c r="L116" s="294"/>
      <c r="M116" s="1487"/>
      <c r="N116" s="184"/>
      <c r="O116" s="229"/>
      <c r="P116" s="139"/>
      <c r="Q116" s="296"/>
      <c r="R116" s="296"/>
      <c r="S116" s="296"/>
      <c r="T116" s="296"/>
      <c r="U116" s="296"/>
      <c r="V116" s="144"/>
      <c r="W116" s="297"/>
      <c r="X116" s="424"/>
      <c r="Y116" s="298"/>
      <c r="Z116" s="295"/>
      <c r="AA116" s="1254"/>
      <c r="AB116" s="59"/>
      <c r="AC116" s="59"/>
      <c r="AD116" s="38"/>
      <c r="AE116" s="1382"/>
      <c r="AF116" s="38"/>
      <c r="AG116" s="38"/>
      <c r="AH116" s="38"/>
      <c r="AI116" s="38"/>
      <c r="AJ116" s="48"/>
      <c r="AK116" s="383"/>
      <c r="AL116" s="59"/>
      <c r="AM116" s="299"/>
      <c r="AN116" s="299"/>
      <c r="AO116" s="299"/>
      <c r="AP116" s="299"/>
      <c r="AQ116" s="299"/>
      <c r="AR116" s="299"/>
      <c r="AS116" s="299"/>
      <c r="AT116" s="299"/>
      <c r="AU116" s="299"/>
      <c r="AV116" s="299"/>
      <c r="AW116" s="299"/>
      <c r="AX116" s="299"/>
      <c r="AY116" s="299"/>
      <c r="AZ116" s="299"/>
      <c r="BA116" s="299"/>
      <c r="BB116" s="299"/>
    </row>
    <row r="117" spans="1:66">
      <c r="A117" s="291"/>
      <c r="B117" s="153"/>
      <c r="C117" s="301"/>
      <c r="D117" s="302"/>
      <c r="E117" s="169"/>
      <c r="F117" s="169"/>
      <c r="G117" s="26"/>
      <c r="H117" s="380"/>
      <c r="I117" s="319"/>
      <c r="J117" s="303"/>
      <c r="K117" s="293"/>
      <c r="L117" s="294"/>
      <c r="M117" s="331"/>
      <c r="N117" s="184"/>
      <c r="O117" s="158"/>
      <c r="P117" s="139"/>
      <c r="Q117" s="296"/>
      <c r="R117" s="296"/>
      <c r="S117" s="296"/>
      <c r="T117" s="296"/>
      <c r="U117" s="296"/>
      <c r="V117" s="144"/>
      <c r="W117" s="297"/>
      <c r="X117" s="424"/>
      <c r="Y117" s="298"/>
      <c r="Z117" s="295"/>
      <c r="AA117" s="1254"/>
      <c r="AB117" s="59"/>
      <c r="AC117" s="59"/>
      <c r="AD117" s="38"/>
      <c r="AE117" s="1382"/>
      <c r="AF117" s="38"/>
      <c r="AG117" s="38"/>
      <c r="AH117" s="38"/>
      <c r="AI117" s="38"/>
      <c r="AJ117" s="38"/>
      <c r="AK117" s="383"/>
      <c r="AL117" s="59"/>
      <c r="AM117" s="299"/>
      <c r="AN117" s="299"/>
      <c r="AO117" s="299"/>
      <c r="AP117" s="299"/>
      <c r="AQ117" s="299"/>
      <c r="AR117" s="299"/>
      <c r="AS117" s="299"/>
      <c r="AT117" s="299"/>
      <c r="AU117" s="299"/>
      <c r="AV117" s="299"/>
      <c r="AW117" s="299"/>
      <c r="AX117" s="299"/>
      <c r="AY117" s="299"/>
      <c r="AZ117" s="299"/>
      <c r="BA117" s="299"/>
      <c r="BB117" s="299"/>
    </row>
    <row r="118" spans="1:66" s="1000" customFormat="1">
      <c r="A118" s="1003"/>
      <c r="C118" s="1024" t="str">
        <f>C110</f>
        <v>PRK.2016.WKT-4.3.8</v>
      </c>
      <c r="D118" s="1018"/>
      <c r="E118" s="992"/>
      <c r="F118" s="655">
        <f>F110</f>
        <v>794047081</v>
      </c>
      <c r="G118" s="656">
        <f>G110</f>
        <v>794047081</v>
      </c>
      <c r="H118" s="992"/>
      <c r="I118" s="1019"/>
      <c r="J118" s="1020"/>
      <c r="K118" s="1021"/>
      <c r="L118" s="995"/>
      <c r="M118" s="995"/>
      <c r="N118" s="1029">
        <f>SUM(N110:N117)</f>
        <v>26730000</v>
      </c>
      <c r="O118" s="1029">
        <f>SUM(O110:O117)</f>
        <v>747945880</v>
      </c>
      <c r="P118" s="1029">
        <f>SUM(P110:P117)</f>
        <v>774675880</v>
      </c>
      <c r="Q118" s="1029">
        <f t="shared" ref="Q118:V118" si="19">SUM(Q110:Q117)</f>
        <v>0</v>
      </c>
      <c r="R118" s="1029">
        <f t="shared" si="19"/>
        <v>0</v>
      </c>
      <c r="S118" s="1029">
        <f t="shared" si="19"/>
        <v>0</v>
      </c>
      <c r="T118" s="1029">
        <f t="shared" si="19"/>
        <v>0</v>
      </c>
      <c r="U118" s="1029">
        <f t="shared" si="19"/>
        <v>0</v>
      </c>
      <c r="V118" s="1029">
        <f t="shared" si="19"/>
        <v>774675880</v>
      </c>
      <c r="W118" s="882"/>
      <c r="X118" s="1264"/>
      <c r="Y118" s="997"/>
      <c r="Z118" s="1029">
        <f>SUM(Z110:Z117)</f>
        <v>134881780</v>
      </c>
      <c r="AA118" s="1265"/>
      <c r="AB118" s="1002">
        <f t="shared" si="18"/>
        <v>19371201</v>
      </c>
      <c r="AC118" s="1022"/>
      <c r="AD118" s="772"/>
      <c r="AE118" s="1382"/>
      <c r="AF118" s="38"/>
      <c r="AG118" s="38"/>
      <c r="AH118" s="38"/>
      <c r="AI118" s="38"/>
      <c r="AJ118" s="38"/>
      <c r="AK118" s="383"/>
      <c r="AL118" s="1022"/>
      <c r="AM118" s="999"/>
      <c r="AN118" s="999"/>
      <c r="AO118" s="999"/>
      <c r="AP118" s="999"/>
      <c r="AQ118" s="999"/>
      <c r="AR118" s="999"/>
      <c r="AS118" s="999"/>
      <c r="AT118" s="999"/>
      <c r="AU118" s="999"/>
      <c r="AV118" s="999"/>
      <c r="AW118" s="999"/>
      <c r="AX118" s="999"/>
      <c r="AY118" s="999"/>
      <c r="AZ118" s="999"/>
      <c r="BA118" s="999"/>
      <c r="BB118" s="999"/>
      <c r="BH118" s="2006"/>
      <c r="BI118" s="2006"/>
      <c r="BM118" s="2006"/>
      <c r="BN118" s="2006"/>
    </row>
    <row r="119" spans="1:66" ht="47.25">
      <c r="A119" s="22"/>
      <c r="C119" s="301" t="s">
        <v>543</v>
      </c>
      <c r="D119" s="302" t="s">
        <v>549</v>
      </c>
      <c r="E119" s="169"/>
      <c r="F119" s="169">
        <v>1627230000</v>
      </c>
      <c r="G119" s="26">
        <f>E119+F119</f>
        <v>1627230000</v>
      </c>
      <c r="H119" s="380" t="s">
        <v>1495</v>
      </c>
      <c r="I119" s="319">
        <v>42452</v>
      </c>
      <c r="J119" s="303" t="s">
        <v>601</v>
      </c>
      <c r="K119" s="293" t="s">
        <v>1784</v>
      </c>
      <c r="L119" s="294" t="s">
        <v>43</v>
      </c>
      <c r="M119" s="1487" t="s">
        <v>604</v>
      </c>
      <c r="N119" s="184"/>
      <c r="O119" s="229">
        <v>250098750</v>
      </c>
      <c r="P119" s="139">
        <f t="shared" si="16"/>
        <v>250098750</v>
      </c>
      <c r="Q119" s="296"/>
      <c r="R119" s="296"/>
      <c r="S119" s="296"/>
      <c r="T119" s="296"/>
      <c r="U119" s="296"/>
      <c r="V119" s="144">
        <f t="shared" ref="V119:V130" si="20">P119</f>
        <v>250098750</v>
      </c>
      <c r="W119" s="297" t="s">
        <v>3162</v>
      </c>
      <c r="X119" s="424">
        <v>42690</v>
      </c>
      <c r="Y119" s="298">
        <v>42695</v>
      </c>
      <c r="Z119" s="295">
        <v>134820675</v>
      </c>
      <c r="AA119" s="1254">
        <f>(Z119/V119)*100%</f>
        <v>0.53906976744186041</v>
      </c>
      <c r="AB119" s="59">
        <f t="shared" si="18"/>
        <v>1377131250</v>
      </c>
      <c r="AC119" s="59"/>
      <c r="AD119" s="38"/>
      <c r="AE119" s="1387">
        <v>0.50509999999999999</v>
      </c>
      <c r="AF119" s="1388"/>
      <c r="AG119" s="1388"/>
      <c r="AH119" s="1389">
        <f>+AE119*V119</f>
        <v>126324878.625</v>
      </c>
      <c r="AI119" s="1388"/>
      <c r="AJ119" s="1389">
        <f>+(100-50.51)%*V119</f>
        <v>123773871.375</v>
      </c>
      <c r="AK119" s="383"/>
      <c r="AL119" s="59"/>
      <c r="AM119" s="299"/>
      <c r="AN119" s="299"/>
      <c r="AO119" s="299"/>
      <c r="AP119" s="299"/>
      <c r="AQ119" s="299"/>
      <c r="AR119" s="299"/>
      <c r="AS119" s="299"/>
      <c r="AT119" s="299"/>
      <c r="AU119" s="299"/>
      <c r="AV119" s="299"/>
      <c r="AW119" s="299"/>
      <c r="AX119" s="299"/>
      <c r="AY119" s="299"/>
      <c r="AZ119" s="299"/>
      <c r="BA119" s="299"/>
      <c r="BB119" s="299"/>
    </row>
    <row r="120" spans="1:66">
      <c r="A120" s="22"/>
      <c r="C120" s="301"/>
      <c r="D120" s="302"/>
      <c r="E120" s="169"/>
      <c r="F120" s="169"/>
      <c r="G120" s="26"/>
      <c r="H120" s="380"/>
      <c r="I120" s="319"/>
      <c r="J120" s="303"/>
      <c r="K120" s="293"/>
      <c r="L120" s="294"/>
      <c r="M120" s="1723"/>
      <c r="N120" s="184"/>
      <c r="O120" s="229"/>
      <c r="P120" s="295"/>
      <c r="Q120" s="296"/>
      <c r="R120" s="296"/>
      <c r="S120" s="296"/>
      <c r="T120" s="296"/>
      <c r="U120" s="296"/>
      <c r="V120" s="144"/>
      <c r="W120" s="297" t="s">
        <v>3511</v>
      </c>
      <c r="X120" s="424">
        <v>42725</v>
      </c>
      <c r="Y120" s="298">
        <v>42727</v>
      </c>
      <c r="Z120" s="295">
        <v>34548525</v>
      </c>
      <c r="AA120" s="1254">
        <f>(Z120/V119)*100%</f>
        <v>0.13813953488372094</v>
      </c>
      <c r="AB120" s="59"/>
      <c r="AC120" s="59"/>
      <c r="AD120" s="38"/>
      <c r="AE120" s="1387"/>
      <c r="AF120" s="1388"/>
      <c r="AG120" s="1388"/>
      <c r="AH120" s="1389"/>
      <c r="AI120" s="1388"/>
      <c r="AJ120" s="1389"/>
      <c r="AK120" s="383"/>
      <c r="AL120" s="59"/>
      <c r="AM120" s="299"/>
      <c r="AN120" s="299"/>
      <c r="AO120" s="299"/>
      <c r="AP120" s="299"/>
      <c r="AQ120" s="299"/>
      <c r="AR120" s="299"/>
      <c r="AS120" s="299"/>
      <c r="AT120" s="299"/>
      <c r="AU120" s="299"/>
      <c r="AV120" s="299"/>
      <c r="AW120" s="299"/>
      <c r="AX120" s="299"/>
      <c r="AY120" s="299"/>
      <c r="AZ120" s="299"/>
      <c r="BA120" s="299"/>
      <c r="BB120" s="299"/>
    </row>
    <row r="121" spans="1:66" ht="47.25">
      <c r="A121" s="22"/>
      <c r="B121" s="292"/>
      <c r="C121" s="301"/>
      <c r="D121" s="302"/>
      <c r="E121" s="169"/>
      <c r="F121" s="169"/>
      <c r="G121" s="26"/>
      <c r="H121" s="380" t="s">
        <v>1497</v>
      </c>
      <c r="I121" s="319">
        <v>42452</v>
      </c>
      <c r="J121" s="303" t="s">
        <v>602</v>
      </c>
      <c r="K121" s="293" t="s">
        <v>1785</v>
      </c>
      <c r="L121" s="294" t="s">
        <v>1737</v>
      </c>
      <c r="M121" s="331" t="s">
        <v>603</v>
      </c>
      <c r="N121" s="184"/>
      <c r="O121" s="229">
        <v>294360000</v>
      </c>
      <c r="P121" s="295">
        <f t="shared" si="16"/>
        <v>294360000</v>
      </c>
      <c r="Q121" s="296"/>
      <c r="R121" s="296"/>
      <c r="S121" s="296"/>
      <c r="T121" s="296"/>
      <c r="U121" s="296"/>
      <c r="V121" s="144">
        <f t="shared" si="20"/>
        <v>294360000</v>
      </c>
      <c r="W121" s="297" t="s">
        <v>2222</v>
      </c>
      <c r="X121" s="424">
        <v>42611</v>
      </c>
      <c r="Y121" s="298">
        <v>42612</v>
      </c>
      <c r="Z121" s="295">
        <v>182871150</v>
      </c>
      <c r="AA121" s="1254">
        <f>(Z121/V121)*100%</f>
        <v>0.62124999999999997</v>
      </c>
      <c r="AB121" s="59">
        <f t="shared" si="18"/>
        <v>-294360000</v>
      </c>
      <c r="AC121" s="59"/>
      <c r="AD121" s="38"/>
      <c r="AE121" s="1390">
        <v>0.81379999999999997</v>
      </c>
      <c r="AF121" s="1388"/>
      <c r="AG121" s="1388"/>
      <c r="AH121" s="1389">
        <f>(+AE121-AA121)*V121</f>
        <v>56679018</v>
      </c>
      <c r="AI121" s="1388"/>
      <c r="AJ121" s="1389">
        <f>+(100-81.38)%*V121</f>
        <v>54809832.000000007</v>
      </c>
      <c r="AK121" s="383"/>
      <c r="AL121" s="59"/>
      <c r="AM121" s="299"/>
      <c r="AN121" s="299"/>
      <c r="AO121" s="299"/>
      <c r="AP121" s="299"/>
      <c r="AQ121" s="299"/>
      <c r="AR121" s="299"/>
      <c r="AS121" s="299"/>
      <c r="AT121" s="299"/>
      <c r="AU121" s="299"/>
      <c r="AV121" s="299"/>
      <c r="AW121" s="299"/>
      <c r="AX121" s="299"/>
      <c r="AY121" s="299"/>
      <c r="AZ121" s="299"/>
      <c r="BA121" s="299"/>
      <c r="BB121" s="299"/>
    </row>
    <row r="122" spans="1:66">
      <c r="A122" s="22"/>
      <c r="B122" s="292"/>
      <c r="C122" s="301"/>
      <c r="D122" s="302"/>
      <c r="E122" s="169"/>
      <c r="F122" s="169"/>
      <c r="G122" s="26"/>
      <c r="H122" s="380"/>
      <c r="I122" s="319"/>
      <c r="J122" s="303"/>
      <c r="K122" s="293"/>
      <c r="L122" s="294"/>
      <c r="M122" s="1540"/>
      <c r="N122" s="184"/>
      <c r="O122" s="229"/>
      <c r="P122" s="295"/>
      <c r="Q122" s="296"/>
      <c r="R122" s="296"/>
      <c r="S122" s="296"/>
      <c r="T122" s="296"/>
      <c r="U122" s="296"/>
      <c r="V122" s="144"/>
      <c r="W122" s="297" t="s">
        <v>3016</v>
      </c>
      <c r="X122" s="424">
        <v>42664</v>
      </c>
      <c r="Y122" s="298">
        <v>42668</v>
      </c>
      <c r="Z122" s="295">
        <v>84505850</v>
      </c>
      <c r="AA122" s="1666">
        <f>(Z122/V121)*100%</f>
        <v>0.28708333333333336</v>
      </c>
      <c r="AB122" s="59"/>
      <c r="AC122" s="59"/>
      <c r="AD122" s="38"/>
      <c r="AE122" s="1390"/>
      <c r="AF122" s="1388"/>
      <c r="AG122" s="1388"/>
      <c r="AH122" s="1389"/>
      <c r="AI122" s="1388"/>
      <c r="AJ122" s="1389"/>
      <c r="AK122" s="383"/>
      <c r="AL122" s="59"/>
      <c r="AM122" s="299"/>
      <c r="AN122" s="299"/>
      <c r="AO122" s="299"/>
      <c r="AP122" s="299"/>
      <c r="AQ122" s="299"/>
      <c r="AR122" s="299"/>
      <c r="AS122" s="299"/>
      <c r="AT122" s="299"/>
      <c r="AU122" s="299"/>
      <c r="AV122" s="299"/>
      <c r="AW122" s="299"/>
      <c r="AX122" s="299"/>
      <c r="AY122" s="299"/>
      <c r="AZ122" s="299"/>
      <c r="BA122" s="299"/>
      <c r="BB122" s="299"/>
    </row>
    <row r="123" spans="1:66">
      <c r="A123" s="22"/>
      <c r="B123" s="292"/>
      <c r="C123" s="301"/>
      <c r="D123" s="302"/>
      <c r="E123" s="169"/>
      <c r="F123" s="169"/>
      <c r="G123" s="26"/>
      <c r="H123" s="380"/>
      <c r="I123" s="319"/>
      <c r="J123" s="303"/>
      <c r="K123" s="293"/>
      <c r="L123" s="294"/>
      <c r="M123" s="1665"/>
      <c r="N123" s="184"/>
      <c r="O123" s="229"/>
      <c r="P123" s="295"/>
      <c r="Q123" s="296"/>
      <c r="R123" s="296"/>
      <c r="S123" s="296"/>
      <c r="T123" s="296"/>
      <c r="U123" s="296"/>
      <c r="V123" s="144"/>
      <c r="W123" s="297" t="s">
        <v>3164</v>
      </c>
      <c r="X123" s="424">
        <v>42698</v>
      </c>
      <c r="Y123" s="298">
        <v>42698</v>
      </c>
      <c r="Z123" s="295">
        <v>26983000</v>
      </c>
      <c r="AA123" s="1254">
        <f>(Z123/V121)*100%</f>
        <v>9.166666666666666E-2</v>
      </c>
      <c r="AB123" s="59"/>
      <c r="AC123" s="59"/>
      <c r="AD123" s="38"/>
      <c r="AE123" s="1390"/>
      <c r="AF123" s="1388"/>
      <c r="AG123" s="1388"/>
      <c r="AH123" s="1389"/>
      <c r="AI123" s="1388"/>
      <c r="AJ123" s="1389"/>
      <c r="AK123" s="383"/>
      <c r="AL123" s="59"/>
      <c r="AM123" s="299"/>
      <c r="AN123" s="299"/>
      <c r="AO123" s="299"/>
      <c r="AP123" s="299"/>
      <c r="AQ123" s="299"/>
      <c r="AR123" s="299"/>
      <c r="AS123" s="299"/>
      <c r="AT123" s="299"/>
      <c r="AU123" s="299"/>
      <c r="AV123" s="299"/>
      <c r="AW123" s="299"/>
      <c r="AX123" s="299"/>
      <c r="AY123" s="299"/>
      <c r="AZ123" s="299"/>
      <c r="BA123" s="299"/>
      <c r="BB123" s="299"/>
    </row>
    <row r="124" spans="1:66" ht="47.25">
      <c r="A124" s="22"/>
      <c r="B124" s="292"/>
      <c r="C124" s="301"/>
      <c r="D124" s="302"/>
      <c r="E124" s="169"/>
      <c r="F124" s="169"/>
      <c r="G124" s="26"/>
      <c r="H124" s="380" t="s">
        <v>1494</v>
      </c>
      <c r="I124" s="319">
        <v>42452</v>
      </c>
      <c r="J124" s="303" t="s">
        <v>606</v>
      </c>
      <c r="K124" s="293" t="s">
        <v>1783</v>
      </c>
      <c r="L124" s="294" t="s">
        <v>250</v>
      </c>
      <c r="M124" s="331" t="s">
        <v>607</v>
      </c>
      <c r="N124" s="184"/>
      <c r="O124" s="229">
        <v>243540000</v>
      </c>
      <c r="P124" s="295">
        <f t="shared" si="16"/>
        <v>243540000</v>
      </c>
      <c r="Q124" s="296"/>
      <c r="R124" s="296"/>
      <c r="S124" s="296"/>
      <c r="T124" s="296"/>
      <c r="U124" s="296"/>
      <c r="V124" s="144">
        <f t="shared" si="20"/>
        <v>243540000</v>
      </c>
      <c r="W124" s="297" t="s">
        <v>3508</v>
      </c>
      <c r="X124" s="424">
        <v>42724</v>
      </c>
      <c r="Y124" s="298">
        <v>42727</v>
      </c>
      <c r="Z124" s="295">
        <v>38115000</v>
      </c>
      <c r="AA124" s="1728">
        <f>(Z124/V124)*100%</f>
        <v>0.1565040650406504</v>
      </c>
      <c r="AB124" s="59">
        <f t="shared" si="18"/>
        <v>-243540000</v>
      </c>
      <c r="AC124" s="59"/>
      <c r="AD124" s="38"/>
      <c r="AE124" s="1387">
        <v>0.39329268292682928</v>
      </c>
      <c r="AF124" s="1388"/>
      <c r="AG124" s="1388"/>
      <c r="AH124" s="1388"/>
      <c r="AI124" s="1392">
        <f>+AE124*V124</f>
        <v>95782500</v>
      </c>
      <c r="AJ124" s="1392">
        <f>+(80-39.33)%*V124</f>
        <v>99047718</v>
      </c>
      <c r="AK124" s="383"/>
      <c r="AL124" s="59"/>
      <c r="AM124" s="299"/>
      <c r="AN124" s="299"/>
      <c r="AO124" s="299"/>
      <c r="AP124" s="299"/>
      <c r="AQ124" s="299"/>
      <c r="AR124" s="299"/>
      <c r="AS124" s="299"/>
      <c r="AT124" s="299"/>
      <c r="AU124" s="299"/>
      <c r="AV124" s="299"/>
      <c r="AW124" s="299"/>
      <c r="AX124" s="299"/>
      <c r="AY124" s="299"/>
      <c r="AZ124" s="299"/>
      <c r="BA124" s="299"/>
      <c r="BB124" s="299"/>
    </row>
    <row r="125" spans="1:66">
      <c r="A125" s="22"/>
      <c r="B125" s="292"/>
      <c r="C125" s="301"/>
      <c r="D125" s="302"/>
      <c r="E125" s="169"/>
      <c r="F125" s="169"/>
      <c r="G125" s="26"/>
      <c r="H125" s="380"/>
      <c r="I125" s="319"/>
      <c r="J125" s="303"/>
      <c r="K125" s="293"/>
      <c r="L125" s="294"/>
      <c r="M125" s="1723"/>
      <c r="N125" s="184"/>
      <c r="O125" s="229"/>
      <c r="P125" s="295"/>
      <c r="Q125" s="296"/>
      <c r="R125" s="296"/>
      <c r="S125" s="296"/>
      <c r="T125" s="296"/>
      <c r="U125" s="296"/>
      <c r="V125" s="144"/>
      <c r="W125" s="297" t="s">
        <v>3518</v>
      </c>
      <c r="X125" s="424">
        <v>42731</v>
      </c>
      <c r="Y125" s="298">
        <v>42734</v>
      </c>
      <c r="Z125" s="295">
        <v>59215750</v>
      </c>
      <c r="AA125" s="1728">
        <f>(Z125/V124)*100%</f>
        <v>0.24314588979223126</v>
      </c>
      <c r="AB125" s="59"/>
      <c r="AC125" s="59"/>
      <c r="AD125" s="38"/>
      <c r="AE125" s="1387"/>
      <c r="AF125" s="1388"/>
      <c r="AG125" s="1388"/>
      <c r="AH125" s="1388"/>
      <c r="AI125" s="1392"/>
      <c r="AJ125" s="1392"/>
      <c r="AK125" s="383"/>
      <c r="AL125" s="59"/>
      <c r="AM125" s="299"/>
      <c r="AN125" s="299"/>
      <c r="AO125" s="299"/>
      <c r="AP125" s="299"/>
      <c r="AQ125" s="299"/>
      <c r="AR125" s="299"/>
      <c r="AS125" s="299"/>
      <c r="AT125" s="299"/>
      <c r="AU125" s="299"/>
      <c r="AV125" s="299"/>
      <c r="AW125" s="299"/>
      <c r="AX125" s="299"/>
      <c r="AY125" s="299"/>
      <c r="AZ125" s="299"/>
      <c r="BA125" s="299"/>
      <c r="BB125" s="299"/>
    </row>
    <row r="126" spans="1:66" ht="47.25">
      <c r="A126" s="22"/>
      <c r="B126" s="292"/>
      <c r="C126" s="301"/>
      <c r="D126" s="302"/>
      <c r="E126" s="169"/>
      <c r="F126" s="169"/>
      <c r="G126" s="26"/>
      <c r="H126" s="380" t="s">
        <v>1496</v>
      </c>
      <c r="I126" s="319">
        <v>42452</v>
      </c>
      <c r="J126" s="303" t="s">
        <v>598</v>
      </c>
      <c r="K126" s="293" t="s">
        <v>1782</v>
      </c>
      <c r="L126" s="294" t="s">
        <v>252</v>
      </c>
      <c r="M126" s="331" t="s">
        <v>605</v>
      </c>
      <c r="N126" s="184"/>
      <c r="O126" s="229">
        <v>240512800</v>
      </c>
      <c r="P126" s="295">
        <f t="shared" si="16"/>
        <v>240512800</v>
      </c>
      <c r="Q126" s="296"/>
      <c r="R126" s="296"/>
      <c r="S126" s="296"/>
      <c r="T126" s="296"/>
      <c r="U126" s="296"/>
      <c r="V126" s="144">
        <f t="shared" si="20"/>
        <v>240512800</v>
      </c>
      <c r="W126" s="297" t="s">
        <v>3464</v>
      </c>
      <c r="X126" s="424">
        <v>42710</v>
      </c>
      <c r="Y126" s="298">
        <v>42713</v>
      </c>
      <c r="Z126" s="295">
        <v>54510280</v>
      </c>
      <c r="AA126" s="1254">
        <f>(Z126/V126)*100%</f>
        <v>0.22664190845559987</v>
      </c>
      <c r="AB126" s="59">
        <f t="shared" si="18"/>
        <v>-240512800</v>
      </c>
      <c r="AC126" s="59"/>
      <c r="AD126" s="38"/>
      <c r="AE126" s="1387">
        <v>0.17130000000000001</v>
      </c>
      <c r="AF126" s="1388"/>
      <c r="AG126" s="1388"/>
      <c r="AH126" s="1391">
        <f>+AE126*V126</f>
        <v>41199842.640000001</v>
      </c>
      <c r="AI126" s="1391">
        <f>+(60-17.13)%*V126</f>
        <v>103107837.36</v>
      </c>
      <c r="AJ126" s="1388"/>
      <c r="AK126" s="383"/>
      <c r="AL126" s="59"/>
      <c r="AM126" s="299"/>
      <c r="AN126" s="299"/>
      <c r="AO126" s="299"/>
      <c r="AP126" s="299"/>
      <c r="AQ126" s="299"/>
      <c r="AR126" s="299"/>
      <c r="AS126" s="299"/>
      <c r="AT126" s="299"/>
      <c r="AU126" s="299"/>
      <c r="AV126" s="299"/>
      <c r="AW126" s="299"/>
      <c r="AX126" s="299"/>
      <c r="AY126" s="299"/>
      <c r="AZ126" s="299"/>
      <c r="BA126" s="299"/>
      <c r="BB126" s="299"/>
    </row>
    <row r="127" spans="1:66">
      <c r="A127" s="22"/>
      <c r="B127" s="292"/>
      <c r="C127" s="301"/>
      <c r="D127" s="302"/>
      <c r="E127" s="169"/>
      <c r="F127" s="169"/>
      <c r="G127" s="26"/>
      <c r="H127" s="380"/>
      <c r="I127" s="319"/>
      <c r="J127" s="303"/>
      <c r="K127" s="293"/>
      <c r="L127" s="294"/>
      <c r="M127" s="1723"/>
      <c r="N127" s="184"/>
      <c r="O127" s="229"/>
      <c r="P127" s="295"/>
      <c r="Q127" s="296"/>
      <c r="R127" s="296"/>
      <c r="S127" s="296"/>
      <c r="T127" s="296"/>
      <c r="U127" s="296"/>
      <c r="V127" s="144"/>
      <c r="W127" s="297" t="s">
        <v>3512</v>
      </c>
      <c r="X127" s="424">
        <v>42725</v>
      </c>
      <c r="Y127" s="298">
        <v>42727</v>
      </c>
      <c r="Z127" s="295">
        <v>13420880</v>
      </c>
      <c r="AA127" s="1254">
        <f>(Z127/V126)*100%</f>
        <v>5.5801104972375691E-2</v>
      </c>
      <c r="AB127" s="59"/>
      <c r="AC127" s="59"/>
      <c r="AD127" s="38"/>
      <c r="AE127" s="1387"/>
      <c r="AF127" s="1388"/>
      <c r="AG127" s="1388"/>
      <c r="AH127" s="1391"/>
      <c r="AI127" s="1391"/>
      <c r="AJ127" s="1388"/>
      <c r="AK127" s="383"/>
      <c r="AL127" s="59"/>
      <c r="AM127" s="299"/>
      <c r="AN127" s="299"/>
      <c r="AO127" s="299"/>
      <c r="AP127" s="299"/>
      <c r="AQ127" s="299"/>
      <c r="AR127" s="299"/>
      <c r="AS127" s="299"/>
      <c r="AT127" s="299"/>
      <c r="AU127" s="299"/>
      <c r="AV127" s="299"/>
      <c r="AW127" s="299"/>
      <c r="AX127" s="299"/>
      <c r="AY127" s="299"/>
      <c r="AZ127" s="299"/>
      <c r="BA127" s="299"/>
      <c r="BB127" s="299"/>
    </row>
    <row r="128" spans="1:66" ht="31.5">
      <c r="A128" s="22"/>
      <c r="B128" s="292"/>
      <c r="C128" s="301"/>
      <c r="D128" s="302"/>
      <c r="E128" s="169"/>
      <c r="F128" s="169"/>
      <c r="G128" s="26"/>
      <c r="H128" s="380"/>
      <c r="I128" s="319"/>
      <c r="J128" s="303" t="s">
        <v>599</v>
      </c>
      <c r="K128" s="293" t="s">
        <v>1786</v>
      </c>
      <c r="L128" s="294" t="s">
        <v>1737</v>
      </c>
      <c r="M128" s="331" t="s">
        <v>600</v>
      </c>
      <c r="N128" s="184"/>
      <c r="O128" s="229">
        <v>298100000</v>
      </c>
      <c r="P128" s="295">
        <f t="shared" si="16"/>
        <v>298100000</v>
      </c>
      <c r="Q128" s="296"/>
      <c r="R128" s="296"/>
      <c r="S128" s="296"/>
      <c r="T128" s="296"/>
      <c r="U128" s="296"/>
      <c r="V128" s="144">
        <f t="shared" si="20"/>
        <v>298100000</v>
      </c>
      <c r="W128" s="297" t="s">
        <v>2003</v>
      </c>
      <c r="X128" s="424">
        <v>42579</v>
      </c>
      <c r="Y128" s="298">
        <v>42580</v>
      </c>
      <c r="Z128" s="295">
        <f>V128</f>
        <v>298100000</v>
      </c>
      <c r="AA128" s="2641">
        <v>1</v>
      </c>
      <c r="AB128" s="59">
        <f t="shared" si="18"/>
        <v>-298100000</v>
      </c>
      <c r="AC128" s="59"/>
      <c r="AD128" s="38"/>
      <c r="AE128" s="1393"/>
      <c r="AF128" s="1388"/>
      <c r="AG128" s="1388"/>
      <c r="AH128" s="1388"/>
      <c r="AI128" s="1388"/>
      <c r="AJ128" s="1388"/>
      <c r="AK128" s="383"/>
      <c r="AL128" s="59"/>
      <c r="AM128" s="299"/>
      <c r="AN128" s="299"/>
      <c r="AO128" s="299"/>
      <c r="AP128" s="299"/>
      <c r="AQ128" s="299"/>
      <c r="AR128" s="299"/>
      <c r="AS128" s="299"/>
      <c r="AT128" s="299"/>
      <c r="AU128" s="299"/>
      <c r="AV128" s="299"/>
      <c r="AW128" s="299"/>
      <c r="AX128" s="299"/>
      <c r="AY128" s="299"/>
      <c r="AZ128" s="299"/>
      <c r="BA128" s="299"/>
      <c r="BB128" s="299"/>
    </row>
    <row r="129" spans="1:66" ht="47.25">
      <c r="A129" s="22"/>
      <c r="B129" s="292"/>
      <c r="C129" s="301"/>
      <c r="D129" s="302"/>
      <c r="E129" s="169"/>
      <c r="F129" s="169"/>
      <c r="G129" s="26"/>
      <c r="H129" s="380" t="s">
        <v>1858</v>
      </c>
      <c r="I129" s="319">
        <v>42549</v>
      </c>
      <c r="J129" s="303" t="s">
        <v>1895</v>
      </c>
      <c r="K129" s="293" t="s">
        <v>2877</v>
      </c>
      <c r="L129" s="294" t="s">
        <v>1737</v>
      </c>
      <c r="M129" s="331" t="s">
        <v>600</v>
      </c>
      <c r="N129" s="184"/>
      <c r="O129" s="229">
        <v>178860000</v>
      </c>
      <c r="P129" s="295">
        <f>N129+O129</f>
        <v>178860000</v>
      </c>
      <c r="Q129" s="296"/>
      <c r="R129" s="296"/>
      <c r="S129" s="296"/>
      <c r="T129" s="296"/>
      <c r="U129" s="296"/>
      <c r="V129" s="144">
        <f t="shared" si="20"/>
        <v>178860000</v>
      </c>
      <c r="W129" s="297" t="s">
        <v>3071</v>
      </c>
      <c r="X129" s="424">
        <v>42683</v>
      </c>
      <c r="Y129" s="298">
        <v>42685</v>
      </c>
      <c r="Z129" s="295">
        <f>V129</f>
        <v>178860000</v>
      </c>
      <c r="AA129" s="2641">
        <v>1</v>
      </c>
      <c r="AB129" s="59">
        <f>+G129-P129</f>
        <v>-178860000</v>
      </c>
      <c r="AC129" s="59"/>
      <c r="AD129" s="38"/>
      <c r="AE129" s="1393">
        <f>0.341666666666667</f>
        <v>0.34166666666666701</v>
      </c>
      <c r="AF129" s="1388"/>
      <c r="AG129" s="1388"/>
      <c r="AH129" s="1392">
        <f>+AE129*V129</f>
        <v>61110500.00000006</v>
      </c>
      <c r="AI129" s="1388"/>
      <c r="AJ129" s="1392">
        <f>+(100-34.2)%*V129</f>
        <v>117689879.99999999</v>
      </c>
      <c r="AK129" s="383"/>
      <c r="AL129" s="59"/>
      <c r="AM129" s="299"/>
      <c r="AN129" s="299"/>
      <c r="AO129" s="299"/>
      <c r="AP129" s="299"/>
      <c r="AQ129" s="299"/>
      <c r="AR129" s="299"/>
      <c r="AS129" s="299"/>
      <c r="AT129" s="299"/>
      <c r="AU129" s="299"/>
      <c r="AV129" s="299"/>
      <c r="AW129" s="299"/>
      <c r="AX129" s="299"/>
      <c r="AY129" s="299"/>
      <c r="AZ129" s="299"/>
      <c r="BA129" s="299"/>
      <c r="BB129" s="299"/>
    </row>
    <row r="130" spans="1:66" ht="47.25">
      <c r="A130" s="22"/>
      <c r="B130" s="292"/>
      <c r="C130" s="301"/>
      <c r="D130" s="302"/>
      <c r="E130" s="169"/>
      <c r="F130" s="169"/>
      <c r="G130" s="26"/>
      <c r="H130" s="380" t="s">
        <v>2734</v>
      </c>
      <c r="I130" s="319">
        <v>42644</v>
      </c>
      <c r="J130" s="303" t="s">
        <v>2628</v>
      </c>
      <c r="K130" s="293" t="s">
        <v>2831</v>
      </c>
      <c r="L130" s="294" t="s">
        <v>1737</v>
      </c>
      <c r="M130" s="331" t="s">
        <v>2629</v>
      </c>
      <c r="N130" s="184"/>
      <c r="O130" s="229">
        <v>98120000</v>
      </c>
      <c r="P130" s="295">
        <f>N130+O130</f>
        <v>98120000</v>
      </c>
      <c r="Q130" s="296"/>
      <c r="R130" s="296"/>
      <c r="S130" s="296"/>
      <c r="T130" s="296"/>
      <c r="U130" s="296"/>
      <c r="V130" s="144">
        <f t="shared" si="20"/>
        <v>98120000</v>
      </c>
      <c r="W130" s="297" t="s">
        <v>3511</v>
      </c>
      <c r="X130" s="424">
        <v>42725</v>
      </c>
      <c r="Y130" s="298">
        <v>42727</v>
      </c>
      <c r="Z130" s="295">
        <v>37162950</v>
      </c>
      <c r="AA130" s="1728">
        <f>Z130/V130</f>
        <v>0.37874999999999998</v>
      </c>
      <c r="AB130" s="59">
        <f>+G130-P130</f>
        <v>-98120000</v>
      </c>
      <c r="AC130" s="59"/>
      <c r="AD130" s="38"/>
      <c r="AE130" s="1382"/>
      <c r="AF130" s="38"/>
      <c r="AG130" s="38"/>
      <c r="AH130" s="38"/>
      <c r="AI130" s="38"/>
      <c r="AJ130" s="38"/>
      <c r="AK130" s="1438">
        <f>V130</f>
        <v>98120000</v>
      </c>
      <c r="AL130" s="59"/>
      <c r="AM130" s="299"/>
      <c r="AN130" s="299"/>
      <c r="AO130" s="299"/>
      <c r="AP130" s="299"/>
      <c r="AQ130" s="299"/>
      <c r="AR130" s="299"/>
      <c r="AS130" s="299"/>
      <c r="AT130" s="299"/>
      <c r="AU130" s="299"/>
      <c r="AV130" s="299"/>
      <c r="AW130" s="299"/>
      <c r="AX130" s="299"/>
      <c r="AY130" s="299"/>
      <c r="AZ130" s="299"/>
      <c r="BA130" s="299"/>
      <c r="BB130" s="299"/>
    </row>
    <row r="131" spans="1:66" ht="31.5">
      <c r="A131" s="22"/>
      <c r="B131" s="292"/>
      <c r="C131" s="301"/>
      <c r="D131" s="302"/>
      <c r="E131" s="169"/>
      <c r="F131" s="169"/>
      <c r="G131" s="26"/>
      <c r="H131" s="380"/>
      <c r="I131" s="319"/>
      <c r="J131" s="303" t="s">
        <v>2744</v>
      </c>
      <c r="K131" s="293" t="s">
        <v>3519</v>
      </c>
      <c r="L131" s="294" t="s">
        <v>3520</v>
      </c>
      <c r="M131" s="331" t="s">
        <v>2745</v>
      </c>
      <c r="N131" s="184">
        <v>8690000</v>
      </c>
      <c r="O131" s="229"/>
      <c r="P131" s="295">
        <f>N131+O131</f>
        <v>8690000</v>
      </c>
      <c r="Q131" s="296"/>
      <c r="R131" s="296"/>
      <c r="S131" s="296"/>
      <c r="T131" s="296"/>
      <c r="U131" s="296"/>
      <c r="V131" s="144">
        <f>P131</f>
        <v>8690000</v>
      </c>
      <c r="W131" s="297" t="s">
        <v>3521</v>
      </c>
      <c r="X131" s="424">
        <v>42732</v>
      </c>
      <c r="Y131" s="298">
        <v>42734</v>
      </c>
      <c r="Z131" s="295">
        <f>V131</f>
        <v>8690000</v>
      </c>
      <c r="AA131" s="2641">
        <v>1</v>
      </c>
      <c r="AB131" s="59">
        <f>+G131-P131</f>
        <v>-8690000</v>
      </c>
      <c r="AC131" s="59"/>
      <c r="AD131" s="38"/>
      <c r="AE131" s="1382"/>
      <c r="AF131" s="38"/>
      <c r="AG131" s="38"/>
      <c r="AH131" s="38"/>
      <c r="AI131" s="38"/>
      <c r="AJ131" s="38"/>
      <c r="AK131" s="1438"/>
      <c r="AL131" s="59"/>
      <c r="AM131" s="299"/>
      <c r="AN131" s="299"/>
      <c r="AO131" s="299"/>
      <c r="AP131" s="299"/>
      <c r="AQ131" s="299"/>
      <c r="AR131" s="299"/>
      <c r="AS131" s="299"/>
      <c r="AT131" s="299"/>
      <c r="AU131" s="299"/>
      <c r="AV131" s="299"/>
      <c r="AW131" s="299"/>
      <c r="AX131" s="299"/>
      <c r="AY131" s="299"/>
      <c r="AZ131" s="299"/>
      <c r="BA131" s="299"/>
      <c r="BB131" s="299"/>
    </row>
    <row r="132" spans="1:66" s="769" customFormat="1" ht="15.75" customHeight="1">
      <c r="A132" s="652"/>
      <c r="B132" s="1023"/>
      <c r="C132" s="1024" t="s">
        <v>543</v>
      </c>
      <c r="D132" s="1025"/>
      <c r="E132" s="656">
        <f>E119</f>
        <v>0</v>
      </c>
      <c r="F132" s="656">
        <f>F119</f>
        <v>1627230000</v>
      </c>
      <c r="G132" s="656">
        <f>G119</f>
        <v>1627230000</v>
      </c>
      <c r="H132" s="655"/>
      <c r="I132" s="657"/>
      <c r="J132" s="1026"/>
      <c r="K132" s="1027"/>
      <c r="L132" s="781"/>
      <c r="M132" s="1028"/>
      <c r="N132" s="1002">
        <f>SUM(N119:N131)</f>
        <v>8690000</v>
      </c>
      <c r="O132" s="1002">
        <f t="shared" ref="O132:V132" si="21">SUM(O119:O131)</f>
        <v>1603591550</v>
      </c>
      <c r="P132" s="1002">
        <f t="shared" si="21"/>
        <v>1612281550</v>
      </c>
      <c r="Q132" s="1002">
        <f t="shared" si="21"/>
        <v>0</v>
      </c>
      <c r="R132" s="1002">
        <f t="shared" si="21"/>
        <v>0</v>
      </c>
      <c r="S132" s="1002">
        <f t="shared" si="21"/>
        <v>0</v>
      </c>
      <c r="T132" s="1002">
        <f t="shared" si="21"/>
        <v>0</v>
      </c>
      <c r="U132" s="1002">
        <f t="shared" si="21"/>
        <v>0</v>
      </c>
      <c r="V132" s="1002">
        <f t="shared" si="21"/>
        <v>1612281550</v>
      </c>
      <c r="W132" s="1002"/>
      <c r="X132" s="785"/>
      <c r="Y132" s="1030"/>
      <c r="Z132" s="1002">
        <f>SUM(Z119:Z131)</f>
        <v>1151804060</v>
      </c>
      <c r="AA132" s="1266"/>
      <c r="AB132" s="1002">
        <f t="shared" si="18"/>
        <v>14948450</v>
      </c>
      <c r="AC132" s="1002"/>
      <c r="AD132" s="755"/>
      <c r="AE132" s="1382"/>
      <c r="AF132" s="38"/>
      <c r="AG132" s="38"/>
      <c r="AH132" s="38"/>
      <c r="AI132" s="38"/>
      <c r="AJ132" s="38"/>
      <c r="AK132" s="383"/>
      <c r="AL132" s="1002"/>
      <c r="AM132" s="1031"/>
      <c r="AN132" s="1031"/>
      <c r="AO132" s="1031"/>
      <c r="AP132" s="1031"/>
      <c r="AQ132" s="1031"/>
      <c r="AR132" s="1031"/>
      <c r="AS132" s="1031"/>
      <c r="AT132" s="1031"/>
      <c r="AU132" s="1031"/>
      <c r="AV132" s="1031"/>
      <c r="AW132" s="1031"/>
      <c r="AX132" s="1031"/>
      <c r="AY132" s="1031"/>
      <c r="AZ132" s="1031"/>
      <c r="BA132" s="1031"/>
      <c r="BB132" s="1031"/>
      <c r="BH132" s="2007"/>
      <c r="BI132" s="2007"/>
      <c r="BM132" s="2007"/>
      <c r="BN132" s="2007"/>
    </row>
    <row r="133" spans="1:66">
      <c r="A133" s="22"/>
      <c r="B133" s="292"/>
      <c r="C133" s="301"/>
      <c r="D133" s="302"/>
      <c r="E133" s="169"/>
      <c r="F133" s="169"/>
      <c r="G133" s="26"/>
      <c r="H133" s="169"/>
      <c r="I133" s="170"/>
      <c r="J133" s="303"/>
      <c r="K133" s="293"/>
      <c r="L133" s="294"/>
      <c r="M133" s="294"/>
      <c r="N133" s="184"/>
      <c r="O133" s="229"/>
      <c r="P133" s="295"/>
      <c r="Q133" s="296"/>
      <c r="R133" s="296"/>
      <c r="S133" s="296"/>
      <c r="T133" s="296"/>
      <c r="U133" s="296"/>
      <c r="V133" s="144"/>
      <c r="W133" s="297"/>
      <c r="X133" s="424"/>
      <c r="Y133" s="298"/>
      <c r="Z133" s="295"/>
      <c r="AA133" s="1254"/>
      <c r="AB133" s="59"/>
      <c r="AC133" s="59"/>
      <c r="AD133" s="38"/>
      <c r="AE133" s="1382"/>
      <c r="AF133" s="38"/>
      <c r="AG133" s="38"/>
      <c r="AH133" s="38"/>
      <c r="AI133" s="38"/>
      <c r="AJ133" s="38"/>
      <c r="AK133" s="383"/>
      <c r="AL133" s="59"/>
      <c r="AM133" s="299"/>
      <c r="AN133" s="299"/>
      <c r="AO133" s="299"/>
      <c r="AP133" s="299"/>
      <c r="AQ133" s="299"/>
      <c r="AR133" s="299"/>
      <c r="AS133" s="299"/>
      <c r="AT133" s="299"/>
      <c r="AU133" s="299"/>
      <c r="AV133" s="299"/>
      <c r="AW133" s="299"/>
      <c r="AX133" s="299"/>
      <c r="AY133" s="299"/>
      <c r="AZ133" s="299"/>
      <c r="BA133" s="299"/>
      <c r="BB133" s="299"/>
    </row>
    <row r="134" spans="1:66" ht="31.5">
      <c r="A134" s="22"/>
      <c r="B134" s="292"/>
      <c r="C134" s="301" t="s">
        <v>544</v>
      </c>
      <c r="D134" s="302" t="s">
        <v>550</v>
      </c>
      <c r="E134" s="169"/>
      <c r="F134" s="169">
        <v>46464000</v>
      </c>
      <c r="G134" s="26">
        <f>E134+F134</f>
        <v>46464000</v>
      </c>
      <c r="H134" s="169"/>
      <c r="I134" s="170"/>
      <c r="J134" s="303" t="s">
        <v>2449</v>
      </c>
      <c r="K134" s="293" t="s">
        <v>3255</v>
      </c>
      <c r="L134" s="454" t="s">
        <v>1749</v>
      </c>
      <c r="M134" s="892" t="s">
        <v>2416</v>
      </c>
      <c r="N134" s="184">
        <v>9212500</v>
      </c>
      <c r="O134" s="229"/>
      <c r="P134" s="295">
        <f>N134+O134</f>
        <v>9212500</v>
      </c>
      <c r="Q134" s="296"/>
      <c r="R134" s="296"/>
      <c r="S134" s="296"/>
      <c r="T134" s="296"/>
      <c r="U134" s="296"/>
      <c r="V134" s="144">
        <f>P134</f>
        <v>9212500</v>
      </c>
      <c r="W134" s="297" t="s">
        <v>3463</v>
      </c>
      <c r="X134" s="424">
        <v>42704</v>
      </c>
      <c r="Y134" s="298">
        <v>42713</v>
      </c>
      <c r="Z134" s="295">
        <f>V134</f>
        <v>9212500</v>
      </c>
      <c r="AA134" s="2641">
        <v>1</v>
      </c>
      <c r="AB134" s="59">
        <f t="shared" si="18"/>
        <v>37251500</v>
      </c>
      <c r="AC134" s="59"/>
      <c r="AD134" s="38"/>
      <c r="AE134" s="1382"/>
      <c r="AF134" s="38"/>
      <c r="AG134" s="38"/>
      <c r="AH134" s="38"/>
      <c r="AI134" s="38"/>
      <c r="AJ134" s="38"/>
      <c r="AK134" s="383"/>
      <c r="AL134" s="59"/>
      <c r="AM134" s="299"/>
      <c r="AN134" s="299"/>
      <c r="AO134" s="299"/>
      <c r="AP134" s="299"/>
      <c r="AQ134" s="299"/>
      <c r="AR134" s="299"/>
      <c r="AS134" s="299"/>
      <c r="AT134" s="299"/>
      <c r="AU134" s="299"/>
      <c r="AV134" s="299"/>
      <c r="AW134" s="299"/>
      <c r="AX134" s="299"/>
      <c r="AY134" s="299"/>
      <c r="AZ134" s="299"/>
      <c r="BA134" s="299"/>
      <c r="BB134" s="299"/>
    </row>
    <row r="135" spans="1:66" ht="31.5">
      <c r="A135" s="22"/>
      <c r="B135" s="292"/>
      <c r="C135" s="301"/>
      <c r="D135" s="302"/>
      <c r="E135" s="169"/>
      <c r="F135" s="169"/>
      <c r="G135" s="26"/>
      <c r="H135" s="169"/>
      <c r="I135" s="170"/>
      <c r="J135" s="303" t="s">
        <v>2450</v>
      </c>
      <c r="K135" s="293"/>
      <c r="L135" s="454" t="s">
        <v>1749</v>
      </c>
      <c r="M135" s="892" t="s">
        <v>2451</v>
      </c>
      <c r="N135" s="184">
        <v>9345188</v>
      </c>
      <c r="O135" s="229"/>
      <c r="P135" s="295">
        <f>N135+O135</f>
        <v>9345188</v>
      </c>
      <c r="Q135" s="296"/>
      <c r="R135" s="296"/>
      <c r="S135" s="296"/>
      <c r="T135" s="296"/>
      <c r="U135" s="296"/>
      <c r="V135" s="144">
        <f>P135</f>
        <v>9345188</v>
      </c>
      <c r="W135" s="297" t="s">
        <v>3466</v>
      </c>
      <c r="X135" s="424">
        <v>42713</v>
      </c>
      <c r="Y135" s="298">
        <v>42718</v>
      </c>
      <c r="Z135" s="295">
        <f>V135</f>
        <v>9345188</v>
      </c>
      <c r="AA135" s="2641">
        <v>1</v>
      </c>
      <c r="AB135" s="59">
        <f t="shared" si="18"/>
        <v>-9345188</v>
      </c>
      <c r="AC135" s="59"/>
      <c r="AD135" s="38"/>
      <c r="AE135" s="1382"/>
      <c r="AF135" s="38"/>
      <c r="AG135" s="38"/>
      <c r="AH135" s="38"/>
      <c r="AI135" s="38"/>
      <c r="AJ135" s="38"/>
      <c r="AK135" s="383"/>
      <c r="AL135" s="59"/>
      <c r="AM135" s="299"/>
      <c r="AN135" s="299"/>
      <c r="AO135" s="299"/>
      <c r="AP135" s="299"/>
      <c r="AQ135" s="299"/>
      <c r="AR135" s="299"/>
      <c r="AS135" s="299"/>
      <c r="AT135" s="299"/>
      <c r="AU135" s="299"/>
      <c r="AV135" s="299"/>
      <c r="AW135" s="299"/>
      <c r="AX135" s="299"/>
      <c r="AY135" s="299"/>
      <c r="AZ135" s="299"/>
      <c r="BA135" s="299"/>
      <c r="BB135" s="299"/>
    </row>
    <row r="136" spans="1:66" ht="47.25">
      <c r="A136" s="22"/>
      <c r="B136" s="292"/>
      <c r="C136" s="301"/>
      <c r="D136" s="302"/>
      <c r="E136" s="169"/>
      <c r="F136" s="169"/>
      <c r="G136" s="26"/>
      <c r="H136" s="380" t="s">
        <v>2765</v>
      </c>
      <c r="I136" s="319">
        <v>42661</v>
      </c>
      <c r="J136" s="303" t="s">
        <v>2743</v>
      </c>
      <c r="K136" s="714" t="s">
        <v>3095</v>
      </c>
      <c r="L136" s="1651" t="s">
        <v>1749</v>
      </c>
      <c r="M136" s="892" t="s">
        <v>2742</v>
      </c>
      <c r="N136" s="184">
        <v>22242000</v>
      </c>
      <c r="O136" s="229"/>
      <c r="P136" s="295">
        <f>N136+O136</f>
        <v>22242000</v>
      </c>
      <c r="Q136" s="296"/>
      <c r="R136" s="296"/>
      <c r="S136" s="296"/>
      <c r="T136" s="296"/>
      <c r="U136" s="296"/>
      <c r="V136" s="144">
        <f>P136</f>
        <v>22242000</v>
      </c>
      <c r="W136" s="297" t="s">
        <v>3509</v>
      </c>
      <c r="X136" s="424">
        <v>42724</v>
      </c>
      <c r="Y136" s="298">
        <v>42727</v>
      </c>
      <c r="Z136" s="295">
        <f>V136</f>
        <v>22242000</v>
      </c>
      <c r="AA136" s="2641">
        <v>1</v>
      </c>
      <c r="AB136" s="59">
        <f t="shared" si="18"/>
        <v>-22242000</v>
      </c>
      <c r="AC136" s="59"/>
      <c r="AD136" s="38"/>
      <c r="AE136" s="1382"/>
      <c r="AF136" s="38"/>
      <c r="AG136" s="38"/>
      <c r="AH136" s="38"/>
      <c r="AI136" s="38"/>
      <c r="AJ136" s="38"/>
      <c r="AK136" s="383"/>
      <c r="AL136" s="59"/>
      <c r="AM136" s="299"/>
      <c r="AN136" s="299"/>
      <c r="AO136" s="299"/>
      <c r="AP136" s="299"/>
      <c r="AQ136" s="299"/>
      <c r="AR136" s="299"/>
      <c r="AS136" s="299"/>
      <c r="AT136" s="299"/>
      <c r="AU136" s="299"/>
      <c r="AV136" s="299"/>
      <c r="AW136" s="299"/>
      <c r="AX136" s="299"/>
      <c r="AY136" s="299"/>
      <c r="AZ136" s="299"/>
      <c r="BA136" s="299"/>
      <c r="BB136" s="299"/>
    </row>
    <row r="137" spans="1:66" s="769" customFormat="1">
      <c r="A137" s="652"/>
      <c r="B137" s="1023"/>
      <c r="C137" s="1024" t="str">
        <f>C134</f>
        <v>PRK.2016.WKT-4.3.10</v>
      </c>
      <c r="D137" s="1025"/>
      <c r="E137" s="655"/>
      <c r="F137" s="655"/>
      <c r="G137" s="656">
        <f>G134</f>
        <v>46464000</v>
      </c>
      <c r="H137" s="655"/>
      <c r="I137" s="657"/>
      <c r="J137" s="1026"/>
      <c r="K137" s="1027"/>
      <c r="L137" s="781"/>
      <c r="M137" s="1316"/>
      <c r="N137" s="1029">
        <f>SUM(N134:N136)</f>
        <v>40799688</v>
      </c>
      <c r="O137" s="1029">
        <f t="shared" ref="O137:V137" si="22">SUM(O134:O136)</f>
        <v>0</v>
      </c>
      <c r="P137" s="1029">
        <f t="shared" si="22"/>
        <v>40799688</v>
      </c>
      <c r="Q137" s="1029">
        <f t="shared" si="22"/>
        <v>0</v>
      </c>
      <c r="R137" s="1029">
        <f t="shared" si="22"/>
        <v>0</v>
      </c>
      <c r="S137" s="1029">
        <f t="shared" si="22"/>
        <v>0</v>
      </c>
      <c r="T137" s="1029">
        <f t="shared" si="22"/>
        <v>0</v>
      </c>
      <c r="U137" s="1029">
        <f t="shared" si="22"/>
        <v>0</v>
      </c>
      <c r="V137" s="1029">
        <f t="shared" si="22"/>
        <v>40799688</v>
      </c>
      <c r="W137" s="786"/>
      <c r="X137" s="785"/>
      <c r="Y137" s="1030"/>
      <c r="Z137" s="1029">
        <f>SUM(Z134:Z136)</f>
        <v>40799688</v>
      </c>
      <c r="AA137" s="1266"/>
      <c r="AB137" s="1002">
        <f t="shared" si="18"/>
        <v>5664312</v>
      </c>
      <c r="AC137" s="1002"/>
      <c r="AD137" s="755"/>
      <c r="AE137" s="1382"/>
      <c r="AF137" s="38"/>
      <c r="AG137" s="38"/>
      <c r="AH137" s="38"/>
      <c r="AI137" s="38"/>
      <c r="AJ137" s="38"/>
      <c r="AK137" s="383"/>
      <c r="AL137" s="1002"/>
      <c r="AM137" s="1031"/>
      <c r="AN137" s="1031"/>
      <c r="AO137" s="1031"/>
      <c r="AP137" s="1031"/>
      <c r="AQ137" s="1031"/>
      <c r="AR137" s="1031"/>
      <c r="AS137" s="1031"/>
      <c r="AT137" s="1031"/>
      <c r="AU137" s="1031"/>
      <c r="AV137" s="1031"/>
      <c r="AW137" s="1031"/>
      <c r="AX137" s="1031"/>
      <c r="AY137" s="1031"/>
      <c r="AZ137" s="1031"/>
      <c r="BA137" s="1031"/>
      <c r="BB137" s="1031"/>
      <c r="BH137" s="2007"/>
      <c r="BI137" s="2007"/>
      <c r="BM137" s="2007"/>
      <c r="BN137" s="2007"/>
    </row>
    <row r="138" spans="1:66">
      <c r="A138" s="22"/>
      <c r="B138" s="292"/>
      <c r="C138" s="301"/>
      <c r="D138" s="302"/>
      <c r="E138" s="169"/>
      <c r="F138" s="169"/>
      <c r="G138" s="26"/>
      <c r="H138" s="169"/>
      <c r="I138" s="170"/>
      <c r="J138" s="303"/>
      <c r="K138" s="293"/>
      <c r="L138" s="294"/>
      <c r="M138" s="294"/>
      <c r="N138" s="184"/>
      <c r="O138" s="229"/>
      <c r="P138" s="295"/>
      <c r="Q138" s="296"/>
      <c r="R138" s="296"/>
      <c r="S138" s="296"/>
      <c r="T138" s="296"/>
      <c r="U138" s="296"/>
      <c r="V138" s="144"/>
      <c r="W138" s="297"/>
      <c r="X138" s="424"/>
      <c r="Y138" s="298"/>
      <c r="Z138" s="295"/>
      <c r="AA138" s="1254"/>
      <c r="AB138" s="59"/>
      <c r="AC138" s="59"/>
      <c r="AD138" s="38"/>
      <c r="AE138" s="1382"/>
      <c r="AF138" s="38"/>
      <c r="AG138" s="38"/>
      <c r="AH138" s="38"/>
      <c r="AI138" s="38"/>
      <c r="AJ138" s="38"/>
      <c r="AK138" s="383"/>
      <c r="AL138" s="59"/>
      <c r="AM138" s="299"/>
      <c r="AN138" s="299"/>
      <c r="AO138" s="299"/>
      <c r="AP138" s="299"/>
      <c r="AQ138" s="299"/>
      <c r="AR138" s="299"/>
      <c r="AS138" s="299"/>
      <c r="AT138" s="299"/>
      <c r="AU138" s="299"/>
      <c r="AV138" s="299"/>
      <c r="AW138" s="299"/>
      <c r="AX138" s="299"/>
      <c r="AY138" s="299"/>
      <c r="AZ138" s="299"/>
      <c r="BA138" s="299"/>
      <c r="BB138" s="299"/>
    </row>
    <row r="139" spans="1:66" ht="47.25">
      <c r="A139" s="22"/>
      <c r="B139" s="292"/>
      <c r="C139" s="301" t="s">
        <v>545</v>
      </c>
      <c r="D139" s="302" t="s">
        <v>551</v>
      </c>
      <c r="E139" s="169"/>
      <c r="F139" s="169">
        <v>120380277</v>
      </c>
      <c r="G139" s="26">
        <f>E139+F139</f>
        <v>120380277</v>
      </c>
      <c r="H139" s="380" t="s">
        <v>2952</v>
      </c>
      <c r="I139" s="319">
        <v>42677</v>
      </c>
      <c r="J139" s="303" t="s">
        <v>2915</v>
      </c>
      <c r="K139" s="714" t="s">
        <v>3094</v>
      </c>
      <c r="L139" s="1651" t="s">
        <v>1749</v>
      </c>
      <c r="M139" s="892" t="s">
        <v>2914</v>
      </c>
      <c r="N139" s="184">
        <v>43180500</v>
      </c>
      <c r="O139" s="229"/>
      <c r="P139" s="295">
        <f>N139+O139</f>
        <v>43180500</v>
      </c>
      <c r="Q139" s="296"/>
      <c r="R139" s="296"/>
      <c r="S139" s="296"/>
      <c r="T139" s="296"/>
      <c r="U139" s="296"/>
      <c r="V139" s="144">
        <f>P139</f>
        <v>43180500</v>
      </c>
      <c r="W139" s="297" t="s">
        <v>3508</v>
      </c>
      <c r="X139" s="424">
        <v>42724</v>
      </c>
      <c r="Y139" s="298">
        <v>42727</v>
      </c>
      <c r="Z139" s="295">
        <f>V139</f>
        <v>43180500</v>
      </c>
      <c r="AA139" s="2641">
        <v>1</v>
      </c>
      <c r="AB139" s="59">
        <f t="shared" si="18"/>
        <v>77199777</v>
      </c>
      <c r="AC139" s="59"/>
      <c r="AD139" s="38"/>
      <c r="AE139" s="1382"/>
      <c r="AF139" s="38"/>
      <c r="AG139" s="38"/>
      <c r="AH139" s="38"/>
      <c r="AI139" s="38"/>
      <c r="AJ139" s="38"/>
      <c r="AK139" s="383"/>
      <c r="AL139" s="59"/>
      <c r="AM139" s="299"/>
      <c r="AN139" s="299"/>
      <c r="AO139" s="299"/>
      <c r="AP139" s="299"/>
      <c r="AQ139" s="299"/>
      <c r="AR139" s="299"/>
      <c r="AS139" s="299"/>
      <c r="AT139" s="299"/>
      <c r="AU139" s="299"/>
      <c r="AV139" s="299"/>
      <c r="AW139" s="299"/>
      <c r="AX139" s="299"/>
      <c r="AY139" s="299"/>
      <c r="AZ139" s="299"/>
      <c r="BA139" s="299"/>
      <c r="BB139" s="299"/>
    </row>
    <row r="140" spans="1:66" ht="47.25">
      <c r="A140" s="22"/>
      <c r="B140" s="292"/>
      <c r="C140" s="301"/>
      <c r="D140" s="302"/>
      <c r="E140" s="169"/>
      <c r="F140" s="169"/>
      <c r="G140" s="26"/>
      <c r="H140" s="380" t="s">
        <v>2724</v>
      </c>
      <c r="I140" s="319">
        <v>42657</v>
      </c>
      <c r="J140" s="303" t="s">
        <v>2976</v>
      </c>
      <c r="K140" s="293" t="s">
        <v>2834</v>
      </c>
      <c r="L140" s="294" t="s">
        <v>1737</v>
      </c>
      <c r="M140" s="331" t="s">
        <v>2723</v>
      </c>
      <c r="N140" s="184"/>
      <c r="O140" s="229">
        <v>68306368</v>
      </c>
      <c r="P140" s="295">
        <f>N140+O140</f>
        <v>68306368</v>
      </c>
      <c r="Q140" s="296"/>
      <c r="R140" s="296"/>
      <c r="S140" s="296"/>
      <c r="T140" s="296"/>
      <c r="U140" s="296"/>
      <c r="V140" s="144">
        <f>P140</f>
        <v>68306368</v>
      </c>
      <c r="W140" s="297" t="s">
        <v>3506</v>
      </c>
      <c r="X140" s="424">
        <v>42720</v>
      </c>
      <c r="Y140" s="298">
        <v>42727</v>
      </c>
      <c r="Z140" s="295">
        <v>23706487</v>
      </c>
      <c r="AA140" s="1728">
        <f>Z140/V140</f>
        <v>0.34706115541086885</v>
      </c>
      <c r="AB140" s="59">
        <f t="shared" si="18"/>
        <v>-68306368</v>
      </c>
      <c r="AC140" s="59"/>
      <c r="AD140" s="38"/>
      <c r="AE140" s="1382"/>
      <c r="AF140" s="38"/>
      <c r="AG140" s="38"/>
      <c r="AH140" s="38"/>
      <c r="AI140" s="38"/>
      <c r="AJ140" s="38"/>
      <c r="AK140" s="383"/>
      <c r="AL140" s="59"/>
      <c r="AM140" s="299"/>
      <c r="AN140" s="299"/>
      <c r="AO140" s="299"/>
      <c r="AP140" s="299"/>
      <c r="AQ140" s="299"/>
      <c r="AR140" s="299"/>
      <c r="AS140" s="299"/>
      <c r="AT140" s="299"/>
      <c r="AU140" s="299"/>
      <c r="AV140" s="299"/>
      <c r="AW140" s="299"/>
      <c r="AX140" s="299"/>
      <c r="AY140" s="299"/>
      <c r="AZ140" s="299"/>
      <c r="BA140" s="299"/>
      <c r="BB140" s="299"/>
    </row>
    <row r="141" spans="1:66">
      <c r="A141" s="22"/>
      <c r="B141" s="292"/>
      <c r="C141" s="301"/>
      <c r="D141" s="302"/>
      <c r="E141" s="169"/>
      <c r="F141" s="169"/>
      <c r="G141" s="26"/>
      <c r="H141" s="380"/>
      <c r="I141" s="319"/>
      <c r="J141" s="303"/>
      <c r="K141" s="293"/>
      <c r="L141" s="294"/>
      <c r="M141" s="1723"/>
      <c r="N141" s="184"/>
      <c r="O141" s="183"/>
      <c r="P141" s="295"/>
      <c r="Q141" s="296"/>
      <c r="R141" s="296"/>
      <c r="S141" s="296"/>
      <c r="T141" s="296"/>
      <c r="U141" s="296"/>
      <c r="V141" s="1262"/>
      <c r="W141" s="297" t="s">
        <v>3512</v>
      </c>
      <c r="X141" s="424">
        <v>42725</v>
      </c>
      <c r="Y141" s="298">
        <v>42727</v>
      </c>
      <c r="Z141" s="295">
        <v>8905688</v>
      </c>
      <c r="AA141" s="1728">
        <f>Z141/V140</f>
        <v>0.13037859076330921</v>
      </c>
      <c r="AB141" s="59"/>
      <c r="AC141" s="59"/>
      <c r="AD141" s="38"/>
      <c r="AE141" s="1382"/>
      <c r="AF141" s="38"/>
      <c r="AG141" s="38"/>
      <c r="AH141" s="38"/>
      <c r="AI141" s="38"/>
      <c r="AJ141" s="38"/>
      <c r="AK141" s="383"/>
      <c r="AL141" s="59"/>
      <c r="AM141" s="299"/>
      <c r="AN141" s="299"/>
      <c r="AO141" s="299"/>
      <c r="AP141" s="299"/>
      <c r="AQ141" s="299"/>
      <c r="AR141" s="299"/>
      <c r="AS141" s="299"/>
      <c r="AT141" s="299"/>
      <c r="AU141" s="299"/>
      <c r="AV141" s="299"/>
      <c r="AW141" s="299"/>
      <c r="AX141" s="299"/>
      <c r="AY141" s="299"/>
      <c r="AZ141" s="299"/>
      <c r="BA141" s="299"/>
      <c r="BB141" s="299"/>
    </row>
    <row r="142" spans="1:66">
      <c r="A142" s="22"/>
      <c r="B142" s="292"/>
      <c r="C142" s="301"/>
      <c r="D142" s="302"/>
      <c r="E142" s="169"/>
      <c r="F142" s="169"/>
      <c r="G142" s="26"/>
      <c r="H142" s="380"/>
      <c r="I142" s="319"/>
      <c r="J142" s="303" t="s">
        <v>3064</v>
      </c>
      <c r="K142" s="293"/>
      <c r="L142" s="294" t="s">
        <v>3525</v>
      </c>
      <c r="M142" s="1725" t="s">
        <v>3065</v>
      </c>
      <c r="N142" s="184">
        <v>8108100</v>
      </c>
      <c r="O142" s="183"/>
      <c r="P142" s="295">
        <f>N142+O142</f>
        <v>8108100</v>
      </c>
      <c r="Q142" s="296"/>
      <c r="R142" s="296"/>
      <c r="S142" s="296"/>
      <c r="T142" s="296"/>
      <c r="U142" s="296"/>
      <c r="V142" s="144">
        <f>P142</f>
        <v>8108100</v>
      </c>
      <c r="W142" s="297" t="s">
        <v>3514</v>
      </c>
      <c r="X142" s="424">
        <v>42727</v>
      </c>
      <c r="Y142" s="298">
        <v>42731</v>
      </c>
      <c r="Z142" s="295">
        <f>V142</f>
        <v>8108100</v>
      </c>
      <c r="AA142" s="2641">
        <v>1</v>
      </c>
      <c r="AB142" s="59">
        <f t="shared" si="18"/>
        <v>-8108100</v>
      </c>
      <c r="AC142" s="59"/>
      <c r="AD142" s="38"/>
      <c r="AE142" s="1382"/>
      <c r="AF142" s="38"/>
      <c r="AG142" s="38"/>
      <c r="AH142" s="38"/>
      <c r="AI142" s="38"/>
      <c r="AJ142" s="38"/>
      <c r="AK142" s="383"/>
      <c r="AL142" s="59"/>
      <c r="AM142" s="299"/>
      <c r="AN142" s="299"/>
      <c r="AO142" s="299"/>
      <c r="AP142" s="299"/>
      <c r="AQ142" s="299"/>
      <c r="AR142" s="299"/>
      <c r="AS142" s="299"/>
      <c r="AT142" s="299"/>
      <c r="AU142" s="299"/>
      <c r="AV142" s="299"/>
      <c r="AW142" s="299"/>
      <c r="AX142" s="299"/>
      <c r="AY142" s="299"/>
      <c r="AZ142" s="299"/>
      <c r="BA142" s="299"/>
      <c r="BB142" s="299"/>
    </row>
    <row r="143" spans="1:66" s="769" customFormat="1">
      <c r="A143" s="652"/>
      <c r="B143" s="1023"/>
      <c r="C143" s="1024" t="str">
        <f>C139</f>
        <v>PRK.2016.WKT-4.3.11</v>
      </c>
      <c r="D143" s="1025"/>
      <c r="E143" s="655"/>
      <c r="F143" s="655"/>
      <c r="G143" s="656">
        <f>G139</f>
        <v>120380277</v>
      </c>
      <c r="H143" s="1046"/>
      <c r="I143" s="1047"/>
      <c r="J143" s="1026"/>
      <c r="K143" s="1027"/>
      <c r="L143" s="781"/>
      <c r="M143" s="1316"/>
      <c r="N143" s="1029">
        <f>SUM(N139:N142)</f>
        <v>51288600</v>
      </c>
      <c r="O143" s="1029">
        <f t="shared" ref="O143:V143" si="23">SUM(O139:O142)</f>
        <v>68306368</v>
      </c>
      <c r="P143" s="1029">
        <f t="shared" si="23"/>
        <v>119594968</v>
      </c>
      <c r="Q143" s="1029">
        <f t="shared" si="23"/>
        <v>0</v>
      </c>
      <c r="R143" s="1029">
        <f t="shared" si="23"/>
        <v>0</v>
      </c>
      <c r="S143" s="1029">
        <f t="shared" si="23"/>
        <v>0</v>
      </c>
      <c r="T143" s="1029">
        <f t="shared" si="23"/>
        <v>0</v>
      </c>
      <c r="U143" s="1029">
        <f t="shared" si="23"/>
        <v>0</v>
      </c>
      <c r="V143" s="1029">
        <f t="shared" si="23"/>
        <v>119594968</v>
      </c>
      <c r="W143" s="786"/>
      <c r="X143" s="785"/>
      <c r="Y143" s="1030"/>
      <c r="Z143" s="1029">
        <f>SUM(Z139:Z142)</f>
        <v>83900775</v>
      </c>
      <c r="AA143" s="1266"/>
      <c r="AB143" s="1002">
        <f t="shared" si="18"/>
        <v>785309</v>
      </c>
      <c r="AC143" s="1002"/>
      <c r="AD143" s="755"/>
      <c r="AE143" s="1448"/>
      <c r="AF143" s="755"/>
      <c r="AG143" s="755"/>
      <c r="AH143" s="755"/>
      <c r="AI143" s="755"/>
      <c r="AJ143" s="755"/>
      <c r="AK143" s="1449"/>
      <c r="AL143" s="1002"/>
      <c r="AM143" s="1031"/>
      <c r="AN143" s="1031"/>
      <c r="AO143" s="1031"/>
      <c r="AP143" s="1031"/>
      <c r="AQ143" s="1031"/>
      <c r="AR143" s="1031"/>
      <c r="AS143" s="1031"/>
      <c r="AT143" s="1031"/>
      <c r="AU143" s="1031"/>
      <c r="AV143" s="1031"/>
      <c r="AW143" s="1031"/>
      <c r="AX143" s="1031"/>
      <c r="AY143" s="1031"/>
      <c r="AZ143" s="1031"/>
      <c r="BA143" s="1031"/>
      <c r="BB143" s="1031"/>
      <c r="BH143" s="2007"/>
      <c r="BI143" s="2007"/>
      <c r="BM143" s="2007"/>
      <c r="BN143" s="2007"/>
    </row>
    <row r="144" spans="1:66">
      <c r="A144" s="22"/>
      <c r="B144" s="292"/>
      <c r="C144" s="301"/>
      <c r="D144" s="302"/>
      <c r="E144" s="169"/>
      <c r="F144" s="169"/>
      <c r="G144" s="26"/>
      <c r="H144" s="169"/>
      <c r="I144" s="170"/>
      <c r="J144" s="303"/>
      <c r="K144" s="293"/>
      <c r="L144" s="294"/>
      <c r="M144" s="294"/>
      <c r="N144" s="184"/>
      <c r="O144" s="229"/>
      <c r="P144" s="295"/>
      <c r="Q144" s="296"/>
      <c r="R144" s="296"/>
      <c r="S144" s="296"/>
      <c r="T144" s="296"/>
      <c r="U144" s="296"/>
      <c r="V144" s="144"/>
      <c r="W144" s="297"/>
      <c r="X144" s="424"/>
      <c r="Y144" s="298"/>
      <c r="Z144" s="295"/>
      <c r="AA144" s="1254"/>
      <c r="AB144" s="59"/>
      <c r="AC144" s="59"/>
      <c r="AD144" s="38"/>
      <c r="AE144" s="1382"/>
      <c r="AF144" s="38"/>
      <c r="AG144" s="38"/>
      <c r="AH144" s="38"/>
      <c r="AI144" s="38"/>
      <c r="AJ144" s="38"/>
      <c r="AK144" s="383"/>
      <c r="AL144" s="59"/>
      <c r="AM144" s="299"/>
      <c r="AN144" s="299"/>
      <c r="AO144" s="299"/>
      <c r="AP144" s="299"/>
      <c r="AQ144" s="299"/>
      <c r="AR144" s="299"/>
      <c r="AS144" s="299"/>
      <c r="AT144" s="299"/>
      <c r="AU144" s="299"/>
      <c r="AV144" s="299"/>
      <c r="AW144" s="299"/>
      <c r="AX144" s="299"/>
      <c r="AY144" s="299"/>
      <c r="AZ144" s="299"/>
      <c r="BA144" s="299"/>
      <c r="BB144" s="299"/>
    </row>
    <row r="145" spans="1:66" ht="47.25">
      <c r="A145" s="22"/>
      <c r="B145" s="292"/>
      <c r="C145" s="301" t="s">
        <v>546</v>
      </c>
      <c r="D145" s="302" t="s">
        <v>552</v>
      </c>
      <c r="E145" s="169"/>
      <c r="F145" s="169">
        <v>387200000</v>
      </c>
      <c r="G145" s="26">
        <f>E145+F145</f>
        <v>387200000</v>
      </c>
      <c r="H145" s="380" t="s">
        <v>1606</v>
      </c>
      <c r="I145" s="319">
        <v>42541</v>
      </c>
      <c r="J145" s="303" t="s">
        <v>1498</v>
      </c>
      <c r="K145" s="293" t="s">
        <v>2579</v>
      </c>
      <c r="L145" s="294" t="s">
        <v>193</v>
      </c>
      <c r="M145" s="331" t="s">
        <v>1499</v>
      </c>
      <c r="N145" s="184">
        <v>158762185</v>
      </c>
      <c r="O145" s="229"/>
      <c r="P145" s="295">
        <f>N145+O145</f>
        <v>158762185</v>
      </c>
      <c r="Q145" s="296"/>
      <c r="R145" s="296"/>
      <c r="S145" s="296"/>
      <c r="T145" s="296"/>
      <c r="U145" s="296"/>
      <c r="V145" s="144">
        <f>P145</f>
        <v>158762185</v>
      </c>
      <c r="W145" s="297" t="s">
        <v>3103</v>
      </c>
      <c r="X145" s="424">
        <v>42685</v>
      </c>
      <c r="Y145" s="298">
        <v>42691</v>
      </c>
      <c r="Z145" s="295">
        <v>67607410</v>
      </c>
      <c r="AA145" s="1666">
        <f>Z145/V145</f>
        <v>0.42584076302552776</v>
      </c>
      <c r="AB145" s="59">
        <f t="shared" si="18"/>
        <v>228437815</v>
      </c>
      <c r="AC145" s="59"/>
      <c r="AD145" s="38"/>
      <c r="AE145" s="1387">
        <f>0.274077407740774</f>
        <v>0.27407740774077399</v>
      </c>
      <c r="AF145" s="1388"/>
      <c r="AG145" s="1388"/>
      <c r="AH145" s="1394">
        <f>+AE145*V145</f>
        <v>43513128.112061195</v>
      </c>
      <c r="AI145" s="1388"/>
      <c r="AJ145" s="694">
        <f>+(100-27.41)%*V145</f>
        <v>115245470.0915</v>
      </c>
      <c r="AK145" s="383"/>
      <c r="AL145" s="59"/>
      <c r="AM145" s="299"/>
      <c r="AN145" s="299"/>
      <c r="AO145" s="299"/>
      <c r="AP145" s="299"/>
      <c r="AQ145" s="299"/>
      <c r="AR145" s="299"/>
      <c r="AS145" s="299"/>
      <c r="AT145" s="299"/>
      <c r="AU145" s="299"/>
      <c r="AV145" s="299"/>
      <c r="AW145" s="299"/>
      <c r="AX145" s="299"/>
      <c r="AY145" s="299"/>
      <c r="AZ145" s="299"/>
      <c r="BA145" s="299"/>
      <c r="BB145" s="299"/>
    </row>
    <row r="146" spans="1:66">
      <c r="A146" s="22"/>
      <c r="B146" s="292"/>
      <c r="C146" s="301"/>
      <c r="D146" s="302"/>
      <c r="E146" s="169"/>
      <c r="F146" s="169"/>
      <c r="G146" s="26"/>
      <c r="H146" s="380"/>
      <c r="I146" s="319"/>
      <c r="J146" s="303"/>
      <c r="K146" s="293"/>
      <c r="L146" s="294"/>
      <c r="M146" s="1697"/>
      <c r="N146" s="184"/>
      <c r="O146" s="229"/>
      <c r="P146" s="295"/>
      <c r="Q146" s="296"/>
      <c r="R146" s="296"/>
      <c r="S146" s="296"/>
      <c r="T146" s="296"/>
      <c r="U146" s="296"/>
      <c r="V146" s="144"/>
      <c r="W146" s="297" t="s">
        <v>3466</v>
      </c>
      <c r="X146" s="424">
        <v>42713</v>
      </c>
      <c r="Y146" s="298">
        <v>42718</v>
      </c>
      <c r="Z146" s="295">
        <v>13510565</v>
      </c>
      <c r="AA146" s="1666">
        <f>Z146/V145</f>
        <v>8.5099389379152221E-2</v>
      </c>
      <c r="AB146" s="59"/>
      <c r="AC146" s="59"/>
      <c r="AD146" s="38"/>
      <c r="AE146" s="1387"/>
      <c r="AF146" s="1388"/>
      <c r="AG146" s="1388"/>
      <c r="AH146" s="1394"/>
      <c r="AI146" s="1388"/>
      <c r="AJ146" s="694"/>
      <c r="AK146" s="383"/>
      <c r="AL146" s="59"/>
      <c r="AM146" s="299"/>
      <c r="AN146" s="299"/>
      <c r="AO146" s="299"/>
      <c r="AP146" s="299"/>
      <c r="AQ146" s="299"/>
      <c r="AR146" s="299"/>
      <c r="AS146" s="299"/>
      <c r="AT146" s="299"/>
      <c r="AU146" s="299"/>
      <c r="AV146" s="299"/>
      <c r="AW146" s="299"/>
      <c r="AX146" s="299"/>
      <c r="AY146" s="299"/>
      <c r="AZ146" s="299"/>
      <c r="BA146" s="299"/>
      <c r="BB146" s="299"/>
    </row>
    <row r="147" spans="1:66">
      <c r="A147" s="22"/>
      <c r="B147" s="292"/>
      <c r="C147" s="301"/>
      <c r="D147" s="302"/>
      <c r="E147" s="169"/>
      <c r="F147" s="169"/>
      <c r="G147" s="26"/>
      <c r="H147" s="380"/>
      <c r="I147" s="319"/>
      <c r="J147" s="303"/>
      <c r="K147" s="293"/>
      <c r="L147" s="294"/>
      <c r="M147" s="1723"/>
      <c r="N147" s="184"/>
      <c r="O147" s="229"/>
      <c r="P147" s="295"/>
      <c r="Q147" s="296"/>
      <c r="R147" s="296"/>
      <c r="S147" s="296"/>
      <c r="T147" s="296"/>
      <c r="U147" s="296"/>
      <c r="V147" s="144"/>
      <c r="W147" s="297" t="s">
        <v>3514</v>
      </c>
      <c r="X147" s="424">
        <v>42727</v>
      </c>
      <c r="Y147" s="298">
        <v>42731</v>
      </c>
      <c r="Z147" s="295">
        <v>6834104</v>
      </c>
      <c r="AA147" s="1666">
        <f>Z147/V145</f>
        <v>4.304616996799332E-2</v>
      </c>
      <c r="AB147" s="59"/>
      <c r="AC147" s="59"/>
      <c r="AD147" s="38"/>
      <c r="AE147" s="1387"/>
      <c r="AF147" s="1388"/>
      <c r="AG147" s="1388"/>
      <c r="AH147" s="1394"/>
      <c r="AI147" s="1388"/>
      <c r="AJ147" s="694"/>
      <c r="AK147" s="383"/>
      <c r="AL147" s="59"/>
      <c r="AM147" s="299"/>
      <c r="AN147" s="299"/>
      <c r="AO147" s="299"/>
      <c r="AP147" s="299"/>
      <c r="AQ147" s="299"/>
      <c r="AR147" s="299"/>
      <c r="AS147" s="299"/>
      <c r="AT147" s="299"/>
      <c r="AU147" s="299"/>
      <c r="AV147" s="299"/>
      <c r="AW147" s="299"/>
      <c r="AX147" s="299"/>
      <c r="AY147" s="299"/>
      <c r="AZ147" s="299"/>
      <c r="BA147" s="299"/>
      <c r="BB147" s="299"/>
    </row>
    <row r="148" spans="1:66" ht="47.25">
      <c r="A148" s="22"/>
      <c r="B148" s="292"/>
      <c r="C148" s="301"/>
      <c r="D148" s="302"/>
      <c r="E148" s="169"/>
      <c r="F148" s="169"/>
      <c r="G148" s="26"/>
      <c r="H148" s="380" t="s">
        <v>1559</v>
      </c>
      <c r="I148" s="319">
        <v>42531</v>
      </c>
      <c r="J148" s="303" t="s">
        <v>1543</v>
      </c>
      <c r="K148" s="293" t="s">
        <v>2580</v>
      </c>
      <c r="L148" s="454" t="s">
        <v>1749</v>
      </c>
      <c r="M148" s="331" t="s">
        <v>1545</v>
      </c>
      <c r="N148" s="184">
        <v>58278693</v>
      </c>
      <c r="O148" s="229"/>
      <c r="P148" s="295">
        <f>N148+O148</f>
        <v>58278693</v>
      </c>
      <c r="Q148" s="296"/>
      <c r="R148" s="296"/>
      <c r="S148" s="296"/>
      <c r="T148" s="296"/>
      <c r="U148" s="296"/>
      <c r="V148" s="144">
        <f>P148</f>
        <v>58278693</v>
      </c>
      <c r="W148" s="297" t="s">
        <v>3018</v>
      </c>
      <c r="X148" s="424">
        <v>42674</v>
      </c>
      <c r="Y148" s="424">
        <v>42682</v>
      </c>
      <c r="Z148" s="295">
        <f>V148</f>
        <v>58278693</v>
      </c>
      <c r="AA148" s="2641">
        <v>1</v>
      </c>
      <c r="AB148" s="59">
        <f t="shared" si="18"/>
        <v>-58278693</v>
      </c>
      <c r="AC148" s="59"/>
      <c r="AD148" s="38"/>
      <c r="AE148" s="1382"/>
      <c r="AF148" s="38"/>
      <c r="AG148" s="38"/>
      <c r="AH148" s="38"/>
      <c r="AI148" s="48">
        <f>V148</f>
        <v>58278693</v>
      </c>
      <c r="AJ148" s="38"/>
      <c r="AK148" s="383"/>
      <c r="AL148" s="59"/>
      <c r="AM148" s="299"/>
      <c r="AN148" s="299"/>
      <c r="AO148" s="299"/>
      <c r="AP148" s="299"/>
      <c r="AQ148" s="299"/>
      <c r="AR148" s="299"/>
      <c r="AS148" s="299"/>
      <c r="AT148" s="299"/>
      <c r="AU148" s="299"/>
      <c r="AV148" s="299"/>
      <c r="AW148" s="299"/>
      <c r="AX148" s="299"/>
      <c r="AY148" s="299"/>
      <c r="AZ148" s="299"/>
      <c r="BA148" s="299"/>
      <c r="BB148" s="299"/>
    </row>
    <row r="149" spans="1:66" ht="47.25">
      <c r="A149" s="22"/>
      <c r="B149" s="292"/>
      <c r="C149" s="301"/>
      <c r="D149" s="302"/>
      <c r="E149" s="169"/>
      <c r="F149" s="169"/>
      <c r="G149" s="26"/>
      <c r="H149" s="380" t="s">
        <v>1560</v>
      </c>
      <c r="I149" s="319">
        <v>42531</v>
      </c>
      <c r="J149" s="303" t="s">
        <v>1544</v>
      </c>
      <c r="K149" s="293" t="s">
        <v>2517</v>
      </c>
      <c r="L149" s="294" t="s">
        <v>265</v>
      </c>
      <c r="M149" s="331" t="s">
        <v>2221</v>
      </c>
      <c r="N149" s="184">
        <v>128262750</v>
      </c>
      <c r="O149" s="229"/>
      <c r="P149" s="295">
        <f>N149+O149</f>
        <v>128262750</v>
      </c>
      <c r="Q149" s="296"/>
      <c r="R149" s="296"/>
      <c r="S149" s="296"/>
      <c r="T149" s="296"/>
      <c r="U149" s="296"/>
      <c r="V149" s="144">
        <f>P149</f>
        <v>128262750</v>
      </c>
      <c r="W149" s="297" t="s">
        <v>2222</v>
      </c>
      <c r="X149" s="424">
        <v>42611</v>
      </c>
      <c r="Y149" s="298">
        <v>42612</v>
      </c>
      <c r="Z149" s="295">
        <f>V149</f>
        <v>128262750</v>
      </c>
      <c r="AA149" s="2641">
        <v>1</v>
      </c>
      <c r="AB149" s="59">
        <f t="shared" si="18"/>
        <v>-128262750</v>
      </c>
      <c r="AC149" s="59"/>
      <c r="AD149" s="38"/>
      <c r="AE149" s="1382"/>
      <c r="AF149" s="38"/>
      <c r="AG149" s="38"/>
      <c r="AH149" s="38"/>
      <c r="AI149" s="38"/>
      <c r="AJ149" s="38"/>
      <c r="AK149" s="383"/>
      <c r="AL149" s="59"/>
      <c r="AM149" s="299"/>
      <c r="AN149" s="299"/>
      <c r="AO149" s="299"/>
      <c r="AP149" s="299"/>
      <c r="AQ149" s="299"/>
      <c r="AR149" s="299"/>
      <c r="AS149" s="299"/>
      <c r="AT149" s="299"/>
      <c r="AU149" s="299"/>
      <c r="AV149" s="299"/>
      <c r="AW149" s="299"/>
      <c r="AX149" s="299"/>
      <c r="AY149" s="299"/>
      <c r="AZ149" s="299"/>
      <c r="BA149" s="299"/>
      <c r="BB149" s="299"/>
    </row>
    <row r="150" spans="1:66">
      <c r="A150" s="22"/>
      <c r="B150" s="292"/>
      <c r="C150" s="301"/>
      <c r="D150" s="302"/>
      <c r="E150" s="169"/>
      <c r="F150" s="169"/>
      <c r="G150" s="26"/>
      <c r="H150" s="380"/>
      <c r="I150" s="319"/>
      <c r="J150" s="303" t="s">
        <v>3086</v>
      </c>
      <c r="K150" s="293"/>
      <c r="L150" s="294" t="s">
        <v>3360</v>
      </c>
      <c r="M150" s="1639" t="s">
        <v>3087</v>
      </c>
      <c r="N150" s="184">
        <v>9365400</v>
      </c>
      <c r="O150" s="229"/>
      <c r="P150" s="295">
        <f>N150+O150</f>
        <v>9365400</v>
      </c>
      <c r="Q150" s="296"/>
      <c r="R150" s="296"/>
      <c r="S150" s="296"/>
      <c r="T150" s="296"/>
      <c r="U150" s="296"/>
      <c r="V150" s="144">
        <f>P150</f>
        <v>9365400</v>
      </c>
      <c r="W150" s="297" t="s">
        <v>3514</v>
      </c>
      <c r="X150" s="424">
        <v>42727</v>
      </c>
      <c r="Y150" s="298">
        <v>42731</v>
      </c>
      <c r="Z150" s="295">
        <f>V150</f>
        <v>9365400</v>
      </c>
      <c r="AA150" s="2641">
        <v>1</v>
      </c>
      <c r="AB150" s="59">
        <f t="shared" si="18"/>
        <v>-9365400</v>
      </c>
      <c r="AC150" s="59"/>
      <c r="AD150" s="38"/>
      <c r="AE150" s="1382"/>
      <c r="AF150" s="38"/>
      <c r="AG150" s="38"/>
      <c r="AH150" s="38"/>
      <c r="AI150" s="38"/>
      <c r="AJ150" s="38"/>
      <c r="AK150" s="383"/>
      <c r="AL150" s="59"/>
      <c r="AM150" s="299"/>
      <c r="AN150" s="299"/>
      <c r="AO150" s="299"/>
      <c r="AP150" s="299"/>
      <c r="AQ150" s="299"/>
      <c r="AR150" s="299"/>
      <c r="AS150" s="299"/>
      <c r="AT150" s="299"/>
      <c r="AU150" s="299"/>
      <c r="AV150" s="299"/>
      <c r="AW150" s="299"/>
      <c r="AX150" s="299"/>
      <c r="AY150" s="299"/>
      <c r="AZ150" s="299"/>
      <c r="BA150" s="299"/>
      <c r="BB150" s="299"/>
    </row>
    <row r="151" spans="1:66" ht="47.25">
      <c r="A151" s="22"/>
      <c r="B151" s="292"/>
      <c r="C151" s="301"/>
      <c r="D151" s="302"/>
      <c r="E151" s="169"/>
      <c r="F151" s="169"/>
      <c r="G151" s="26"/>
      <c r="H151" s="380" t="s">
        <v>3098</v>
      </c>
      <c r="I151" s="319">
        <v>42690</v>
      </c>
      <c r="J151" s="303" t="s">
        <v>3090</v>
      </c>
      <c r="K151" s="454" t="s">
        <v>3516</v>
      </c>
      <c r="L151" s="454" t="s">
        <v>1749</v>
      </c>
      <c r="M151" s="1641" t="s">
        <v>3091</v>
      </c>
      <c r="N151" s="184">
        <v>31680000</v>
      </c>
      <c r="O151" s="229"/>
      <c r="P151" s="295">
        <f>N151+O151</f>
        <v>31680000</v>
      </c>
      <c r="Q151" s="296"/>
      <c r="R151" s="296"/>
      <c r="S151" s="296"/>
      <c r="T151" s="296"/>
      <c r="U151" s="296"/>
      <c r="V151" s="144">
        <f>P151</f>
        <v>31680000</v>
      </c>
      <c r="W151" s="297" t="s">
        <v>3517</v>
      </c>
      <c r="X151" s="424">
        <v>42728</v>
      </c>
      <c r="Y151" s="298">
        <v>42731</v>
      </c>
      <c r="Z151" s="295">
        <f>V151</f>
        <v>31680000</v>
      </c>
      <c r="AA151" s="2641">
        <v>1</v>
      </c>
      <c r="AB151" s="59">
        <f t="shared" si="18"/>
        <v>-31680000</v>
      </c>
      <c r="AC151" s="59"/>
      <c r="AD151" s="38"/>
      <c r="AE151" s="1382"/>
      <c r="AF151" s="38"/>
      <c r="AG151" s="38"/>
      <c r="AH151" s="38"/>
      <c r="AI151" s="38"/>
      <c r="AJ151" s="38"/>
      <c r="AK151" s="383"/>
      <c r="AL151" s="59"/>
      <c r="AM151" s="299"/>
      <c r="AN151" s="299"/>
      <c r="AO151" s="299"/>
      <c r="AP151" s="299"/>
      <c r="AQ151" s="299"/>
      <c r="AR151" s="299"/>
      <c r="AS151" s="299"/>
      <c r="AT151" s="299"/>
      <c r="AU151" s="299"/>
      <c r="AV151" s="299"/>
      <c r="AW151" s="299"/>
      <c r="AX151" s="299"/>
      <c r="AY151" s="299"/>
      <c r="AZ151" s="299"/>
      <c r="BA151" s="299"/>
      <c r="BB151" s="299"/>
    </row>
    <row r="152" spans="1:66" s="769" customFormat="1">
      <c r="A152" s="652"/>
      <c r="B152" s="1023"/>
      <c r="C152" s="1024" t="str">
        <f>C145</f>
        <v>PRK.2016.WKT-4.3.12</v>
      </c>
      <c r="D152" s="1025"/>
      <c r="E152" s="655"/>
      <c r="F152" s="655"/>
      <c r="G152" s="656">
        <f>G145</f>
        <v>387200000</v>
      </c>
      <c r="H152" s="655"/>
      <c r="I152" s="657"/>
      <c r="J152" s="1026"/>
      <c r="K152" s="1027"/>
      <c r="L152" s="781"/>
      <c r="M152" s="1028"/>
      <c r="N152" s="1029">
        <f>SUM(N145:N151)</f>
        <v>386349028</v>
      </c>
      <c r="O152" s="1029">
        <f>SUM(O145:O151)</f>
        <v>0</v>
      </c>
      <c r="P152" s="1029">
        <f>SUM(P145:P151)</f>
        <v>386349028</v>
      </c>
      <c r="Q152" s="1029">
        <f>SUM(Q145:Q149)</f>
        <v>0</v>
      </c>
      <c r="R152" s="1029">
        <f>SUM(R145:R149)</f>
        <v>0</v>
      </c>
      <c r="S152" s="1029">
        <f>SUM(S145:S149)</f>
        <v>0</v>
      </c>
      <c r="T152" s="1029">
        <f>SUM(T145:T149)</f>
        <v>0</v>
      </c>
      <c r="U152" s="1029">
        <f>SUM(U145:U149)</f>
        <v>0</v>
      </c>
      <c r="V152" s="1029">
        <f>SUM(V145:V151)</f>
        <v>386349028</v>
      </c>
      <c r="W152" s="786"/>
      <c r="X152" s="785"/>
      <c r="Y152" s="1030"/>
      <c r="Z152" s="1029">
        <f>SUM(Z145:Z151)</f>
        <v>315538922</v>
      </c>
      <c r="AA152" s="1266"/>
      <c r="AB152" s="1002">
        <f t="shared" si="18"/>
        <v>850972</v>
      </c>
      <c r="AC152" s="1002"/>
      <c r="AD152" s="755"/>
      <c r="AE152" s="1382"/>
      <c r="AF152" s="38"/>
      <c r="AG152" s="38"/>
      <c r="AH152" s="38"/>
      <c r="AI152" s="38"/>
      <c r="AJ152" s="38"/>
      <c r="AK152" s="383"/>
      <c r="AL152" s="1002"/>
      <c r="AM152" s="1031"/>
      <c r="AN152" s="1031"/>
      <c r="AO152" s="1031"/>
      <c r="AP152" s="1031"/>
      <c r="AQ152" s="1031"/>
      <c r="AR152" s="1031"/>
      <c r="AS152" s="1031"/>
      <c r="AT152" s="1031"/>
      <c r="AU152" s="1031"/>
      <c r="AV152" s="1031"/>
      <c r="AW152" s="1031"/>
      <c r="AX152" s="1031"/>
      <c r="AY152" s="1031"/>
      <c r="AZ152" s="1031"/>
      <c r="BA152" s="1031"/>
      <c r="BB152" s="1031"/>
      <c r="BH152" s="2007"/>
      <c r="BI152" s="2007"/>
      <c r="BM152" s="2007"/>
      <c r="BN152" s="2007"/>
    </row>
    <row r="153" spans="1:66">
      <c r="A153" s="22"/>
      <c r="B153" s="292"/>
      <c r="C153" s="301"/>
      <c r="D153" s="302"/>
      <c r="E153" s="169"/>
      <c r="F153" s="169"/>
      <c r="G153" s="26"/>
      <c r="H153" s="169"/>
      <c r="I153" s="170"/>
      <c r="J153" s="303"/>
      <c r="K153" s="293"/>
      <c r="L153" s="294"/>
      <c r="M153" s="294"/>
      <c r="N153" s="184"/>
      <c r="O153" s="229"/>
      <c r="P153" s="295"/>
      <c r="Q153" s="296"/>
      <c r="R153" s="296"/>
      <c r="S153" s="296"/>
      <c r="T153" s="296"/>
      <c r="U153" s="296"/>
      <c r="V153" s="144"/>
      <c r="W153" s="297"/>
      <c r="X153" s="424"/>
      <c r="Y153" s="298"/>
      <c r="Z153" s="295"/>
      <c r="AA153" s="1254"/>
      <c r="AB153" s="59"/>
      <c r="AC153" s="59"/>
      <c r="AD153" s="38"/>
      <c r="AE153" s="1382"/>
      <c r="AF153" s="38"/>
      <c r="AG153" s="38"/>
      <c r="AH153" s="38"/>
      <c r="AI153" s="38"/>
      <c r="AJ153" s="38"/>
      <c r="AK153" s="383"/>
      <c r="AL153" s="59"/>
      <c r="AM153" s="299"/>
      <c r="AN153" s="299"/>
      <c r="AO153" s="299"/>
      <c r="AP153" s="299"/>
      <c r="AQ153" s="299"/>
      <c r="AR153" s="299"/>
      <c r="AS153" s="299"/>
      <c r="AT153" s="299"/>
      <c r="AU153" s="299"/>
      <c r="AV153" s="299"/>
      <c r="AW153" s="299"/>
      <c r="AX153" s="299"/>
      <c r="AY153" s="299"/>
      <c r="AZ153" s="299"/>
      <c r="BA153" s="299"/>
      <c r="BB153" s="299"/>
    </row>
    <row r="154" spans="1:66" s="1779" customFormat="1" ht="47.25">
      <c r="A154" s="1806"/>
      <c r="B154" s="1851"/>
      <c r="C154" s="1852" t="s">
        <v>547</v>
      </c>
      <c r="D154" s="1853" t="s">
        <v>553</v>
      </c>
      <c r="E154" s="1854"/>
      <c r="F154" s="1854">
        <v>236586881</v>
      </c>
      <c r="G154" s="1855">
        <f>E154+F154</f>
        <v>236586881</v>
      </c>
      <c r="H154" s="1871" t="s">
        <v>1487</v>
      </c>
      <c r="I154" s="1856">
        <v>42520</v>
      </c>
      <c r="J154" s="1883" t="s">
        <v>1434</v>
      </c>
      <c r="K154" s="1857" t="s">
        <v>2518</v>
      </c>
      <c r="L154" s="1867" t="s">
        <v>271</v>
      </c>
      <c r="M154" s="1884" t="s">
        <v>1435</v>
      </c>
      <c r="N154" s="1860"/>
      <c r="O154" s="1843">
        <v>219797237</v>
      </c>
      <c r="P154" s="1822">
        <f>N154+O154</f>
        <v>219797237</v>
      </c>
      <c r="Q154" s="1862"/>
      <c r="R154" s="1862"/>
      <c r="S154" s="1862"/>
      <c r="T154" s="1862"/>
      <c r="U154" s="1862"/>
      <c r="V154" s="1863">
        <f>P154</f>
        <v>219797237</v>
      </c>
      <c r="W154" s="1820"/>
      <c r="X154" s="1821"/>
      <c r="Y154" s="1836"/>
      <c r="Z154" s="1822"/>
      <c r="AA154" s="1864"/>
      <c r="AB154" s="1824">
        <f t="shared" si="18"/>
        <v>16789644</v>
      </c>
      <c r="AC154" s="1824"/>
      <c r="AD154" s="1828"/>
      <c r="AE154" s="1827">
        <v>0</v>
      </c>
      <c r="AF154" s="1828"/>
      <c r="AG154" s="1828"/>
      <c r="AH154" s="1828"/>
      <c r="AI154" s="1828"/>
      <c r="AJ154" s="1839">
        <f>V154</f>
        <v>219797237</v>
      </c>
      <c r="AK154" s="1830"/>
      <c r="AL154" s="1824"/>
      <c r="AM154" s="1865"/>
      <c r="AN154" s="1865"/>
      <c r="AO154" s="1865"/>
      <c r="AP154" s="1865"/>
      <c r="AQ154" s="1865"/>
      <c r="AR154" s="1865"/>
      <c r="AS154" s="1865"/>
      <c r="AT154" s="1865"/>
      <c r="AU154" s="1865"/>
      <c r="AV154" s="1865"/>
      <c r="AW154" s="1865"/>
      <c r="AX154" s="1865"/>
      <c r="AY154" s="1865"/>
      <c r="AZ154" s="1865"/>
      <c r="BA154" s="1865"/>
      <c r="BB154" s="1865"/>
      <c r="BH154" s="2000"/>
      <c r="BI154" s="2000">
        <f>7648/3/1000</f>
        <v>2.5493333333333337</v>
      </c>
      <c r="BM154" s="2000"/>
      <c r="BN154" s="2000"/>
    </row>
    <row r="155" spans="1:66" ht="16.5" thickBot="1">
      <c r="A155" s="22"/>
      <c r="B155" s="292"/>
      <c r="C155" s="301"/>
      <c r="D155" s="302"/>
      <c r="E155" s="169"/>
      <c r="F155" s="169"/>
      <c r="G155" s="26"/>
      <c r="H155" s="169"/>
      <c r="I155" s="170"/>
      <c r="J155" s="303"/>
      <c r="K155" s="293"/>
      <c r="L155" s="294"/>
      <c r="M155" s="294"/>
      <c r="N155" s="184"/>
      <c r="O155" s="328"/>
      <c r="P155" s="295"/>
      <c r="Q155" s="296"/>
      <c r="R155" s="296"/>
      <c r="S155" s="296"/>
      <c r="T155" s="296"/>
      <c r="U155" s="296"/>
      <c r="V155" s="144"/>
      <c r="W155" s="297"/>
      <c r="X155" s="424"/>
      <c r="Y155" s="298"/>
      <c r="Z155" s="295"/>
      <c r="AA155" s="1254"/>
      <c r="AB155" s="46"/>
      <c r="AC155" s="46"/>
      <c r="AD155" s="392"/>
      <c r="AE155" s="1382"/>
      <c r="AF155" s="38"/>
      <c r="AG155" s="38"/>
      <c r="AH155" s="38"/>
      <c r="AI155" s="38"/>
      <c r="AJ155" s="38"/>
      <c r="AK155" s="383"/>
      <c r="AL155" s="46"/>
      <c r="AM155" s="299"/>
      <c r="AN155" s="299"/>
      <c r="AO155" s="299"/>
      <c r="AP155" s="299"/>
      <c r="AQ155" s="299"/>
      <c r="AR155" s="299"/>
      <c r="AS155" s="299"/>
      <c r="AT155" s="299"/>
      <c r="AU155" s="299"/>
      <c r="AV155" s="299"/>
      <c r="AW155" s="299"/>
      <c r="AX155" s="299"/>
      <c r="AY155" s="299"/>
      <c r="AZ155" s="299"/>
      <c r="BA155" s="299"/>
      <c r="BB155" s="299"/>
    </row>
    <row r="156" spans="1:66" s="55" customFormat="1" ht="15.75" customHeight="1" thickBot="1">
      <c r="A156" s="2703" t="str">
        <f>B110</f>
        <v>002.DIST/AI-R/BRU/2016/M</v>
      </c>
      <c r="B156" s="2704"/>
      <c r="C156" s="2704"/>
      <c r="D156" s="2705"/>
      <c r="E156" s="65">
        <f>E110+E132+E134+E139+E145+E154</f>
        <v>0</v>
      </c>
      <c r="F156" s="65">
        <f>F110+F132+F134+F139+F145+F154</f>
        <v>3211908239</v>
      </c>
      <c r="G156" s="65">
        <f>G110+G132+G134+G139+G145+G154</f>
        <v>3211908239</v>
      </c>
      <c r="H156" s="65"/>
      <c r="I156" s="65"/>
      <c r="J156" s="65"/>
      <c r="K156" s="66"/>
      <c r="L156" s="94"/>
      <c r="M156" s="67"/>
      <c r="N156" s="68">
        <f>SUM(+N118+N132+N137+N143+N152+N154)</f>
        <v>513857316</v>
      </c>
      <c r="O156" s="68">
        <f t="shared" ref="O156:V156" si="24">SUM(+O118+O132+O137+O143+O152+O154)</f>
        <v>2639641035</v>
      </c>
      <c r="P156" s="68">
        <f t="shared" si="24"/>
        <v>3153498351</v>
      </c>
      <c r="Q156" s="68">
        <f t="shared" si="24"/>
        <v>0</v>
      </c>
      <c r="R156" s="68">
        <f t="shared" si="24"/>
        <v>0</v>
      </c>
      <c r="S156" s="68">
        <f t="shared" si="24"/>
        <v>0</v>
      </c>
      <c r="T156" s="68">
        <f t="shared" si="24"/>
        <v>0</v>
      </c>
      <c r="U156" s="68">
        <f t="shared" si="24"/>
        <v>0</v>
      </c>
      <c r="V156" s="68">
        <f t="shared" si="24"/>
        <v>3153498351</v>
      </c>
      <c r="W156" s="1257"/>
      <c r="X156" s="1258"/>
      <c r="Y156" s="1258"/>
      <c r="Z156" s="68">
        <f>SUM(+Z118+Z132+Z137+Z143+Z152+Z154)</f>
        <v>1726925225</v>
      </c>
      <c r="AA156" s="65"/>
      <c r="AB156" s="65">
        <f>+G156-P156</f>
        <v>58409888</v>
      </c>
      <c r="AC156" s="65"/>
      <c r="AD156" s="76"/>
      <c r="AE156" s="1382"/>
      <c r="AF156" s="38"/>
      <c r="AG156" s="38"/>
      <c r="AH156" s="38"/>
      <c r="AI156" s="38"/>
      <c r="AJ156" s="38"/>
      <c r="AK156" s="383"/>
      <c r="AL156" s="65"/>
      <c r="AM156" s="385"/>
      <c r="AN156" s="100"/>
      <c r="AO156" s="100"/>
      <c r="AP156" s="74"/>
      <c r="AQ156" s="74"/>
      <c r="AR156" s="74"/>
      <c r="AS156" s="74"/>
      <c r="AT156" s="64"/>
      <c r="AU156" s="101" t="e">
        <f>SUM(#REF!)</f>
        <v>#REF!</v>
      </c>
      <c r="AV156" s="101">
        <f t="shared" ref="AV156:BB156" si="25">SUM(AV155:AV155)</f>
        <v>0</v>
      </c>
      <c r="AW156" s="101">
        <f t="shared" si="25"/>
        <v>0</v>
      </c>
      <c r="AX156" s="101">
        <f t="shared" si="25"/>
        <v>0</v>
      </c>
      <c r="AY156" s="101">
        <f t="shared" si="25"/>
        <v>0</v>
      </c>
      <c r="AZ156" s="101">
        <f t="shared" si="25"/>
        <v>0</v>
      </c>
      <c r="BA156" s="101">
        <f t="shared" si="25"/>
        <v>0</v>
      </c>
      <c r="BB156" s="102">
        <f t="shared" si="25"/>
        <v>0</v>
      </c>
      <c r="BD156" s="56"/>
      <c r="BH156" s="2003"/>
      <c r="BI156" s="2003"/>
      <c r="BM156" s="2003"/>
      <c r="BN156" s="2003"/>
    </row>
    <row r="157" spans="1:66" ht="15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3"/>
      <c r="K157" s="5"/>
      <c r="L157" s="5"/>
      <c r="M157" s="5"/>
      <c r="N157" s="96"/>
      <c r="O157" s="96"/>
      <c r="P157" s="97"/>
      <c r="Q157" s="9"/>
      <c r="R157" s="9"/>
      <c r="S157" s="9"/>
      <c r="T157" s="9"/>
      <c r="U157" s="9"/>
      <c r="V157" s="136"/>
      <c r="W157" s="1242"/>
      <c r="X157" s="1242"/>
      <c r="Y157" s="1242"/>
      <c r="Z157" s="1256"/>
      <c r="AA157" s="1256"/>
      <c r="AB157" s="391"/>
      <c r="AC157" s="391"/>
      <c r="AD157" s="391"/>
      <c r="AE157" s="1382"/>
      <c r="AF157" s="38"/>
      <c r="AG157" s="38"/>
      <c r="AH157" s="38"/>
      <c r="AI157" s="38"/>
      <c r="AJ157" s="38"/>
      <c r="AK157" s="383"/>
      <c r="AL157" s="391"/>
      <c r="AM157" s="382"/>
      <c r="AN157" s="98"/>
      <c r="AO157" s="98"/>
      <c r="AP157" s="98"/>
      <c r="AQ157" s="98"/>
      <c r="AR157" s="98"/>
      <c r="AS157" s="98"/>
      <c r="AT157" s="99"/>
      <c r="AU157" s="78"/>
      <c r="AV157" s="78"/>
      <c r="AW157" s="78"/>
      <c r="AX157" s="78"/>
      <c r="AY157" s="78"/>
      <c r="AZ157" s="78"/>
      <c r="BA157" s="78"/>
      <c r="BB157" s="78"/>
    </row>
    <row r="158" spans="1:66" ht="47.25">
      <c r="A158" s="291">
        <v>5</v>
      </c>
      <c r="B158" s="153" t="s">
        <v>1187</v>
      </c>
      <c r="C158" s="301" t="s">
        <v>1189</v>
      </c>
      <c r="D158" s="302" t="s">
        <v>1190</v>
      </c>
      <c r="E158" s="26"/>
      <c r="F158" s="26">
        <v>295000000</v>
      </c>
      <c r="G158" s="26">
        <f>E158+F158</f>
        <v>295000000</v>
      </c>
      <c r="H158" s="380" t="s">
        <v>1197</v>
      </c>
      <c r="I158" s="558">
        <v>42494</v>
      </c>
      <c r="J158" s="126" t="s">
        <v>1191</v>
      </c>
      <c r="K158" s="293" t="s">
        <v>2519</v>
      </c>
      <c r="L158" s="71" t="s">
        <v>1371</v>
      </c>
      <c r="M158" s="250" t="s">
        <v>1192</v>
      </c>
      <c r="N158" s="143">
        <v>272800000</v>
      </c>
      <c r="O158" s="143">
        <v>0</v>
      </c>
      <c r="P158" s="139">
        <f>N158+O158</f>
        <v>272800000</v>
      </c>
      <c r="Q158" s="30"/>
      <c r="R158" s="30"/>
      <c r="S158" s="30"/>
      <c r="T158" s="30"/>
      <c r="U158" s="30"/>
      <c r="V158" s="144">
        <f>P158</f>
        <v>272800000</v>
      </c>
      <c r="W158" s="200" t="s">
        <v>2386</v>
      </c>
      <c r="X158" s="1253">
        <v>42619</v>
      </c>
      <c r="Y158" s="289">
        <v>42622</v>
      </c>
      <c r="Z158" s="144">
        <f>V158</f>
        <v>272800000</v>
      </c>
      <c r="AA158" s="2640">
        <v>1</v>
      </c>
      <c r="AB158" s="59">
        <f>+G158-P158</f>
        <v>22200000</v>
      </c>
      <c r="AC158" s="59"/>
      <c r="AD158" s="38"/>
      <c r="AE158" s="1382"/>
      <c r="AF158" s="38"/>
      <c r="AG158" s="38"/>
      <c r="AH158" s="38"/>
      <c r="AI158" s="38"/>
      <c r="AJ158" s="38"/>
      <c r="AK158" s="383"/>
      <c r="AL158" s="59"/>
      <c r="AM158" s="383"/>
      <c r="AN158" s="32"/>
      <c r="AO158" s="32"/>
      <c r="AP158" s="32"/>
      <c r="AQ158" s="32"/>
      <c r="AR158" s="32"/>
      <c r="AS158" s="32"/>
      <c r="AT158" s="33"/>
      <c r="AU158" s="32"/>
      <c r="AV158" s="32"/>
      <c r="AW158" s="32"/>
      <c r="AX158" s="32"/>
      <c r="AY158" s="32"/>
      <c r="AZ158" s="32"/>
      <c r="BA158" s="32"/>
      <c r="BB158" s="32"/>
    </row>
    <row r="159" spans="1:66">
      <c r="A159" s="291"/>
      <c r="B159" s="153" t="s">
        <v>1188</v>
      </c>
      <c r="C159" s="301"/>
      <c r="D159" s="302"/>
      <c r="E159" s="169"/>
      <c r="F159" s="169"/>
      <c r="G159" s="26"/>
      <c r="H159" s="169"/>
      <c r="I159" s="170"/>
      <c r="J159" s="126" t="s">
        <v>2637</v>
      </c>
      <c r="K159" s="293"/>
      <c r="L159" s="294" t="s">
        <v>786</v>
      </c>
      <c r="M159" s="892" t="s">
        <v>2638</v>
      </c>
      <c r="N159" s="184">
        <v>8186200</v>
      </c>
      <c r="O159" s="229"/>
      <c r="P159" s="139">
        <f>N159+O159</f>
        <v>8186200</v>
      </c>
      <c r="Q159" s="296"/>
      <c r="R159" s="296"/>
      <c r="S159" s="296"/>
      <c r="T159" s="296"/>
      <c r="U159" s="296"/>
      <c r="V159" s="144">
        <f>P159</f>
        <v>8186200</v>
      </c>
      <c r="W159" s="297" t="s">
        <v>3017</v>
      </c>
      <c r="X159" s="424">
        <v>42670</v>
      </c>
      <c r="Y159" s="298">
        <v>42682</v>
      </c>
      <c r="Z159" s="144">
        <f>V159</f>
        <v>8186200</v>
      </c>
      <c r="AA159" s="2640">
        <v>1</v>
      </c>
      <c r="AB159" s="59">
        <f>+G159-P159</f>
        <v>-8186200</v>
      </c>
      <c r="AC159" s="59"/>
      <c r="AD159" s="38"/>
      <c r="AE159" s="1382"/>
      <c r="AF159" s="38"/>
      <c r="AG159" s="38"/>
      <c r="AH159" s="48">
        <f>V159</f>
        <v>8186200</v>
      </c>
      <c r="AI159" s="38"/>
      <c r="AJ159" s="38"/>
      <c r="AK159" s="383"/>
      <c r="AL159" s="59"/>
      <c r="AM159" s="299"/>
      <c r="AN159" s="299"/>
      <c r="AO159" s="299"/>
      <c r="AP159" s="299"/>
      <c r="AQ159" s="299"/>
      <c r="AR159" s="299"/>
      <c r="AS159" s="299"/>
      <c r="AT159" s="299"/>
      <c r="AU159" s="299"/>
      <c r="AV159" s="299"/>
      <c r="AW159" s="299"/>
      <c r="AX159" s="299"/>
      <c r="AY159" s="299"/>
      <c r="AZ159" s="299"/>
      <c r="BA159" s="299"/>
      <c r="BB159" s="299"/>
    </row>
    <row r="160" spans="1:66">
      <c r="A160" s="22"/>
      <c r="B160" s="564">
        <v>42488</v>
      </c>
      <c r="C160" s="301"/>
      <c r="D160" s="302"/>
      <c r="E160" s="169"/>
      <c r="F160" s="169"/>
      <c r="G160" s="26">
        <f>E160+F160</f>
        <v>0</v>
      </c>
      <c r="H160" s="380"/>
      <c r="I160" s="319"/>
      <c r="J160" s="126" t="s">
        <v>2640</v>
      </c>
      <c r="K160" s="293"/>
      <c r="L160" s="294" t="s">
        <v>786</v>
      </c>
      <c r="M160" s="331" t="s">
        <v>2639</v>
      </c>
      <c r="N160" s="184">
        <v>8320400</v>
      </c>
      <c r="O160" s="229"/>
      <c r="P160" s="139">
        <f>N160+O160</f>
        <v>8320400</v>
      </c>
      <c r="Q160" s="296"/>
      <c r="R160" s="296"/>
      <c r="S160" s="296"/>
      <c r="T160" s="296"/>
      <c r="U160" s="296"/>
      <c r="V160" s="144">
        <f>P160</f>
        <v>8320400</v>
      </c>
      <c r="W160" s="297" t="s">
        <v>3017</v>
      </c>
      <c r="X160" s="424">
        <v>42670</v>
      </c>
      <c r="Y160" s="298">
        <v>42682</v>
      </c>
      <c r="Z160" s="144">
        <f>V160</f>
        <v>8320400</v>
      </c>
      <c r="AA160" s="2640">
        <v>1</v>
      </c>
      <c r="AB160" s="59">
        <f>+G160-P160</f>
        <v>-8320400</v>
      </c>
      <c r="AC160" s="59"/>
      <c r="AD160" s="38"/>
      <c r="AE160" s="1382"/>
      <c r="AF160" s="38"/>
      <c r="AG160" s="38"/>
      <c r="AH160" s="48">
        <f>V160</f>
        <v>8320400</v>
      </c>
      <c r="AI160" s="38"/>
      <c r="AJ160" s="38"/>
      <c r="AK160" s="383"/>
      <c r="AL160" s="59"/>
      <c r="AM160" s="299"/>
      <c r="AN160" s="299"/>
      <c r="AO160" s="299"/>
      <c r="AP160" s="299"/>
      <c r="AQ160" s="299"/>
      <c r="AR160" s="299"/>
      <c r="AS160" s="299"/>
      <c r="AT160" s="299"/>
      <c r="AU160" s="299"/>
      <c r="AV160" s="299"/>
      <c r="AW160" s="299"/>
      <c r="AX160" s="299"/>
      <c r="AY160" s="299"/>
      <c r="AZ160" s="299"/>
      <c r="BA160" s="299"/>
      <c r="BB160" s="299"/>
    </row>
    <row r="161" spans="1:66" ht="16.5" thickBot="1">
      <c r="A161" s="22"/>
      <c r="B161" s="292"/>
      <c r="C161" s="301"/>
      <c r="D161" s="302"/>
      <c r="E161" s="169"/>
      <c r="F161" s="169"/>
      <c r="G161" s="26"/>
      <c r="H161" s="169"/>
      <c r="I161" s="170"/>
      <c r="J161" s="303"/>
      <c r="K161" s="293"/>
      <c r="L161" s="294"/>
      <c r="M161" s="294"/>
      <c r="N161" s="184"/>
      <c r="O161" s="328"/>
      <c r="P161" s="295"/>
      <c r="Q161" s="296"/>
      <c r="R161" s="296"/>
      <c r="S161" s="296"/>
      <c r="T161" s="296"/>
      <c r="U161" s="296"/>
      <c r="V161" s="144"/>
      <c r="W161" s="297"/>
      <c r="X161" s="424"/>
      <c r="Y161" s="298"/>
      <c r="Z161" s="295"/>
      <c r="AA161" s="1254"/>
      <c r="AB161" s="46"/>
      <c r="AC161" s="46"/>
      <c r="AD161" s="392"/>
      <c r="AE161" s="1382"/>
      <c r="AF161" s="38"/>
      <c r="AG161" s="38"/>
      <c r="AH161" s="38"/>
      <c r="AI161" s="38"/>
      <c r="AJ161" s="38"/>
      <c r="AK161" s="383"/>
      <c r="AL161" s="46"/>
      <c r="AM161" s="299"/>
      <c r="AN161" s="299"/>
      <c r="AO161" s="299"/>
      <c r="AP161" s="299"/>
      <c r="AQ161" s="299"/>
      <c r="AR161" s="299"/>
      <c r="AS161" s="299"/>
      <c r="AT161" s="299"/>
      <c r="AU161" s="299"/>
      <c r="AV161" s="299"/>
      <c r="AW161" s="299"/>
      <c r="AX161" s="299"/>
      <c r="AY161" s="299"/>
      <c r="AZ161" s="299"/>
      <c r="BA161" s="299"/>
      <c r="BB161" s="299"/>
    </row>
    <row r="162" spans="1:66" s="55" customFormat="1" ht="15.75" customHeight="1" thickBot="1">
      <c r="A162" s="2703" t="str">
        <f>B158</f>
        <v>003.DIST/AI-R/BRU/2016/M</v>
      </c>
      <c r="B162" s="2704"/>
      <c r="C162" s="2704"/>
      <c r="D162" s="2705"/>
      <c r="E162" s="65">
        <f>E158</f>
        <v>0</v>
      </c>
      <c r="F162" s="65">
        <f>F158</f>
        <v>295000000</v>
      </c>
      <c r="G162" s="65">
        <f>G158</f>
        <v>295000000</v>
      </c>
      <c r="H162" s="65"/>
      <c r="I162" s="65"/>
      <c r="J162" s="65"/>
      <c r="K162" s="66"/>
      <c r="L162" s="94"/>
      <c r="M162" s="67"/>
      <c r="N162" s="68">
        <f>SUM(N158:N160)</f>
        <v>289306600</v>
      </c>
      <c r="O162" s="68">
        <f>SUM(O158:O160)</f>
        <v>0</v>
      </c>
      <c r="P162" s="68">
        <f>SUM(P158:P160)</f>
        <v>289306600</v>
      </c>
      <c r="Q162" s="68" t="e">
        <f>SUM(#REF!)</f>
        <v>#REF!</v>
      </c>
      <c r="R162" s="68" t="e">
        <f>SUM(#REF!)</f>
        <v>#REF!</v>
      </c>
      <c r="S162" s="68" t="e">
        <f>SUM(#REF!)</f>
        <v>#REF!</v>
      </c>
      <c r="T162" s="68" t="e">
        <f>SUM(#REF!)</f>
        <v>#REF!</v>
      </c>
      <c r="U162" s="68" t="e">
        <f>SUM(#REF!)</f>
        <v>#REF!</v>
      </c>
      <c r="V162" s="68">
        <f>SUM(V158:V160)</f>
        <v>289306600</v>
      </c>
      <c r="W162" s="1257"/>
      <c r="X162" s="1258"/>
      <c r="Y162" s="1258"/>
      <c r="Z162" s="68">
        <f>SUM(Z158:Z160)</f>
        <v>289306600</v>
      </c>
      <c r="AA162" s="65"/>
      <c r="AB162" s="65">
        <f>+G162-P162</f>
        <v>5693400</v>
      </c>
      <c r="AC162" s="65"/>
      <c r="AD162" s="76"/>
      <c r="AE162" s="1382"/>
      <c r="AF162" s="38"/>
      <c r="AG162" s="38"/>
      <c r="AH162" s="38"/>
      <c r="AI162" s="38"/>
      <c r="AJ162" s="38"/>
      <c r="AK162" s="383"/>
      <c r="AL162" s="65"/>
      <c r="AM162" s="385"/>
      <c r="AN162" s="100"/>
      <c r="AO162" s="100"/>
      <c r="AP162" s="74"/>
      <c r="AQ162" s="74"/>
      <c r="AR162" s="74"/>
      <c r="AS162" s="74"/>
      <c r="AT162" s="64"/>
      <c r="AU162" s="101" t="e">
        <f>SUM(#REF!)</f>
        <v>#REF!</v>
      </c>
      <c r="AV162" s="101">
        <f t="shared" ref="AV162:BB162" si="26">SUM(AV161:AV161)</f>
        <v>0</v>
      </c>
      <c r="AW162" s="101">
        <f t="shared" si="26"/>
        <v>0</v>
      </c>
      <c r="AX162" s="101">
        <f t="shared" si="26"/>
        <v>0</v>
      </c>
      <c r="AY162" s="101">
        <f t="shared" si="26"/>
        <v>0</v>
      </c>
      <c r="AZ162" s="101">
        <f t="shared" si="26"/>
        <v>0</v>
      </c>
      <c r="BA162" s="101">
        <f t="shared" si="26"/>
        <v>0</v>
      </c>
      <c r="BB162" s="102">
        <f t="shared" si="26"/>
        <v>0</v>
      </c>
      <c r="BD162" s="56"/>
      <c r="BH162" s="2003"/>
      <c r="BI162" s="2003"/>
      <c r="BM162" s="2003"/>
      <c r="BN162" s="2003"/>
    </row>
    <row r="163" spans="1:66" ht="15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3"/>
      <c r="K163" s="5"/>
      <c r="L163" s="5"/>
      <c r="M163" s="5"/>
      <c r="N163" s="96"/>
      <c r="O163" s="96"/>
      <c r="P163" s="97"/>
      <c r="Q163" s="9"/>
      <c r="R163" s="9"/>
      <c r="S163" s="9"/>
      <c r="T163" s="9"/>
      <c r="U163" s="9"/>
      <c r="V163" s="136"/>
      <c r="W163" s="1242"/>
      <c r="X163" s="1242"/>
      <c r="Y163" s="1242"/>
      <c r="Z163" s="1256"/>
      <c r="AA163" s="1256"/>
      <c r="AB163" s="391"/>
      <c r="AC163" s="391"/>
      <c r="AD163" s="391"/>
      <c r="AE163" s="1382"/>
      <c r="AF163" s="38"/>
      <c r="AG163" s="38"/>
      <c r="AH163" s="38"/>
      <c r="AI163" s="38"/>
      <c r="AJ163" s="38"/>
      <c r="AK163" s="383"/>
      <c r="AL163" s="391"/>
      <c r="AM163" s="382"/>
      <c r="AN163" s="98"/>
      <c r="AO163" s="98"/>
      <c r="AP163" s="98"/>
      <c r="AQ163" s="98"/>
      <c r="AR163" s="98"/>
      <c r="AS163" s="98"/>
      <c r="AT163" s="99"/>
      <c r="AU163" s="78"/>
      <c r="AV163" s="78"/>
      <c r="AW163" s="78"/>
      <c r="AX163" s="78"/>
      <c r="AY163" s="78"/>
      <c r="AZ163" s="78"/>
      <c r="BA163" s="78"/>
      <c r="BB163" s="78"/>
    </row>
    <row r="164" spans="1:66" s="1780" customFormat="1" ht="47.25">
      <c r="A164" s="1945">
        <v>6</v>
      </c>
      <c r="B164" s="1946" t="s">
        <v>1193</v>
      </c>
      <c r="C164" s="1947" t="s">
        <v>1195</v>
      </c>
      <c r="D164" s="1948" t="s">
        <v>1196</v>
      </c>
      <c r="E164" s="1949"/>
      <c r="F164" s="1949">
        <v>635870063</v>
      </c>
      <c r="G164" s="1949">
        <f>E164+F164</f>
        <v>635870063</v>
      </c>
      <c r="H164" s="1950" t="s">
        <v>1489</v>
      </c>
      <c r="I164" s="1951">
        <v>42517</v>
      </c>
      <c r="J164" s="1952" t="s">
        <v>1403</v>
      </c>
      <c r="K164" s="1966" t="s">
        <v>2935</v>
      </c>
      <c r="L164" s="1978" t="s">
        <v>193</v>
      </c>
      <c r="M164" s="1979" t="s">
        <v>1404</v>
      </c>
      <c r="N164" s="1956"/>
      <c r="O164" s="1957">
        <v>240098100</v>
      </c>
      <c r="P164" s="1958">
        <f>N164+O164</f>
        <v>240098100</v>
      </c>
      <c r="Q164" s="1959"/>
      <c r="R164" s="1959"/>
      <c r="S164" s="1959"/>
      <c r="T164" s="1959"/>
      <c r="U164" s="1959"/>
      <c r="V164" s="1960">
        <f>P164</f>
        <v>240098100</v>
      </c>
      <c r="W164" s="1919" t="s">
        <v>3464</v>
      </c>
      <c r="X164" s="1920">
        <v>42710</v>
      </c>
      <c r="Y164" s="1970">
        <v>42713</v>
      </c>
      <c r="Z164" s="1917">
        <f>V164</f>
        <v>240098100</v>
      </c>
      <c r="AA164" s="2641">
        <v>1</v>
      </c>
      <c r="AB164" s="1901">
        <f>+G164-P164</f>
        <v>395771963</v>
      </c>
      <c r="AC164" s="1901"/>
      <c r="AD164" s="1904"/>
      <c r="AE164" s="1903">
        <v>0.8</v>
      </c>
      <c r="AF164" s="1904"/>
      <c r="AG164" s="1904"/>
      <c r="AH164" s="1904"/>
      <c r="AI164" s="1971">
        <f>V164</f>
        <v>240098100</v>
      </c>
      <c r="AJ164" s="1904"/>
      <c r="AK164" s="1906"/>
      <c r="AL164" s="1901"/>
      <c r="AM164" s="1906"/>
      <c r="AN164" s="1963"/>
      <c r="AO164" s="1963"/>
      <c r="AP164" s="1963"/>
      <c r="AQ164" s="1963"/>
      <c r="AR164" s="1963"/>
      <c r="AS164" s="1963"/>
      <c r="AT164" s="1964"/>
      <c r="AU164" s="1963"/>
      <c r="AV164" s="1963"/>
      <c r="AW164" s="1963"/>
      <c r="AX164" s="1963"/>
      <c r="AY164" s="1963"/>
      <c r="AZ164" s="1963"/>
      <c r="BA164" s="1963"/>
      <c r="BB164" s="1963"/>
      <c r="BH164" s="2004"/>
      <c r="BI164" s="2004"/>
      <c r="BM164" s="2004"/>
      <c r="BN164" s="2004">
        <f>2000/1000</f>
        <v>2</v>
      </c>
    </row>
    <row r="165" spans="1:66" s="1780" customFormat="1" ht="47.25">
      <c r="A165" s="1945"/>
      <c r="B165" s="1946" t="s">
        <v>1194</v>
      </c>
      <c r="C165" s="1947"/>
      <c r="D165" s="1948"/>
      <c r="E165" s="1965"/>
      <c r="F165" s="1965"/>
      <c r="G165" s="1949"/>
      <c r="H165" s="1950" t="s">
        <v>1511</v>
      </c>
      <c r="I165" s="1951">
        <v>42520</v>
      </c>
      <c r="J165" s="1952" t="s">
        <v>1414</v>
      </c>
      <c r="K165" s="1966" t="s">
        <v>2936</v>
      </c>
      <c r="L165" s="1967" t="s">
        <v>1803</v>
      </c>
      <c r="M165" s="1968" t="s">
        <v>1415</v>
      </c>
      <c r="N165" s="1896">
        <v>297000000</v>
      </c>
      <c r="O165" s="1941"/>
      <c r="P165" s="1958">
        <f>N165+O165</f>
        <v>297000000</v>
      </c>
      <c r="Q165" s="1969"/>
      <c r="R165" s="1969"/>
      <c r="S165" s="1969"/>
      <c r="T165" s="1969"/>
      <c r="U165" s="1969"/>
      <c r="V165" s="1960">
        <f>P165</f>
        <v>297000000</v>
      </c>
      <c r="W165" s="1919" t="s">
        <v>3163</v>
      </c>
      <c r="X165" s="1920">
        <v>42697</v>
      </c>
      <c r="Y165" s="1970">
        <v>42696</v>
      </c>
      <c r="Z165" s="1917">
        <f>V165</f>
        <v>297000000</v>
      </c>
      <c r="AA165" s="2641">
        <v>1</v>
      </c>
      <c r="AB165" s="1901">
        <f>+G165-P165</f>
        <v>-297000000</v>
      </c>
      <c r="AC165" s="1901"/>
      <c r="AD165" s="1904"/>
      <c r="AE165" s="1903">
        <v>1</v>
      </c>
      <c r="AF165" s="1904"/>
      <c r="AG165" s="1904"/>
      <c r="AH165" s="1904"/>
      <c r="AI165" s="1971">
        <f>V165</f>
        <v>297000000</v>
      </c>
      <c r="AJ165" s="1904"/>
      <c r="AK165" s="1906"/>
      <c r="AL165" s="1901"/>
      <c r="AM165" s="1972"/>
      <c r="AN165" s="1972"/>
      <c r="AO165" s="1972"/>
      <c r="AP165" s="1972"/>
      <c r="AQ165" s="1972"/>
      <c r="AR165" s="1972"/>
      <c r="AS165" s="1972"/>
      <c r="AT165" s="1972"/>
      <c r="AU165" s="1972"/>
      <c r="AV165" s="1972"/>
      <c r="AW165" s="1972"/>
      <c r="AX165" s="1972"/>
      <c r="AY165" s="1972"/>
      <c r="AZ165" s="1972"/>
      <c r="BA165" s="1972"/>
      <c r="BB165" s="1972"/>
      <c r="BH165" s="2004"/>
      <c r="BI165" s="2004"/>
      <c r="BM165" s="2004"/>
      <c r="BN165" s="2004"/>
    </row>
    <row r="166" spans="1:66" s="1780" customFormat="1" ht="47.25">
      <c r="A166" s="1885"/>
      <c r="B166" s="1980">
        <v>42487</v>
      </c>
      <c r="C166" s="1947"/>
      <c r="D166" s="1948"/>
      <c r="E166" s="1965"/>
      <c r="F166" s="1965"/>
      <c r="G166" s="1949">
        <f>E166+F166</f>
        <v>0</v>
      </c>
      <c r="H166" s="1950" t="s">
        <v>1573</v>
      </c>
      <c r="I166" s="1951">
        <v>42520</v>
      </c>
      <c r="J166" s="1981" t="s">
        <v>1566</v>
      </c>
      <c r="K166" s="1966" t="s">
        <v>2456</v>
      </c>
      <c r="L166" s="1978" t="s">
        <v>193</v>
      </c>
      <c r="M166" s="1982" t="s">
        <v>1567</v>
      </c>
      <c r="N166" s="1896"/>
      <c r="O166" s="1941">
        <v>31870300</v>
      </c>
      <c r="P166" s="1958">
        <f>N166+O166</f>
        <v>31870300</v>
      </c>
      <c r="Q166" s="1969"/>
      <c r="R166" s="1969"/>
      <c r="S166" s="1969"/>
      <c r="T166" s="1969"/>
      <c r="U166" s="1969"/>
      <c r="V166" s="1960">
        <f>P166</f>
        <v>31870300</v>
      </c>
      <c r="W166" s="1919" t="s">
        <v>2754</v>
      </c>
      <c r="X166" s="1920">
        <v>42640</v>
      </c>
      <c r="Y166" s="1970">
        <v>42648</v>
      </c>
      <c r="Z166" s="1917">
        <f>V166</f>
        <v>31870300</v>
      </c>
      <c r="AA166" s="2641">
        <v>1</v>
      </c>
      <c r="AB166" s="1901">
        <f>+G166-P166</f>
        <v>-31870300</v>
      </c>
      <c r="AC166" s="1901"/>
      <c r="AD166" s="1904"/>
      <c r="AE166" s="1903">
        <v>0.8</v>
      </c>
      <c r="AF166" s="1904"/>
      <c r="AG166" s="1904"/>
      <c r="AH166" s="1904"/>
      <c r="AI166" s="1971">
        <f>V166</f>
        <v>31870300</v>
      </c>
      <c r="AJ166" s="1904"/>
      <c r="AK166" s="1906"/>
      <c r="AL166" s="1901"/>
      <c r="AM166" s="1972"/>
      <c r="AN166" s="1972"/>
      <c r="AO166" s="1972"/>
      <c r="AP166" s="1972"/>
      <c r="AQ166" s="1972"/>
      <c r="AR166" s="1972"/>
      <c r="AS166" s="1972"/>
      <c r="AT166" s="1972"/>
      <c r="AU166" s="1972"/>
      <c r="AV166" s="1972"/>
      <c r="AW166" s="1972"/>
      <c r="AX166" s="1972"/>
      <c r="AY166" s="1972"/>
      <c r="AZ166" s="1972"/>
      <c r="BA166" s="1972"/>
      <c r="BB166" s="1972"/>
      <c r="BH166" s="2004"/>
      <c r="BI166" s="2004"/>
      <c r="BM166" s="2004"/>
      <c r="BN166" s="2004"/>
    </row>
    <row r="167" spans="1:66" s="1780" customFormat="1" ht="47.25">
      <c r="A167" s="1885"/>
      <c r="B167" s="1980"/>
      <c r="C167" s="1947"/>
      <c r="D167" s="1948"/>
      <c r="E167" s="1965"/>
      <c r="F167" s="1965"/>
      <c r="G167" s="1949"/>
      <c r="H167" s="1950" t="s">
        <v>1626</v>
      </c>
      <c r="I167" s="1951">
        <v>42543</v>
      </c>
      <c r="J167" s="1981" t="s">
        <v>1624</v>
      </c>
      <c r="K167" s="1966" t="s">
        <v>1979</v>
      </c>
      <c r="L167" s="1967" t="s">
        <v>1803</v>
      </c>
      <c r="M167" s="1982" t="s">
        <v>1625</v>
      </c>
      <c r="N167" s="1896">
        <v>43223400</v>
      </c>
      <c r="O167" s="1941"/>
      <c r="P167" s="1958">
        <f>N167+O167</f>
        <v>43223400</v>
      </c>
      <c r="Q167" s="1969"/>
      <c r="R167" s="1969"/>
      <c r="S167" s="1969"/>
      <c r="T167" s="1969"/>
      <c r="U167" s="1969"/>
      <c r="V167" s="1960">
        <f>P167</f>
        <v>43223400</v>
      </c>
      <c r="W167" s="1919" t="s">
        <v>3103</v>
      </c>
      <c r="X167" s="1920">
        <v>42685</v>
      </c>
      <c r="Y167" s="1970">
        <v>42691</v>
      </c>
      <c r="Z167" s="1917">
        <f>V167</f>
        <v>43223400</v>
      </c>
      <c r="AA167" s="2641">
        <v>1</v>
      </c>
      <c r="AB167" s="1901">
        <f>+G167-P167</f>
        <v>-43223400</v>
      </c>
      <c r="AC167" s="1919"/>
      <c r="AD167" s="1977"/>
      <c r="AE167" s="1903">
        <v>1</v>
      </c>
      <c r="AF167" s="1904"/>
      <c r="AG167" s="1904"/>
      <c r="AH167" s="1904"/>
      <c r="AI167" s="1971">
        <f>V167</f>
        <v>43223400</v>
      </c>
      <c r="AJ167" s="1904"/>
      <c r="AK167" s="1906"/>
      <c r="AL167" s="1919"/>
      <c r="AM167" s="1972"/>
      <c r="AN167" s="1972"/>
      <c r="AO167" s="1972"/>
      <c r="AP167" s="1972"/>
      <c r="AQ167" s="1972"/>
      <c r="AR167" s="1972"/>
      <c r="AS167" s="1972"/>
      <c r="AT167" s="1972"/>
      <c r="AU167" s="1972"/>
      <c r="AV167" s="1972"/>
      <c r="AW167" s="1972"/>
      <c r="AX167" s="1972"/>
      <c r="AY167" s="1972"/>
      <c r="AZ167" s="1972"/>
      <c r="BA167" s="1972"/>
      <c r="BB167" s="1972"/>
      <c r="BH167" s="2004"/>
      <c r="BI167" s="2004"/>
      <c r="BM167" s="2004"/>
      <c r="BN167" s="2004"/>
    </row>
    <row r="168" spans="1:66" s="1780" customFormat="1" ht="47.25">
      <c r="A168" s="1885"/>
      <c r="B168" s="1980"/>
      <c r="C168" s="1947"/>
      <c r="D168" s="1948"/>
      <c r="E168" s="1965"/>
      <c r="F168" s="1965"/>
      <c r="G168" s="1949"/>
      <c r="H168" s="1950" t="s">
        <v>3138</v>
      </c>
      <c r="I168" s="1951">
        <v>42698</v>
      </c>
      <c r="J168" s="1981" t="s">
        <v>3125</v>
      </c>
      <c r="K168" s="1966" t="s">
        <v>3291</v>
      </c>
      <c r="L168" s="1978" t="s">
        <v>193</v>
      </c>
      <c r="M168" s="1982" t="s">
        <v>3126</v>
      </c>
      <c r="N168" s="1896"/>
      <c r="O168" s="1941">
        <v>18535000</v>
      </c>
      <c r="P168" s="1958">
        <f>N168+O168</f>
        <v>18535000</v>
      </c>
      <c r="Q168" s="1969"/>
      <c r="R168" s="1969"/>
      <c r="S168" s="1969"/>
      <c r="T168" s="1969"/>
      <c r="U168" s="1969"/>
      <c r="V168" s="1960">
        <f>P168</f>
        <v>18535000</v>
      </c>
      <c r="W168" s="1919"/>
      <c r="X168" s="1920"/>
      <c r="Y168" s="1970"/>
      <c r="Z168" s="1917">
        <f>V168</f>
        <v>18535000</v>
      </c>
      <c r="AA168" s="1921"/>
      <c r="AB168" s="1901">
        <f>+G168-P168</f>
        <v>-18535000</v>
      </c>
      <c r="AC168" s="1919"/>
      <c r="AD168" s="1977"/>
      <c r="AE168" s="1903"/>
      <c r="AF168" s="1904"/>
      <c r="AG168" s="1904"/>
      <c r="AH168" s="1904"/>
      <c r="AI168" s="1971">
        <f>V168</f>
        <v>18535000</v>
      </c>
      <c r="AJ168" s="1904"/>
      <c r="AK168" s="1906"/>
      <c r="AL168" s="1919"/>
      <c r="AM168" s="1972"/>
      <c r="AN168" s="1972"/>
      <c r="AO168" s="1972"/>
      <c r="AP168" s="1972"/>
      <c r="AQ168" s="1972"/>
      <c r="AR168" s="1972"/>
      <c r="AS168" s="1972"/>
      <c r="AT168" s="1972"/>
      <c r="AU168" s="1972"/>
      <c r="AV168" s="1972"/>
      <c r="AW168" s="1972"/>
      <c r="AX168" s="1972"/>
      <c r="AY168" s="1972"/>
      <c r="AZ168" s="1972"/>
      <c r="BA168" s="1972"/>
      <c r="BB168" s="1972"/>
      <c r="BH168" s="2004"/>
      <c r="BI168" s="2004"/>
      <c r="BM168" s="2004"/>
      <c r="BN168" s="2004"/>
    </row>
    <row r="169" spans="1:66" ht="16.5" thickBot="1">
      <c r="A169" s="22"/>
      <c r="B169" s="292"/>
      <c r="C169" s="301"/>
      <c r="D169" s="302"/>
      <c r="E169" s="169"/>
      <c r="F169" s="169"/>
      <c r="G169" s="26"/>
      <c r="H169" s="169"/>
      <c r="I169" s="170"/>
      <c r="J169" s="303"/>
      <c r="K169" s="293"/>
      <c r="L169" s="294"/>
      <c r="M169" s="294"/>
      <c r="N169" s="184"/>
      <c r="O169" s="328"/>
      <c r="P169" s="295"/>
      <c r="Q169" s="296"/>
      <c r="R169" s="296"/>
      <c r="S169" s="296"/>
      <c r="T169" s="296"/>
      <c r="U169" s="296"/>
      <c r="V169" s="144"/>
      <c r="W169" s="297"/>
      <c r="X169" s="424"/>
      <c r="Y169" s="298"/>
      <c r="Z169" s="295"/>
      <c r="AA169" s="1254"/>
      <c r="AB169" s="46"/>
      <c r="AC169" s="46"/>
      <c r="AD169" s="392"/>
      <c r="AE169" s="1382"/>
      <c r="AF169" s="38"/>
      <c r="AG169" s="38"/>
      <c r="AH169" s="38"/>
      <c r="AI169" s="38"/>
      <c r="AJ169" s="38"/>
      <c r="AK169" s="383"/>
      <c r="AL169" s="46"/>
      <c r="AM169" s="299"/>
      <c r="AN169" s="299"/>
      <c r="AO169" s="299"/>
      <c r="AP169" s="299"/>
      <c r="AQ169" s="299"/>
      <c r="AR169" s="299"/>
      <c r="AS169" s="299"/>
      <c r="AT169" s="299"/>
      <c r="AU169" s="299"/>
      <c r="AV169" s="299"/>
      <c r="AW169" s="299"/>
      <c r="AX169" s="299"/>
      <c r="AY169" s="299"/>
      <c r="AZ169" s="299"/>
      <c r="BA169" s="299"/>
      <c r="BB169" s="299"/>
    </row>
    <row r="170" spans="1:66" s="55" customFormat="1" ht="15.75" customHeight="1" thickBot="1">
      <c r="A170" s="2703" t="str">
        <f>B164</f>
        <v>004.DIST/AI-R/BRU/2016/M</v>
      </c>
      <c r="B170" s="2704"/>
      <c r="C170" s="2704"/>
      <c r="D170" s="2705"/>
      <c r="E170" s="65">
        <f>E164</f>
        <v>0</v>
      </c>
      <c r="F170" s="65">
        <f>F164</f>
        <v>635870063</v>
      </c>
      <c r="G170" s="65">
        <f>G164</f>
        <v>635870063</v>
      </c>
      <c r="H170" s="65"/>
      <c r="I170" s="65"/>
      <c r="J170" s="65"/>
      <c r="K170" s="66"/>
      <c r="L170" s="94"/>
      <c r="M170" s="67"/>
      <c r="N170" s="68">
        <f>SUM(N164:N169)</f>
        <v>340223400</v>
      </c>
      <c r="O170" s="68">
        <f t="shared" ref="O170:V170" si="27">SUM(O164:O169)</f>
        <v>290503400</v>
      </c>
      <c r="P170" s="68">
        <f t="shared" si="27"/>
        <v>630726800</v>
      </c>
      <c r="Q170" s="68">
        <f t="shared" si="27"/>
        <v>0</v>
      </c>
      <c r="R170" s="68">
        <f t="shared" si="27"/>
        <v>0</v>
      </c>
      <c r="S170" s="68">
        <f t="shared" si="27"/>
        <v>0</v>
      </c>
      <c r="T170" s="68">
        <f t="shared" si="27"/>
        <v>0</v>
      </c>
      <c r="U170" s="68">
        <f t="shared" si="27"/>
        <v>0</v>
      </c>
      <c r="V170" s="68">
        <f t="shared" si="27"/>
        <v>630726800</v>
      </c>
      <c r="W170" s="1257"/>
      <c r="X170" s="1258"/>
      <c r="Y170" s="1258"/>
      <c r="Z170" s="68">
        <f>SUM(Z164:Z168)</f>
        <v>630726800</v>
      </c>
      <c r="AA170" s="65"/>
      <c r="AB170" s="65">
        <f>+G170-P170</f>
        <v>5143263</v>
      </c>
      <c r="AC170" s="65"/>
      <c r="AD170" s="76"/>
      <c r="AE170" s="1382"/>
      <c r="AF170" s="38"/>
      <c r="AG170" s="38"/>
      <c r="AH170" s="38"/>
      <c r="AI170" s="38"/>
      <c r="AJ170" s="38"/>
      <c r="AK170" s="383"/>
      <c r="AL170" s="65"/>
      <c r="AM170" s="385"/>
      <c r="AN170" s="100"/>
      <c r="AO170" s="100"/>
      <c r="AP170" s="74"/>
      <c r="AQ170" s="74"/>
      <c r="AR170" s="74"/>
      <c r="AS170" s="74"/>
      <c r="AT170" s="64"/>
      <c r="AU170" s="101" t="e">
        <f>SUM(#REF!)</f>
        <v>#REF!</v>
      </c>
      <c r="AV170" s="101">
        <f t="shared" ref="AV170:BB170" si="28">SUM(AV169:AV169)</f>
        <v>0</v>
      </c>
      <c r="AW170" s="101">
        <f t="shared" si="28"/>
        <v>0</v>
      </c>
      <c r="AX170" s="101">
        <f t="shared" si="28"/>
        <v>0</v>
      </c>
      <c r="AY170" s="101">
        <f t="shared" si="28"/>
        <v>0</v>
      </c>
      <c r="AZ170" s="101">
        <f t="shared" si="28"/>
        <v>0</v>
      </c>
      <c r="BA170" s="101">
        <f t="shared" si="28"/>
        <v>0</v>
      </c>
      <c r="BB170" s="102">
        <f t="shared" si="28"/>
        <v>0</v>
      </c>
      <c r="BD170" s="56"/>
      <c r="BH170" s="2003"/>
      <c r="BI170" s="2003"/>
      <c r="BM170" s="2003"/>
      <c r="BN170" s="2003"/>
    </row>
    <row r="171" spans="1:66" ht="15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3"/>
      <c r="K171" s="5"/>
      <c r="L171" s="5"/>
      <c r="M171" s="5"/>
      <c r="N171" s="96"/>
      <c r="O171" s="96"/>
      <c r="P171" s="97"/>
      <c r="Q171" s="9"/>
      <c r="R171" s="9"/>
      <c r="S171" s="9"/>
      <c r="T171" s="9"/>
      <c r="U171" s="9"/>
      <c r="V171" s="1049"/>
      <c r="W171" s="1242"/>
      <c r="X171" s="1242"/>
      <c r="Y171" s="1242"/>
      <c r="Z171" s="1256"/>
      <c r="AA171" s="1256"/>
      <c r="AB171" s="391"/>
      <c r="AC171" s="391"/>
      <c r="AD171" s="391"/>
      <c r="AE171" s="1382"/>
      <c r="AF171" s="38"/>
      <c r="AG171" s="38"/>
      <c r="AH171" s="38"/>
      <c r="AI171" s="38"/>
      <c r="AJ171" s="38"/>
      <c r="AK171" s="383"/>
      <c r="AL171" s="391"/>
      <c r="AM171" s="382"/>
      <c r="AN171" s="98"/>
      <c r="AO171" s="98"/>
      <c r="AP171" s="98"/>
      <c r="AQ171" s="98"/>
      <c r="AR171" s="98"/>
      <c r="AS171" s="98"/>
      <c r="AT171" s="99"/>
      <c r="AU171" s="78"/>
      <c r="AV171" s="78"/>
      <c r="AW171" s="78"/>
      <c r="AX171" s="78"/>
      <c r="AY171" s="78"/>
      <c r="AZ171" s="78"/>
      <c r="BA171" s="78"/>
      <c r="BB171" s="78"/>
    </row>
    <row r="172" spans="1:66" s="1780" customFormat="1" ht="47.25">
      <c r="A172" s="1945">
        <v>7</v>
      </c>
      <c r="B172" s="1946" t="s">
        <v>1539</v>
      </c>
      <c r="C172" s="1947" t="s">
        <v>1540</v>
      </c>
      <c r="D172" s="1948" t="s">
        <v>1541</v>
      </c>
      <c r="E172" s="1949"/>
      <c r="F172" s="1949">
        <v>2262823290</v>
      </c>
      <c r="G172" s="1949">
        <f>E172+F172</f>
        <v>2262823290</v>
      </c>
      <c r="H172" s="1950" t="s">
        <v>1613</v>
      </c>
      <c r="I172" s="1951">
        <v>42520</v>
      </c>
      <c r="J172" s="1952" t="s">
        <v>1562</v>
      </c>
      <c r="K172" s="1954" t="s">
        <v>2520</v>
      </c>
      <c r="L172" s="1978" t="s">
        <v>2185</v>
      </c>
      <c r="M172" s="1979" t="s">
        <v>1563</v>
      </c>
      <c r="N172" s="1956"/>
      <c r="O172" s="1956">
        <v>259508700</v>
      </c>
      <c r="P172" s="1958">
        <f t="shared" ref="P172:P178" si="29">N172+O172</f>
        <v>259508700</v>
      </c>
      <c r="Q172" s="1959"/>
      <c r="R172" s="1959"/>
      <c r="S172" s="1959"/>
      <c r="T172" s="1959"/>
      <c r="U172" s="1959"/>
      <c r="V172" s="1960">
        <f t="shared" ref="V172:V178" si="30">P172</f>
        <v>259508700</v>
      </c>
      <c r="W172" s="1919" t="s">
        <v>3513</v>
      </c>
      <c r="X172" s="1920">
        <v>42727</v>
      </c>
      <c r="Y172" s="1920">
        <v>42731</v>
      </c>
      <c r="Z172" s="1917">
        <f t="shared" ref="Z172:Z178" si="31">V172</f>
        <v>259508700</v>
      </c>
      <c r="AA172" s="2642">
        <f>(Z172/V172)*100%</f>
        <v>1</v>
      </c>
      <c r="AB172" s="1901">
        <f t="shared" ref="AB172:AB178" si="32">+G172-P172</f>
        <v>2003314590</v>
      </c>
      <c r="AC172" s="1901"/>
      <c r="AD172" s="1904"/>
      <c r="AE172" s="1903">
        <v>0</v>
      </c>
      <c r="AF172" s="1904"/>
      <c r="AG172" s="1904"/>
      <c r="AH172" s="1904"/>
      <c r="AI172" s="1904"/>
      <c r="AJ172" s="1971">
        <f>V172</f>
        <v>259508700</v>
      </c>
      <c r="AK172" s="1906"/>
      <c r="AL172" s="1901"/>
      <c r="AM172" s="1906"/>
      <c r="AN172" s="1963"/>
      <c r="AO172" s="1963"/>
      <c r="AP172" s="1963"/>
      <c r="AQ172" s="1963"/>
      <c r="AR172" s="1963"/>
      <c r="AS172" s="1963"/>
      <c r="AT172" s="1964"/>
      <c r="AU172" s="1963"/>
      <c r="AV172" s="1963"/>
      <c r="AW172" s="1963"/>
      <c r="AX172" s="1963"/>
      <c r="AY172" s="1963"/>
      <c r="AZ172" s="1963"/>
      <c r="BA172" s="1963"/>
      <c r="BB172" s="1963"/>
      <c r="BH172" s="2004"/>
      <c r="BI172" s="2004"/>
      <c r="BM172" s="2004"/>
      <c r="BN172" s="2004">
        <f>18336/3/1000</f>
        <v>6.1120000000000001</v>
      </c>
    </row>
    <row r="173" spans="1:66" s="1780" customFormat="1" ht="47.25">
      <c r="A173" s="1945"/>
      <c r="B173" s="1946" t="s">
        <v>1542</v>
      </c>
      <c r="C173" s="1947"/>
      <c r="D173" s="1948"/>
      <c r="E173" s="1965"/>
      <c r="F173" s="1965"/>
      <c r="G173" s="1949"/>
      <c r="H173" s="1950" t="s">
        <v>1615</v>
      </c>
      <c r="I173" s="1951">
        <v>42520</v>
      </c>
      <c r="J173" s="1952" t="s">
        <v>1564</v>
      </c>
      <c r="K173" s="1966" t="s">
        <v>2173</v>
      </c>
      <c r="L173" s="1967" t="s">
        <v>2172</v>
      </c>
      <c r="M173" s="1968" t="s">
        <v>1565</v>
      </c>
      <c r="N173" s="1956"/>
      <c r="O173" s="1896">
        <v>90360600</v>
      </c>
      <c r="P173" s="1958">
        <f t="shared" si="29"/>
        <v>90360600</v>
      </c>
      <c r="Q173" s="1969"/>
      <c r="R173" s="1969"/>
      <c r="S173" s="1969"/>
      <c r="T173" s="1969"/>
      <c r="U173" s="1969"/>
      <c r="V173" s="1960">
        <f t="shared" si="30"/>
        <v>90360600</v>
      </c>
      <c r="W173" s="1919" t="s">
        <v>3513</v>
      </c>
      <c r="X173" s="1920">
        <v>42727</v>
      </c>
      <c r="Y173" s="1920">
        <v>42731</v>
      </c>
      <c r="Z173" s="1917">
        <f t="shared" si="31"/>
        <v>90360600</v>
      </c>
      <c r="AA173" s="2642">
        <f>(Z173/V173)*100%</f>
        <v>1</v>
      </c>
      <c r="AB173" s="1901">
        <f t="shared" si="32"/>
        <v>-90360600</v>
      </c>
      <c r="AC173" s="1901"/>
      <c r="AD173" s="1904"/>
      <c r="AE173" s="1903">
        <v>0</v>
      </c>
      <c r="AF173" s="1904"/>
      <c r="AG173" s="1904"/>
      <c r="AH173" s="1904"/>
      <c r="AI173" s="1904"/>
      <c r="AJ173" s="1971">
        <f>V173</f>
        <v>90360600</v>
      </c>
      <c r="AK173" s="1906"/>
      <c r="AL173" s="1901"/>
      <c r="AM173" s="1972"/>
      <c r="AN173" s="1972"/>
      <c r="AO173" s="1972"/>
      <c r="AP173" s="1972"/>
      <c r="AQ173" s="1972"/>
      <c r="AR173" s="1972"/>
      <c r="AS173" s="1972"/>
      <c r="AT173" s="1972"/>
      <c r="AU173" s="1972"/>
      <c r="AV173" s="1972"/>
      <c r="AW173" s="1972"/>
      <c r="AX173" s="1972"/>
      <c r="AY173" s="1972"/>
      <c r="AZ173" s="1972"/>
      <c r="BA173" s="1972"/>
      <c r="BB173" s="1972"/>
      <c r="BH173" s="2004"/>
      <c r="BI173" s="2004"/>
      <c r="BM173" s="2004"/>
      <c r="BN173" s="2004"/>
    </row>
    <row r="174" spans="1:66" s="1780" customFormat="1" ht="47.25">
      <c r="A174" s="1885"/>
      <c r="B174" s="1980">
        <v>42520</v>
      </c>
      <c r="C174" s="1947"/>
      <c r="D174" s="1948"/>
      <c r="E174" s="1965"/>
      <c r="F174" s="1965"/>
      <c r="G174" s="1949"/>
      <c r="H174" s="1950" t="s">
        <v>1614</v>
      </c>
      <c r="I174" s="1951">
        <v>42541</v>
      </c>
      <c r="J174" s="1981" t="s">
        <v>1589</v>
      </c>
      <c r="K174" s="1966" t="s">
        <v>2612</v>
      </c>
      <c r="L174" s="1973" t="s">
        <v>2613</v>
      </c>
      <c r="M174" s="1982" t="s">
        <v>1590</v>
      </c>
      <c r="N174" s="1956"/>
      <c r="O174" s="1941">
        <v>1142630000</v>
      </c>
      <c r="P174" s="1958">
        <f t="shared" si="29"/>
        <v>1142630000</v>
      </c>
      <c r="Q174" s="1969"/>
      <c r="R174" s="1969"/>
      <c r="S174" s="1969"/>
      <c r="T174" s="1969"/>
      <c r="U174" s="1969"/>
      <c r="V174" s="1960">
        <f t="shared" si="30"/>
        <v>1142630000</v>
      </c>
      <c r="W174" s="1919" t="s">
        <v>3511</v>
      </c>
      <c r="X174" s="1920">
        <v>42725</v>
      </c>
      <c r="Y174" s="1970">
        <v>42727</v>
      </c>
      <c r="Z174" s="1917">
        <f t="shared" si="31"/>
        <v>1142630000</v>
      </c>
      <c r="AA174" s="2641">
        <v>1</v>
      </c>
      <c r="AB174" s="1901">
        <f t="shared" si="32"/>
        <v>-1142630000</v>
      </c>
      <c r="AC174" s="1919"/>
      <c r="AD174" s="1977"/>
      <c r="AE174" s="1903">
        <v>0</v>
      </c>
      <c r="AF174" s="1904"/>
      <c r="AG174" s="1904"/>
      <c r="AH174" s="1904"/>
      <c r="AI174" s="1904"/>
      <c r="AJ174" s="1971">
        <f>V174</f>
        <v>1142630000</v>
      </c>
      <c r="AK174" s="1906"/>
      <c r="AL174" s="1919"/>
      <c r="AM174" s="1972"/>
      <c r="AN174" s="1972"/>
      <c r="AO174" s="1972"/>
      <c r="AP174" s="1972"/>
      <c r="AQ174" s="1972"/>
      <c r="AR174" s="1972"/>
      <c r="AS174" s="1972"/>
      <c r="AT174" s="1972"/>
      <c r="AU174" s="1972"/>
      <c r="AV174" s="1972"/>
      <c r="AW174" s="1972"/>
      <c r="AX174" s="1972"/>
      <c r="AY174" s="1972"/>
      <c r="AZ174" s="1972"/>
      <c r="BA174" s="1972"/>
      <c r="BB174" s="1972"/>
      <c r="BH174" s="2004"/>
      <c r="BI174" s="2004"/>
      <c r="BM174" s="2004"/>
      <c r="BN174" s="2004"/>
    </row>
    <row r="175" spans="1:66" s="1780" customFormat="1" ht="47.25">
      <c r="A175" s="1945"/>
      <c r="B175" s="1980"/>
      <c r="C175" s="1947"/>
      <c r="D175" s="1948"/>
      <c r="E175" s="1965"/>
      <c r="F175" s="1965"/>
      <c r="G175" s="1949"/>
      <c r="H175" s="1950" t="s">
        <v>1937</v>
      </c>
      <c r="I175" s="1951">
        <v>42579</v>
      </c>
      <c r="J175" s="1952" t="s">
        <v>1616</v>
      </c>
      <c r="K175" s="1954" t="s">
        <v>2523</v>
      </c>
      <c r="L175" s="1973" t="s">
        <v>2522</v>
      </c>
      <c r="M175" s="1982" t="s">
        <v>1617</v>
      </c>
      <c r="N175" s="1956"/>
      <c r="O175" s="1896">
        <v>241878180</v>
      </c>
      <c r="P175" s="1958">
        <f t="shared" si="29"/>
        <v>241878180</v>
      </c>
      <c r="Q175" s="1969"/>
      <c r="R175" s="1969"/>
      <c r="S175" s="1969"/>
      <c r="T175" s="1969"/>
      <c r="U175" s="1969"/>
      <c r="V175" s="1960">
        <f t="shared" si="30"/>
        <v>241878180</v>
      </c>
      <c r="W175" s="1919" t="s">
        <v>3515</v>
      </c>
      <c r="X175" s="1920">
        <v>42728</v>
      </c>
      <c r="Y175" s="1970">
        <v>42731</v>
      </c>
      <c r="Z175" s="1917">
        <f t="shared" si="31"/>
        <v>241878180</v>
      </c>
      <c r="AA175" s="2641">
        <v>1</v>
      </c>
      <c r="AB175" s="1901">
        <f t="shared" si="32"/>
        <v>-241878180</v>
      </c>
      <c r="AC175" s="1901"/>
      <c r="AD175" s="1904"/>
      <c r="AE175" s="1903">
        <v>0.4</v>
      </c>
      <c r="AF175" s="1904"/>
      <c r="AG175" s="1904"/>
      <c r="AH175" s="1904"/>
      <c r="AI175" s="1904"/>
      <c r="AJ175" s="1971">
        <f>V175</f>
        <v>241878180</v>
      </c>
      <c r="AK175" s="1906"/>
      <c r="AL175" s="1901"/>
      <c r="AM175" s="1972"/>
      <c r="AN175" s="1972"/>
      <c r="AO175" s="1972"/>
      <c r="AP175" s="1972"/>
      <c r="AQ175" s="1972"/>
      <c r="AR175" s="1972"/>
      <c r="AS175" s="1972"/>
      <c r="AT175" s="1972"/>
      <c r="AU175" s="1972"/>
      <c r="AV175" s="1972"/>
      <c r="AW175" s="1972"/>
      <c r="AX175" s="1972"/>
      <c r="AY175" s="1972"/>
      <c r="AZ175" s="1972"/>
      <c r="BA175" s="1972"/>
      <c r="BB175" s="1972"/>
      <c r="BH175" s="2004"/>
      <c r="BI175" s="2004"/>
      <c r="BM175" s="2004"/>
      <c r="BN175" s="2004"/>
    </row>
    <row r="176" spans="1:66" s="1780" customFormat="1" ht="47.25">
      <c r="A176" s="1945"/>
      <c r="B176" s="1980"/>
      <c r="C176" s="1947"/>
      <c r="D176" s="1948"/>
      <c r="E176" s="1965"/>
      <c r="F176" s="1965"/>
      <c r="G176" s="1949"/>
      <c r="H176" s="1950" t="s">
        <v>1639</v>
      </c>
      <c r="I176" s="1951">
        <v>42544</v>
      </c>
      <c r="J176" s="1952" t="s">
        <v>1628</v>
      </c>
      <c r="K176" s="1966" t="s">
        <v>1983</v>
      </c>
      <c r="L176" s="1967" t="s">
        <v>1803</v>
      </c>
      <c r="M176" s="1982" t="s">
        <v>1629</v>
      </c>
      <c r="N176" s="1896">
        <v>282700000</v>
      </c>
      <c r="O176" s="1896"/>
      <c r="P176" s="1958">
        <f t="shared" si="29"/>
        <v>282700000</v>
      </c>
      <c r="Q176" s="1969"/>
      <c r="R176" s="1969"/>
      <c r="S176" s="1969"/>
      <c r="T176" s="1969"/>
      <c r="U176" s="1969"/>
      <c r="V176" s="1960">
        <f t="shared" si="30"/>
        <v>282700000</v>
      </c>
      <c r="W176" s="1919" t="s">
        <v>3105</v>
      </c>
      <c r="X176" s="1920">
        <v>42689</v>
      </c>
      <c r="Y176" s="1970">
        <v>42691</v>
      </c>
      <c r="Z176" s="1917">
        <f t="shared" si="31"/>
        <v>282700000</v>
      </c>
      <c r="AA176" s="2641">
        <v>1</v>
      </c>
      <c r="AB176" s="1901">
        <f t="shared" si="32"/>
        <v>-282700000</v>
      </c>
      <c r="AC176" s="1919"/>
      <c r="AD176" s="1977"/>
      <c r="AE176" s="1903">
        <v>1</v>
      </c>
      <c r="AF176" s="1904"/>
      <c r="AG176" s="1904"/>
      <c r="AH176" s="1904"/>
      <c r="AI176" s="1971">
        <f>V176</f>
        <v>282700000</v>
      </c>
      <c r="AJ176" s="1904"/>
      <c r="AK176" s="1906"/>
      <c r="AL176" s="1919"/>
      <c r="AM176" s="1972"/>
      <c r="AN176" s="1972"/>
      <c r="AO176" s="1972"/>
      <c r="AP176" s="1972"/>
      <c r="AQ176" s="1972"/>
      <c r="AR176" s="1972"/>
      <c r="AS176" s="1972"/>
      <c r="AT176" s="1972"/>
      <c r="AU176" s="1972"/>
      <c r="AV176" s="1972"/>
      <c r="AW176" s="1972"/>
      <c r="AX176" s="1972"/>
      <c r="AY176" s="1972"/>
      <c r="AZ176" s="1972"/>
      <c r="BA176" s="1972"/>
      <c r="BB176" s="1972"/>
      <c r="BH176" s="2004"/>
      <c r="BI176" s="2004"/>
      <c r="BM176" s="2004"/>
      <c r="BN176" s="2004"/>
    </row>
    <row r="177" spans="1:66" s="1780" customFormat="1" ht="47.25">
      <c r="A177" s="1945"/>
      <c r="B177" s="1980"/>
      <c r="C177" s="1947"/>
      <c r="D177" s="1948"/>
      <c r="E177" s="1965"/>
      <c r="F177" s="1965"/>
      <c r="G177" s="1949"/>
      <c r="H177" s="1983" t="s">
        <v>1936</v>
      </c>
      <c r="I177" s="1984">
        <v>42579</v>
      </c>
      <c r="J177" s="1952" t="s">
        <v>1630</v>
      </c>
      <c r="K177" s="1966" t="s">
        <v>2614</v>
      </c>
      <c r="L177" s="1973" t="s">
        <v>2161</v>
      </c>
      <c r="M177" s="1982" t="s">
        <v>1631</v>
      </c>
      <c r="N177" s="1896">
        <v>204534000</v>
      </c>
      <c r="O177" s="1896"/>
      <c r="P177" s="1958">
        <f t="shared" si="29"/>
        <v>204534000</v>
      </c>
      <c r="Q177" s="1969"/>
      <c r="R177" s="1969"/>
      <c r="S177" s="1969"/>
      <c r="T177" s="1969"/>
      <c r="U177" s="1969"/>
      <c r="V177" s="1960">
        <f t="shared" si="30"/>
        <v>204534000</v>
      </c>
      <c r="W177" s="1919" t="s">
        <v>3462</v>
      </c>
      <c r="X177" s="1920">
        <v>42704</v>
      </c>
      <c r="Y177" s="1970">
        <v>42706</v>
      </c>
      <c r="Z177" s="1917">
        <f t="shared" si="31"/>
        <v>204534000</v>
      </c>
      <c r="AA177" s="2641">
        <v>1</v>
      </c>
      <c r="AB177" s="1901">
        <f t="shared" si="32"/>
        <v>-204534000</v>
      </c>
      <c r="AC177" s="1919"/>
      <c r="AD177" s="1977"/>
      <c r="AE177" s="1903">
        <v>1</v>
      </c>
      <c r="AF177" s="1904"/>
      <c r="AG177" s="1904"/>
      <c r="AH177" s="1904"/>
      <c r="AI177" s="1971">
        <f>V177</f>
        <v>204534000</v>
      </c>
      <c r="AJ177" s="1904"/>
      <c r="AK177" s="1906"/>
      <c r="AL177" s="1919"/>
      <c r="AM177" s="1972"/>
      <c r="AN177" s="1972"/>
      <c r="AO177" s="1972"/>
      <c r="AP177" s="1972"/>
      <c r="AQ177" s="1972"/>
      <c r="AR177" s="1972"/>
      <c r="AS177" s="1972"/>
      <c r="AT177" s="1972"/>
      <c r="AU177" s="1972"/>
      <c r="AV177" s="1972"/>
      <c r="AW177" s="1972"/>
      <c r="AX177" s="1972"/>
      <c r="AY177" s="1972"/>
      <c r="AZ177" s="1972"/>
      <c r="BA177" s="1972"/>
      <c r="BB177" s="1972"/>
      <c r="BH177" s="2004"/>
      <c r="BI177" s="2004"/>
      <c r="BM177" s="2004"/>
      <c r="BN177" s="2004"/>
    </row>
    <row r="178" spans="1:66" s="1780" customFormat="1" ht="47.25">
      <c r="A178" s="1945"/>
      <c r="B178" s="1980"/>
      <c r="C178" s="1947"/>
      <c r="D178" s="1948"/>
      <c r="E178" s="1965"/>
      <c r="F178" s="1965"/>
      <c r="G178" s="1949"/>
      <c r="H178" s="1983" t="s">
        <v>2939</v>
      </c>
      <c r="I178" s="1951">
        <v>42674</v>
      </c>
      <c r="J178" s="1952" t="s">
        <v>2863</v>
      </c>
      <c r="K178" s="1966" t="s">
        <v>3292</v>
      </c>
      <c r="L178" s="1973" t="s">
        <v>2184</v>
      </c>
      <c r="M178" s="1982" t="s">
        <v>2864</v>
      </c>
      <c r="N178" s="1896"/>
      <c r="O178" s="1896">
        <v>37111800</v>
      </c>
      <c r="P178" s="1958">
        <f t="shared" si="29"/>
        <v>37111800</v>
      </c>
      <c r="Q178" s="1969"/>
      <c r="R178" s="1969"/>
      <c r="S178" s="1969"/>
      <c r="T178" s="1969"/>
      <c r="U178" s="1969"/>
      <c r="V178" s="1960">
        <f t="shared" si="30"/>
        <v>37111800</v>
      </c>
      <c r="W178" s="1919" t="s">
        <v>3515</v>
      </c>
      <c r="X178" s="1920">
        <v>42728</v>
      </c>
      <c r="Y178" s="1970">
        <v>42731</v>
      </c>
      <c r="Z178" s="1917">
        <f t="shared" si="31"/>
        <v>37111800</v>
      </c>
      <c r="AA178" s="2641">
        <v>1</v>
      </c>
      <c r="AB178" s="1901">
        <f t="shared" si="32"/>
        <v>-37111800</v>
      </c>
      <c r="AC178" s="1919"/>
      <c r="AD178" s="1977"/>
      <c r="AE178" s="1903"/>
      <c r="AF178" s="1904"/>
      <c r="AG178" s="1904"/>
      <c r="AH178" s="1904"/>
      <c r="AI178" s="1971"/>
      <c r="AJ178" s="1904"/>
      <c r="AK178" s="1906"/>
      <c r="AL178" s="1919"/>
      <c r="AM178" s="1972"/>
      <c r="AN178" s="1972"/>
      <c r="AO178" s="1972"/>
      <c r="AP178" s="1972"/>
      <c r="AQ178" s="1972"/>
      <c r="AR178" s="1972"/>
      <c r="AS178" s="1972"/>
      <c r="AT178" s="1972"/>
      <c r="AU178" s="1972"/>
      <c r="AV178" s="1972"/>
      <c r="AW178" s="1972"/>
      <c r="AX178" s="1972"/>
      <c r="AY178" s="1972"/>
      <c r="AZ178" s="1972"/>
      <c r="BA178" s="1972"/>
      <c r="BB178" s="1972"/>
      <c r="BH178" s="2004"/>
      <c r="BI178" s="2004"/>
      <c r="BM178" s="2004"/>
      <c r="BN178" s="2004"/>
    </row>
    <row r="179" spans="1:66" ht="16.5" thickBot="1">
      <c r="A179" s="22"/>
      <c r="B179" s="292"/>
      <c r="C179" s="301"/>
      <c r="D179" s="302"/>
      <c r="E179" s="169"/>
      <c r="F179" s="169"/>
      <c r="G179" s="26"/>
      <c r="H179" s="169"/>
      <c r="I179" s="170"/>
      <c r="J179" s="303"/>
      <c r="K179" s="293"/>
      <c r="L179" s="294"/>
      <c r="M179" s="294"/>
      <c r="N179" s="184"/>
      <c r="O179" s="328"/>
      <c r="P179" s="295"/>
      <c r="Q179" s="296"/>
      <c r="R179" s="296"/>
      <c r="S179" s="296"/>
      <c r="T179" s="296"/>
      <c r="U179" s="296"/>
      <c r="V179" s="144"/>
      <c r="W179" s="297"/>
      <c r="X179" s="424"/>
      <c r="Y179" s="298"/>
      <c r="Z179" s="295"/>
      <c r="AA179" s="1254"/>
      <c r="AB179" s="46"/>
      <c r="AC179" s="46"/>
      <c r="AD179" s="392"/>
      <c r="AE179" s="1382"/>
      <c r="AF179" s="38"/>
      <c r="AG179" s="38"/>
      <c r="AH179" s="38"/>
      <c r="AI179" s="38"/>
      <c r="AJ179" s="38"/>
      <c r="AK179" s="383"/>
      <c r="AL179" s="46"/>
      <c r="AM179" s="299"/>
      <c r="AN179" s="299"/>
      <c r="AO179" s="299"/>
      <c r="AP179" s="299"/>
      <c r="AQ179" s="299"/>
      <c r="AR179" s="299"/>
      <c r="AS179" s="299"/>
      <c r="AT179" s="299"/>
      <c r="AU179" s="299"/>
      <c r="AV179" s="299"/>
      <c r="AW179" s="299"/>
      <c r="AX179" s="299"/>
      <c r="AY179" s="299"/>
      <c r="AZ179" s="299"/>
      <c r="BA179" s="299"/>
      <c r="BB179" s="299"/>
    </row>
    <row r="180" spans="1:66" s="55" customFormat="1" ht="15.75" customHeight="1" thickBot="1">
      <c r="A180" s="2703" t="str">
        <f>B172</f>
        <v>005.DIST/AI-R/BRU/2016/M</v>
      </c>
      <c r="B180" s="2704"/>
      <c r="C180" s="2704"/>
      <c r="D180" s="2705"/>
      <c r="E180" s="65">
        <f>E172</f>
        <v>0</v>
      </c>
      <c r="F180" s="65">
        <f>F172</f>
        <v>2262823290</v>
      </c>
      <c r="G180" s="65">
        <f>G172</f>
        <v>2262823290</v>
      </c>
      <c r="H180" s="65"/>
      <c r="I180" s="65"/>
      <c r="J180" s="65"/>
      <c r="K180" s="66"/>
      <c r="L180" s="94"/>
      <c r="M180" s="67"/>
      <c r="N180" s="68">
        <f t="shared" ref="N180:U180" si="33">SUM(N172:N177)</f>
        <v>487234000</v>
      </c>
      <c r="O180" s="68">
        <f>SUM(O172:O178)</f>
        <v>1771489280</v>
      </c>
      <c r="P180" s="68">
        <f>SUM(P172:U178)</f>
        <v>2258723280</v>
      </c>
      <c r="Q180" s="68">
        <f t="shared" si="33"/>
        <v>0</v>
      </c>
      <c r="R180" s="68">
        <f t="shared" si="33"/>
        <v>0</v>
      </c>
      <c r="S180" s="68">
        <f t="shared" si="33"/>
        <v>0</v>
      </c>
      <c r="T180" s="68">
        <f t="shared" si="33"/>
        <v>0</v>
      </c>
      <c r="U180" s="68">
        <f t="shared" si="33"/>
        <v>0</v>
      </c>
      <c r="V180" s="68">
        <f>SUM(V172:V178)</f>
        <v>2258723280</v>
      </c>
      <c r="W180" s="1257"/>
      <c r="X180" s="1258"/>
      <c r="Y180" s="1258"/>
      <c r="Z180" s="68">
        <f>SUM(Z172:Z178)</f>
        <v>2258723280</v>
      </c>
      <c r="AA180" s="65"/>
      <c r="AB180" s="65">
        <f>+G180-P180</f>
        <v>4100010</v>
      </c>
      <c r="AC180" s="65"/>
      <c r="AD180" s="76"/>
      <c r="AE180" s="1382"/>
      <c r="AF180" s="38"/>
      <c r="AG180" s="38"/>
      <c r="AH180" s="38"/>
      <c r="AI180" s="38"/>
      <c r="AJ180" s="38"/>
      <c r="AK180" s="383"/>
      <c r="AL180" s="65"/>
      <c r="AM180" s="385"/>
      <c r="AN180" s="100"/>
      <c r="AO180" s="100"/>
      <c r="AP180" s="74"/>
      <c r="AQ180" s="74"/>
      <c r="AR180" s="74"/>
      <c r="AS180" s="74"/>
      <c r="AT180" s="64"/>
      <c r="AU180" s="101" t="e">
        <f>SUM(#REF!)</f>
        <v>#REF!</v>
      </c>
      <c r="AV180" s="101">
        <f t="shared" ref="AV180:BB180" si="34">SUM(AV179:AV179)</f>
        <v>0</v>
      </c>
      <c r="AW180" s="101">
        <f t="shared" si="34"/>
        <v>0</v>
      </c>
      <c r="AX180" s="101">
        <f t="shared" si="34"/>
        <v>0</v>
      </c>
      <c r="AY180" s="101">
        <f t="shared" si="34"/>
        <v>0</v>
      </c>
      <c r="AZ180" s="101">
        <f t="shared" si="34"/>
        <v>0</v>
      </c>
      <c r="BA180" s="101">
        <f t="shared" si="34"/>
        <v>0</v>
      </c>
      <c r="BB180" s="102">
        <f t="shared" si="34"/>
        <v>0</v>
      </c>
      <c r="BD180" s="56"/>
      <c r="BH180" s="2003"/>
      <c r="BI180" s="2003"/>
      <c r="BM180" s="2003"/>
      <c r="BN180" s="2003"/>
    </row>
    <row r="181" spans="1:66" ht="15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3"/>
      <c r="K181" s="5"/>
      <c r="L181" s="5"/>
      <c r="M181" s="5"/>
      <c r="N181" s="96"/>
      <c r="O181" s="96"/>
      <c r="P181" s="97"/>
      <c r="Q181" s="9"/>
      <c r="R181" s="9"/>
      <c r="S181" s="9"/>
      <c r="T181" s="9"/>
      <c r="U181" s="9"/>
      <c r="V181" s="1104"/>
      <c r="W181" s="1242"/>
      <c r="X181" s="1242"/>
      <c r="Y181" s="1242"/>
      <c r="Z181" s="1256"/>
      <c r="AA181" s="1256"/>
      <c r="AB181" s="391"/>
      <c r="AC181" s="391"/>
      <c r="AD181" s="391"/>
      <c r="AE181" s="1382"/>
      <c r="AF181" s="38"/>
      <c r="AG181" s="38"/>
      <c r="AH181" s="38"/>
      <c r="AI181" s="38"/>
      <c r="AJ181" s="38"/>
      <c r="AK181" s="383"/>
      <c r="AL181" s="391"/>
      <c r="AM181" s="382"/>
      <c r="AN181" s="98"/>
      <c r="AO181" s="98"/>
      <c r="AP181" s="98"/>
      <c r="AQ181" s="98"/>
      <c r="AR181" s="98"/>
      <c r="AS181" s="98"/>
      <c r="AT181" s="99"/>
      <c r="AU181" s="78"/>
      <c r="AV181" s="78"/>
      <c r="AW181" s="78"/>
      <c r="AX181" s="78"/>
      <c r="AY181" s="78"/>
      <c r="AZ181" s="78"/>
      <c r="BA181" s="78"/>
      <c r="BB181" s="78"/>
    </row>
    <row r="182" spans="1:66" s="1780" customFormat="1" ht="47.25">
      <c r="A182" s="1945">
        <v>8</v>
      </c>
      <c r="B182" s="1946" t="s">
        <v>1848</v>
      </c>
      <c r="C182" s="1947" t="s">
        <v>1843</v>
      </c>
      <c r="D182" s="1948" t="s">
        <v>1845</v>
      </c>
      <c r="E182" s="1949">
        <v>0</v>
      </c>
      <c r="F182" s="1949">
        <v>662497730</v>
      </c>
      <c r="G182" s="1949">
        <f>E182+F182</f>
        <v>662497730</v>
      </c>
      <c r="H182" s="1983" t="s">
        <v>1879</v>
      </c>
      <c r="I182" s="1951">
        <v>42520</v>
      </c>
      <c r="J182" s="1952" t="s">
        <v>1877</v>
      </c>
      <c r="K182" s="1966" t="s">
        <v>2501</v>
      </c>
      <c r="L182" s="1978" t="s">
        <v>2184</v>
      </c>
      <c r="M182" s="1979" t="s">
        <v>1878</v>
      </c>
      <c r="N182" s="1956"/>
      <c r="O182" s="1956">
        <v>245831300</v>
      </c>
      <c r="P182" s="1958">
        <f>N182+O182</f>
        <v>245831300</v>
      </c>
      <c r="Q182" s="1959"/>
      <c r="R182" s="1959"/>
      <c r="S182" s="1959"/>
      <c r="T182" s="1959"/>
      <c r="U182" s="1959"/>
      <c r="V182" s="1960">
        <f>P182</f>
        <v>245831300</v>
      </c>
      <c r="W182" s="1901" t="s">
        <v>3518</v>
      </c>
      <c r="X182" s="1961">
        <v>42731</v>
      </c>
      <c r="Y182" s="1962">
        <v>42734</v>
      </c>
      <c r="Z182" s="1917">
        <f>V182</f>
        <v>245831300</v>
      </c>
      <c r="AA182" s="2641">
        <v>1</v>
      </c>
      <c r="AB182" s="1901">
        <f>+G182-P182</f>
        <v>416666430</v>
      </c>
      <c r="AC182" s="1901"/>
      <c r="AD182" s="1904"/>
      <c r="AE182" s="1903">
        <v>0.8</v>
      </c>
      <c r="AF182" s="1904"/>
      <c r="AG182" s="1904"/>
      <c r="AH182" s="1904"/>
      <c r="AI182" s="1904"/>
      <c r="AJ182" s="1971">
        <f>V182</f>
        <v>245831300</v>
      </c>
      <c r="AK182" s="1906"/>
      <c r="AL182" s="1901"/>
      <c r="AM182" s="1906"/>
      <c r="AN182" s="1963"/>
      <c r="AO182" s="1963"/>
      <c r="AP182" s="1963"/>
      <c r="AQ182" s="1963"/>
      <c r="AR182" s="1963"/>
      <c r="AS182" s="1963"/>
      <c r="AT182" s="1964"/>
      <c r="AU182" s="1963"/>
      <c r="AV182" s="1963"/>
      <c r="AW182" s="1963"/>
      <c r="AX182" s="1963"/>
      <c r="AY182" s="1963"/>
      <c r="AZ182" s="1963"/>
      <c r="BA182" s="1963"/>
      <c r="BB182" s="1963"/>
      <c r="BH182" s="2004"/>
      <c r="BI182" s="2004"/>
      <c r="BM182" s="2004"/>
      <c r="BN182" s="2004">
        <f>19177/3/1000</f>
        <v>6.3923333333333332</v>
      </c>
    </row>
    <row r="183" spans="1:66" s="1780" customFormat="1" ht="47.25">
      <c r="A183" s="1945"/>
      <c r="B183" s="1946" t="s">
        <v>1942</v>
      </c>
      <c r="C183" s="1947"/>
      <c r="D183" s="1948"/>
      <c r="E183" s="1965"/>
      <c r="F183" s="1965"/>
      <c r="G183" s="1949"/>
      <c r="H183" s="1983" t="s">
        <v>1880</v>
      </c>
      <c r="I183" s="1951">
        <v>42566</v>
      </c>
      <c r="J183" s="1952" t="s">
        <v>1881</v>
      </c>
      <c r="K183" s="1966" t="s">
        <v>2615</v>
      </c>
      <c r="L183" s="1967" t="s">
        <v>2616</v>
      </c>
      <c r="M183" s="1982" t="s">
        <v>1882</v>
      </c>
      <c r="N183" s="1896">
        <v>282700000</v>
      </c>
      <c r="O183" s="1957"/>
      <c r="P183" s="1958">
        <f>N183+O183</f>
        <v>282700000</v>
      </c>
      <c r="Q183" s="1969"/>
      <c r="R183" s="1969"/>
      <c r="S183" s="1969"/>
      <c r="T183" s="1969"/>
      <c r="U183" s="1969"/>
      <c r="V183" s="1960">
        <f>P183</f>
        <v>282700000</v>
      </c>
      <c r="W183" s="1919" t="s">
        <v>3105</v>
      </c>
      <c r="X183" s="1920">
        <v>42689</v>
      </c>
      <c r="Y183" s="1970">
        <v>42691</v>
      </c>
      <c r="Z183" s="1917">
        <f>V183</f>
        <v>282700000</v>
      </c>
      <c r="AA183" s="2641">
        <v>1</v>
      </c>
      <c r="AB183" s="1901">
        <f>+G183-P183</f>
        <v>-282700000</v>
      </c>
      <c r="AC183" s="1901"/>
      <c r="AD183" s="1904"/>
      <c r="AE183" s="1903">
        <v>0</v>
      </c>
      <c r="AF183" s="1904"/>
      <c r="AG183" s="1904"/>
      <c r="AH183" s="1971">
        <f>V183</f>
        <v>282700000</v>
      </c>
      <c r="AI183" s="1904"/>
      <c r="AJ183" s="1904"/>
      <c r="AK183" s="1906"/>
      <c r="AL183" s="1901"/>
      <c r="AM183" s="1972"/>
      <c r="AN183" s="1972"/>
      <c r="AO183" s="1972"/>
      <c r="AP183" s="1972"/>
      <c r="AQ183" s="1972"/>
      <c r="AR183" s="1972"/>
      <c r="AS183" s="1972"/>
      <c r="AT183" s="1972"/>
      <c r="AU183" s="1972"/>
      <c r="AV183" s="1972"/>
      <c r="AW183" s="1972"/>
      <c r="AX183" s="1972"/>
      <c r="AY183" s="1972"/>
      <c r="AZ183" s="1972"/>
      <c r="BA183" s="1972"/>
      <c r="BB183" s="1972"/>
      <c r="BH183" s="2004"/>
      <c r="BI183" s="2004"/>
      <c r="BM183" s="2004"/>
      <c r="BN183" s="2004"/>
    </row>
    <row r="184" spans="1:66" s="1780" customFormat="1" ht="47.25">
      <c r="A184" s="1945"/>
      <c r="B184" s="1980">
        <v>42577</v>
      </c>
      <c r="C184" s="1947"/>
      <c r="D184" s="1948"/>
      <c r="E184" s="1965"/>
      <c r="F184" s="1965"/>
      <c r="G184" s="1949"/>
      <c r="H184" s="1983" t="s">
        <v>1883</v>
      </c>
      <c r="I184" s="1951">
        <v>42566</v>
      </c>
      <c r="J184" s="1952" t="s">
        <v>1884</v>
      </c>
      <c r="K184" s="1966" t="s">
        <v>2617</v>
      </c>
      <c r="L184" s="1973" t="s">
        <v>2161</v>
      </c>
      <c r="M184" s="1982" t="s">
        <v>1885</v>
      </c>
      <c r="N184" s="1896">
        <v>124740000</v>
      </c>
      <c r="O184" s="1957"/>
      <c r="P184" s="1958">
        <f>N184+O184</f>
        <v>124740000</v>
      </c>
      <c r="Q184" s="1969"/>
      <c r="R184" s="1969"/>
      <c r="S184" s="1969"/>
      <c r="T184" s="1969"/>
      <c r="U184" s="1969"/>
      <c r="V184" s="1960">
        <f>P184</f>
        <v>124740000</v>
      </c>
      <c r="W184" s="1919" t="s">
        <v>3163</v>
      </c>
      <c r="X184" s="1920">
        <v>42696</v>
      </c>
      <c r="Y184" s="1970">
        <v>42696</v>
      </c>
      <c r="Z184" s="1917">
        <f>V184</f>
        <v>124740000</v>
      </c>
      <c r="AA184" s="2641">
        <v>1</v>
      </c>
      <c r="AB184" s="1901">
        <f>+G184-P184</f>
        <v>-124740000</v>
      </c>
      <c r="AC184" s="1901"/>
      <c r="AD184" s="1904"/>
      <c r="AE184" s="1903">
        <v>0</v>
      </c>
      <c r="AF184" s="1904"/>
      <c r="AG184" s="1904"/>
      <c r="AH184" s="1971">
        <f>V184</f>
        <v>124740000</v>
      </c>
      <c r="AI184" s="1904"/>
      <c r="AJ184" s="1904"/>
      <c r="AK184" s="1906"/>
      <c r="AL184" s="1901"/>
      <c r="AM184" s="1972"/>
      <c r="AN184" s="1972"/>
      <c r="AO184" s="1972"/>
      <c r="AP184" s="1972"/>
      <c r="AQ184" s="1972"/>
      <c r="AR184" s="1972"/>
      <c r="AS184" s="1972"/>
      <c r="AT184" s="1972"/>
      <c r="AU184" s="1972"/>
      <c r="AV184" s="1972"/>
      <c r="AW184" s="1972"/>
      <c r="AX184" s="1972"/>
      <c r="AY184" s="1972"/>
      <c r="AZ184" s="1972"/>
      <c r="BA184" s="1972"/>
      <c r="BB184" s="1972"/>
      <c r="BH184" s="2004"/>
      <c r="BI184" s="2004"/>
      <c r="BM184" s="2004"/>
      <c r="BN184" s="2004"/>
    </row>
    <row r="185" spans="1:66">
      <c r="A185" s="291"/>
      <c r="B185" s="153"/>
      <c r="C185" s="301"/>
      <c r="D185" s="302"/>
      <c r="E185" s="169"/>
      <c r="F185" s="169"/>
      <c r="G185" s="26"/>
      <c r="H185" s="380"/>
      <c r="I185" s="319"/>
      <c r="J185" s="126"/>
      <c r="K185" s="293"/>
      <c r="L185" s="294"/>
      <c r="M185" s="331"/>
      <c r="N185" s="184"/>
      <c r="O185" s="143"/>
      <c r="P185" s="139"/>
      <c r="Q185" s="296"/>
      <c r="R185" s="296"/>
      <c r="S185" s="296"/>
      <c r="T185" s="296"/>
      <c r="U185" s="296"/>
      <c r="V185" s="144"/>
      <c r="W185" s="297"/>
      <c r="X185" s="424"/>
      <c r="Y185" s="298"/>
      <c r="Z185" s="295"/>
      <c r="AA185" s="1254"/>
      <c r="AB185" s="59"/>
      <c r="AC185" s="59"/>
      <c r="AD185" s="38"/>
      <c r="AE185" s="1382"/>
      <c r="AF185" s="38"/>
      <c r="AG185" s="38"/>
      <c r="AH185" s="38"/>
      <c r="AI185" s="38"/>
      <c r="AJ185" s="38"/>
      <c r="AK185" s="383"/>
      <c r="AL185" s="59"/>
      <c r="AM185" s="299"/>
      <c r="AN185" s="299"/>
      <c r="AO185" s="299"/>
      <c r="AP185" s="299"/>
      <c r="AQ185" s="299"/>
      <c r="AR185" s="299"/>
      <c r="AS185" s="299"/>
      <c r="AT185" s="299"/>
      <c r="AU185" s="299"/>
      <c r="AV185" s="299"/>
      <c r="AW185" s="299"/>
      <c r="AX185" s="299"/>
      <c r="AY185" s="299"/>
      <c r="AZ185" s="299"/>
      <c r="BA185" s="299"/>
      <c r="BB185" s="299"/>
    </row>
    <row r="186" spans="1:66" s="1000" customFormat="1">
      <c r="A186" s="1003"/>
      <c r="B186" s="1118"/>
      <c r="C186" s="1024" t="str">
        <f>C182</f>
        <v>PRK.2016.WKT-1.3.11</v>
      </c>
      <c r="D186" s="1018"/>
      <c r="E186" s="992"/>
      <c r="F186" s="992"/>
      <c r="G186" s="656">
        <f>G182</f>
        <v>662497730</v>
      </c>
      <c r="H186" s="1093"/>
      <c r="I186" s="993"/>
      <c r="J186" s="1008"/>
      <c r="K186" s="1021"/>
      <c r="L186" s="995"/>
      <c r="M186" s="1119"/>
      <c r="N186" s="1029">
        <f>SUM(N182:N184)</f>
        <v>407440000</v>
      </c>
      <c r="O186" s="1029">
        <f t="shared" ref="O186:V186" si="35">SUM(O182:O184)</f>
        <v>245831300</v>
      </c>
      <c r="P186" s="1029">
        <f t="shared" si="35"/>
        <v>653271300</v>
      </c>
      <c r="Q186" s="1029">
        <f t="shared" si="35"/>
        <v>0</v>
      </c>
      <c r="R186" s="1029">
        <f t="shared" si="35"/>
        <v>0</v>
      </c>
      <c r="S186" s="1029">
        <f t="shared" si="35"/>
        <v>0</v>
      </c>
      <c r="T186" s="1029">
        <f t="shared" si="35"/>
        <v>0</v>
      </c>
      <c r="U186" s="1029">
        <f t="shared" si="35"/>
        <v>0</v>
      </c>
      <c r="V186" s="1029">
        <f t="shared" si="35"/>
        <v>653271300</v>
      </c>
      <c r="W186" s="882"/>
      <c r="X186" s="1264"/>
      <c r="Y186" s="997"/>
      <c r="Z186" s="1029">
        <f>SUM(Z182:Z184)</f>
        <v>653271300</v>
      </c>
      <c r="AA186" s="1265"/>
      <c r="AB186" s="1002">
        <f>+G186-P186</f>
        <v>9226430</v>
      </c>
      <c r="AC186" s="1022"/>
      <c r="AD186" s="772"/>
      <c r="AE186" s="1382"/>
      <c r="AF186" s="38"/>
      <c r="AG186" s="38"/>
      <c r="AH186" s="38"/>
      <c r="AI186" s="38"/>
      <c r="AJ186" s="38"/>
      <c r="AK186" s="383"/>
      <c r="AL186" s="1022"/>
      <c r="AM186" s="999"/>
      <c r="AN186" s="999"/>
      <c r="AO186" s="999"/>
      <c r="AP186" s="999"/>
      <c r="AQ186" s="999"/>
      <c r="AR186" s="999"/>
      <c r="AS186" s="999"/>
      <c r="AT186" s="999"/>
      <c r="AU186" s="999"/>
      <c r="AV186" s="999"/>
      <c r="AW186" s="999"/>
      <c r="AX186" s="999"/>
      <c r="AY186" s="999"/>
      <c r="AZ186" s="999"/>
      <c r="BA186" s="999"/>
      <c r="BB186" s="999"/>
      <c r="BH186" s="2006"/>
      <c r="BI186" s="2006"/>
      <c r="BM186" s="2006"/>
      <c r="BN186" s="2006"/>
    </row>
    <row r="187" spans="1:66">
      <c r="A187" s="291"/>
      <c r="C187" s="301"/>
      <c r="D187" s="302"/>
      <c r="E187" s="169"/>
      <c r="F187" s="169"/>
      <c r="G187" s="26"/>
      <c r="H187" s="380"/>
      <c r="I187" s="319"/>
      <c r="J187" s="126"/>
      <c r="K187" s="293"/>
      <c r="L187" s="294"/>
      <c r="M187" s="892"/>
      <c r="N187" s="184"/>
      <c r="O187" s="229"/>
      <c r="P187" s="139">
        <f>N187+O187</f>
        <v>0</v>
      </c>
      <c r="Q187" s="296"/>
      <c r="R187" s="296"/>
      <c r="S187" s="296"/>
      <c r="T187" s="296"/>
      <c r="U187" s="296"/>
      <c r="V187" s="144"/>
      <c r="W187" s="297"/>
      <c r="X187" s="424"/>
      <c r="Y187" s="298"/>
      <c r="Z187" s="295"/>
      <c r="AA187" s="1254"/>
      <c r="AB187" s="59">
        <f>+G187-P187</f>
        <v>0</v>
      </c>
      <c r="AC187" s="59"/>
      <c r="AD187" s="38"/>
      <c r="AE187" s="1382"/>
      <c r="AF187" s="38"/>
      <c r="AG187" s="38"/>
      <c r="AH187" s="38"/>
      <c r="AI187" s="38"/>
      <c r="AJ187" s="38"/>
      <c r="AK187" s="383"/>
      <c r="AL187" s="59"/>
      <c r="AM187" s="299"/>
      <c r="AN187" s="299"/>
      <c r="AO187" s="299"/>
      <c r="AP187" s="299"/>
      <c r="AQ187" s="299"/>
      <c r="AR187" s="299"/>
      <c r="AS187" s="299"/>
      <c r="AT187" s="299"/>
      <c r="AU187" s="299"/>
      <c r="AV187" s="299"/>
      <c r="AW187" s="299"/>
      <c r="AX187" s="299"/>
      <c r="AY187" s="299"/>
      <c r="AZ187" s="299"/>
      <c r="BA187" s="299"/>
      <c r="BB187" s="299"/>
    </row>
    <row r="188" spans="1:66" s="1780" customFormat="1" ht="47.25">
      <c r="A188" s="1885"/>
      <c r="C188" s="1947" t="s">
        <v>1844</v>
      </c>
      <c r="D188" s="1948" t="s">
        <v>1846</v>
      </c>
      <c r="E188" s="1965"/>
      <c r="F188" s="1965">
        <v>1169260415</v>
      </c>
      <c r="G188" s="1949">
        <f>E188+F188</f>
        <v>1169260415</v>
      </c>
      <c r="H188" s="1983" t="s">
        <v>1890</v>
      </c>
      <c r="I188" s="1951">
        <v>42566</v>
      </c>
      <c r="J188" s="1952" t="s">
        <v>1891</v>
      </c>
      <c r="K188" s="1966" t="s">
        <v>2392</v>
      </c>
      <c r="L188" s="1973" t="s">
        <v>2393</v>
      </c>
      <c r="M188" s="1982" t="s">
        <v>1892</v>
      </c>
      <c r="N188" s="1896">
        <v>987800000</v>
      </c>
      <c r="O188" s="1941"/>
      <c r="P188" s="1958">
        <f>N188+O188</f>
        <v>987800000</v>
      </c>
      <c r="Q188" s="1969"/>
      <c r="R188" s="1969"/>
      <c r="S188" s="1969"/>
      <c r="T188" s="1969"/>
      <c r="U188" s="1969"/>
      <c r="V188" s="1960">
        <f>P188</f>
        <v>987800000</v>
      </c>
      <c r="W188" s="1985" t="s">
        <v>3515</v>
      </c>
      <c r="X188" s="1986">
        <v>42728</v>
      </c>
      <c r="Y188" s="1987">
        <v>42731</v>
      </c>
      <c r="Z188" s="1985">
        <f>V188</f>
        <v>987800000</v>
      </c>
      <c r="AA188" s="2643">
        <v>1</v>
      </c>
      <c r="AB188" s="1901">
        <f>+G188-P188</f>
        <v>181460415</v>
      </c>
      <c r="AC188" s="1901"/>
      <c r="AD188" s="1904"/>
      <c r="AE188" s="1903">
        <v>0</v>
      </c>
      <c r="AF188" s="1904"/>
      <c r="AG188" s="1904"/>
      <c r="AH188" s="1904"/>
      <c r="AI188" s="1904"/>
      <c r="AJ188" s="1971">
        <f>V188</f>
        <v>987800000</v>
      </c>
      <c r="AK188" s="1906"/>
      <c r="AL188" s="1901"/>
      <c r="AM188" s="1972"/>
      <c r="AN188" s="1972"/>
      <c r="AO188" s="1972"/>
      <c r="AP188" s="1972"/>
      <c r="AQ188" s="1972"/>
      <c r="AR188" s="1972"/>
      <c r="AS188" s="1972"/>
      <c r="AT188" s="1972"/>
      <c r="AU188" s="1972"/>
      <c r="AV188" s="1972"/>
      <c r="AW188" s="1972"/>
      <c r="AX188" s="1972"/>
      <c r="AY188" s="1972"/>
      <c r="AZ188" s="1972"/>
      <c r="BA188" s="1972"/>
      <c r="BB188" s="1972"/>
      <c r="BH188" s="2004"/>
      <c r="BI188" s="2004"/>
      <c r="BM188" s="2004"/>
      <c r="BN188" s="2004"/>
    </row>
    <row r="189" spans="1:66" s="1780" customFormat="1" ht="47.25">
      <c r="A189" s="1988"/>
      <c r="B189" s="1974"/>
      <c r="C189" s="1989"/>
      <c r="D189" s="1990"/>
      <c r="E189" s="1991"/>
      <c r="F189" s="1991"/>
      <c r="G189" s="1991"/>
      <c r="H189" s="1983" t="s">
        <v>2425</v>
      </c>
      <c r="I189" s="1951">
        <v>42620</v>
      </c>
      <c r="J189" s="1952" t="s">
        <v>2394</v>
      </c>
      <c r="K189" s="1954" t="s">
        <v>2825</v>
      </c>
      <c r="L189" s="1973" t="s">
        <v>2393</v>
      </c>
      <c r="M189" s="1982" t="s">
        <v>2395</v>
      </c>
      <c r="N189" s="1992"/>
      <c r="O189" s="1993">
        <v>71777200</v>
      </c>
      <c r="P189" s="1958">
        <f>N189+O189</f>
        <v>71777200</v>
      </c>
      <c r="Q189" s="1969"/>
      <c r="R189" s="1969"/>
      <c r="S189" s="1969"/>
      <c r="T189" s="1969"/>
      <c r="U189" s="1969"/>
      <c r="V189" s="1960">
        <f>P189</f>
        <v>71777200</v>
      </c>
      <c r="W189" s="1985" t="s">
        <v>3517</v>
      </c>
      <c r="X189" s="1986">
        <v>42728</v>
      </c>
      <c r="Y189" s="1987">
        <v>42731</v>
      </c>
      <c r="Z189" s="1985">
        <f>V189</f>
        <v>71777200</v>
      </c>
      <c r="AA189" s="2643">
        <v>1</v>
      </c>
      <c r="AB189" s="1901">
        <f>+G189-P189</f>
        <v>-71777200</v>
      </c>
      <c r="AC189" s="1994"/>
      <c r="AD189" s="1995"/>
      <c r="AE189" s="1903">
        <v>0</v>
      </c>
      <c r="AF189" s="1904"/>
      <c r="AG189" s="1904"/>
      <c r="AH189" s="1904"/>
      <c r="AI189" s="1904"/>
      <c r="AJ189" s="1971">
        <f>P189</f>
        <v>71777200</v>
      </c>
      <c r="AK189" s="1906"/>
      <c r="AL189" s="1994"/>
      <c r="AM189" s="1910"/>
      <c r="AN189" s="1910"/>
      <c r="AO189" s="1910"/>
      <c r="AP189" s="1910"/>
      <c r="AQ189" s="1910"/>
      <c r="AR189" s="1910"/>
      <c r="AS189" s="1910"/>
      <c r="AT189" s="1910"/>
      <c r="AU189" s="1910"/>
      <c r="AV189" s="1910"/>
      <c r="AW189" s="1910"/>
      <c r="AX189" s="1910"/>
      <c r="AY189" s="1910"/>
      <c r="AZ189" s="1910"/>
      <c r="BA189" s="1910"/>
      <c r="BB189" s="1910"/>
      <c r="BH189" s="2004"/>
      <c r="BI189" s="2004"/>
      <c r="BM189" s="2004"/>
      <c r="BN189" s="2004"/>
    </row>
    <row r="190" spans="1:66" s="1000" customFormat="1">
      <c r="A190" s="1272"/>
      <c r="B190" s="989"/>
      <c r="C190" s="1287" t="str">
        <f>C188</f>
        <v>PRK.2016.WKT-1.3.12</v>
      </c>
      <c r="D190" s="1273"/>
      <c r="E190" s="1274"/>
      <c r="F190" s="1274"/>
      <c r="G190" s="1290">
        <f>G188</f>
        <v>1169260415</v>
      </c>
      <c r="H190" s="1275"/>
      <c r="I190" s="1276"/>
      <c r="J190" s="1277"/>
      <c r="K190" s="1278"/>
      <c r="L190" s="1279"/>
      <c r="M190" s="1280"/>
      <c r="N190" s="1288">
        <f>SUM(N188:N189)</f>
        <v>987800000</v>
      </c>
      <c r="O190" s="1288">
        <f>SUM(O188:O189)</f>
        <v>71777200</v>
      </c>
      <c r="P190" s="1288">
        <f>SUM(P188:P189)</f>
        <v>1059577200</v>
      </c>
      <c r="Q190" s="1289"/>
      <c r="R190" s="1289"/>
      <c r="S190" s="1289"/>
      <c r="T190" s="1289"/>
      <c r="U190" s="1289"/>
      <c r="V190" s="1288">
        <f>SUM(V188:V189)</f>
        <v>1059577200</v>
      </c>
      <c r="W190" s="1281"/>
      <c r="X190" s="1282"/>
      <c r="Y190" s="1283"/>
      <c r="Z190" s="1288">
        <f>SUM(Z188:Z189)</f>
        <v>1059577200</v>
      </c>
      <c r="AA190" s="1284"/>
      <c r="AB190" s="1002">
        <f>+G190-P190</f>
        <v>109683215</v>
      </c>
      <c r="AC190" s="1285"/>
      <c r="AD190" s="1286"/>
      <c r="AE190" s="1382"/>
      <c r="AF190" s="38"/>
      <c r="AG190" s="38"/>
      <c r="AH190" s="38"/>
      <c r="AI190" s="38"/>
      <c r="AJ190" s="38"/>
      <c r="AK190" s="383"/>
      <c r="AL190" s="1285"/>
      <c r="AM190" s="1054"/>
      <c r="AN190" s="1054"/>
      <c r="AO190" s="1054"/>
      <c r="AP190" s="1054"/>
      <c r="AQ190" s="1054"/>
      <c r="AR190" s="1054"/>
      <c r="AS190" s="1054"/>
      <c r="AT190" s="1054"/>
      <c r="AU190" s="1054"/>
      <c r="AV190" s="1054"/>
      <c r="AW190" s="1054"/>
      <c r="AX190" s="1054"/>
      <c r="AY190" s="1054"/>
      <c r="AZ190" s="1054"/>
      <c r="BA190" s="1054"/>
      <c r="BB190" s="1054"/>
      <c r="BH190" s="2006"/>
      <c r="BI190" s="2006"/>
      <c r="BM190" s="2006"/>
      <c r="BN190" s="2006"/>
    </row>
    <row r="191" spans="1:66">
      <c r="A191" s="1106"/>
      <c r="B191" s="292"/>
      <c r="C191" s="1107"/>
      <c r="D191" s="1108"/>
      <c r="E191" s="686"/>
      <c r="F191" s="686"/>
      <c r="G191" s="686"/>
      <c r="H191" s="1112"/>
      <c r="I191" s="1113"/>
      <c r="J191" s="693"/>
      <c r="K191" s="1109"/>
      <c r="L191" s="870"/>
      <c r="M191" s="1114"/>
      <c r="N191" s="874"/>
      <c r="O191" s="1115"/>
      <c r="P191" s="1110"/>
      <c r="Q191" s="296"/>
      <c r="R191" s="296"/>
      <c r="S191" s="296"/>
      <c r="T191" s="296"/>
      <c r="U191" s="296"/>
      <c r="V191" s="1110"/>
      <c r="W191" s="1110"/>
      <c r="X191" s="1267"/>
      <c r="Y191" s="1111"/>
      <c r="Z191" s="1110"/>
      <c r="AA191" s="1268"/>
      <c r="AB191" s="377"/>
      <c r="AC191" s="377"/>
      <c r="AD191" s="78"/>
      <c r="AE191" s="1382"/>
      <c r="AF191" s="38"/>
      <c r="AG191" s="38"/>
      <c r="AH191" s="38"/>
      <c r="AI191" s="38"/>
      <c r="AJ191" s="38"/>
      <c r="AK191" s="383"/>
      <c r="AL191" s="377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</row>
    <row r="192" spans="1:66" s="1780" customFormat="1" ht="47.25">
      <c r="A192" s="1988"/>
      <c r="B192" s="1974"/>
      <c r="C192" s="1947" t="s">
        <v>1943</v>
      </c>
      <c r="D192" s="1990" t="s">
        <v>1847</v>
      </c>
      <c r="E192" s="1991"/>
      <c r="F192" s="1991">
        <v>337817809</v>
      </c>
      <c r="G192" s="1949">
        <f>E192+F192</f>
        <v>337817809</v>
      </c>
      <c r="H192" s="1983" t="s">
        <v>2040</v>
      </c>
      <c r="I192" s="1996">
        <v>42597</v>
      </c>
      <c r="J192" s="1952" t="s">
        <v>2029</v>
      </c>
      <c r="K192" s="1954" t="s">
        <v>2618</v>
      </c>
      <c r="L192" s="1997" t="s">
        <v>2184</v>
      </c>
      <c r="M192" s="1990" t="s">
        <v>2030</v>
      </c>
      <c r="N192" s="1992"/>
      <c r="O192" s="1993">
        <v>283688350</v>
      </c>
      <c r="P192" s="1958">
        <f>N192+O192</f>
        <v>283688350</v>
      </c>
      <c r="Q192" s="1969"/>
      <c r="R192" s="1969"/>
      <c r="S192" s="1969"/>
      <c r="T192" s="1969"/>
      <c r="U192" s="1969"/>
      <c r="V192" s="1960">
        <f>P192</f>
        <v>283688350</v>
      </c>
      <c r="W192" s="1985" t="s">
        <v>3515</v>
      </c>
      <c r="X192" s="1986">
        <v>42728</v>
      </c>
      <c r="Y192" s="1987">
        <v>42731</v>
      </c>
      <c r="Z192" s="1985">
        <f>V192</f>
        <v>283688350</v>
      </c>
      <c r="AA192" s="2643">
        <v>1</v>
      </c>
      <c r="AB192" s="1901">
        <f>+G192-P192</f>
        <v>54129459</v>
      </c>
      <c r="AC192" s="1994"/>
      <c r="AD192" s="1995"/>
      <c r="AE192" s="1903">
        <v>0</v>
      </c>
      <c r="AF192" s="1904"/>
      <c r="AG192" s="1904"/>
      <c r="AH192" s="1904"/>
      <c r="AI192" s="1904"/>
      <c r="AJ192" s="1971">
        <f>V192</f>
        <v>283688350</v>
      </c>
      <c r="AK192" s="1906"/>
      <c r="AL192" s="1994"/>
      <c r="AM192" s="1910"/>
      <c r="AN192" s="1910"/>
      <c r="AO192" s="1910"/>
      <c r="AP192" s="1910"/>
      <c r="AQ192" s="1910"/>
      <c r="AR192" s="1910"/>
      <c r="AS192" s="1910"/>
      <c r="AT192" s="1910"/>
      <c r="AU192" s="1910"/>
      <c r="AV192" s="1910"/>
      <c r="AW192" s="1910"/>
      <c r="AX192" s="1910"/>
      <c r="AY192" s="1910"/>
      <c r="AZ192" s="1910"/>
      <c r="BA192" s="1910"/>
      <c r="BB192" s="1910"/>
      <c r="BH192" s="2004"/>
      <c r="BI192" s="2004"/>
      <c r="BM192" s="2004"/>
      <c r="BN192" s="2004"/>
    </row>
    <row r="193" spans="1:66" ht="16.5" thickBot="1">
      <c r="A193" s="1106"/>
      <c r="B193" s="292"/>
      <c r="C193" s="1107"/>
      <c r="D193" s="1108"/>
      <c r="E193" s="686"/>
      <c r="F193" s="686"/>
      <c r="G193" s="686"/>
      <c r="H193" s="1112"/>
      <c r="I193" s="1113"/>
      <c r="J193" s="693"/>
      <c r="K193" s="1109"/>
      <c r="L193" s="870"/>
      <c r="M193" s="1114"/>
      <c r="N193" s="874"/>
      <c r="O193" s="1115"/>
      <c r="P193" s="1110"/>
      <c r="Q193" s="296"/>
      <c r="R193" s="296"/>
      <c r="S193" s="296"/>
      <c r="T193" s="296"/>
      <c r="U193" s="296"/>
      <c r="V193" s="1110"/>
      <c r="W193" s="1110"/>
      <c r="X193" s="1267"/>
      <c r="Y193" s="1111"/>
      <c r="Z193" s="1110"/>
      <c r="AA193" s="1268"/>
      <c r="AB193" s="377"/>
      <c r="AC193" s="377"/>
      <c r="AD193" s="78"/>
      <c r="AE193" s="1382"/>
      <c r="AF193" s="38"/>
      <c r="AG193" s="38"/>
      <c r="AH193" s="38"/>
      <c r="AI193" s="38"/>
      <c r="AJ193" s="38"/>
      <c r="AK193" s="383"/>
      <c r="AL193" s="377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</row>
    <row r="194" spans="1:66" s="55" customFormat="1" ht="15.75" customHeight="1" thickBot="1">
      <c r="A194" s="2703" t="str">
        <f>B182</f>
        <v>006.DIST/AI-R/BRU/2016/M</v>
      </c>
      <c r="B194" s="2704"/>
      <c r="C194" s="2704"/>
      <c r="D194" s="2705"/>
      <c r="E194" s="65">
        <f>+E182+E188+E192</f>
        <v>0</v>
      </c>
      <c r="F194" s="65">
        <f>+F182+F188+F192</f>
        <v>2169575954</v>
      </c>
      <c r="G194" s="65">
        <f>+G182+G188+G192</f>
        <v>2169575954</v>
      </c>
      <c r="H194" s="65"/>
      <c r="I194" s="65"/>
      <c r="J194" s="65"/>
      <c r="K194" s="66"/>
      <c r="L194" s="94"/>
      <c r="M194" s="67"/>
      <c r="N194" s="68">
        <f>+N186+N190+N192</f>
        <v>1395240000</v>
      </c>
      <c r="O194" s="68">
        <f t="shared" ref="O194:V194" si="36">+O186+O190+O192</f>
        <v>601296850</v>
      </c>
      <c r="P194" s="68">
        <f t="shared" si="36"/>
        <v>1996536850</v>
      </c>
      <c r="Q194" s="68">
        <f t="shared" si="36"/>
        <v>0</v>
      </c>
      <c r="R194" s="68">
        <f t="shared" si="36"/>
        <v>0</v>
      </c>
      <c r="S194" s="68">
        <f t="shared" si="36"/>
        <v>0</v>
      </c>
      <c r="T194" s="68">
        <f t="shared" si="36"/>
        <v>0</v>
      </c>
      <c r="U194" s="68">
        <f t="shared" si="36"/>
        <v>0</v>
      </c>
      <c r="V194" s="68">
        <f t="shared" si="36"/>
        <v>1996536850</v>
      </c>
      <c r="W194" s="1257"/>
      <c r="X194" s="1258"/>
      <c r="Y194" s="1258"/>
      <c r="Z194" s="68">
        <f>+Z186+Z190+Z192</f>
        <v>1996536850</v>
      </c>
      <c r="AA194" s="65"/>
      <c r="AB194" s="65">
        <f>+G194-P194</f>
        <v>173039104</v>
      </c>
      <c r="AC194" s="65"/>
      <c r="AD194" s="76"/>
      <c r="AE194" s="1382"/>
      <c r="AF194" s="38"/>
      <c r="AG194" s="38"/>
      <c r="AH194" s="38"/>
      <c r="AI194" s="38"/>
      <c r="AJ194" s="38"/>
      <c r="AK194" s="383"/>
      <c r="AL194" s="65"/>
      <c r="AM194" s="385"/>
      <c r="AN194" s="100"/>
      <c r="AO194" s="100"/>
      <c r="AP194" s="74"/>
      <c r="AQ194" s="74"/>
      <c r="AR194" s="74"/>
      <c r="AS194" s="74"/>
      <c r="AT194" s="64"/>
      <c r="AU194" s="101" t="e">
        <f>SUM(#REF!)</f>
        <v>#REF!</v>
      </c>
      <c r="AV194" s="101">
        <f t="shared" ref="AV194:BB194" si="37">SUM(AV188:AV188)</f>
        <v>0</v>
      </c>
      <c r="AW194" s="101">
        <f t="shared" si="37"/>
        <v>0</v>
      </c>
      <c r="AX194" s="101">
        <f t="shared" si="37"/>
        <v>0</v>
      </c>
      <c r="AY194" s="101">
        <f t="shared" si="37"/>
        <v>0</v>
      </c>
      <c r="AZ194" s="101">
        <f t="shared" si="37"/>
        <v>0</v>
      </c>
      <c r="BA194" s="101">
        <f t="shared" si="37"/>
        <v>0</v>
      </c>
      <c r="BB194" s="102">
        <f t="shared" si="37"/>
        <v>0</v>
      </c>
      <c r="BD194" s="56"/>
      <c r="BH194" s="2003"/>
      <c r="BI194" s="2003"/>
      <c r="BM194" s="2003"/>
      <c r="BN194" s="2003"/>
    </row>
    <row r="195" spans="1:66" ht="16.5" thickBot="1">
      <c r="A195" s="22"/>
      <c r="B195" s="292"/>
      <c r="C195" s="301"/>
      <c r="D195" s="302"/>
      <c r="E195" s="169"/>
      <c r="F195" s="169"/>
      <c r="G195" s="26"/>
      <c r="H195" s="169"/>
      <c r="I195" s="170"/>
      <c r="J195" s="303"/>
      <c r="K195" s="293"/>
      <c r="L195" s="294"/>
      <c r="M195" s="294"/>
      <c r="N195" s="184"/>
      <c r="O195" s="328"/>
      <c r="P195" s="295"/>
      <c r="Q195" s="296"/>
      <c r="R195" s="296"/>
      <c r="S195" s="296"/>
      <c r="T195" s="296"/>
      <c r="U195" s="296"/>
      <c r="V195" s="144"/>
      <c r="W195" s="297"/>
      <c r="X195" s="424"/>
      <c r="Y195" s="298"/>
      <c r="Z195" s="295"/>
      <c r="AA195" s="1254"/>
      <c r="AB195" s="46"/>
      <c r="AC195" s="46"/>
      <c r="AD195" s="392"/>
      <c r="AE195" s="1382"/>
      <c r="AF195" s="38"/>
      <c r="AG195" s="38"/>
      <c r="AH195" s="38"/>
      <c r="AI195" s="38"/>
      <c r="AJ195" s="38"/>
      <c r="AK195" s="383"/>
      <c r="AL195" s="46"/>
      <c r="AM195" s="299"/>
      <c r="AN195" s="299"/>
      <c r="AO195" s="299"/>
      <c r="AP195" s="299"/>
      <c r="AQ195" s="299"/>
      <c r="AR195" s="299"/>
      <c r="AS195" s="299"/>
      <c r="AT195" s="299"/>
      <c r="AU195" s="299"/>
      <c r="AV195" s="299"/>
      <c r="AW195" s="299"/>
      <c r="AX195" s="299"/>
      <c r="AY195" s="299"/>
      <c r="AZ195" s="299"/>
      <c r="BA195" s="299"/>
      <c r="BB195" s="299"/>
    </row>
    <row r="196" spans="1:66" ht="15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3"/>
      <c r="K196" s="5"/>
      <c r="L196" s="5"/>
      <c r="M196" s="5"/>
      <c r="N196" s="96"/>
      <c r="O196" s="96"/>
      <c r="P196" s="97"/>
      <c r="Q196" s="9"/>
      <c r="R196" s="9"/>
      <c r="S196" s="9"/>
      <c r="T196" s="9"/>
      <c r="U196" s="9"/>
      <c r="V196" s="1104"/>
      <c r="W196" s="1242"/>
      <c r="X196" s="1242"/>
      <c r="Y196" s="1242"/>
      <c r="Z196" s="1256"/>
      <c r="AA196" s="1256"/>
      <c r="AB196" s="391"/>
      <c r="AC196" s="391"/>
      <c r="AD196" s="391"/>
      <c r="AE196" s="1382"/>
      <c r="AF196" s="38"/>
      <c r="AG196" s="38"/>
      <c r="AH196" s="38"/>
      <c r="AI196" s="38"/>
      <c r="AJ196" s="38"/>
      <c r="AK196" s="383"/>
      <c r="AL196" s="391"/>
      <c r="AM196" s="382"/>
      <c r="AN196" s="98"/>
      <c r="AO196" s="98"/>
      <c r="AP196" s="98"/>
      <c r="AQ196" s="98"/>
      <c r="AR196" s="98"/>
      <c r="AS196" s="98"/>
      <c r="AT196" s="99"/>
      <c r="AU196" s="78"/>
      <c r="AV196" s="78"/>
      <c r="AW196" s="78"/>
      <c r="AX196" s="78"/>
      <c r="AY196" s="78"/>
      <c r="AZ196" s="78"/>
      <c r="BA196" s="78"/>
      <c r="BB196" s="78"/>
    </row>
    <row r="197" spans="1:66" s="1778" customFormat="1" ht="47.25">
      <c r="A197" s="1797">
        <v>9</v>
      </c>
      <c r="B197" s="1798" t="s">
        <v>1849</v>
      </c>
      <c r="C197" s="1782" t="s">
        <v>1851</v>
      </c>
      <c r="D197" s="1783" t="s">
        <v>1852</v>
      </c>
      <c r="E197" s="569">
        <v>0</v>
      </c>
      <c r="F197" s="569">
        <v>284177317</v>
      </c>
      <c r="G197" s="569">
        <f>E197+F197</f>
        <v>284177317</v>
      </c>
      <c r="H197" s="1799" t="s">
        <v>1918</v>
      </c>
      <c r="I197" s="1784">
        <v>42576</v>
      </c>
      <c r="J197" s="582" t="s">
        <v>1900</v>
      </c>
      <c r="K197" s="1718" t="s">
        <v>2521</v>
      </c>
      <c r="L197" s="609" t="s">
        <v>1736</v>
      </c>
      <c r="M197" s="568" t="s">
        <v>1901</v>
      </c>
      <c r="N197" s="1297"/>
      <c r="O197" s="1800">
        <v>196583200</v>
      </c>
      <c r="P197" s="1801">
        <f>N197+O197</f>
        <v>196583200</v>
      </c>
      <c r="Q197" s="572"/>
      <c r="R197" s="572"/>
      <c r="S197" s="572"/>
      <c r="T197" s="572"/>
      <c r="U197" s="572"/>
      <c r="V197" s="576">
        <f>P197</f>
        <v>196583200</v>
      </c>
      <c r="W197" s="603" t="s">
        <v>3511</v>
      </c>
      <c r="X197" s="742">
        <v>42725</v>
      </c>
      <c r="Y197" s="1790">
        <v>42727</v>
      </c>
      <c r="Z197" s="1788">
        <f>V197</f>
        <v>196583200</v>
      </c>
      <c r="AA197" s="2641">
        <v>1</v>
      </c>
      <c r="AB197" s="721">
        <f>+G197-P197</f>
        <v>87594117</v>
      </c>
      <c r="AC197" s="721"/>
      <c r="AD197" s="581"/>
      <c r="AE197" s="1792">
        <v>0</v>
      </c>
      <c r="AF197" s="581"/>
      <c r="AG197" s="581"/>
      <c r="AH197" s="581"/>
      <c r="AI197" s="581"/>
      <c r="AJ197" s="1793">
        <f>V197</f>
        <v>196583200</v>
      </c>
      <c r="AK197" s="1794"/>
      <c r="AL197" s="721"/>
      <c r="AM197" s="1794"/>
      <c r="AN197" s="577"/>
      <c r="AO197" s="577"/>
      <c r="AP197" s="577"/>
      <c r="AQ197" s="577"/>
      <c r="AR197" s="577"/>
      <c r="AS197" s="577"/>
      <c r="AT197" s="1802"/>
      <c r="AU197" s="577"/>
      <c r="AV197" s="577"/>
      <c r="AW197" s="577"/>
      <c r="AX197" s="577"/>
      <c r="AY197" s="577"/>
      <c r="AZ197" s="577"/>
      <c r="BA197" s="577"/>
      <c r="BB197" s="577"/>
      <c r="BC197" s="1778">
        <v>8</v>
      </c>
      <c r="BD197" s="1778">
        <f>BC197*100</f>
        <v>800</v>
      </c>
      <c r="BH197" s="1998"/>
      <c r="BI197" s="1998"/>
      <c r="BM197" s="1998"/>
      <c r="BN197" s="1998"/>
    </row>
    <row r="198" spans="1:66" s="1778" customFormat="1" ht="47.25">
      <c r="A198" s="1797"/>
      <c r="B198" s="1798" t="s">
        <v>1850</v>
      </c>
      <c r="C198" s="1782"/>
      <c r="D198" s="1783"/>
      <c r="E198" s="733"/>
      <c r="F198" s="733"/>
      <c r="G198" s="569"/>
      <c r="H198" s="1799" t="s">
        <v>2951</v>
      </c>
      <c r="I198" s="1784">
        <v>42677</v>
      </c>
      <c r="J198" s="582" t="s">
        <v>2925</v>
      </c>
      <c r="K198" s="714" t="s">
        <v>3093</v>
      </c>
      <c r="L198" s="613" t="s">
        <v>2161</v>
      </c>
      <c r="M198" s="1785" t="s">
        <v>2924</v>
      </c>
      <c r="N198" s="1786"/>
      <c r="O198" s="1787">
        <v>83600000</v>
      </c>
      <c r="P198" s="1801">
        <f>N198+O198</f>
        <v>83600000</v>
      </c>
      <c r="Q198" s="1789"/>
      <c r="R198" s="1789"/>
      <c r="S198" s="1789"/>
      <c r="T198" s="1789"/>
      <c r="U198" s="1789"/>
      <c r="V198" s="576">
        <f>P198</f>
        <v>83600000</v>
      </c>
      <c r="W198" s="603" t="s">
        <v>3511</v>
      </c>
      <c r="X198" s="742">
        <v>42725</v>
      </c>
      <c r="Y198" s="1790">
        <v>42727</v>
      </c>
      <c r="Z198" s="1788">
        <f>V198</f>
        <v>83600000</v>
      </c>
      <c r="AA198" s="2641">
        <v>1</v>
      </c>
      <c r="AB198" s="721">
        <f>+G198-P198</f>
        <v>-83600000</v>
      </c>
      <c r="AC198" s="721"/>
      <c r="AD198" s="581"/>
      <c r="AE198" s="1792"/>
      <c r="AF198" s="581"/>
      <c r="AG198" s="581"/>
      <c r="AH198" s="581"/>
      <c r="AI198" s="581"/>
      <c r="AJ198" s="581"/>
      <c r="AK198" s="1794"/>
      <c r="AL198" s="721"/>
      <c r="AM198" s="1795"/>
      <c r="AN198" s="1795"/>
      <c r="AO198" s="1795"/>
      <c r="AP198" s="1795"/>
      <c r="AQ198" s="1795"/>
      <c r="AR198" s="1795"/>
      <c r="AS198" s="1795"/>
      <c r="AT198" s="1795"/>
      <c r="AU198" s="1795"/>
      <c r="AV198" s="1795"/>
      <c r="AW198" s="1795"/>
      <c r="AX198" s="1795"/>
      <c r="AY198" s="1795"/>
      <c r="AZ198" s="1795"/>
      <c r="BA198" s="1795"/>
      <c r="BB198" s="1795"/>
      <c r="BE198" s="1998">
        <v>2</v>
      </c>
      <c r="BH198" s="1998"/>
      <c r="BI198" s="1998"/>
      <c r="BM198" s="1998"/>
      <c r="BN198" s="1998"/>
    </row>
    <row r="199" spans="1:66" s="1778" customFormat="1">
      <c r="A199" s="567"/>
      <c r="B199" s="1803">
        <v>42551</v>
      </c>
      <c r="C199" s="1782"/>
      <c r="D199" s="1783"/>
      <c r="E199" s="733"/>
      <c r="F199" s="733"/>
      <c r="G199" s="569">
        <f>E199+F199</f>
        <v>0</v>
      </c>
      <c r="H199" s="1804"/>
      <c r="I199" s="1784"/>
      <c r="J199" s="1805"/>
      <c r="K199" s="714"/>
      <c r="L199" s="613"/>
      <c r="M199" s="1796"/>
      <c r="N199" s="1786"/>
      <c r="O199" s="1787"/>
      <c r="P199" s="1801">
        <f>N199+O199</f>
        <v>0</v>
      </c>
      <c r="Q199" s="1789"/>
      <c r="R199" s="1789"/>
      <c r="S199" s="1789"/>
      <c r="T199" s="1789"/>
      <c r="U199" s="1789"/>
      <c r="V199" s="576"/>
      <c r="W199" s="603"/>
      <c r="X199" s="742"/>
      <c r="Y199" s="1790"/>
      <c r="Z199" s="1788"/>
      <c r="AA199" s="1791"/>
      <c r="AB199" s="721">
        <f>+G199-P199</f>
        <v>0</v>
      </c>
      <c r="AC199" s="721"/>
      <c r="AD199" s="581"/>
      <c r="AE199" s="1792"/>
      <c r="AF199" s="581"/>
      <c r="AG199" s="581"/>
      <c r="AH199" s="581"/>
      <c r="AI199" s="581"/>
      <c r="AJ199" s="581"/>
      <c r="AK199" s="1794"/>
      <c r="AL199" s="721"/>
      <c r="AM199" s="1795"/>
      <c r="AN199" s="1795"/>
      <c r="AO199" s="1795"/>
      <c r="AP199" s="1795"/>
      <c r="AQ199" s="1795"/>
      <c r="AR199" s="1795"/>
      <c r="AS199" s="1795"/>
      <c r="AT199" s="1795"/>
      <c r="AU199" s="1795"/>
      <c r="AV199" s="1795"/>
      <c r="AW199" s="1795"/>
      <c r="AX199" s="1795"/>
      <c r="AY199" s="1795"/>
      <c r="AZ199" s="1795"/>
      <c r="BA199" s="1795"/>
      <c r="BB199" s="1795"/>
      <c r="BH199" s="1998"/>
      <c r="BI199" s="1998"/>
      <c r="BM199" s="1998"/>
      <c r="BN199" s="1998"/>
    </row>
    <row r="200" spans="1:66" ht="16.5" thickBot="1">
      <c r="A200" s="22"/>
      <c r="B200" s="292"/>
      <c r="C200" s="301"/>
      <c r="D200" s="302"/>
      <c r="E200" s="169"/>
      <c r="F200" s="169"/>
      <c r="G200" s="26"/>
      <c r="H200" s="169"/>
      <c r="I200" s="170"/>
      <c r="J200" s="303"/>
      <c r="K200" s="293"/>
      <c r="L200" s="294"/>
      <c r="M200" s="294"/>
      <c r="N200" s="184"/>
      <c r="O200" s="328"/>
      <c r="P200" s="295"/>
      <c r="Q200" s="296"/>
      <c r="R200" s="296"/>
      <c r="S200" s="296"/>
      <c r="T200" s="296"/>
      <c r="U200" s="296"/>
      <c r="V200" s="144"/>
      <c r="W200" s="297"/>
      <c r="X200" s="424"/>
      <c r="Y200" s="298"/>
      <c r="Z200" s="295"/>
      <c r="AA200" s="1254"/>
      <c r="AB200" s="46"/>
      <c r="AC200" s="46"/>
      <c r="AD200" s="392"/>
      <c r="AE200" s="1382"/>
      <c r="AF200" s="38"/>
      <c r="AG200" s="38"/>
      <c r="AH200" s="38"/>
      <c r="AI200" s="38"/>
      <c r="AJ200" s="38"/>
      <c r="AK200" s="383"/>
      <c r="AL200" s="46"/>
      <c r="AM200" s="299"/>
      <c r="AN200" s="299"/>
      <c r="AO200" s="299"/>
      <c r="AP200" s="299"/>
      <c r="AQ200" s="299"/>
      <c r="AR200" s="299"/>
      <c r="AS200" s="299"/>
      <c r="AT200" s="299"/>
      <c r="AU200" s="299"/>
      <c r="AV200" s="299"/>
      <c r="AW200" s="299"/>
      <c r="AX200" s="299"/>
      <c r="AY200" s="299"/>
      <c r="AZ200" s="299"/>
      <c r="BA200" s="299"/>
      <c r="BB200" s="299"/>
    </row>
    <row r="201" spans="1:66" s="55" customFormat="1" ht="15.75" customHeight="1" thickBot="1">
      <c r="A201" s="2703" t="str">
        <f>B197</f>
        <v>007.DIST/AI-R/BRU/2016/M</v>
      </c>
      <c r="B201" s="2704"/>
      <c r="C201" s="2704"/>
      <c r="D201" s="2705"/>
      <c r="E201" s="65">
        <f>E197</f>
        <v>0</v>
      </c>
      <c r="F201" s="65">
        <f>F197</f>
        <v>284177317</v>
      </c>
      <c r="G201" s="65">
        <f>G197</f>
        <v>284177317</v>
      </c>
      <c r="H201" s="65"/>
      <c r="I201" s="65"/>
      <c r="J201" s="65"/>
      <c r="K201" s="66"/>
      <c r="L201" s="94"/>
      <c r="M201" s="67"/>
      <c r="N201" s="68">
        <f t="shared" ref="N201:V201" si="38">SUM(N197:N199)</f>
        <v>0</v>
      </c>
      <c r="O201" s="68">
        <f t="shared" si="38"/>
        <v>280183200</v>
      </c>
      <c r="P201" s="68">
        <f t="shared" si="38"/>
        <v>280183200</v>
      </c>
      <c r="Q201" s="68">
        <f t="shared" si="38"/>
        <v>0</v>
      </c>
      <c r="R201" s="68">
        <f t="shared" si="38"/>
        <v>0</v>
      </c>
      <c r="S201" s="68">
        <f t="shared" si="38"/>
        <v>0</v>
      </c>
      <c r="T201" s="68">
        <f t="shared" si="38"/>
        <v>0</v>
      </c>
      <c r="U201" s="68">
        <f t="shared" si="38"/>
        <v>0</v>
      </c>
      <c r="V201" s="68">
        <f t="shared" si="38"/>
        <v>280183200</v>
      </c>
      <c r="W201" s="1257"/>
      <c r="X201" s="1258"/>
      <c r="Y201" s="1258"/>
      <c r="Z201" s="68">
        <f>SUM(Z197:Z199)</f>
        <v>280183200</v>
      </c>
      <c r="AA201" s="65"/>
      <c r="AB201" s="65">
        <f>+G201-P201</f>
        <v>3994117</v>
      </c>
      <c r="AC201" s="65"/>
      <c r="AD201" s="76"/>
      <c r="AE201" s="1382"/>
      <c r="AF201" s="38"/>
      <c r="AG201" s="38"/>
      <c r="AH201" s="38"/>
      <c r="AI201" s="38"/>
      <c r="AJ201" s="38"/>
      <c r="AK201" s="383"/>
      <c r="AL201" s="65"/>
      <c r="AM201" s="385"/>
      <c r="AN201" s="100"/>
      <c r="AO201" s="100"/>
      <c r="AP201" s="74"/>
      <c r="AQ201" s="74"/>
      <c r="AR201" s="74"/>
      <c r="AS201" s="74"/>
      <c r="AT201" s="64"/>
      <c r="AU201" s="101" t="e">
        <f>SUM(#REF!)</f>
        <v>#REF!</v>
      </c>
      <c r="AV201" s="101">
        <f t="shared" ref="AV201:BB201" si="39">SUM(AV200:AV200)</f>
        <v>0</v>
      </c>
      <c r="AW201" s="101">
        <f t="shared" si="39"/>
        <v>0</v>
      </c>
      <c r="AX201" s="101">
        <f t="shared" si="39"/>
        <v>0</v>
      </c>
      <c r="AY201" s="101">
        <f t="shared" si="39"/>
        <v>0</v>
      </c>
      <c r="AZ201" s="101">
        <f t="shared" si="39"/>
        <v>0</v>
      </c>
      <c r="BA201" s="101">
        <f t="shared" si="39"/>
        <v>0</v>
      </c>
      <c r="BB201" s="102">
        <f t="shared" si="39"/>
        <v>0</v>
      </c>
      <c r="BD201" s="56"/>
      <c r="BH201" s="2003"/>
      <c r="BI201" s="2003"/>
      <c r="BM201" s="2003"/>
      <c r="BN201" s="2003"/>
    </row>
    <row r="202" spans="1:66" ht="15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3"/>
      <c r="K202" s="5"/>
      <c r="L202" s="5"/>
      <c r="M202" s="5"/>
      <c r="N202" s="96"/>
      <c r="O202" s="96"/>
      <c r="P202" s="97"/>
      <c r="Q202" s="9"/>
      <c r="R202" s="9"/>
      <c r="S202" s="9"/>
      <c r="T202" s="9"/>
      <c r="U202" s="9"/>
      <c r="V202" s="1234"/>
      <c r="W202" s="1242"/>
      <c r="X202" s="1242"/>
      <c r="Y202" s="1242"/>
      <c r="Z202" s="1256"/>
      <c r="AA202" s="1256"/>
      <c r="AB202" s="391"/>
      <c r="AC202" s="391"/>
      <c r="AD202" s="391"/>
      <c r="AE202" s="1382"/>
      <c r="AF202" s="38"/>
      <c r="AG202" s="38"/>
      <c r="AH202" s="38"/>
      <c r="AI202" s="38"/>
      <c r="AJ202" s="38"/>
      <c r="AK202" s="383"/>
      <c r="AL202" s="391"/>
      <c r="AM202" s="382"/>
      <c r="AN202" s="98"/>
      <c r="AO202" s="98"/>
      <c r="AP202" s="98"/>
      <c r="AQ202" s="98"/>
      <c r="AR202" s="98"/>
      <c r="AS202" s="98"/>
      <c r="AT202" s="99"/>
      <c r="AU202" s="78"/>
      <c r="AV202" s="78"/>
      <c r="AW202" s="78"/>
      <c r="AX202" s="78"/>
      <c r="AY202" s="78"/>
      <c r="AZ202" s="78"/>
      <c r="BA202" s="78"/>
      <c r="BB202" s="78"/>
    </row>
    <row r="203" spans="1:66" ht="47.25">
      <c r="A203" s="291">
        <v>10</v>
      </c>
      <c r="B203" s="2718" t="s">
        <v>2720</v>
      </c>
      <c r="C203" s="301" t="s">
        <v>2310</v>
      </c>
      <c r="D203" s="302" t="s">
        <v>2718</v>
      </c>
      <c r="E203" s="26">
        <v>0</v>
      </c>
      <c r="F203" s="26">
        <v>260000000</v>
      </c>
      <c r="G203" s="26">
        <f>E203+F203</f>
        <v>260000000</v>
      </c>
      <c r="H203" s="559" t="s">
        <v>2738</v>
      </c>
      <c r="I203" s="319">
        <v>42657</v>
      </c>
      <c r="J203" s="126" t="s">
        <v>2722</v>
      </c>
      <c r="K203" s="248" t="s">
        <v>2830</v>
      </c>
      <c r="L203" s="454" t="s">
        <v>975</v>
      </c>
      <c r="M203" s="250" t="s">
        <v>2739</v>
      </c>
      <c r="N203" s="58">
        <v>26950000</v>
      </c>
      <c r="O203" s="143"/>
      <c r="P203" s="139">
        <f>N203+O203</f>
        <v>26950000</v>
      </c>
      <c r="Q203" s="30"/>
      <c r="R203" s="30"/>
      <c r="S203" s="30"/>
      <c r="T203" s="30"/>
      <c r="U203" s="30"/>
      <c r="V203" s="144">
        <f>P203</f>
        <v>26950000</v>
      </c>
      <c r="W203" s="200" t="s">
        <v>3518</v>
      </c>
      <c r="X203" s="424">
        <v>42731</v>
      </c>
      <c r="Y203" s="298">
        <v>42734</v>
      </c>
      <c r="Z203" s="295">
        <f>P203</f>
        <v>26950000</v>
      </c>
      <c r="AA203" s="2641">
        <v>1</v>
      </c>
      <c r="AB203" s="59">
        <f>+G203-P203</f>
        <v>233050000</v>
      </c>
      <c r="AC203" s="59"/>
      <c r="AD203" s="38"/>
      <c r="AE203" s="1382"/>
      <c r="AF203" s="38"/>
      <c r="AG203" s="38"/>
      <c r="AH203" s="38"/>
      <c r="AI203" s="38"/>
      <c r="AJ203" s="38"/>
      <c r="AK203" s="383"/>
      <c r="AL203" s="59"/>
      <c r="AM203" s="383"/>
      <c r="AN203" s="32"/>
      <c r="AO203" s="32"/>
      <c r="AP203" s="32"/>
      <c r="AQ203" s="32"/>
      <c r="AR203" s="32"/>
      <c r="AS203" s="32"/>
      <c r="AT203" s="33"/>
      <c r="AU203" s="32"/>
      <c r="AV203" s="32"/>
      <c r="AW203" s="32"/>
      <c r="AX203" s="32"/>
      <c r="AY203" s="32"/>
      <c r="AZ203" s="32"/>
      <c r="BA203" s="32"/>
      <c r="BB203" s="32"/>
    </row>
    <row r="204" spans="1:66" ht="47.25">
      <c r="A204" s="291"/>
      <c r="B204" s="2719"/>
      <c r="C204" s="301"/>
      <c r="D204" s="302"/>
      <c r="E204" s="169"/>
      <c r="F204" s="169"/>
      <c r="G204" s="26"/>
      <c r="H204" s="559" t="s">
        <v>2918</v>
      </c>
      <c r="I204" s="558">
        <v>42634</v>
      </c>
      <c r="J204" s="126"/>
      <c r="K204" s="34" t="s">
        <v>2919</v>
      </c>
      <c r="L204" s="248" t="s">
        <v>2921</v>
      </c>
      <c r="M204" s="72" t="s">
        <v>3019</v>
      </c>
      <c r="N204" s="58"/>
      <c r="O204" s="143">
        <v>229730600</v>
      </c>
      <c r="P204" s="139">
        <f>N204+O204</f>
        <v>229730600</v>
      </c>
      <c r="Q204" s="296"/>
      <c r="R204" s="296"/>
      <c r="S204" s="296"/>
      <c r="T204" s="296"/>
      <c r="U204" s="296"/>
      <c r="V204" s="144">
        <f>P204</f>
        <v>229730600</v>
      </c>
      <c r="W204" s="297"/>
      <c r="X204" s="424"/>
      <c r="Y204" s="298"/>
      <c r="Z204" s="295">
        <f>P204</f>
        <v>229730600</v>
      </c>
      <c r="AA204" s="1254"/>
      <c r="AB204" s="59">
        <f>+G204-P204</f>
        <v>-229730600</v>
      </c>
      <c r="AC204" s="59"/>
      <c r="AD204" s="38"/>
      <c r="AE204" s="1382"/>
      <c r="AF204" s="38"/>
      <c r="AG204" s="38"/>
      <c r="AH204" s="38"/>
      <c r="AI204" s="38"/>
      <c r="AJ204" s="38"/>
      <c r="AK204" s="383"/>
      <c r="AL204" s="59"/>
      <c r="AM204" s="299"/>
      <c r="AN204" s="299"/>
      <c r="AO204" s="299"/>
      <c r="AP204" s="299"/>
      <c r="AQ204" s="299"/>
      <c r="AR204" s="299"/>
      <c r="AS204" s="299"/>
      <c r="AT204" s="299"/>
      <c r="AU204" s="299"/>
      <c r="AV204" s="299"/>
      <c r="AW204" s="299"/>
      <c r="AX204" s="299"/>
      <c r="AY204" s="299"/>
      <c r="AZ204" s="299"/>
      <c r="BA204" s="299"/>
      <c r="BB204" s="299"/>
    </row>
    <row r="205" spans="1:66" s="769" customFormat="1">
      <c r="A205" s="757"/>
      <c r="B205" s="2719"/>
      <c r="C205" s="1024" t="str">
        <f>C203</f>
        <v>PRK.2016.WKT-2.1.60</v>
      </c>
      <c r="D205" s="1025"/>
      <c r="E205" s="655"/>
      <c r="F205" s="655"/>
      <c r="G205" s="656">
        <f>G203</f>
        <v>260000000</v>
      </c>
      <c r="H205" s="1046"/>
      <c r="I205" s="1047"/>
      <c r="J205" s="762"/>
      <c r="K205" s="1533"/>
      <c r="L205" s="1335"/>
      <c r="M205" s="782"/>
      <c r="N205" s="1029">
        <f>SUM(N203:N204)</f>
        <v>26950000</v>
      </c>
      <c r="O205" s="1029">
        <f t="shared" ref="O205:V205" si="40">SUM(O203:O204)</f>
        <v>229730600</v>
      </c>
      <c r="P205" s="1029">
        <f t="shared" si="40"/>
        <v>256680600</v>
      </c>
      <c r="Q205" s="1029">
        <f t="shared" si="40"/>
        <v>0</v>
      </c>
      <c r="R205" s="1029">
        <f t="shared" si="40"/>
        <v>0</v>
      </c>
      <c r="S205" s="1029">
        <f t="shared" si="40"/>
        <v>0</v>
      </c>
      <c r="T205" s="1029">
        <f t="shared" si="40"/>
        <v>0</v>
      </c>
      <c r="U205" s="1029">
        <f t="shared" si="40"/>
        <v>0</v>
      </c>
      <c r="V205" s="1029">
        <f t="shared" si="40"/>
        <v>256680600</v>
      </c>
      <c r="W205" s="786"/>
      <c r="X205" s="785"/>
      <c r="Y205" s="1030"/>
      <c r="Z205" s="1029">
        <f>SUM(Z203:Z204)</f>
        <v>256680600</v>
      </c>
      <c r="AA205" s="1266"/>
      <c r="AB205" s="1002">
        <f>+G205-P205</f>
        <v>3319400</v>
      </c>
      <c r="AC205" s="1002"/>
      <c r="AD205" s="755"/>
      <c r="AE205" s="1448"/>
      <c r="AF205" s="755"/>
      <c r="AG205" s="755"/>
      <c r="AH205" s="755"/>
      <c r="AI205" s="755"/>
      <c r="AJ205" s="755"/>
      <c r="AK205" s="1449"/>
      <c r="AL205" s="1002"/>
      <c r="AM205" s="1031"/>
      <c r="AN205" s="1031"/>
      <c r="AO205" s="1031"/>
      <c r="AP205" s="1031"/>
      <c r="AQ205" s="1031"/>
      <c r="AR205" s="1031"/>
      <c r="AS205" s="1031"/>
      <c r="AT205" s="1031"/>
      <c r="AU205" s="1031"/>
      <c r="AV205" s="1031"/>
      <c r="AW205" s="1031"/>
      <c r="AX205" s="1031"/>
      <c r="AY205" s="1031"/>
      <c r="AZ205" s="1031"/>
      <c r="BA205" s="1031"/>
      <c r="BB205" s="1031"/>
      <c r="BH205" s="2007"/>
      <c r="BI205" s="2007"/>
      <c r="BM205" s="2007"/>
      <c r="BN205" s="2007"/>
    </row>
    <row r="206" spans="1:66">
      <c r="A206" s="291"/>
      <c r="B206" s="2719"/>
      <c r="C206" s="301"/>
      <c r="D206" s="302"/>
      <c r="E206" s="169"/>
      <c r="F206" s="169"/>
      <c r="G206" s="26"/>
      <c r="H206" s="380"/>
      <c r="I206" s="319"/>
      <c r="J206" s="126"/>
      <c r="K206" s="454"/>
      <c r="L206" s="294"/>
      <c r="M206" s="892"/>
      <c r="N206" s="184"/>
      <c r="O206" s="229"/>
      <c r="P206" s="139"/>
      <c r="Q206" s="296"/>
      <c r="R206" s="296"/>
      <c r="S206" s="296"/>
      <c r="T206" s="296"/>
      <c r="U206" s="296"/>
      <c r="V206" s="144"/>
      <c r="W206" s="297"/>
      <c r="X206" s="424"/>
      <c r="Y206" s="298"/>
      <c r="Z206" s="295"/>
      <c r="AA206" s="1254"/>
      <c r="AB206" s="59"/>
      <c r="AC206" s="59"/>
      <c r="AD206" s="38"/>
      <c r="AE206" s="1382"/>
      <c r="AF206" s="38"/>
      <c r="AG206" s="38"/>
      <c r="AH206" s="38"/>
      <c r="AI206" s="38"/>
      <c r="AJ206" s="38"/>
      <c r="AK206" s="383"/>
      <c r="AL206" s="59"/>
      <c r="AM206" s="299"/>
      <c r="AN206" s="299"/>
      <c r="AO206" s="299"/>
      <c r="AP206" s="299"/>
      <c r="AQ206" s="299"/>
      <c r="AR206" s="299"/>
      <c r="AS206" s="299"/>
      <c r="AT206" s="299"/>
      <c r="AU206" s="299"/>
      <c r="AV206" s="299"/>
      <c r="AW206" s="299"/>
      <c r="AX206" s="299"/>
      <c r="AY206" s="299"/>
      <c r="AZ206" s="299"/>
      <c r="BA206" s="299"/>
      <c r="BB206" s="299"/>
    </row>
    <row r="207" spans="1:66" s="1780" customFormat="1" ht="47.25">
      <c r="A207" s="1885"/>
      <c r="B207" s="2720"/>
      <c r="C207" s="1947" t="s">
        <v>2311</v>
      </c>
      <c r="D207" s="1948" t="s">
        <v>2312</v>
      </c>
      <c r="E207" s="1965"/>
      <c r="F207" s="1965">
        <v>581488600</v>
      </c>
      <c r="G207" s="1949">
        <f>E207+F207</f>
        <v>581488600</v>
      </c>
      <c r="H207" s="1983" t="s">
        <v>2424</v>
      </c>
      <c r="I207" s="1951">
        <v>42620</v>
      </c>
      <c r="J207" s="1952" t="s">
        <v>2390</v>
      </c>
      <c r="K207" s="1954" t="s">
        <v>2619</v>
      </c>
      <c r="L207" s="1973" t="s">
        <v>2620</v>
      </c>
      <c r="M207" s="1982" t="s">
        <v>2391</v>
      </c>
      <c r="N207" s="1896"/>
      <c r="O207" s="1941">
        <v>267355000</v>
      </c>
      <c r="P207" s="1958">
        <f>N207+O207</f>
        <v>267355000</v>
      </c>
      <c r="Q207" s="1969"/>
      <c r="R207" s="1969"/>
      <c r="S207" s="1969"/>
      <c r="T207" s="1969"/>
      <c r="U207" s="1969"/>
      <c r="V207" s="1960">
        <f>P207</f>
        <v>267355000</v>
      </c>
      <c r="W207" s="1919" t="s">
        <v>3517</v>
      </c>
      <c r="X207" s="1920">
        <v>42728</v>
      </c>
      <c r="Y207" s="1970">
        <v>42731</v>
      </c>
      <c r="Z207" s="1917">
        <f>P207</f>
        <v>267355000</v>
      </c>
      <c r="AA207" s="2641">
        <v>1</v>
      </c>
      <c r="AB207" s="1901">
        <f>+G207-P207</f>
        <v>314133600</v>
      </c>
      <c r="AC207" s="1901"/>
      <c r="AD207" s="1904"/>
      <c r="AE207" s="1903">
        <v>0</v>
      </c>
      <c r="AF207" s="1904"/>
      <c r="AG207" s="1904"/>
      <c r="AH207" s="1904"/>
      <c r="AI207" s="1904"/>
      <c r="AJ207" s="1971">
        <f>V207</f>
        <v>267355000</v>
      </c>
      <c r="AK207" s="1906"/>
      <c r="AL207" s="1901"/>
      <c r="AM207" s="1972"/>
      <c r="AN207" s="1972"/>
      <c r="AO207" s="1972"/>
      <c r="AP207" s="1972"/>
      <c r="AQ207" s="1972"/>
      <c r="AR207" s="1972"/>
      <c r="AS207" s="1972"/>
      <c r="AT207" s="1972"/>
      <c r="AU207" s="1972"/>
      <c r="AV207" s="1972"/>
      <c r="AW207" s="1972"/>
      <c r="AX207" s="1972"/>
      <c r="AY207" s="1972"/>
      <c r="AZ207" s="1972"/>
      <c r="BA207" s="1972"/>
      <c r="BB207" s="1972"/>
      <c r="BH207" s="2004"/>
      <c r="BI207" s="2004"/>
      <c r="BM207" s="2004"/>
      <c r="BN207" s="2004"/>
    </row>
    <row r="208" spans="1:66" s="1780" customFormat="1" ht="47.25">
      <c r="A208" s="1885"/>
      <c r="B208" s="2718" t="s">
        <v>2721</v>
      </c>
      <c r="C208" s="1947"/>
      <c r="D208" s="1948"/>
      <c r="E208" s="1965"/>
      <c r="F208" s="1965"/>
      <c r="G208" s="1949"/>
      <c r="H208" s="1983" t="s">
        <v>2737</v>
      </c>
      <c r="I208" s="1951">
        <v>42660</v>
      </c>
      <c r="J208" s="1952" t="s">
        <v>2714</v>
      </c>
      <c r="K208" s="1954" t="s">
        <v>2843</v>
      </c>
      <c r="L208" s="1973" t="s">
        <v>2620</v>
      </c>
      <c r="M208" s="1982" t="s">
        <v>2715</v>
      </c>
      <c r="N208" s="1896"/>
      <c r="O208" s="1941">
        <v>267355000</v>
      </c>
      <c r="P208" s="1958">
        <f>N208+O208</f>
        <v>267355000</v>
      </c>
      <c r="Q208" s="1969"/>
      <c r="R208" s="1969"/>
      <c r="S208" s="1969"/>
      <c r="T208" s="1969"/>
      <c r="U208" s="1969"/>
      <c r="V208" s="1960">
        <f>P208</f>
        <v>267355000</v>
      </c>
      <c r="W208" s="1919" t="s">
        <v>3518</v>
      </c>
      <c r="X208" s="1920">
        <v>42731</v>
      </c>
      <c r="Y208" s="1970">
        <v>42734</v>
      </c>
      <c r="Z208" s="1917">
        <f>P208</f>
        <v>267355000</v>
      </c>
      <c r="AA208" s="2641">
        <v>1</v>
      </c>
      <c r="AB208" s="1901">
        <f>+G208-P208</f>
        <v>-267355000</v>
      </c>
      <c r="AC208" s="1919"/>
      <c r="AD208" s="1977"/>
      <c r="AE208" s="1903"/>
      <c r="AF208" s="1904"/>
      <c r="AG208" s="1904"/>
      <c r="AH208" s="1904"/>
      <c r="AI208" s="1904"/>
      <c r="AJ208" s="1971"/>
      <c r="AK208" s="1906"/>
      <c r="AL208" s="1919"/>
      <c r="AM208" s="1972"/>
      <c r="AN208" s="1972"/>
      <c r="AO208" s="1972"/>
      <c r="AP208" s="1972"/>
      <c r="AQ208" s="1972"/>
      <c r="AR208" s="1972"/>
      <c r="AS208" s="1972"/>
      <c r="AT208" s="1972"/>
      <c r="AU208" s="1972"/>
      <c r="AV208" s="1972"/>
      <c r="AW208" s="1972"/>
      <c r="AX208" s="1972"/>
      <c r="AY208" s="1972"/>
      <c r="AZ208" s="1972"/>
      <c r="BA208" s="1972"/>
      <c r="BB208" s="1972"/>
      <c r="BH208" s="2004"/>
      <c r="BI208" s="2004"/>
      <c r="BM208" s="2004"/>
      <c r="BN208" s="2004"/>
    </row>
    <row r="209" spans="1:66" s="1000" customFormat="1">
      <c r="A209" s="988"/>
      <c r="B209" s="2719"/>
      <c r="C209" s="1024" t="str">
        <f>C207</f>
        <v>PRK.2016.WKT-4.3.29</v>
      </c>
      <c r="D209" s="1018"/>
      <c r="E209" s="992"/>
      <c r="F209" s="992"/>
      <c r="G209" s="656">
        <f>G207</f>
        <v>581488600</v>
      </c>
      <c r="H209" s="1093"/>
      <c r="I209" s="993"/>
      <c r="J209" s="1020"/>
      <c r="K209" s="994"/>
      <c r="L209" s="995"/>
      <c r="M209" s="1119"/>
      <c r="N209" s="996">
        <f>SUM(N207:N208)</f>
        <v>0</v>
      </c>
      <c r="O209" s="1029">
        <f t="shared" ref="O209:V209" si="41">SUM(O207:O208)</f>
        <v>534710000</v>
      </c>
      <c r="P209" s="1029">
        <f t="shared" si="41"/>
        <v>534710000</v>
      </c>
      <c r="Q209" s="1029">
        <f t="shared" si="41"/>
        <v>0</v>
      </c>
      <c r="R209" s="1029">
        <f t="shared" si="41"/>
        <v>0</v>
      </c>
      <c r="S209" s="1029">
        <f t="shared" si="41"/>
        <v>0</v>
      </c>
      <c r="T209" s="1029">
        <f t="shared" si="41"/>
        <v>0</v>
      </c>
      <c r="U209" s="1029">
        <f t="shared" si="41"/>
        <v>0</v>
      </c>
      <c r="V209" s="1029">
        <f t="shared" si="41"/>
        <v>534710000</v>
      </c>
      <c r="W209" s="882"/>
      <c r="X209" s="1264"/>
      <c r="Y209" s="997"/>
      <c r="Z209" s="1029">
        <f>SUM(Z207:Z208)</f>
        <v>534710000</v>
      </c>
      <c r="AA209" s="1265"/>
      <c r="AB209" s="1002">
        <f>+G209-P209</f>
        <v>46778600</v>
      </c>
      <c r="AC209" s="882"/>
      <c r="AD209" s="998"/>
      <c r="AE209" s="1446"/>
      <c r="AF209" s="772"/>
      <c r="AG209" s="772"/>
      <c r="AH209" s="772"/>
      <c r="AI209" s="772"/>
      <c r="AJ209" s="771"/>
      <c r="AK209" s="1447"/>
      <c r="AL209" s="882"/>
      <c r="AM209" s="999"/>
      <c r="AN209" s="999"/>
      <c r="AO209" s="999"/>
      <c r="AP209" s="999"/>
      <c r="AQ209" s="999"/>
      <c r="AR209" s="999"/>
      <c r="AS209" s="999"/>
      <c r="AT209" s="999"/>
      <c r="AU209" s="999"/>
      <c r="AV209" s="999"/>
      <c r="AW209" s="999"/>
      <c r="AX209" s="999"/>
      <c r="AY209" s="999"/>
      <c r="AZ209" s="999"/>
      <c r="BA209" s="999"/>
      <c r="BB209" s="999"/>
      <c r="BH209" s="2006"/>
      <c r="BI209" s="2006"/>
      <c r="BM209" s="2006"/>
      <c r="BN209" s="2006"/>
    </row>
    <row r="210" spans="1:66">
      <c r="A210" s="22"/>
      <c r="B210" s="2720"/>
      <c r="C210" s="301"/>
      <c r="D210" s="302"/>
      <c r="E210" s="169"/>
      <c r="F210" s="169"/>
      <c r="G210" s="26"/>
      <c r="H210" s="380"/>
      <c r="I210" s="319"/>
      <c r="J210" s="303"/>
      <c r="K210" s="293"/>
      <c r="L210" s="294"/>
      <c r="M210" s="331"/>
      <c r="N210" s="184"/>
      <c r="O210" s="229"/>
      <c r="P210" s="295"/>
      <c r="Q210" s="296"/>
      <c r="R210" s="296"/>
      <c r="S210" s="296"/>
      <c r="T210" s="296"/>
      <c r="U210" s="296"/>
      <c r="V210" s="144"/>
      <c r="W210" s="297"/>
      <c r="X210" s="424"/>
      <c r="Y210" s="298"/>
      <c r="Z210" s="295"/>
      <c r="AA210" s="1254"/>
      <c r="AB210" s="46"/>
      <c r="AC210" s="46"/>
      <c r="AD210" s="392"/>
      <c r="AE210" s="1382"/>
      <c r="AF210" s="38"/>
      <c r="AG210" s="38"/>
      <c r="AH210" s="38"/>
      <c r="AI210" s="38"/>
      <c r="AJ210" s="38"/>
      <c r="AK210" s="383"/>
      <c r="AL210" s="46"/>
      <c r="AM210" s="299"/>
      <c r="AN210" s="299"/>
      <c r="AO210" s="299"/>
      <c r="AP210" s="299"/>
      <c r="AQ210" s="299"/>
      <c r="AR210" s="299"/>
      <c r="AS210" s="299"/>
      <c r="AT210" s="299"/>
      <c r="AU210" s="299"/>
      <c r="AV210" s="299"/>
      <c r="AW210" s="299"/>
      <c r="AX210" s="299"/>
      <c r="AY210" s="299"/>
      <c r="AZ210" s="299"/>
      <c r="BA210" s="299"/>
      <c r="BB210" s="299"/>
    </row>
    <row r="211" spans="1:66" ht="47.25">
      <c r="A211" s="22"/>
      <c r="B211" s="564"/>
      <c r="C211" s="301" t="s">
        <v>2313</v>
      </c>
      <c r="D211" s="302" t="s">
        <v>2719</v>
      </c>
      <c r="E211" s="169"/>
      <c r="F211" s="169">
        <v>424050000</v>
      </c>
      <c r="G211" s="26">
        <f>E211+F211</f>
        <v>424050000</v>
      </c>
      <c r="H211" s="559" t="s">
        <v>2725</v>
      </c>
      <c r="I211" s="319">
        <v>42657</v>
      </c>
      <c r="J211" s="126" t="s">
        <v>2981</v>
      </c>
      <c r="K211" s="714" t="s">
        <v>3006</v>
      </c>
      <c r="L211" s="1651" t="s">
        <v>1749</v>
      </c>
      <c r="M211" s="331" t="s">
        <v>1000</v>
      </c>
      <c r="N211" s="229">
        <v>298595000</v>
      </c>
      <c r="O211" s="229"/>
      <c r="P211" s="139">
        <f>N211+O211</f>
        <v>298595000</v>
      </c>
      <c r="Q211" s="296"/>
      <c r="R211" s="296"/>
      <c r="S211" s="296"/>
      <c r="T211" s="296"/>
      <c r="U211" s="296"/>
      <c r="V211" s="144">
        <f>P211</f>
        <v>298595000</v>
      </c>
      <c r="W211" s="297" t="s">
        <v>3517</v>
      </c>
      <c r="X211" s="424">
        <v>42728</v>
      </c>
      <c r="Y211" s="298">
        <v>42731</v>
      </c>
      <c r="Z211" s="295">
        <f>P211</f>
        <v>298595000</v>
      </c>
      <c r="AA211" s="2641">
        <v>1</v>
      </c>
      <c r="AB211" s="59">
        <f>+G211-P211</f>
        <v>125455000</v>
      </c>
      <c r="AC211" s="46"/>
      <c r="AD211" s="392"/>
      <c r="AE211" s="1382"/>
      <c r="AF211" s="38"/>
      <c r="AG211" s="38"/>
      <c r="AH211" s="38"/>
      <c r="AI211" s="38"/>
      <c r="AJ211" s="38"/>
      <c r="AK211" s="383"/>
      <c r="AL211" s="46"/>
      <c r="AM211" s="299"/>
      <c r="AN211" s="299"/>
      <c r="AO211" s="299"/>
      <c r="AP211" s="299"/>
      <c r="AQ211" s="299"/>
      <c r="AR211" s="299"/>
      <c r="AS211" s="299"/>
      <c r="AT211" s="299"/>
      <c r="AU211" s="299"/>
      <c r="AV211" s="299"/>
      <c r="AW211" s="299"/>
      <c r="AX211" s="299"/>
      <c r="AY211" s="299"/>
      <c r="AZ211" s="299"/>
      <c r="BA211" s="299"/>
      <c r="BB211" s="299"/>
    </row>
    <row r="212" spans="1:66" ht="47.25">
      <c r="A212" s="22"/>
      <c r="B212" s="564"/>
      <c r="C212" s="301"/>
      <c r="D212" s="302"/>
      <c r="E212" s="169"/>
      <c r="F212" s="169"/>
      <c r="G212" s="26"/>
      <c r="H212" s="559" t="s">
        <v>3029</v>
      </c>
      <c r="I212" s="319">
        <v>42689</v>
      </c>
      <c r="J212" s="126" t="s">
        <v>2980</v>
      </c>
      <c r="K212" s="714" t="s">
        <v>3194</v>
      </c>
      <c r="L212" s="613" t="s">
        <v>252</v>
      </c>
      <c r="M212" s="1529" t="s">
        <v>2982</v>
      </c>
      <c r="N212" s="184"/>
      <c r="O212" s="229">
        <v>115192000</v>
      </c>
      <c r="P212" s="139">
        <f>N212+O212</f>
        <v>115192000</v>
      </c>
      <c r="Q212" s="296"/>
      <c r="R212" s="296"/>
      <c r="S212" s="296"/>
      <c r="T212" s="296"/>
      <c r="U212" s="296"/>
      <c r="V212" s="144">
        <f>P212</f>
        <v>115192000</v>
      </c>
      <c r="W212" s="297"/>
      <c r="X212" s="424"/>
      <c r="Y212" s="298"/>
      <c r="Z212" s="295"/>
      <c r="AA212" s="1254"/>
      <c r="AB212" s="59">
        <f>+G212-P212</f>
        <v>-115192000</v>
      </c>
      <c r="AC212" s="46"/>
      <c r="AD212" s="392"/>
      <c r="AE212" s="1382"/>
      <c r="AF212" s="38"/>
      <c r="AG212" s="38"/>
      <c r="AH212" s="38"/>
      <c r="AI212" s="38"/>
      <c r="AJ212" s="38"/>
      <c r="AK212" s="383"/>
      <c r="AL212" s="46"/>
      <c r="AM212" s="299"/>
      <c r="AN212" s="299"/>
      <c r="AO212" s="299"/>
      <c r="AP212" s="299"/>
      <c r="AQ212" s="299"/>
      <c r="AR212" s="299"/>
      <c r="AS212" s="299"/>
      <c r="AT212" s="299"/>
      <c r="AU212" s="299"/>
      <c r="AV212" s="299"/>
      <c r="AW212" s="299"/>
      <c r="AX212" s="299"/>
      <c r="AY212" s="299"/>
      <c r="AZ212" s="299"/>
      <c r="BA212" s="299"/>
      <c r="BB212" s="299"/>
    </row>
    <row r="213" spans="1:66" ht="31.5">
      <c r="A213" s="22"/>
      <c r="B213" s="564"/>
      <c r="C213" s="301"/>
      <c r="D213" s="302"/>
      <c r="E213" s="169"/>
      <c r="F213" s="169"/>
      <c r="G213" s="26"/>
      <c r="H213" s="380"/>
      <c r="I213" s="319"/>
      <c r="J213" s="126" t="s">
        <v>3195</v>
      </c>
      <c r="K213" s="714" t="s">
        <v>3493</v>
      </c>
      <c r="L213" s="613" t="s">
        <v>786</v>
      </c>
      <c r="M213" s="1673" t="s">
        <v>3196</v>
      </c>
      <c r="N213" s="184">
        <v>9224160</v>
      </c>
      <c r="O213" s="183"/>
      <c r="P213" s="139">
        <f>N213+O213</f>
        <v>9224160</v>
      </c>
      <c r="Q213" s="296"/>
      <c r="R213" s="296"/>
      <c r="S213" s="296"/>
      <c r="T213" s="296"/>
      <c r="U213" s="296"/>
      <c r="V213" s="144">
        <f>P213</f>
        <v>9224160</v>
      </c>
      <c r="W213" s="297" t="s">
        <v>3512</v>
      </c>
      <c r="X213" s="424">
        <v>42725</v>
      </c>
      <c r="Y213" s="298">
        <v>42727</v>
      </c>
      <c r="Z213" s="1262">
        <f>V213</f>
        <v>9224160</v>
      </c>
      <c r="AA213" s="2641">
        <v>1</v>
      </c>
      <c r="AB213" s="59">
        <f>+G213-P213</f>
        <v>-9224160</v>
      </c>
      <c r="AC213" s="46"/>
      <c r="AD213" s="392"/>
      <c r="AE213" s="1382"/>
      <c r="AF213" s="38"/>
      <c r="AG213" s="38"/>
      <c r="AH213" s="38"/>
      <c r="AI213" s="38"/>
      <c r="AJ213" s="38"/>
      <c r="AK213" s="383"/>
      <c r="AL213" s="46"/>
      <c r="AM213" s="299"/>
      <c r="AN213" s="299"/>
      <c r="AO213" s="299"/>
      <c r="AP213" s="299"/>
      <c r="AQ213" s="299"/>
      <c r="AR213" s="299"/>
      <c r="AS213" s="299"/>
      <c r="AT213" s="299"/>
      <c r="AU213" s="299"/>
      <c r="AV213" s="299"/>
      <c r="AW213" s="299"/>
      <c r="AX213" s="299"/>
      <c r="AY213" s="299"/>
      <c r="AZ213" s="299"/>
      <c r="BA213" s="299"/>
      <c r="BB213" s="299"/>
    </row>
    <row r="214" spans="1:66">
      <c r="A214" s="22"/>
      <c r="B214" s="564"/>
      <c r="C214" s="301"/>
      <c r="D214" s="302"/>
      <c r="E214" s="169"/>
      <c r="F214" s="169"/>
      <c r="G214" s="26"/>
      <c r="H214" s="380"/>
      <c r="I214" s="319"/>
      <c r="J214" s="303"/>
      <c r="K214" s="293"/>
      <c r="L214" s="294"/>
      <c r="M214" s="1673"/>
      <c r="N214" s="184"/>
      <c r="O214" s="183"/>
      <c r="P214" s="1262"/>
      <c r="Q214" s="296"/>
      <c r="R214" s="296"/>
      <c r="S214" s="296"/>
      <c r="T214" s="296"/>
      <c r="U214" s="296"/>
      <c r="V214" s="1262"/>
      <c r="W214" s="297"/>
      <c r="X214" s="424"/>
      <c r="Y214" s="298"/>
      <c r="Z214" s="1262"/>
      <c r="AA214" s="1254"/>
      <c r="AB214" s="59"/>
      <c r="AC214" s="46"/>
      <c r="AD214" s="392"/>
      <c r="AE214" s="1382"/>
      <c r="AF214" s="38"/>
      <c r="AG214" s="38"/>
      <c r="AH214" s="38"/>
      <c r="AI214" s="38"/>
      <c r="AJ214" s="38"/>
      <c r="AK214" s="383"/>
      <c r="AL214" s="46"/>
      <c r="AM214" s="299"/>
      <c r="AN214" s="299"/>
      <c r="AO214" s="299"/>
      <c r="AP214" s="299"/>
      <c r="AQ214" s="299"/>
      <c r="AR214" s="299"/>
      <c r="AS214" s="299"/>
      <c r="AT214" s="299"/>
      <c r="AU214" s="299"/>
      <c r="AV214" s="299"/>
      <c r="AW214" s="299"/>
      <c r="AX214" s="299"/>
      <c r="AY214" s="299"/>
      <c r="AZ214" s="299"/>
      <c r="BA214" s="299"/>
      <c r="BB214" s="299"/>
    </row>
    <row r="215" spans="1:66" s="769" customFormat="1">
      <c r="A215" s="652"/>
      <c r="B215" s="749"/>
      <c r="C215" s="1024" t="str">
        <f>C211</f>
        <v>PRK.2016.WKT-4.3.30</v>
      </c>
      <c r="D215" s="1025"/>
      <c r="E215" s="655"/>
      <c r="F215" s="655"/>
      <c r="G215" s="656">
        <f>G211</f>
        <v>424050000</v>
      </c>
      <c r="H215" s="1046"/>
      <c r="I215" s="1047"/>
      <c r="J215" s="1026"/>
      <c r="K215" s="1027"/>
      <c r="L215" s="781"/>
      <c r="M215" s="1028"/>
      <c r="N215" s="1029">
        <f>SUM(N211:N214)</f>
        <v>307819160</v>
      </c>
      <c r="O215" s="1029">
        <f t="shared" ref="O215:V215" si="42">SUM(O211:O214)</f>
        <v>115192000</v>
      </c>
      <c r="P215" s="1029">
        <f t="shared" si="42"/>
        <v>423011160</v>
      </c>
      <c r="Q215" s="1029">
        <f t="shared" si="42"/>
        <v>0</v>
      </c>
      <c r="R215" s="1029">
        <f t="shared" si="42"/>
        <v>0</v>
      </c>
      <c r="S215" s="1029">
        <f t="shared" si="42"/>
        <v>0</v>
      </c>
      <c r="T215" s="1029">
        <f t="shared" si="42"/>
        <v>0</v>
      </c>
      <c r="U215" s="1029">
        <f t="shared" si="42"/>
        <v>0</v>
      </c>
      <c r="V215" s="1029">
        <f t="shared" si="42"/>
        <v>423011160</v>
      </c>
      <c r="W215" s="786"/>
      <c r="X215" s="785"/>
      <c r="Y215" s="1030"/>
      <c r="Z215" s="1029">
        <f>SUM(Z211:Z214)</f>
        <v>307819160</v>
      </c>
      <c r="AA215" s="1266"/>
      <c r="AB215" s="1002">
        <f>+G215-P215</f>
        <v>1038840</v>
      </c>
      <c r="AC215" s="786"/>
      <c r="AD215" s="1537"/>
      <c r="AE215" s="1448"/>
      <c r="AF215" s="755"/>
      <c r="AG215" s="755"/>
      <c r="AH215" s="755"/>
      <c r="AI215" s="755"/>
      <c r="AJ215" s="755"/>
      <c r="AK215" s="1449"/>
      <c r="AL215" s="786"/>
      <c r="AM215" s="1031"/>
      <c r="AN215" s="1031"/>
      <c r="AO215" s="1031"/>
      <c r="AP215" s="1031"/>
      <c r="AQ215" s="1031"/>
      <c r="AR215" s="1031"/>
      <c r="AS215" s="1031"/>
      <c r="AT215" s="1031"/>
      <c r="AU215" s="1031"/>
      <c r="AV215" s="1031"/>
      <c r="AW215" s="1031"/>
      <c r="AX215" s="1031"/>
      <c r="AY215" s="1031"/>
      <c r="AZ215" s="1031"/>
      <c r="BA215" s="1031"/>
      <c r="BB215" s="1031"/>
      <c r="BH215" s="2007"/>
      <c r="BI215" s="2007"/>
      <c r="BM215" s="2007"/>
      <c r="BN215" s="2007"/>
    </row>
    <row r="216" spans="1:66" ht="16.5" thickBot="1">
      <c r="A216" s="22"/>
      <c r="B216" s="292"/>
      <c r="C216" s="301"/>
      <c r="D216" s="302"/>
      <c r="E216" s="169"/>
      <c r="F216" s="169"/>
      <c r="G216" s="26"/>
      <c r="H216" s="169"/>
      <c r="I216" s="170"/>
      <c r="J216" s="303"/>
      <c r="K216" s="293"/>
      <c r="L216" s="294"/>
      <c r="M216" s="294"/>
      <c r="N216" s="184"/>
      <c r="O216" s="328"/>
      <c r="P216" s="295"/>
      <c r="Q216" s="296"/>
      <c r="R216" s="296"/>
      <c r="S216" s="296"/>
      <c r="T216" s="296"/>
      <c r="U216" s="296"/>
      <c r="V216" s="144"/>
      <c r="W216" s="297"/>
      <c r="X216" s="424"/>
      <c r="Y216" s="298"/>
      <c r="Z216" s="295"/>
      <c r="AA216" s="1254"/>
      <c r="AB216" s="46"/>
      <c r="AC216" s="46"/>
      <c r="AD216" s="392"/>
      <c r="AE216" s="1382"/>
      <c r="AF216" s="38"/>
      <c r="AG216" s="38"/>
      <c r="AH216" s="38"/>
      <c r="AI216" s="38"/>
      <c r="AJ216" s="38"/>
      <c r="AK216" s="383"/>
      <c r="AL216" s="46"/>
      <c r="AM216" s="299"/>
      <c r="AN216" s="299"/>
      <c r="AO216" s="299"/>
      <c r="AP216" s="299"/>
      <c r="AQ216" s="299"/>
      <c r="AR216" s="299"/>
      <c r="AS216" s="299"/>
      <c r="AT216" s="299"/>
      <c r="AU216" s="299"/>
      <c r="AV216" s="299"/>
      <c r="AW216" s="299"/>
      <c r="AX216" s="299"/>
      <c r="AY216" s="299"/>
      <c r="AZ216" s="299"/>
      <c r="BA216" s="299"/>
      <c r="BB216" s="299"/>
    </row>
    <row r="217" spans="1:66" s="55" customFormat="1" ht="15.75" customHeight="1" thickBot="1">
      <c r="A217" s="2703" t="s">
        <v>2983</v>
      </c>
      <c r="B217" s="2704"/>
      <c r="C217" s="2704"/>
      <c r="D217" s="2705"/>
      <c r="E217" s="65">
        <f>+E203+E207+E211</f>
        <v>0</v>
      </c>
      <c r="F217" s="65">
        <f>+F203+F207+F211</f>
        <v>1265538600</v>
      </c>
      <c r="G217" s="65">
        <f>+G203+G207+G211</f>
        <v>1265538600</v>
      </c>
      <c r="H217" s="65"/>
      <c r="I217" s="65"/>
      <c r="J217" s="65"/>
      <c r="K217" s="66"/>
      <c r="L217" s="94"/>
      <c r="M217" s="67"/>
      <c r="N217" s="65">
        <f>+N205+N209+N215</f>
        <v>334769160</v>
      </c>
      <c r="O217" s="65">
        <f t="shared" ref="O217:V217" si="43">+O205+O209+O215</f>
        <v>879632600</v>
      </c>
      <c r="P217" s="65">
        <f t="shared" si="43"/>
        <v>1214401760</v>
      </c>
      <c r="Q217" s="65">
        <f t="shared" si="43"/>
        <v>0</v>
      </c>
      <c r="R217" s="65">
        <f t="shared" si="43"/>
        <v>0</v>
      </c>
      <c r="S217" s="65">
        <f t="shared" si="43"/>
        <v>0</v>
      </c>
      <c r="T217" s="65">
        <f t="shared" si="43"/>
        <v>0</v>
      </c>
      <c r="U217" s="65">
        <f t="shared" si="43"/>
        <v>0</v>
      </c>
      <c r="V217" s="65">
        <f t="shared" si="43"/>
        <v>1214401760</v>
      </c>
      <c r="W217" s="1257"/>
      <c r="X217" s="1258"/>
      <c r="Y217" s="1258"/>
      <c r="Z217" s="65">
        <f>+Z205+Z209+Z215</f>
        <v>1099209760</v>
      </c>
      <c r="AA217" s="65"/>
      <c r="AB217" s="65">
        <f>+G217-P217</f>
        <v>51136840</v>
      </c>
      <c r="AC217" s="65"/>
      <c r="AD217" s="76"/>
      <c r="AE217" s="1382"/>
      <c r="AF217" s="38"/>
      <c r="AG217" s="38"/>
      <c r="AH217" s="38"/>
      <c r="AI217" s="38"/>
      <c r="AJ217" s="38"/>
      <c r="AK217" s="383"/>
      <c r="AL217" s="65"/>
      <c r="AM217" s="385"/>
      <c r="AN217" s="100"/>
      <c r="AO217" s="100"/>
      <c r="AP217" s="74"/>
      <c r="AQ217" s="74"/>
      <c r="AR217" s="74"/>
      <c r="AS217" s="74"/>
      <c r="AT217" s="64"/>
      <c r="AU217" s="101" t="e">
        <f>SUM(#REF!)</f>
        <v>#REF!</v>
      </c>
      <c r="AV217" s="101">
        <f t="shared" ref="AV217:BB217" si="44">SUM(AV216:AV216)</f>
        <v>0</v>
      </c>
      <c r="AW217" s="101">
        <f t="shared" si="44"/>
        <v>0</v>
      </c>
      <c r="AX217" s="101">
        <f t="shared" si="44"/>
        <v>0</v>
      </c>
      <c r="AY217" s="101">
        <f t="shared" si="44"/>
        <v>0</v>
      </c>
      <c r="AZ217" s="101">
        <f t="shared" si="44"/>
        <v>0</v>
      </c>
      <c r="BA217" s="101">
        <f t="shared" si="44"/>
        <v>0</v>
      </c>
      <c r="BB217" s="102">
        <f t="shared" si="44"/>
        <v>0</v>
      </c>
      <c r="BD217" s="56"/>
      <c r="BH217" s="2003"/>
      <c r="BI217" s="2003"/>
      <c r="BM217" s="2003"/>
      <c r="BN217" s="2003"/>
    </row>
    <row r="218" spans="1:66" ht="15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3"/>
      <c r="K218" s="5"/>
      <c r="L218" s="5"/>
      <c r="M218" s="5"/>
      <c r="N218" s="96"/>
      <c r="O218" s="96"/>
      <c r="P218" s="97"/>
      <c r="Q218" s="9"/>
      <c r="R218" s="9"/>
      <c r="S218" s="9"/>
      <c r="T218" s="9"/>
      <c r="U218" s="9"/>
      <c r="V218" s="1635"/>
      <c r="W218" s="1629"/>
      <c r="X218" s="1629"/>
      <c r="Y218" s="1629"/>
      <c r="Z218" s="1256"/>
      <c r="AA218" s="1256"/>
      <c r="AB218" s="391"/>
      <c r="AC218" s="391"/>
      <c r="AD218" s="391"/>
      <c r="AE218" s="1382"/>
      <c r="AF218" s="38"/>
      <c r="AG218" s="38"/>
      <c r="AH218" s="38"/>
      <c r="AI218" s="38"/>
      <c r="AJ218" s="38"/>
      <c r="AK218" s="383"/>
      <c r="AL218" s="391"/>
      <c r="AM218" s="382"/>
      <c r="AN218" s="98"/>
      <c r="AO218" s="98"/>
      <c r="AP218" s="98"/>
      <c r="AQ218" s="98"/>
      <c r="AR218" s="98"/>
      <c r="AS218" s="98"/>
      <c r="AT218" s="99"/>
      <c r="AU218" s="78"/>
      <c r="AV218" s="78"/>
      <c r="AW218" s="78"/>
      <c r="AX218" s="78"/>
      <c r="AY218" s="78"/>
      <c r="AZ218" s="78"/>
      <c r="BA218" s="78"/>
      <c r="BB218" s="78"/>
    </row>
    <row r="219" spans="1:66" s="1780" customFormat="1" ht="47.25">
      <c r="A219" s="1945">
        <v>11</v>
      </c>
      <c r="B219" s="1946" t="s">
        <v>3077</v>
      </c>
      <c r="C219" s="1947" t="s">
        <v>3079</v>
      </c>
      <c r="D219" s="1948" t="s">
        <v>3080</v>
      </c>
      <c r="E219" s="1949">
        <v>0</v>
      </c>
      <c r="F219" s="1949">
        <v>145297187</v>
      </c>
      <c r="G219" s="1949">
        <f>E219+F219</f>
        <v>145297187</v>
      </c>
      <c r="H219" s="1983" t="s">
        <v>3270</v>
      </c>
      <c r="I219" s="1951">
        <v>42699</v>
      </c>
      <c r="J219" s="1952" t="s">
        <v>3230</v>
      </c>
      <c r="K219" s="1966" t="s">
        <v>3527</v>
      </c>
      <c r="L219" s="1978" t="s">
        <v>3526</v>
      </c>
      <c r="M219" s="1979" t="s">
        <v>3231</v>
      </c>
      <c r="N219" s="1956"/>
      <c r="O219" s="1957">
        <v>143408100</v>
      </c>
      <c r="P219" s="1958">
        <f>N219+O219</f>
        <v>143408100</v>
      </c>
      <c r="Q219" s="1959"/>
      <c r="R219" s="1959"/>
      <c r="S219" s="1959"/>
      <c r="T219" s="1959"/>
      <c r="U219" s="1959"/>
      <c r="V219" s="1960">
        <f>P219</f>
        <v>143408100</v>
      </c>
      <c r="W219" s="1901"/>
      <c r="X219" s="1961"/>
      <c r="Y219" s="1962"/>
      <c r="Z219" s="1960"/>
      <c r="AA219" s="1944"/>
      <c r="AB219" s="1901">
        <f>+G219-P219</f>
        <v>1889087</v>
      </c>
      <c r="AC219" s="1901"/>
      <c r="AD219" s="1904"/>
      <c r="AE219" s="1903">
        <v>0.1</v>
      </c>
      <c r="AF219" s="1904"/>
      <c r="AG219" s="1904"/>
      <c r="AH219" s="1904"/>
      <c r="AI219" s="1904"/>
      <c r="AJ219" s="1971">
        <f>V219</f>
        <v>143408100</v>
      </c>
      <c r="AK219" s="1906"/>
      <c r="AL219" s="1901"/>
      <c r="AM219" s="1906"/>
      <c r="AN219" s="1963"/>
      <c r="AO219" s="1963"/>
      <c r="AP219" s="1963"/>
      <c r="AQ219" s="1963"/>
      <c r="AR219" s="1963"/>
      <c r="AS219" s="1963"/>
      <c r="AT219" s="1964"/>
      <c r="AU219" s="1963"/>
      <c r="AV219" s="1963"/>
      <c r="AW219" s="1963"/>
      <c r="AX219" s="1963"/>
      <c r="AY219" s="1963"/>
      <c r="AZ219" s="1963"/>
      <c r="BA219" s="1963"/>
      <c r="BB219" s="1963"/>
      <c r="BH219" s="2004"/>
      <c r="BI219" s="2004"/>
      <c r="BM219" s="2004"/>
      <c r="BN219" s="2004"/>
    </row>
    <row r="220" spans="1:66" s="1780" customFormat="1">
      <c r="A220" s="1945"/>
      <c r="B220" s="1946" t="s">
        <v>3078</v>
      </c>
      <c r="C220" s="1946"/>
      <c r="D220" s="1948"/>
      <c r="E220" s="1965"/>
      <c r="F220" s="1965"/>
      <c r="G220" s="1949"/>
      <c r="H220" s="1950"/>
      <c r="I220" s="1951"/>
      <c r="J220" s="1952"/>
      <c r="K220" s="1966"/>
      <c r="L220" s="1973"/>
      <c r="M220" s="1968"/>
      <c r="N220" s="1896"/>
      <c r="O220" s="1941"/>
      <c r="P220" s="1958">
        <f>N220+O220</f>
        <v>0</v>
      </c>
      <c r="Q220" s="1969"/>
      <c r="R220" s="1969"/>
      <c r="S220" s="1969"/>
      <c r="T220" s="1969"/>
      <c r="U220" s="1969"/>
      <c r="V220" s="1960"/>
      <c r="W220" s="1919"/>
      <c r="X220" s="1920"/>
      <c r="Y220" s="1970"/>
      <c r="Z220" s="1917"/>
      <c r="AA220" s="1921"/>
      <c r="AB220" s="1901">
        <f>+G220-P220</f>
        <v>0</v>
      </c>
      <c r="AC220" s="1901"/>
      <c r="AD220" s="1904"/>
      <c r="AE220" s="1903"/>
      <c r="AF220" s="1904"/>
      <c r="AG220" s="1904"/>
      <c r="AH220" s="1904"/>
      <c r="AI220" s="1904"/>
      <c r="AJ220" s="1904"/>
      <c r="AK220" s="1906"/>
      <c r="AL220" s="1901"/>
      <c r="AM220" s="1972"/>
      <c r="AN220" s="1972"/>
      <c r="AO220" s="1972"/>
      <c r="AP220" s="1972"/>
      <c r="AQ220" s="1972"/>
      <c r="AR220" s="1972"/>
      <c r="AS220" s="1972"/>
      <c r="AT220" s="1972"/>
      <c r="AU220" s="1972"/>
      <c r="AV220" s="1972"/>
      <c r="AW220" s="1972"/>
      <c r="AX220" s="1972"/>
      <c r="AY220" s="1972"/>
      <c r="AZ220" s="1972"/>
      <c r="BA220" s="1972"/>
      <c r="BB220" s="1972"/>
      <c r="BH220" s="2004"/>
      <c r="BI220" s="2004"/>
      <c r="BM220" s="2004"/>
      <c r="BN220" s="2004"/>
    </row>
    <row r="221" spans="1:66" s="1780" customFormat="1">
      <c r="A221" s="1885"/>
      <c r="B221" s="1980">
        <v>42678</v>
      </c>
      <c r="C221" s="1980"/>
      <c r="D221" s="1948"/>
      <c r="E221" s="1965"/>
      <c r="F221" s="1965"/>
      <c r="G221" s="1949">
        <f>E221+F221</f>
        <v>0</v>
      </c>
      <c r="H221" s="1950"/>
      <c r="I221" s="1951"/>
      <c r="J221" s="1981"/>
      <c r="K221" s="1966"/>
      <c r="L221" s="1973"/>
      <c r="M221" s="1982"/>
      <c r="N221" s="1896"/>
      <c r="O221" s="1941"/>
      <c r="P221" s="1958">
        <f>N221+O221</f>
        <v>0</v>
      </c>
      <c r="Q221" s="1969"/>
      <c r="R221" s="1969"/>
      <c r="S221" s="1969"/>
      <c r="T221" s="1969"/>
      <c r="U221" s="1969"/>
      <c r="V221" s="1960"/>
      <c r="W221" s="1919"/>
      <c r="X221" s="1920"/>
      <c r="Y221" s="1970"/>
      <c r="Z221" s="1917"/>
      <c r="AA221" s="1921"/>
      <c r="AB221" s="1901">
        <f>+G221-P221</f>
        <v>0</v>
      </c>
      <c r="AC221" s="1901"/>
      <c r="AD221" s="1904"/>
      <c r="AE221" s="1903"/>
      <c r="AF221" s="1904"/>
      <c r="AG221" s="1904"/>
      <c r="AH221" s="1904"/>
      <c r="AI221" s="1904"/>
      <c r="AJ221" s="1904"/>
      <c r="AK221" s="1906"/>
      <c r="AL221" s="1901"/>
      <c r="AM221" s="1972"/>
      <c r="AN221" s="1972"/>
      <c r="AO221" s="1972"/>
      <c r="AP221" s="1972"/>
      <c r="AQ221" s="1972"/>
      <c r="AR221" s="1972"/>
      <c r="AS221" s="1972"/>
      <c r="AT221" s="1972"/>
      <c r="AU221" s="1972"/>
      <c r="AV221" s="1972"/>
      <c r="AW221" s="1972"/>
      <c r="AX221" s="1972"/>
      <c r="AY221" s="1972"/>
      <c r="AZ221" s="1972"/>
      <c r="BA221" s="1972"/>
      <c r="BB221" s="1972"/>
      <c r="BH221" s="2004"/>
      <c r="BI221" s="2004"/>
      <c r="BM221" s="2004"/>
      <c r="BN221" s="2004"/>
    </row>
    <row r="222" spans="1:66" ht="16.5" thickBot="1">
      <c r="A222" s="22"/>
      <c r="B222" s="292"/>
      <c r="C222" s="301"/>
      <c r="D222" s="302"/>
      <c r="E222" s="169"/>
      <c r="F222" s="169"/>
      <c r="G222" s="26"/>
      <c r="H222" s="169"/>
      <c r="I222" s="170"/>
      <c r="J222" s="303"/>
      <c r="K222" s="293"/>
      <c r="L222" s="294"/>
      <c r="M222" s="294"/>
      <c r="N222" s="184"/>
      <c r="O222" s="328"/>
      <c r="P222" s="295"/>
      <c r="Q222" s="296"/>
      <c r="R222" s="296"/>
      <c r="S222" s="296"/>
      <c r="T222" s="296"/>
      <c r="U222" s="296"/>
      <c r="V222" s="144"/>
      <c r="W222" s="297"/>
      <c r="X222" s="424"/>
      <c r="Y222" s="298"/>
      <c r="Z222" s="295"/>
      <c r="AA222" s="1254"/>
      <c r="AB222" s="46"/>
      <c r="AC222" s="46"/>
      <c r="AD222" s="392"/>
      <c r="AE222" s="1382"/>
      <c r="AF222" s="38"/>
      <c r="AG222" s="38"/>
      <c r="AH222" s="38"/>
      <c r="AI222" s="38"/>
      <c r="AJ222" s="38"/>
      <c r="AK222" s="383"/>
      <c r="AL222" s="46"/>
      <c r="AM222" s="299"/>
      <c r="AN222" s="299"/>
      <c r="AO222" s="299"/>
      <c r="AP222" s="299"/>
      <c r="AQ222" s="299"/>
      <c r="AR222" s="299"/>
      <c r="AS222" s="299"/>
      <c r="AT222" s="299"/>
      <c r="AU222" s="299"/>
      <c r="AV222" s="299"/>
      <c r="AW222" s="299"/>
      <c r="AX222" s="299"/>
      <c r="AY222" s="299"/>
      <c r="AZ222" s="299"/>
      <c r="BA222" s="299"/>
      <c r="BB222" s="299"/>
    </row>
    <row r="223" spans="1:66" s="55" customFormat="1" ht="15.75" customHeight="1" thickBot="1">
      <c r="A223" s="2703" t="str">
        <f>B219</f>
        <v>009.DIST/AI-R/BRU/2016/M</v>
      </c>
      <c r="B223" s="2704"/>
      <c r="C223" s="2704"/>
      <c r="D223" s="2705"/>
      <c r="E223" s="65">
        <f>E219</f>
        <v>0</v>
      </c>
      <c r="F223" s="65">
        <f>F219</f>
        <v>145297187</v>
      </c>
      <c r="G223" s="65">
        <f>G219</f>
        <v>145297187</v>
      </c>
      <c r="H223" s="65"/>
      <c r="I223" s="65"/>
      <c r="J223" s="65"/>
      <c r="K223" s="66"/>
      <c r="L223" s="94"/>
      <c r="M223" s="67"/>
      <c r="N223" s="68">
        <f t="shared" ref="N223:V223" si="45">SUM(N219:N221)</f>
        <v>0</v>
      </c>
      <c r="O223" s="68">
        <f t="shared" si="45"/>
        <v>143408100</v>
      </c>
      <c r="P223" s="68">
        <f t="shared" si="45"/>
        <v>143408100</v>
      </c>
      <c r="Q223" s="68">
        <f t="shared" si="45"/>
        <v>0</v>
      </c>
      <c r="R223" s="68">
        <f t="shared" si="45"/>
        <v>0</v>
      </c>
      <c r="S223" s="68">
        <f t="shared" si="45"/>
        <v>0</v>
      </c>
      <c r="T223" s="68">
        <f t="shared" si="45"/>
        <v>0</v>
      </c>
      <c r="U223" s="68">
        <f t="shared" si="45"/>
        <v>0</v>
      </c>
      <c r="V223" s="68">
        <f t="shared" si="45"/>
        <v>143408100</v>
      </c>
      <c r="W223" s="1257"/>
      <c r="X223" s="1258"/>
      <c r="Y223" s="1258"/>
      <c r="Z223" s="68">
        <f>SUM(Z219:Z222)</f>
        <v>0</v>
      </c>
      <c r="AA223" s="65"/>
      <c r="AB223" s="65">
        <f>+G223-P223</f>
        <v>1889087</v>
      </c>
      <c r="AC223" s="65"/>
      <c r="AD223" s="76"/>
      <c r="AE223" s="1382"/>
      <c r="AF223" s="38"/>
      <c r="AG223" s="38"/>
      <c r="AH223" s="38"/>
      <c r="AI223" s="38"/>
      <c r="AJ223" s="38"/>
      <c r="AK223" s="383"/>
      <c r="AL223" s="65"/>
      <c r="AM223" s="385"/>
      <c r="AN223" s="100"/>
      <c r="AO223" s="100"/>
      <c r="AP223" s="74"/>
      <c r="AQ223" s="74"/>
      <c r="AR223" s="74"/>
      <c r="AS223" s="74"/>
      <c r="AT223" s="64"/>
      <c r="AU223" s="101" t="e">
        <f>SUM(#REF!)</f>
        <v>#REF!</v>
      </c>
      <c r="AV223" s="101">
        <f t="shared" ref="AV223:BB223" si="46">SUM(AV222:AV222)</f>
        <v>0</v>
      </c>
      <c r="AW223" s="101">
        <f t="shared" si="46"/>
        <v>0</v>
      </c>
      <c r="AX223" s="101">
        <f t="shared" si="46"/>
        <v>0</v>
      </c>
      <c r="AY223" s="101">
        <f t="shared" si="46"/>
        <v>0</v>
      </c>
      <c r="AZ223" s="101">
        <f t="shared" si="46"/>
        <v>0</v>
      </c>
      <c r="BA223" s="101">
        <f t="shared" si="46"/>
        <v>0</v>
      </c>
      <c r="BB223" s="102">
        <f t="shared" si="46"/>
        <v>0</v>
      </c>
      <c r="BD223" s="56"/>
      <c r="BH223" s="2003"/>
      <c r="BI223" s="2003"/>
      <c r="BM223" s="2003"/>
      <c r="BN223" s="2003"/>
    </row>
    <row r="224" spans="1:66" ht="15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3"/>
      <c r="K224" s="5"/>
      <c r="L224" s="5"/>
      <c r="M224" s="5"/>
      <c r="N224" s="96"/>
      <c r="O224" s="96"/>
      <c r="P224" s="97"/>
      <c r="Q224" s="9"/>
      <c r="R224" s="9"/>
      <c r="S224" s="9"/>
      <c r="T224" s="9"/>
      <c r="U224" s="9"/>
      <c r="V224" s="1655"/>
      <c r="W224" s="1652"/>
      <c r="X224" s="1652"/>
      <c r="Y224" s="1652"/>
      <c r="Z224" s="1256"/>
      <c r="AA224" s="1256"/>
      <c r="AB224" s="391"/>
      <c r="AC224" s="391"/>
      <c r="AD224" s="391"/>
      <c r="AE224" s="1382"/>
      <c r="AF224" s="38"/>
      <c r="AG224" s="38"/>
      <c r="AH224" s="38"/>
      <c r="AI224" s="38"/>
      <c r="AJ224" s="38"/>
      <c r="AK224" s="383"/>
      <c r="AL224" s="391"/>
      <c r="AM224" s="382"/>
      <c r="AN224" s="98"/>
      <c r="AO224" s="98"/>
      <c r="AP224" s="98"/>
      <c r="AQ224" s="98"/>
      <c r="AR224" s="98"/>
      <c r="AS224" s="98"/>
      <c r="AT224" s="99"/>
      <c r="AU224" s="78"/>
      <c r="AV224" s="78"/>
      <c r="AW224" s="78"/>
      <c r="AX224" s="78"/>
      <c r="AY224" s="78"/>
      <c r="AZ224" s="78"/>
      <c r="BA224" s="78"/>
      <c r="BB224" s="78"/>
    </row>
    <row r="225" spans="1:66" s="1780" customFormat="1" ht="47.25">
      <c r="A225" s="1945">
        <v>12</v>
      </c>
      <c r="B225" s="1946" t="s">
        <v>3119</v>
      </c>
      <c r="C225" s="1947" t="s">
        <v>3121</v>
      </c>
      <c r="D225" s="1948" t="s">
        <v>3122</v>
      </c>
      <c r="E225" s="1949">
        <v>299200000</v>
      </c>
      <c r="F225" s="1949">
        <v>0</v>
      </c>
      <c r="G225" s="1949">
        <f>E225+F225</f>
        <v>299200000</v>
      </c>
      <c r="H225" s="1983" t="s">
        <v>3129</v>
      </c>
      <c r="I225" s="1951">
        <v>42697</v>
      </c>
      <c r="J225" s="1952" t="s">
        <v>3123</v>
      </c>
      <c r="K225" s="1966" t="s">
        <v>3478</v>
      </c>
      <c r="L225" s="1954" t="s">
        <v>3479</v>
      </c>
      <c r="M225" s="1979" t="s">
        <v>3124</v>
      </c>
      <c r="N225" s="1956">
        <v>297000000</v>
      </c>
      <c r="O225" s="1957">
        <v>0</v>
      </c>
      <c r="P225" s="1958">
        <f>N225+O225</f>
        <v>297000000</v>
      </c>
      <c r="Q225" s="1969"/>
      <c r="R225" s="1969"/>
      <c r="S225" s="1969"/>
      <c r="T225" s="1969"/>
      <c r="U225" s="1969"/>
      <c r="V225" s="1960">
        <f>P225</f>
        <v>297000000</v>
      </c>
      <c r="W225" s="1919" t="s">
        <v>3513</v>
      </c>
      <c r="X225" s="1920">
        <v>42727</v>
      </c>
      <c r="Y225" s="1920">
        <v>42731</v>
      </c>
      <c r="Z225" s="1917">
        <f>V225</f>
        <v>297000000</v>
      </c>
      <c r="AA225" s="2642">
        <f>(Z225/V225)*100%</f>
        <v>1</v>
      </c>
      <c r="AB225" s="1901">
        <f>+G225-P225</f>
        <v>2200000</v>
      </c>
      <c r="AC225" s="1901"/>
      <c r="AD225" s="1904"/>
      <c r="AE225" s="1903">
        <v>0.1</v>
      </c>
      <c r="AF225" s="1904"/>
      <c r="AG225" s="1904"/>
      <c r="AH225" s="1904"/>
      <c r="AI225" s="1904"/>
      <c r="AJ225" s="1971">
        <f>V225</f>
        <v>297000000</v>
      </c>
      <c r="AK225" s="1906"/>
      <c r="AL225" s="1901"/>
      <c r="AM225" s="1906"/>
      <c r="AN225" s="1963"/>
      <c r="AO225" s="1963"/>
      <c r="AP225" s="1963"/>
      <c r="AQ225" s="1963"/>
      <c r="AR225" s="1963"/>
      <c r="AS225" s="1963"/>
      <c r="AT225" s="1964"/>
      <c r="AU225" s="1963"/>
      <c r="AV225" s="1963"/>
      <c r="AW225" s="1963"/>
      <c r="AX225" s="1963"/>
      <c r="AY225" s="1963"/>
      <c r="AZ225" s="1963"/>
      <c r="BA225" s="1963"/>
      <c r="BB225" s="1963"/>
      <c r="BH225" s="2004"/>
      <c r="BI225" s="2004"/>
      <c r="BM225" s="2004"/>
      <c r="BN225" s="2004"/>
    </row>
    <row r="226" spans="1:66" s="1780" customFormat="1">
      <c r="A226" s="1945"/>
      <c r="B226" s="1946" t="s">
        <v>3120</v>
      </c>
      <c r="C226" s="1947"/>
      <c r="D226" s="1948"/>
      <c r="E226" s="1949"/>
      <c r="F226" s="1949"/>
      <c r="G226" s="1949"/>
      <c r="H226" s="1983"/>
      <c r="I226" s="1951"/>
      <c r="J226" s="1952"/>
      <c r="K226" s="1954"/>
      <c r="L226" s="1978"/>
      <c r="M226" s="1979"/>
      <c r="N226" s="1956"/>
      <c r="O226" s="1957"/>
      <c r="P226" s="1958"/>
      <c r="Q226" s="1969"/>
      <c r="R226" s="1969"/>
      <c r="S226" s="1969"/>
      <c r="T226" s="1969"/>
      <c r="U226" s="1969"/>
      <c r="V226" s="1960"/>
      <c r="W226" s="1919"/>
      <c r="X226" s="1920"/>
      <c r="Y226" s="1970"/>
      <c r="Z226" s="1917"/>
      <c r="AA226" s="1921"/>
      <c r="AB226" s="1901">
        <f>+G226-P226</f>
        <v>0</v>
      </c>
      <c r="AC226" s="1901"/>
      <c r="AD226" s="1904"/>
      <c r="AE226" s="1903"/>
      <c r="AF226" s="1904"/>
      <c r="AG226" s="1904"/>
      <c r="AH226" s="1904"/>
      <c r="AI226" s="1904"/>
      <c r="AJ226" s="1904"/>
      <c r="AK226" s="1906"/>
      <c r="AL226" s="1901"/>
      <c r="AM226" s="1972"/>
      <c r="AN226" s="1972"/>
      <c r="AO226" s="1972"/>
      <c r="AP226" s="1972"/>
      <c r="AQ226" s="1972"/>
      <c r="AR226" s="1972"/>
      <c r="AS226" s="1972"/>
      <c r="AT226" s="1972"/>
      <c r="AU226" s="1972"/>
      <c r="AV226" s="1972"/>
      <c r="AW226" s="1972"/>
      <c r="AX226" s="1972"/>
      <c r="AY226" s="1972"/>
      <c r="AZ226" s="1972"/>
      <c r="BA226" s="1972"/>
      <c r="BB226" s="1972"/>
      <c r="BH226" s="2004"/>
      <c r="BI226" s="2004"/>
      <c r="BM226" s="2004"/>
      <c r="BN226" s="2004"/>
    </row>
    <row r="227" spans="1:66" s="1780" customFormat="1">
      <c r="A227" s="1885"/>
      <c r="B227" s="1980">
        <v>42689</v>
      </c>
      <c r="C227" s="1947"/>
      <c r="D227" s="1948"/>
      <c r="E227" s="1965"/>
      <c r="F227" s="1965"/>
      <c r="G227" s="1949">
        <f>E227+F227</f>
        <v>0</v>
      </c>
      <c r="H227" s="1950"/>
      <c r="I227" s="1951"/>
      <c r="J227" s="1981"/>
      <c r="K227" s="1966"/>
      <c r="L227" s="1973"/>
      <c r="M227" s="1982"/>
      <c r="N227" s="1896"/>
      <c r="O227" s="1941"/>
      <c r="P227" s="1958">
        <f>N227+O227</f>
        <v>0</v>
      </c>
      <c r="Q227" s="1969"/>
      <c r="R227" s="1969"/>
      <c r="S227" s="1969"/>
      <c r="T227" s="1969"/>
      <c r="U227" s="1969"/>
      <c r="V227" s="1960"/>
      <c r="W227" s="1919"/>
      <c r="X227" s="1920"/>
      <c r="Y227" s="1970"/>
      <c r="Z227" s="1917"/>
      <c r="AA227" s="1921"/>
      <c r="AB227" s="1901">
        <f>+G227-P227</f>
        <v>0</v>
      </c>
      <c r="AC227" s="1901"/>
      <c r="AD227" s="1904"/>
      <c r="AE227" s="1903"/>
      <c r="AF227" s="1904"/>
      <c r="AG227" s="1904"/>
      <c r="AH227" s="1904"/>
      <c r="AI227" s="1904"/>
      <c r="AJ227" s="1904"/>
      <c r="AK227" s="1906"/>
      <c r="AL227" s="1901"/>
      <c r="AM227" s="1972"/>
      <c r="AN227" s="1972"/>
      <c r="AO227" s="1972"/>
      <c r="AP227" s="1972"/>
      <c r="AQ227" s="1972"/>
      <c r="AR227" s="1972"/>
      <c r="AS227" s="1972"/>
      <c r="AT227" s="1972"/>
      <c r="AU227" s="1972"/>
      <c r="AV227" s="1972"/>
      <c r="AW227" s="1972"/>
      <c r="AX227" s="1972"/>
      <c r="AY227" s="1972"/>
      <c r="AZ227" s="1972"/>
      <c r="BA227" s="1972"/>
      <c r="BB227" s="1972"/>
      <c r="BH227" s="2004"/>
      <c r="BI227" s="2004"/>
      <c r="BM227" s="2004"/>
      <c r="BN227" s="2004"/>
    </row>
    <row r="228" spans="1:66" ht="16.5" thickBot="1">
      <c r="A228" s="22"/>
      <c r="B228" s="292"/>
      <c r="C228" s="301"/>
      <c r="D228" s="302"/>
      <c r="E228" s="169"/>
      <c r="F228" s="169"/>
      <c r="G228" s="26"/>
      <c r="H228" s="169"/>
      <c r="I228" s="170"/>
      <c r="J228" s="303"/>
      <c r="K228" s="293"/>
      <c r="L228" s="294"/>
      <c r="M228" s="294"/>
      <c r="N228" s="184"/>
      <c r="O228" s="328"/>
      <c r="P228" s="295"/>
      <c r="Q228" s="296"/>
      <c r="R228" s="296"/>
      <c r="S228" s="296"/>
      <c r="T228" s="296"/>
      <c r="U228" s="296"/>
      <c r="V228" s="144"/>
      <c r="W228" s="297"/>
      <c r="X228" s="424"/>
      <c r="Y228" s="298"/>
      <c r="Z228" s="295"/>
      <c r="AA228" s="1254"/>
      <c r="AB228" s="46"/>
      <c r="AC228" s="46"/>
      <c r="AD228" s="392"/>
      <c r="AE228" s="1382"/>
      <c r="AF228" s="38"/>
      <c r="AG228" s="38"/>
      <c r="AH228" s="38"/>
      <c r="AI228" s="38"/>
      <c r="AJ228" s="38"/>
      <c r="AK228" s="383"/>
      <c r="AL228" s="46"/>
      <c r="AM228" s="299"/>
      <c r="AN228" s="299"/>
      <c r="AO228" s="299"/>
      <c r="AP228" s="299"/>
      <c r="AQ228" s="299"/>
      <c r="AR228" s="299"/>
      <c r="AS228" s="299"/>
      <c r="AT228" s="299"/>
      <c r="AU228" s="299"/>
      <c r="AV228" s="299"/>
      <c r="AW228" s="299"/>
      <c r="AX228" s="299"/>
      <c r="AY228" s="299"/>
      <c r="AZ228" s="299"/>
      <c r="BA228" s="299"/>
      <c r="BB228" s="299"/>
    </row>
    <row r="229" spans="1:66" s="55" customFormat="1" ht="15.75" customHeight="1" thickBot="1">
      <c r="A229" s="2703" t="str">
        <f>B225</f>
        <v>010.DIST/AI-R/BRU/2016/M</v>
      </c>
      <c r="B229" s="2704"/>
      <c r="C229" s="2704"/>
      <c r="D229" s="2705"/>
      <c r="E229" s="65">
        <f>E225</f>
        <v>299200000</v>
      </c>
      <c r="F229" s="65">
        <f>F225</f>
        <v>0</v>
      </c>
      <c r="G229" s="65">
        <f>G225</f>
        <v>299200000</v>
      </c>
      <c r="H229" s="65"/>
      <c r="I229" s="65"/>
      <c r="J229" s="65"/>
      <c r="K229" s="66"/>
      <c r="L229" s="94"/>
      <c r="M229" s="67"/>
      <c r="N229" s="68">
        <f t="shared" ref="N229:V229" si="47">SUM(N225:N227)</f>
        <v>297000000</v>
      </c>
      <c r="O229" s="68">
        <f t="shared" si="47"/>
        <v>0</v>
      </c>
      <c r="P229" s="68">
        <f t="shared" si="47"/>
        <v>297000000</v>
      </c>
      <c r="Q229" s="68">
        <f t="shared" si="47"/>
        <v>0</v>
      </c>
      <c r="R229" s="68">
        <f t="shared" si="47"/>
        <v>0</v>
      </c>
      <c r="S229" s="68">
        <f t="shared" si="47"/>
        <v>0</v>
      </c>
      <c r="T229" s="68">
        <f t="shared" si="47"/>
        <v>0</v>
      </c>
      <c r="U229" s="68">
        <f t="shared" si="47"/>
        <v>0</v>
      </c>
      <c r="V229" s="68">
        <f t="shared" si="47"/>
        <v>297000000</v>
      </c>
      <c r="W229" s="1257"/>
      <c r="X229" s="1258"/>
      <c r="Y229" s="1258"/>
      <c r="Z229" s="68">
        <f>SUM(Z225:Z228)</f>
        <v>297000000</v>
      </c>
      <c r="AA229" s="65"/>
      <c r="AB229" s="65">
        <f>+G229-P229</f>
        <v>2200000</v>
      </c>
      <c r="AC229" s="65"/>
      <c r="AD229" s="76"/>
      <c r="AE229" s="1382"/>
      <c r="AF229" s="38"/>
      <c r="AG229" s="38"/>
      <c r="AH229" s="38"/>
      <c r="AI229" s="38"/>
      <c r="AJ229" s="38"/>
      <c r="AK229" s="383"/>
      <c r="AL229" s="65"/>
      <c r="AM229" s="385"/>
      <c r="AN229" s="100"/>
      <c r="AO229" s="100"/>
      <c r="AP229" s="74"/>
      <c r="AQ229" s="74"/>
      <c r="AR229" s="74"/>
      <c r="AS229" s="74"/>
      <c r="AT229" s="64"/>
      <c r="AU229" s="101" t="e">
        <f>SUM(#REF!)</f>
        <v>#REF!</v>
      </c>
      <c r="AV229" s="101">
        <f t="shared" ref="AV229:BB229" si="48">SUM(AV228:AV228)</f>
        <v>0</v>
      </c>
      <c r="AW229" s="101">
        <f t="shared" si="48"/>
        <v>0</v>
      </c>
      <c r="AX229" s="101">
        <f t="shared" si="48"/>
        <v>0</v>
      </c>
      <c r="AY229" s="101">
        <f t="shared" si="48"/>
        <v>0</v>
      </c>
      <c r="AZ229" s="101">
        <f t="shared" si="48"/>
        <v>0</v>
      </c>
      <c r="BA229" s="101">
        <f t="shared" si="48"/>
        <v>0</v>
      </c>
      <c r="BB229" s="102">
        <f t="shared" si="48"/>
        <v>0</v>
      </c>
      <c r="BD229" s="56"/>
      <c r="BH229" s="2003"/>
      <c r="BI229" s="2003"/>
      <c r="BM229" s="2003"/>
      <c r="BN229" s="2003"/>
    </row>
    <row r="230" spans="1:66" ht="15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3"/>
      <c r="K230" s="5"/>
      <c r="L230" s="5"/>
      <c r="M230" s="5"/>
      <c r="N230" s="96"/>
      <c r="O230" s="96"/>
      <c r="P230" s="97"/>
      <c r="Q230" s="9"/>
      <c r="R230" s="9"/>
      <c r="S230" s="9"/>
      <c r="T230" s="9"/>
      <c r="U230" s="9"/>
      <c r="V230" s="1083"/>
      <c r="W230" s="1242"/>
      <c r="X230" s="1242"/>
      <c r="Y230" s="1242"/>
      <c r="Z230" s="1256"/>
      <c r="AA230" s="1256"/>
      <c r="AB230" s="391"/>
      <c r="AC230" s="391"/>
      <c r="AD230" s="391"/>
      <c r="AE230" s="1382"/>
      <c r="AF230" s="38"/>
      <c r="AG230" s="38"/>
      <c r="AH230" s="38"/>
      <c r="AI230" s="38"/>
      <c r="AJ230" s="38"/>
      <c r="AK230" s="383"/>
      <c r="AL230" s="391"/>
      <c r="AM230" s="382"/>
      <c r="AN230" s="98"/>
      <c r="AO230" s="98"/>
      <c r="AP230" s="98"/>
      <c r="AQ230" s="98"/>
      <c r="AR230" s="98"/>
      <c r="AS230" s="98"/>
      <c r="AT230" s="99"/>
      <c r="AU230" s="78"/>
      <c r="AV230" s="78"/>
      <c r="AW230" s="78"/>
      <c r="AX230" s="78"/>
      <c r="AY230" s="78"/>
      <c r="AZ230" s="78"/>
      <c r="BA230" s="78"/>
      <c r="BB230" s="78"/>
    </row>
    <row r="231" spans="1:66" ht="47.25">
      <c r="A231" s="291">
        <v>13</v>
      </c>
      <c r="B231" s="153" t="s">
        <v>1632</v>
      </c>
      <c r="C231" s="301" t="s">
        <v>1634</v>
      </c>
      <c r="D231" s="302" t="s">
        <v>1635</v>
      </c>
      <c r="E231" s="26">
        <v>0</v>
      </c>
      <c r="F231" s="26">
        <v>500000000</v>
      </c>
      <c r="G231" s="26">
        <f>E231+F231</f>
        <v>500000000</v>
      </c>
      <c r="H231" s="559" t="s">
        <v>2060</v>
      </c>
      <c r="I231" s="319">
        <v>42601</v>
      </c>
      <c r="J231" s="126" t="s">
        <v>2021</v>
      </c>
      <c r="K231" s="248" t="s">
        <v>2621</v>
      </c>
      <c r="L231" s="71" t="s">
        <v>2622</v>
      </c>
      <c r="M231" s="250" t="s">
        <v>2022</v>
      </c>
      <c r="N231" s="58"/>
      <c r="O231" s="143">
        <v>457490402</v>
      </c>
      <c r="P231" s="139">
        <f>N231+O231</f>
        <v>457490402</v>
      </c>
      <c r="Q231" s="30"/>
      <c r="R231" s="30"/>
      <c r="S231" s="30"/>
      <c r="T231" s="30"/>
      <c r="U231" s="30"/>
      <c r="V231" s="144">
        <f>P231</f>
        <v>457490402</v>
      </c>
      <c r="W231" s="200" t="s">
        <v>3518</v>
      </c>
      <c r="X231" s="1253">
        <v>42731</v>
      </c>
      <c r="Y231" s="289">
        <v>42734</v>
      </c>
      <c r="Z231" s="144">
        <f>V231</f>
        <v>457490402</v>
      </c>
      <c r="AA231" s="2640">
        <v>1</v>
      </c>
      <c r="AB231" s="59">
        <f>+G231-P231</f>
        <v>42509598</v>
      </c>
      <c r="AC231" s="59"/>
      <c r="AD231" s="38"/>
      <c r="AE231" s="1382">
        <v>0.1</v>
      </c>
      <c r="AF231" s="38"/>
      <c r="AG231" s="38"/>
      <c r="AH231" s="38"/>
      <c r="AI231" s="38"/>
      <c r="AJ231" s="48">
        <f>V231</f>
        <v>457490402</v>
      </c>
      <c r="AK231" s="383"/>
      <c r="AL231" s="59"/>
      <c r="AM231" s="383"/>
      <c r="AN231" s="32"/>
      <c r="AO231" s="32"/>
      <c r="AP231" s="32"/>
      <c r="AQ231" s="32"/>
      <c r="AR231" s="32"/>
      <c r="AS231" s="32"/>
      <c r="AT231" s="33"/>
      <c r="AU231" s="32"/>
      <c r="AV231" s="32"/>
      <c r="AW231" s="32"/>
      <c r="AX231" s="32"/>
      <c r="AY231" s="32"/>
      <c r="AZ231" s="32"/>
      <c r="BA231" s="32"/>
      <c r="BB231" s="32"/>
    </row>
    <row r="232" spans="1:66">
      <c r="A232" s="291"/>
      <c r="B232" s="153" t="s">
        <v>1633</v>
      </c>
      <c r="C232" s="301"/>
      <c r="D232" s="302"/>
      <c r="E232" s="169"/>
      <c r="F232" s="169"/>
      <c r="G232" s="26"/>
      <c r="H232" s="380"/>
      <c r="I232" s="319"/>
      <c r="J232" s="126"/>
      <c r="K232" s="293"/>
      <c r="L232" s="294"/>
      <c r="M232" s="892"/>
      <c r="N232" s="184"/>
      <c r="O232" s="229"/>
      <c r="P232" s="139">
        <f>N232+O232</f>
        <v>0</v>
      </c>
      <c r="Q232" s="296"/>
      <c r="R232" s="296"/>
      <c r="S232" s="296"/>
      <c r="T232" s="296"/>
      <c r="U232" s="296"/>
      <c r="V232" s="144"/>
      <c r="W232" s="297"/>
      <c r="X232" s="424"/>
      <c r="Y232" s="298"/>
      <c r="Z232" s="295"/>
      <c r="AA232" s="1254"/>
      <c r="AB232" s="59">
        <f>+G232-P232</f>
        <v>0</v>
      </c>
      <c r="AC232" s="59"/>
      <c r="AD232" s="38"/>
      <c r="AE232" s="1382"/>
      <c r="AF232" s="38"/>
      <c r="AG232" s="38"/>
      <c r="AH232" s="38"/>
      <c r="AI232" s="38"/>
      <c r="AJ232" s="38"/>
      <c r="AK232" s="383"/>
      <c r="AL232" s="59"/>
      <c r="AM232" s="299"/>
      <c r="AN232" s="299"/>
      <c r="AO232" s="299"/>
      <c r="AP232" s="299"/>
      <c r="AQ232" s="299"/>
      <c r="AR232" s="299"/>
      <c r="AS232" s="299"/>
      <c r="AT232" s="299"/>
      <c r="AU232" s="299"/>
      <c r="AV232" s="299"/>
      <c r="AW232" s="299"/>
      <c r="AX232" s="299"/>
      <c r="AY232" s="299"/>
      <c r="AZ232" s="299"/>
      <c r="BA232" s="299"/>
      <c r="BB232" s="299"/>
    </row>
    <row r="233" spans="1:66">
      <c r="A233" s="22"/>
      <c r="B233" s="564">
        <v>42537</v>
      </c>
      <c r="C233" s="301"/>
      <c r="D233" s="302"/>
      <c r="E233" s="169"/>
      <c r="F233" s="169"/>
      <c r="G233" s="26">
        <f>E233+F233</f>
        <v>0</v>
      </c>
      <c r="H233" s="380"/>
      <c r="I233" s="319"/>
      <c r="J233" s="303"/>
      <c r="K233" s="293"/>
      <c r="L233" s="294"/>
      <c r="M233" s="331"/>
      <c r="N233" s="184"/>
      <c r="O233" s="229"/>
      <c r="P233" s="139">
        <f>N233+O233</f>
        <v>0</v>
      </c>
      <c r="Q233" s="296"/>
      <c r="R233" s="296"/>
      <c r="S233" s="296"/>
      <c r="T233" s="296"/>
      <c r="U233" s="296"/>
      <c r="V233" s="144"/>
      <c r="W233" s="297"/>
      <c r="X233" s="424"/>
      <c r="Y233" s="298"/>
      <c r="Z233" s="295"/>
      <c r="AA233" s="1254"/>
      <c r="AB233" s="59">
        <f>+G233-P233</f>
        <v>0</v>
      </c>
      <c r="AC233" s="59"/>
      <c r="AD233" s="38"/>
      <c r="AE233" s="1382"/>
      <c r="AF233" s="38"/>
      <c r="AG233" s="38"/>
      <c r="AH233" s="38"/>
      <c r="AI233" s="38"/>
      <c r="AJ233" s="38"/>
      <c r="AK233" s="383"/>
      <c r="AL233" s="59"/>
      <c r="AM233" s="299"/>
      <c r="AN233" s="299"/>
      <c r="AO233" s="299"/>
      <c r="AP233" s="299"/>
      <c r="AQ233" s="299"/>
      <c r="AR233" s="299"/>
      <c r="AS233" s="299"/>
      <c r="AT233" s="299"/>
      <c r="AU233" s="299"/>
      <c r="AV233" s="299"/>
      <c r="AW233" s="299"/>
      <c r="AX233" s="299"/>
      <c r="AY233" s="299"/>
      <c r="AZ233" s="299"/>
      <c r="BA233" s="299"/>
      <c r="BB233" s="299"/>
    </row>
    <row r="234" spans="1:66" ht="16.5" thickBot="1">
      <c r="A234" s="22"/>
      <c r="B234" s="292"/>
      <c r="C234" s="301"/>
      <c r="D234" s="302"/>
      <c r="E234" s="169"/>
      <c r="F234" s="169"/>
      <c r="G234" s="26"/>
      <c r="H234" s="169"/>
      <c r="I234" s="170"/>
      <c r="J234" s="303"/>
      <c r="K234" s="293"/>
      <c r="L234" s="294"/>
      <c r="M234" s="294"/>
      <c r="N234" s="184"/>
      <c r="O234" s="328"/>
      <c r="P234" s="295"/>
      <c r="Q234" s="296"/>
      <c r="R234" s="296"/>
      <c r="S234" s="296"/>
      <c r="T234" s="296"/>
      <c r="U234" s="296"/>
      <c r="V234" s="144"/>
      <c r="W234" s="297"/>
      <c r="X234" s="424"/>
      <c r="Y234" s="298"/>
      <c r="Z234" s="295"/>
      <c r="AA234" s="1254"/>
      <c r="AB234" s="46"/>
      <c r="AC234" s="46"/>
      <c r="AD234" s="392"/>
      <c r="AE234" s="1382"/>
      <c r="AF234" s="38"/>
      <c r="AG234" s="38"/>
      <c r="AH234" s="38"/>
      <c r="AI234" s="38"/>
      <c r="AJ234" s="38"/>
      <c r="AK234" s="383"/>
      <c r="AL234" s="46"/>
      <c r="AM234" s="299"/>
      <c r="AN234" s="299"/>
      <c r="AO234" s="299"/>
      <c r="AP234" s="299"/>
      <c r="AQ234" s="299"/>
      <c r="AR234" s="299"/>
      <c r="AS234" s="299"/>
      <c r="AT234" s="299"/>
      <c r="AU234" s="299"/>
      <c r="AV234" s="299"/>
      <c r="AW234" s="299"/>
      <c r="AX234" s="299"/>
      <c r="AY234" s="299"/>
      <c r="AZ234" s="299"/>
      <c r="BA234" s="299"/>
      <c r="BB234" s="299"/>
    </row>
    <row r="235" spans="1:66" s="55" customFormat="1" ht="15.75" customHeight="1" thickBot="1">
      <c r="A235" s="2703" t="str">
        <f>B231</f>
        <v>001.DIST/AI-NR/BRU/2016/M</v>
      </c>
      <c r="B235" s="2704"/>
      <c r="C235" s="2704"/>
      <c r="D235" s="2705"/>
      <c r="E235" s="65">
        <f>E231</f>
        <v>0</v>
      </c>
      <c r="F235" s="65">
        <f>F231</f>
        <v>500000000</v>
      </c>
      <c r="G235" s="65">
        <f>G231</f>
        <v>500000000</v>
      </c>
      <c r="H235" s="65"/>
      <c r="I235" s="65"/>
      <c r="J235" s="65"/>
      <c r="K235" s="66"/>
      <c r="L235" s="94"/>
      <c r="M235" s="67"/>
      <c r="N235" s="68">
        <f t="shared" ref="N235:V235" si="49">SUM(N231:N233)</f>
        <v>0</v>
      </c>
      <c r="O235" s="68">
        <f t="shared" si="49"/>
        <v>457490402</v>
      </c>
      <c r="P235" s="68">
        <f t="shared" si="49"/>
        <v>457490402</v>
      </c>
      <c r="Q235" s="68">
        <f t="shared" si="49"/>
        <v>0</v>
      </c>
      <c r="R235" s="68">
        <f t="shared" si="49"/>
        <v>0</v>
      </c>
      <c r="S235" s="68">
        <f t="shared" si="49"/>
        <v>0</v>
      </c>
      <c r="T235" s="68">
        <f t="shared" si="49"/>
        <v>0</v>
      </c>
      <c r="U235" s="68">
        <f t="shared" si="49"/>
        <v>0</v>
      </c>
      <c r="V235" s="68">
        <f t="shared" si="49"/>
        <v>457490402</v>
      </c>
      <c r="W235" s="1257"/>
      <c r="X235" s="1258"/>
      <c r="Y235" s="1258"/>
      <c r="Z235" s="68">
        <f>SUM(Z231:Z234)</f>
        <v>457490402</v>
      </c>
      <c r="AA235" s="65"/>
      <c r="AB235" s="65">
        <f>+G235-P235</f>
        <v>42509598</v>
      </c>
      <c r="AC235" s="65"/>
      <c r="AD235" s="76"/>
      <c r="AE235" s="1382"/>
      <c r="AF235" s="38"/>
      <c r="AG235" s="38"/>
      <c r="AH235" s="38"/>
      <c r="AI235" s="38"/>
      <c r="AJ235" s="38"/>
      <c r="AK235" s="383"/>
      <c r="AL235" s="65"/>
      <c r="AM235" s="385"/>
      <c r="AN235" s="100"/>
      <c r="AO235" s="100"/>
      <c r="AP235" s="74"/>
      <c r="AQ235" s="74"/>
      <c r="AR235" s="74"/>
      <c r="AS235" s="74"/>
      <c r="AT235" s="64"/>
      <c r="AU235" s="101" t="e">
        <f>SUM(#REF!)</f>
        <v>#REF!</v>
      </c>
      <c r="AV235" s="101">
        <f t="shared" ref="AV235:BB235" si="50">SUM(AV234:AV234)</f>
        <v>0</v>
      </c>
      <c r="AW235" s="101">
        <f t="shared" si="50"/>
        <v>0</v>
      </c>
      <c r="AX235" s="101">
        <f t="shared" si="50"/>
        <v>0</v>
      </c>
      <c r="AY235" s="101">
        <f t="shared" si="50"/>
        <v>0</v>
      </c>
      <c r="AZ235" s="101">
        <f t="shared" si="50"/>
        <v>0</v>
      </c>
      <c r="BA235" s="101">
        <f t="shared" si="50"/>
        <v>0</v>
      </c>
      <c r="BB235" s="102">
        <f t="shared" si="50"/>
        <v>0</v>
      </c>
      <c r="BD235" s="56"/>
      <c r="BH235" s="2003"/>
      <c r="BI235" s="2003"/>
      <c r="BM235" s="2003"/>
      <c r="BN235" s="2003"/>
    </row>
    <row r="236" spans="1:66" ht="15.75" customHeight="1" thickBot="1">
      <c r="A236" s="2715" t="s">
        <v>44</v>
      </c>
      <c r="B236" s="2716"/>
      <c r="C236" s="2716"/>
      <c r="D236" s="2717"/>
      <c r="E236" s="84">
        <f>E16+E81+E108+E156+E162+E170+E180+E194+E201+E217+E223+E229+E235</f>
        <v>757341750</v>
      </c>
      <c r="F236" s="84">
        <f>F16+F81+F108+F156+F162+F170+F180+F194+F201+F217+F223+F229+F235</f>
        <v>18663114141</v>
      </c>
      <c r="G236" s="84">
        <f>G16+G81+G108+G156+G162+G170+G180+G194+G201+G217+G223+G229+G235</f>
        <v>19420455891</v>
      </c>
      <c r="H236" s="84"/>
      <c r="I236" s="84"/>
      <c r="J236" s="84"/>
      <c r="K236" s="84"/>
      <c r="L236" s="84"/>
      <c r="M236" s="84"/>
      <c r="N236" s="84">
        <f>N16+N81+N108+N156+N162+N170+N180+N194+N201+N217+N223+N235</f>
        <v>3945206226</v>
      </c>
      <c r="O236" s="84">
        <f t="shared" ref="O236:V236" si="51">O16+O81+O108+O156+O162+O170+O180+O194+O201+O217+O223+O235</f>
        <v>14460111512</v>
      </c>
      <c r="P236" s="84">
        <f t="shared" si="51"/>
        <v>18405317738</v>
      </c>
      <c r="Q236" s="84" t="e">
        <f t="shared" si="51"/>
        <v>#REF!</v>
      </c>
      <c r="R236" s="84" t="e">
        <f t="shared" si="51"/>
        <v>#REF!</v>
      </c>
      <c r="S236" s="84" t="e">
        <f t="shared" si="51"/>
        <v>#REF!</v>
      </c>
      <c r="T236" s="84" t="e">
        <f t="shared" si="51"/>
        <v>#REF!</v>
      </c>
      <c r="U236" s="84" t="e">
        <f t="shared" si="51"/>
        <v>#REF!</v>
      </c>
      <c r="V236" s="84">
        <f t="shared" si="51"/>
        <v>18384591704</v>
      </c>
      <c r="W236" s="1269"/>
      <c r="X236" s="1269"/>
      <c r="Y236" s="1269"/>
      <c r="Z236" s="84">
        <f>Z16+Z81+Z108+Z156+Z162+Z170+Z180+Z194+Z201+Z217+Z223+Z235</f>
        <v>15724835241</v>
      </c>
      <c r="AA236" s="1269"/>
      <c r="AB236" s="84">
        <f>AB16+AB81+AB108+AB156+AB162+AB170+AB180+AB194+AB201+AB217+AB223+AB235</f>
        <v>736664187</v>
      </c>
      <c r="AC236" s="84"/>
      <c r="AD236" s="84"/>
      <c r="AE236" s="1395"/>
      <c r="AF236" s="696"/>
      <c r="AG236" s="696"/>
      <c r="AH236" s="696"/>
      <c r="AI236" s="696"/>
      <c r="AJ236" s="696"/>
      <c r="AK236" s="383"/>
      <c r="AL236" s="84"/>
      <c r="AM236" s="387"/>
      <c r="AN236" s="85"/>
      <c r="AO236" s="85"/>
      <c r="AP236" s="85"/>
      <c r="AQ236" s="85"/>
      <c r="AR236" s="85"/>
      <c r="AS236" s="85"/>
      <c r="AT236" s="86"/>
      <c r="AU236" s="84" t="e">
        <f>#REF!+#REF!+#REF!+#REF!</f>
        <v>#REF!</v>
      </c>
      <c r="AV236" s="84" t="e">
        <f>#REF!+#REF!+#REF!+#REF!</f>
        <v>#REF!</v>
      </c>
      <c r="AW236" s="84" t="e">
        <f>#REF!+#REF!+#REF!+#REF!</f>
        <v>#REF!</v>
      </c>
      <c r="AX236" s="84" t="e">
        <f>#REF!+#REF!+#REF!+#REF!</f>
        <v>#REF!</v>
      </c>
      <c r="AY236" s="84" t="e">
        <f>#REF!+#REF!+#REF!+#REF!</f>
        <v>#REF!</v>
      </c>
      <c r="AZ236" s="84" t="e">
        <f>#REF!+#REF!+#REF!+#REF!</f>
        <v>#REF!</v>
      </c>
      <c r="BA236" s="84" t="e">
        <f>#REF!+#REF!+#REF!+#REF!</f>
        <v>#REF!</v>
      </c>
      <c r="BB236" s="87" t="e">
        <f>#REF!+#REF!+#REF!+#REF!</f>
        <v>#REF!</v>
      </c>
    </row>
    <row r="237" spans="1:66" ht="15.75" customHeight="1">
      <c r="B237" s="88"/>
      <c r="N237" s="88"/>
      <c r="O237" s="88"/>
      <c r="P237" s="90"/>
      <c r="Q237" s="90"/>
      <c r="R237" s="90"/>
      <c r="S237" s="90"/>
      <c r="T237" s="90"/>
      <c r="U237" s="90"/>
      <c r="V237" s="90"/>
      <c r="X237" s="1270"/>
      <c r="Y237" s="1270"/>
      <c r="Z237" s="1271"/>
      <c r="AA237" s="1271"/>
      <c r="AB237" s="79"/>
      <c r="AC237" s="79"/>
      <c r="AL237" s="79"/>
    </row>
    <row r="238" spans="1:66" ht="15.75" customHeight="1">
      <c r="B238" s="88" t="s">
        <v>1351</v>
      </c>
      <c r="E238" s="79"/>
      <c r="F238" s="79"/>
      <c r="G238" s="79">
        <f>G236-G239</f>
        <v>12870592528</v>
      </c>
      <c r="H238" s="79"/>
      <c r="I238" s="79"/>
      <c r="J238" s="79"/>
      <c r="N238" s="88"/>
      <c r="O238" s="1045">
        <f>P238-V238</f>
        <v>0</v>
      </c>
      <c r="P238" s="79">
        <f>P236-P239</f>
        <v>12122980621</v>
      </c>
      <c r="V238" s="79">
        <f>V236-V239</f>
        <v>12122980621</v>
      </c>
      <c r="W238" s="1271">
        <f>P238-V238</f>
        <v>0</v>
      </c>
      <c r="Z238" s="1271">
        <f>Z236-Z81</f>
        <v>10080534435</v>
      </c>
      <c r="AB238" s="79"/>
      <c r="AC238" s="79"/>
      <c r="AD238" s="88"/>
      <c r="AL238" s="79"/>
    </row>
    <row r="239" spans="1:66" ht="15.75" customHeight="1">
      <c r="B239" s="2" t="s">
        <v>1482</v>
      </c>
      <c r="G239" s="79">
        <f>G81+G16</f>
        <v>6549863363</v>
      </c>
      <c r="P239" s="79">
        <f>P81+P16</f>
        <v>6282337117</v>
      </c>
      <c r="Q239" s="79"/>
      <c r="R239" s="79"/>
      <c r="S239" s="79"/>
      <c r="T239" s="79"/>
      <c r="U239" s="79"/>
      <c r="V239" s="79">
        <f>V81+V16</f>
        <v>6261611083</v>
      </c>
      <c r="W239" s="1271">
        <f>P239-V239</f>
        <v>20726034</v>
      </c>
      <c r="Z239" s="1271">
        <f>Z236-Z238</f>
        <v>5644300806</v>
      </c>
    </row>
    <row r="240" spans="1:66" ht="15.75" customHeight="1">
      <c r="F240" s="1778"/>
      <c r="G240" s="79">
        <f>G96+G98+G100+G102+G197+G198+G199</f>
        <v>878905738</v>
      </c>
      <c r="M240" s="92"/>
      <c r="P240" s="79">
        <f>P96+P98+P100+P102+P197+P198+P199</f>
        <v>864098318</v>
      </c>
      <c r="V240" s="79">
        <f>V96+V98+V100+V102+V197+V198+V199</f>
        <v>864098318</v>
      </c>
      <c r="Z240" s="79">
        <f>Z96+Z98+Z100+Z102+Z197+Z198+Z199</f>
        <v>499648518</v>
      </c>
    </row>
    <row r="241" spans="6:26" ht="15.75" customHeight="1">
      <c r="F241" s="1779"/>
      <c r="G241" s="79">
        <f>G28+G30+G32+G34+G36+G38+G44+G54+G56+G58+G66+G115+G114+G113+G110+G111+G112+G154+G91+G92+G93</f>
        <v>3587333685</v>
      </c>
      <c r="P241" s="79">
        <f>P28+P30+P32+P34+P36+P38+P44+P54+P56+P58+P66+P115+P114+P113+P110+P111+P112+P154+P91+P92+P93</f>
        <v>3463398219</v>
      </c>
      <c r="V241" s="79">
        <f>V28+V30+V32+V34+V36+V38+V44+V54+V56+V58+V66+V115+V114+V113+V110+V111+V112+V154+V91+V92+V93</f>
        <v>3463398219</v>
      </c>
      <c r="Z241" s="79">
        <f>Z28+Z30+Z32+Z34+Z36+Z38+Z44+Z54+Z56+Z58+Z66+Z115+Z114+Z113+Z110+Z111+Z112+Z154+Z91+Z92+Z93</f>
        <v>2491496971</v>
      </c>
    </row>
    <row r="242" spans="6:26" ht="15.75" customHeight="1">
      <c r="F242" s="1780"/>
      <c r="G242" s="79">
        <f>G22+G24+G26+G40+G42+G46+G48+G50+G52+G72+G75+G77+G79+G83+G84+G87+G89+G104+G105+G164+G165+G166+G167+G168+G172+G173+G174+G175+G176+G177+G178+G182+G183+G184+G188+G189+G192+G207+G208+G219+G220+G221+G225+G226+G227</f>
        <v>10228677843</v>
      </c>
      <c r="P242" s="79">
        <f>P22+P24+P26+P40+P42+P46+P48+P50+P52+P72+P75+P77+P79+P83+P84+P87+P89+P104+P105+P164+P165+P166+P167+P168+P172+P173+P174+P175+P176+P177+P178+P182+P183+P184+P188+P189+P192+P207+P208+P219+P220+P221+P225+P226+P227</f>
        <v>9920016123</v>
      </c>
      <c r="V242" s="79">
        <f>V22+V24+V26+V40+V42+V46+V48+V50+V52+V72+V75+V77+V79+V83+V84+V87+V89+V104+V105+V164+V165+V166+V167+V168+V172+V173+V174+V175+V176+V177+V178+V182+V183+V184+V188+V189+V192+V207+V208+V219+V220+V221+V225+V226+V227</f>
        <v>9899290089</v>
      </c>
      <c r="Z242" s="79">
        <f>Z22+Z24+Z26+Z40+Z42+Z46+Z48+Z50+Z52+Z72+Z75+Z77+Z79+Z83+Z84+Z87+Z89+Z104+Z105+Z164+Z165+Z166+Z167+Z168+Z172+Z173+Z174+Z175+Z176+Z177+Z178+Z182+Z183+Z184+Z188+Z189+Z192+Z207+Z208+Z219+Z220+Z221+Z225+Z226+Z227</f>
        <v>8706906411</v>
      </c>
    </row>
  </sheetData>
  <mergeCells count="49">
    <mergeCell ref="A236:D236"/>
    <mergeCell ref="A235:D235"/>
    <mergeCell ref="A162:D162"/>
    <mergeCell ref="A170:D170"/>
    <mergeCell ref="W11:Z11"/>
    <mergeCell ref="A194:D194"/>
    <mergeCell ref="B208:B210"/>
    <mergeCell ref="A223:D223"/>
    <mergeCell ref="A229:D229"/>
    <mergeCell ref="A16:D16"/>
    <mergeCell ref="A217:D217"/>
    <mergeCell ref="A201:D201"/>
    <mergeCell ref="A180:D180"/>
    <mergeCell ref="A108:D108"/>
    <mergeCell ref="A156:D156"/>
    <mergeCell ref="B203:B207"/>
    <mergeCell ref="A81:D81"/>
    <mergeCell ref="N9:P9"/>
    <mergeCell ref="Q9:S9"/>
    <mergeCell ref="J9:J10"/>
    <mergeCell ref="AF8:AG9"/>
    <mergeCell ref="X9:X10"/>
    <mergeCell ref="Y9:Y10"/>
    <mergeCell ref="D9:D10"/>
    <mergeCell ref="W9:W10"/>
    <mergeCell ref="E9:G9"/>
    <mergeCell ref="AU8:BB8"/>
    <mergeCell ref="T9:U9"/>
    <mergeCell ref="J8:U8"/>
    <mergeCell ref="V8:V10"/>
    <mergeCell ref="AU9:AX9"/>
    <mergeCell ref="AH8:AJ9"/>
    <mergeCell ref="AK8:AK10"/>
    <mergeCell ref="AE8:AE10"/>
    <mergeCell ref="AM8:AT8"/>
    <mergeCell ref="Z9:Z10"/>
    <mergeCell ref="AY9:BB9"/>
    <mergeCell ref="AM10:AP10"/>
    <mergeCell ref="AQ10:AT10"/>
    <mergeCell ref="A5:AL5"/>
    <mergeCell ref="A6:N6"/>
    <mergeCell ref="A8:A10"/>
    <mergeCell ref="B8:G8"/>
    <mergeCell ref="H8:I9"/>
    <mergeCell ref="Y8:AA8"/>
    <mergeCell ref="B9:B10"/>
    <mergeCell ref="C9:C10"/>
    <mergeCell ref="W8:X8"/>
    <mergeCell ref="AD8:AD10"/>
  </mergeCells>
  <printOptions horizontalCentered="1"/>
  <pageMargins left="0.25" right="0.25" top="0.5" bottom="0.5" header="0.3" footer="0.3"/>
  <pageSetup paperSize="9" scale="38" orientation="landscape" r:id="rId1"/>
  <colBreaks count="1" manualBreakCount="1">
    <brk id="13" max="182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A1:AZ293"/>
  <sheetViews>
    <sheetView view="pageBreakPreview" zoomScale="70" zoomScaleSheetLayoutView="70" workbookViewId="0">
      <pane xSplit="4" ySplit="11" topLeftCell="W274" activePane="bottomRight" state="frozen"/>
      <selection pane="topRight" activeCell="E1" sqref="E1"/>
      <selection pane="bottomLeft" activeCell="A12" sqref="A12"/>
      <selection pane="bottomRight" activeCell="Y293" sqref="Y293"/>
    </sheetView>
  </sheetViews>
  <sheetFormatPr defaultColWidth="32.42578125" defaultRowHeight="15.75" customHeight="1"/>
  <cols>
    <col min="1" max="1" width="4.85546875" style="2" customWidth="1"/>
    <col min="2" max="2" width="33" style="280" customWidth="1"/>
    <col min="3" max="3" width="32.5703125" style="89" customWidth="1"/>
    <col min="4" max="4" width="48.42578125" style="89" customWidth="1"/>
    <col min="5" max="5" width="17.42578125" style="2" customWidth="1"/>
    <col min="6" max="7" width="18.28515625" style="2" bestFit="1" customWidth="1"/>
    <col min="8" max="8" width="22.140625" style="2" customWidth="1"/>
    <col min="9" max="9" width="18" style="2" customWidth="1"/>
    <col min="10" max="10" width="28.7109375" style="2" bestFit="1" customWidth="1"/>
    <col min="11" max="11" width="29.7109375" style="2" customWidth="1"/>
    <col min="12" max="12" width="27.42578125" style="1255" customWidth="1"/>
    <col min="13" max="13" width="73.28515625" style="1355" customWidth="1"/>
    <col min="14" max="14" width="18.140625" style="1255" customWidth="1"/>
    <col min="15" max="15" width="19.7109375" style="1255" customWidth="1"/>
    <col min="16" max="16" width="18.5703125" style="1255" customWidth="1"/>
    <col min="17" max="18" width="19.7109375" style="1255" hidden="1" customWidth="1"/>
    <col min="19" max="19" width="3.42578125" style="1255" hidden="1" customWidth="1"/>
    <col min="20" max="20" width="11" style="1255" hidden="1" customWidth="1"/>
    <col min="21" max="21" width="18.5703125" style="1255" hidden="1" customWidth="1"/>
    <col min="22" max="22" width="19.7109375" style="1255" customWidth="1"/>
    <col min="23" max="23" width="32.140625" style="1255" customWidth="1"/>
    <col min="24" max="24" width="21" style="1255" customWidth="1"/>
    <col min="25" max="25" width="22.140625" style="1255" customWidth="1"/>
    <col min="26" max="26" width="18.28515625" style="1255" customWidth="1"/>
    <col min="27" max="27" width="10.140625" style="2" bestFit="1" customWidth="1"/>
    <col min="28" max="28" width="18.28515625" style="2" bestFit="1" customWidth="1"/>
    <col min="29" max="29" width="22" style="2" bestFit="1" customWidth="1"/>
    <col min="30" max="30" width="22" style="1378" customWidth="1"/>
    <col min="31" max="31" width="16.42578125" style="2" customWidth="1"/>
    <col min="32" max="33" width="17.5703125" style="2" customWidth="1"/>
    <col min="34" max="34" width="22" style="2" customWidth="1"/>
    <col min="35" max="36" width="14.42578125" style="2" hidden="1" customWidth="1"/>
    <col min="37" max="37" width="16.42578125" style="2" hidden="1" customWidth="1"/>
    <col min="38" max="40" width="17.5703125" style="2" hidden="1" customWidth="1"/>
    <col min="41" max="41" width="14.42578125" style="2" hidden="1" customWidth="1"/>
    <col min="42" max="42" width="17.5703125" style="2" hidden="1" customWidth="1"/>
    <col min="43" max="43" width="15.28515625" style="2" hidden="1" customWidth="1"/>
    <col min="44" max="44" width="16.85546875" style="2" hidden="1" customWidth="1"/>
    <col min="45" max="50" width="15.28515625" style="2" hidden="1" customWidth="1"/>
    <col min="51" max="16384" width="32.42578125" style="2"/>
  </cols>
  <sheetData>
    <row r="1" spans="1:52" ht="15.75" customHeight="1">
      <c r="A1" s="1" t="s">
        <v>0</v>
      </c>
      <c r="B1" s="1154"/>
      <c r="C1" s="1"/>
      <c r="D1" s="1"/>
      <c r="E1" s="1"/>
      <c r="F1" s="1"/>
      <c r="G1" s="1"/>
      <c r="H1" s="1"/>
      <c r="I1" s="1"/>
      <c r="J1" s="1"/>
      <c r="K1" s="1"/>
      <c r="L1" s="1291"/>
      <c r="M1" s="1291"/>
      <c r="N1" s="1291"/>
      <c r="O1" s="1291"/>
    </row>
    <row r="2" spans="1:52" ht="15.75" customHeight="1">
      <c r="A2" s="1" t="s">
        <v>1</v>
      </c>
      <c r="B2" s="1154"/>
      <c r="C2" s="1"/>
      <c r="D2" s="1"/>
      <c r="E2" s="1"/>
      <c r="F2" s="1"/>
      <c r="G2" s="1"/>
      <c r="H2" s="1"/>
      <c r="I2" s="1"/>
      <c r="J2" s="1"/>
      <c r="K2" s="1"/>
      <c r="L2" s="1291"/>
      <c r="M2" s="1291"/>
      <c r="N2" s="1291"/>
      <c r="O2" s="1291"/>
    </row>
    <row r="3" spans="1:52" ht="15.75" customHeight="1">
      <c r="A3" s="1" t="s">
        <v>2</v>
      </c>
      <c r="B3" s="1154"/>
      <c r="C3" s="1"/>
      <c r="D3" s="1"/>
      <c r="E3" s="1"/>
      <c r="F3" s="1"/>
      <c r="G3" s="1"/>
      <c r="H3" s="1"/>
      <c r="I3" s="1"/>
      <c r="J3" s="1"/>
      <c r="K3" s="1"/>
      <c r="L3" s="1291"/>
      <c r="M3" s="1291"/>
      <c r="N3" s="1291"/>
      <c r="O3" s="1291"/>
    </row>
    <row r="4" spans="1:52" ht="15.75" customHeight="1">
      <c r="A4" s="1"/>
      <c r="B4" s="1154"/>
      <c r="C4" s="1"/>
      <c r="D4" s="1"/>
      <c r="E4" s="1"/>
      <c r="F4" s="1"/>
      <c r="G4" s="1"/>
      <c r="H4" s="1"/>
      <c r="I4" s="1"/>
      <c r="J4" s="1"/>
      <c r="K4" s="1"/>
      <c r="L4" s="1291"/>
      <c r="M4" s="1291"/>
      <c r="N4" s="1291"/>
      <c r="O4" s="1291"/>
    </row>
    <row r="5" spans="1:52" ht="15.75" customHeight="1">
      <c r="A5" s="2656" t="s">
        <v>619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  <c r="AB5" s="2656"/>
      <c r="AC5" s="2656"/>
      <c r="AD5" s="2656"/>
      <c r="AE5" s="2656"/>
      <c r="AF5" s="2656"/>
      <c r="AG5" s="2656"/>
      <c r="AH5" s="2656"/>
    </row>
    <row r="6" spans="1:52" ht="15.75" customHeight="1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  <c r="N6" s="2657"/>
      <c r="O6" s="1292"/>
    </row>
    <row r="7" spans="1:52" ht="15.75" customHeight="1" thickBot="1">
      <c r="A7" s="1"/>
      <c r="B7" s="1154"/>
      <c r="C7" s="1"/>
      <c r="D7" s="1"/>
      <c r="E7" s="1"/>
      <c r="F7" s="1"/>
      <c r="G7" s="1"/>
      <c r="H7" s="1"/>
      <c r="I7" s="1"/>
      <c r="J7" s="1"/>
      <c r="K7" s="1"/>
      <c r="L7" s="1291"/>
      <c r="M7" s="1291"/>
      <c r="N7" s="1291"/>
      <c r="O7" s="1291"/>
    </row>
    <row r="8" spans="1:52" ht="15.75" customHeight="1" thickBot="1">
      <c r="A8" s="2658" t="s">
        <v>3</v>
      </c>
      <c r="B8" s="2661" t="s">
        <v>4</v>
      </c>
      <c r="C8" s="2662"/>
      <c r="D8" s="2662"/>
      <c r="E8" s="2662"/>
      <c r="F8" s="2662"/>
      <c r="G8" s="2663"/>
      <c r="H8" s="2664" t="s">
        <v>5</v>
      </c>
      <c r="I8" s="2665"/>
      <c r="J8" s="2661" t="s">
        <v>6</v>
      </c>
      <c r="K8" s="2662"/>
      <c r="L8" s="2662"/>
      <c r="M8" s="2662"/>
      <c r="N8" s="2662"/>
      <c r="O8" s="2662"/>
      <c r="P8" s="2662"/>
      <c r="Q8" s="2662"/>
      <c r="R8" s="2662"/>
      <c r="S8" s="2662"/>
      <c r="T8" s="2662"/>
      <c r="U8" s="2663"/>
      <c r="V8" s="2671" t="s">
        <v>7</v>
      </c>
      <c r="W8" s="2673" t="s">
        <v>8</v>
      </c>
      <c r="X8" s="2673"/>
      <c r="Y8" s="2668" t="s">
        <v>9</v>
      </c>
      <c r="Z8" s="2669"/>
      <c r="AA8" s="2670"/>
      <c r="AB8" s="4" t="s">
        <v>10</v>
      </c>
      <c r="AC8" s="2674" t="s">
        <v>11</v>
      </c>
      <c r="AD8" s="2693" t="s">
        <v>2571</v>
      </c>
      <c r="AE8" s="2686" t="s">
        <v>2573</v>
      </c>
      <c r="AF8" s="2687"/>
      <c r="AG8" s="2687"/>
      <c r="AH8" s="2690" t="s">
        <v>2578</v>
      </c>
      <c r="AI8" s="2696" t="s">
        <v>12</v>
      </c>
      <c r="AJ8" s="2697"/>
      <c r="AK8" s="2697"/>
      <c r="AL8" s="2697"/>
      <c r="AM8" s="2697"/>
      <c r="AN8" s="2697"/>
      <c r="AO8" s="2697"/>
      <c r="AP8" s="2697"/>
      <c r="AQ8" s="2677" t="s">
        <v>13</v>
      </c>
      <c r="AR8" s="2678"/>
      <c r="AS8" s="2678"/>
      <c r="AT8" s="2678"/>
      <c r="AU8" s="2678"/>
      <c r="AV8" s="2678"/>
      <c r="AW8" s="2678"/>
      <c r="AX8" s="2679"/>
    </row>
    <row r="9" spans="1:52" ht="15.75" customHeight="1" thickBot="1">
      <c r="A9" s="2659"/>
      <c r="B9" s="2658" t="s">
        <v>48</v>
      </c>
      <c r="C9" s="2671" t="s">
        <v>46</v>
      </c>
      <c r="D9" s="2658" t="s">
        <v>14</v>
      </c>
      <c r="E9" s="2706" t="s">
        <v>15</v>
      </c>
      <c r="F9" s="2721"/>
      <c r="G9" s="2722"/>
      <c r="H9" s="2666"/>
      <c r="I9" s="2667"/>
      <c r="J9" s="2658" t="s">
        <v>16</v>
      </c>
      <c r="K9" s="5"/>
      <c r="L9" s="1318"/>
      <c r="M9" s="1318"/>
      <c r="N9" s="2738" t="s">
        <v>17</v>
      </c>
      <c r="O9" s="2739"/>
      <c r="P9" s="2740"/>
      <c r="Q9" s="2723" t="s">
        <v>18</v>
      </c>
      <c r="R9" s="2724"/>
      <c r="S9" s="2725"/>
      <c r="T9" s="2723" t="s">
        <v>19</v>
      </c>
      <c r="U9" s="2724"/>
      <c r="V9" s="2682"/>
      <c r="W9" s="2690" t="s">
        <v>20</v>
      </c>
      <c r="X9" s="2674" t="s">
        <v>21</v>
      </c>
      <c r="Y9" s="2713" t="s">
        <v>22</v>
      </c>
      <c r="Z9" s="2698" t="s">
        <v>15</v>
      </c>
      <c r="AA9" s="6" t="s">
        <v>23</v>
      </c>
      <c r="AB9" s="7"/>
      <c r="AC9" s="2675"/>
      <c r="AD9" s="2694"/>
      <c r="AE9" s="2688"/>
      <c r="AF9" s="2689"/>
      <c r="AG9" s="2689"/>
      <c r="AH9" s="2691"/>
      <c r="AI9" s="8"/>
      <c r="AJ9" s="9"/>
      <c r="AK9" s="9"/>
      <c r="AL9" s="9"/>
      <c r="AM9" s="9"/>
      <c r="AN9" s="9"/>
      <c r="AO9" s="9"/>
      <c r="AP9" s="9"/>
      <c r="AQ9" s="2683" t="s">
        <v>24</v>
      </c>
      <c r="AR9" s="2684"/>
      <c r="AS9" s="2684"/>
      <c r="AT9" s="2685"/>
      <c r="AU9" s="2683" t="s">
        <v>25</v>
      </c>
      <c r="AV9" s="2684"/>
      <c r="AW9" s="2684"/>
      <c r="AX9" s="2685"/>
    </row>
    <row r="10" spans="1:52" ht="15.75" customHeight="1" thickBot="1">
      <c r="A10" s="2660"/>
      <c r="B10" s="2660"/>
      <c r="C10" s="2672"/>
      <c r="D10" s="2660"/>
      <c r="E10" s="11" t="s">
        <v>30</v>
      </c>
      <c r="F10" s="11" t="s">
        <v>31</v>
      </c>
      <c r="G10" s="11" t="s">
        <v>32</v>
      </c>
      <c r="H10" s="10" t="s">
        <v>26</v>
      </c>
      <c r="I10" s="10" t="s">
        <v>27</v>
      </c>
      <c r="J10" s="2660"/>
      <c r="K10" s="10" t="s">
        <v>49</v>
      </c>
      <c r="L10" s="1293" t="s">
        <v>29</v>
      </c>
      <c r="M10" s="1293" t="s">
        <v>28</v>
      </c>
      <c r="N10" s="1319" t="s">
        <v>30</v>
      </c>
      <c r="O10" s="1319" t="s">
        <v>31</v>
      </c>
      <c r="P10" s="1320" t="s">
        <v>32</v>
      </c>
      <c r="Q10" s="1320" t="s">
        <v>33</v>
      </c>
      <c r="R10" s="1320" t="s">
        <v>30</v>
      </c>
      <c r="S10" s="1320" t="s">
        <v>31</v>
      </c>
      <c r="T10" s="1320" t="s">
        <v>33</v>
      </c>
      <c r="U10" s="1338" t="s">
        <v>34</v>
      </c>
      <c r="V10" s="2672"/>
      <c r="W10" s="2692"/>
      <c r="X10" s="2676"/>
      <c r="Y10" s="2714"/>
      <c r="Z10" s="2699"/>
      <c r="AA10" s="14" t="s">
        <v>35</v>
      </c>
      <c r="AB10" s="12" t="s">
        <v>36</v>
      </c>
      <c r="AC10" s="2676"/>
      <c r="AD10" s="2695"/>
      <c r="AE10" s="16" t="s">
        <v>2575</v>
      </c>
      <c r="AF10" s="16" t="s">
        <v>2576</v>
      </c>
      <c r="AG10" s="16" t="s">
        <v>2577</v>
      </c>
      <c r="AH10" s="2692"/>
      <c r="AI10" s="2700" t="s">
        <v>37</v>
      </c>
      <c r="AJ10" s="2701"/>
      <c r="AK10" s="2701"/>
      <c r="AL10" s="2702"/>
      <c r="AM10" s="2700" t="s">
        <v>38</v>
      </c>
      <c r="AN10" s="2701"/>
      <c r="AO10" s="2701"/>
      <c r="AP10" s="2701"/>
      <c r="AQ10" s="15" t="s">
        <v>39</v>
      </c>
      <c r="AR10" s="15" t="s">
        <v>40</v>
      </c>
      <c r="AS10" s="15" t="s">
        <v>41</v>
      </c>
      <c r="AT10" s="15" t="s">
        <v>42</v>
      </c>
      <c r="AU10" s="15" t="s">
        <v>39</v>
      </c>
      <c r="AV10" s="15" t="s">
        <v>40</v>
      </c>
      <c r="AW10" s="15" t="s">
        <v>41</v>
      </c>
      <c r="AX10" s="15" t="s">
        <v>42</v>
      </c>
    </row>
    <row r="11" spans="1:52" ht="15.75" customHeight="1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/>
      <c r="J11" s="10"/>
      <c r="K11" s="10">
        <v>5</v>
      </c>
      <c r="L11" s="1293"/>
      <c r="M11" s="1293">
        <v>6</v>
      </c>
      <c r="N11" s="1293">
        <v>8</v>
      </c>
      <c r="O11" s="1293"/>
      <c r="P11" s="1321">
        <v>9</v>
      </c>
      <c r="Q11" s="1317"/>
      <c r="R11" s="1317"/>
      <c r="S11" s="1317"/>
      <c r="T11" s="1317"/>
      <c r="U11" s="1317"/>
      <c r="V11" s="1317"/>
      <c r="W11" s="2668">
        <v>10</v>
      </c>
      <c r="X11" s="2669"/>
      <c r="Y11" s="2669"/>
      <c r="Z11" s="2670"/>
      <c r="AA11" s="18"/>
      <c r="AB11" s="16">
        <v>10</v>
      </c>
      <c r="AC11" s="16">
        <v>11</v>
      </c>
      <c r="AD11" s="1379"/>
      <c r="AE11" s="19"/>
      <c r="AF11" s="19"/>
      <c r="AG11" s="19"/>
      <c r="AH11" s="16"/>
      <c r="AI11" s="19" t="s">
        <v>39</v>
      </c>
      <c r="AJ11" s="19" t="s">
        <v>40</v>
      </c>
      <c r="AK11" s="19" t="s">
        <v>41</v>
      </c>
      <c r="AL11" s="19" t="s">
        <v>42</v>
      </c>
      <c r="AM11" s="19" t="s">
        <v>39</v>
      </c>
      <c r="AN11" s="19" t="s">
        <v>40</v>
      </c>
      <c r="AO11" s="19" t="s">
        <v>41</v>
      </c>
      <c r="AP11" s="20" t="s">
        <v>42</v>
      </c>
      <c r="AQ11" s="21"/>
      <c r="AR11" s="21"/>
      <c r="AS11" s="21"/>
      <c r="AT11" s="21"/>
      <c r="AU11" s="21"/>
      <c r="AV11" s="21"/>
      <c r="AW11" s="21"/>
      <c r="AX11" s="21"/>
    </row>
    <row r="12" spans="1:52" ht="15.75" customHeight="1">
      <c r="A12" s="95"/>
      <c r="B12" s="95"/>
      <c r="C12" s="95"/>
      <c r="D12" s="95"/>
      <c r="E12" s="95"/>
      <c r="F12" s="95"/>
      <c r="G12" s="95"/>
      <c r="H12" s="95"/>
      <c r="I12" s="95"/>
      <c r="J12" s="93"/>
      <c r="K12" s="5"/>
      <c r="L12" s="1318"/>
      <c r="M12" s="1318"/>
      <c r="N12" s="1294"/>
      <c r="O12" s="1294"/>
      <c r="P12" s="1256"/>
      <c r="Q12" s="1339"/>
      <c r="R12" s="1339"/>
      <c r="S12" s="1339"/>
      <c r="T12" s="1339"/>
      <c r="U12" s="1339"/>
      <c r="V12" s="1340"/>
      <c r="W12" s="1408"/>
      <c r="X12" s="1408"/>
      <c r="Y12" s="1408"/>
      <c r="Z12" s="1256"/>
      <c r="AA12" s="97"/>
      <c r="AB12" s="97"/>
      <c r="AC12" s="7"/>
      <c r="AD12" s="1403"/>
      <c r="AE12" s="98"/>
      <c r="AF12" s="98"/>
      <c r="AG12" s="98"/>
      <c r="AH12" s="97"/>
      <c r="AI12" s="98"/>
      <c r="AJ12" s="98"/>
      <c r="AK12" s="98"/>
      <c r="AL12" s="98"/>
      <c r="AM12" s="98"/>
      <c r="AN12" s="98"/>
      <c r="AO12" s="98"/>
      <c r="AP12" s="99"/>
      <c r="AQ12" s="78"/>
      <c r="AR12" s="78"/>
      <c r="AS12" s="78"/>
      <c r="AT12" s="78"/>
      <c r="AU12" s="78"/>
      <c r="AV12" s="78"/>
      <c r="AW12" s="78"/>
      <c r="AX12" s="78"/>
    </row>
    <row r="13" spans="1:52" s="2496" customFormat="1" ht="47.25">
      <c r="A13" s="2474">
        <v>1</v>
      </c>
      <c r="B13" s="2475" t="s">
        <v>45</v>
      </c>
      <c r="C13" s="2476" t="s">
        <v>2144</v>
      </c>
      <c r="D13" s="2477" t="s">
        <v>47</v>
      </c>
      <c r="E13" s="2478"/>
      <c r="F13" s="2478">
        <v>1919272884</v>
      </c>
      <c r="G13" s="2478">
        <f>E13+F13</f>
        <v>1919272884</v>
      </c>
      <c r="H13" s="2478"/>
      <c r="I13" s="2478"/>
      <c r="J13" s="2479"/>
      <c r="K13" s="2480" t="s">
        <v>916</v>
      </c>
      <c r="L13" s="2481" t="s">
        <v>918</v>
      </c>
      <c r="M13" s="2482" t="s">
        <v>914</v>
      </c>
      <c r="N13" s="2483"/>
      <c r="O13" s="2484">
        <v>346482641</v>
      </c>
      <c r="P13" s="2485">
        <f>N13+O13</f>
        <v>346482641</v>
      </c>
      <c r="Q13" s="2486"/>
      <c r="R13" s="2486"/>
      <c r="S13" s="2486"/>
      <c r="T13" s="2486"/>
      <c r="U13" s="2486"/>
      <c r="V13" s="2487">
        <f t="shared" ref="V13:V20" si="0">P13</f>
        <v>346482641</v>
      </c>
      <c r="W13" s="2488" t="s">
        <v>961</v>
      </c>
      <c r="X13" s="2489">
        <v>42468</v>
      </c>
      <c r="Y13" s="2489">
        <v>42474</v>
      </c>
      <c r="Z13" s="2487">
        <f>V13</f>
        <v>346482641</v>
      </c>
      <c r="AA13" s="2490"/>
      <c r="AB13" s="2487">
        <f t="shared" ref="AB13:AB20" si="1">+G13-P13</f>
        <v>1572790243</v>
      </c>
      <c r="AC13" s="2491"/>
      <c r="AD13" s="2492"/>
      <c r="AE13" s="2493"/>
      <c r="AF13" s="2493"/>
      <c r="AG13" s="2494"/>
      <c r="AH13" s="2491"/>
      <c r="AI13" s="2491"/>
      <c r="AJ13" s="2491"/>
      <c r="AK13" s="2491"/>
      <c r="AL13" s="2491"/>
      <c r="AM13" s="2491"/>
      <c r="AN13" s="2491"/>
      <c r="AO13" s="2491"/>
      <c r="AP13" s="2495"/>
      <c r="AQ13" s="2491"/>
      <c r="AR13" s="2491"/>
      <c r="AS13" s="2491"/>
      <c r="AT13" s="2491"/>
      <c r="AU13" s="2491"/>
      <c r="AV13" s="2491"/>
      <c r="AW13" s="2491"/>
      <c r="AX13" s="2491"/>
    </row>
    <row r="14" spans="1:52" s="2496" customFormat="1" ht="31.5">
      <c r="A14" s="2474"/>
      <c r="B14" s="2475" t="s">
        <v>932</v>
      </c>
      <c r="C14" s="2497"/>
      <c r="D14" s="2498"/>
      <c r="E14" s="2478"/>
      <c r="F14" s="2478"/>
      <c r="G14" s="2478"/>
      <c r="H14" s="2478"/>
      <c r="I14" s="2478"/>
      <c r="J14" s="2479"/>
      <c r="K14" s="2499" t="s">
        <v>917</v>
      </c>
      <c r="L14" s="2481" t="s">
        <v>918</v>
      </c>
      <c r="M14" s="2482" t="s">
        <v>915</v>
      </c>
      <c r="N14" s="2500"/>
      <c r="O14" s="2484">
        <v>321006672</v>
      </c>
      <c r="P14" s="2485">
        <f>N14+O14</f>
        <v>321006672</v>
      </c>
      <c r="Q14" s="2487"/>
      <c r="R14" s="2487"/>
      <c r="S14" s="2487"/>
      <c r="T14" s="2487"/>
      <c r="U14" s="2487"/>
      <c r="V14" s="2487">
        <f t="shared" si="0"/>
        <v>321006672</v>
      </c>
      <c r="W14" s="2488" t="s">
        <v>961</v>
      </c>
      <c r="X14" s="2489">
        <v>42468</v>
      </c>
      <c r="Y14" s="2489">
        <v>42474</v>
      </c>
      <c r="Z14" s="2487">
        <f>V14</f>
        <v>321006672</v>
      </c>
      <c r="AA14" s="2490"/>
      <c r="AB14" s="2487">
        <f t="shared" si="1"/>
        <v>-321006672</v>
      </c>
      <c r="AC14" s="2493"/>
      <c r="AD14" s="2492"/>
      <c r="AE14" s="2493"/>
      <c r="AF14" s="2493"/>
      <c r="AG14" s="2494"/>
      <c r="AH14" s="2491"/>
      <c r="AI14" s="2493"/>
      <c r="AJ14" s="2493"/>
      <c r="AK14" s="2493"/>
      <c r="AL14" s="2493"/>
      <c r="AM14" s="2493"/>
      <c r="AN14" s="2493"/>
      <c r="AO14" s="2493"/>
      <c r="AP14" s="2501"/>
      <c r="AQ14" s="2493"/>
      <c r="AR14" s="2493"/>
      <c r="AS14" s="2493"/>
      <c r="AT14" s="2493"/>
      <c r="AU14" s="2493"/>
      <c r="AV14" s="2493"/>
      <c r="AW14" s="2493"/>
      <c r="AX14" s="2493"/>
      <c r="AZ14" s="2502"/>
    </row>
    <row r="15" spans="1:52" s="2496" customFormat="1" ht="47.25">
      <c r="A15" s="2474"/>
      <c r="B15" s="2503">
        <v>42383</v>
      </c>
      <c r="C15" s="2497"/>
      <c r="D15" s="2498"/>
      <c r="E15" s="2478"/>
      <c r="F15" s="2478"/>
      <c r="G15" s="2478"/>
      <c r="H15" s="2478"/>
      <c r="I15" s="2478"/>
      <c r="J15" s="2504"/>
      <c r="K15" s="2505" t="s">
        <v>793</v>
      </c>
      <c r="L15" s="2506" t="s">
        <v>794</v>
      </c>
      <c r="M15" s="2507" t="s">
        <v>884</v>
      </c>
      <c r="N15" s="2500"/>
      <c r="O15" s="2485">
        <v>86634005.919999987</v>
      </c>
      <c r="P15" s="2485">
        <f t="shared" ref="P15:P20" si="2">N15+O15</f>
        <v>86634005.919999987</v>
      </c>
      <c r="Q15" s="2487"/>
      <c r="R15" s="2487"/>
      <c r="S15" s="2487"/>
      <c r="T15" s="2487"/>
      <c r="U15" s="2487"/>
      <c r="V15" s="2487">
        <f t="shared" si="0"/>
        <v>86634005.919999987</v>
      </c>
      <c r="W15" s="2508" t="s">
        <v>559</v>
      </c>
      <c r="X15" s="2509"/>
      <c r="Y15" s="2510">
        <v>42398</v>
      </c>
      <c r="Z15" s="2487">
        <f t="shared" ref="Z15:Z29" si="3">V15</f>
        <v>86634005.919999987</v>
      </c>
      <c r="AA15" s="2490"/>
      <c r="AB15" s="2487">
        <f t="shared" si="1"/>
        <v>-86634005.919999987</v>
      </c>
      <c r="AC15" s="2493" t="s">
        <v>933</v>
      </c>
      <c r="AD15" s="2492"/>
      <c r="AE15" s="2493"/>
      <c r="AF15" s="2493"/>
      <c r="AG15" s="2494"/>
      <c r="AH15" s="2491"/>
      <c r="AI15" s="2493"/>
      <c r="AJ15" s="2493"/>
      <c r="AK15" s="2493"/>
      <c r="AL15" s="2493"/>
      <c r="AM15" s="2493"/>
      <c r="AN15" s="2493"/>
      <c r="AO15" s="2493"/>
      <c r="AP15" s="2501"/>
      <c r="AQ15" s="2493"/>
      <c r="AR15" s="2493"/>
      <c r="AS15" s="2493"/>
      <c r="AT15" s="2493"/>
      <c r="AU15" s="2493"/>
      <c r="AV15" s="2493"/>
      <c r="AW15" s="2493"/>
      <c r="AX15" s="2493"/>
      <c r="AZ15" s="2502"/>
    </row>
    <row r="16" spans="1:52" s="2496" customFormat="1" ht="31.5">
      <c r="A16" s="2474"/>
      <c r="B16" s="2729" t="s">
        <v>2147</v>
      </c>
      <c r="C16" s="2497"/>
      <c r="D16" s="2498"/>
      <c r="E16" s="2478"/>
      <c r="F16" s="2478"/>
      <c r="G16" s="2478"/>
      <c r="H16" s="2478"/>
      <c r="I16" s="2478"/>
      <c r="J16" s="2504"/>
      <c r="K16" s="2505" t="s">
        <v>846</v>
      </c>
      <c r="L16" s="2506" t="s">
        <v>794</v>
      </c>
      <c r="M16" s="2507" t="s">
        <v>885</v>
      </c>
      <c r="N16" s="2500"/>
      <c r="O16" s="2484">
        <v>60101110.035120003</v>
      </c>
      <c r="P16" s="2485">
        <f t="shared" si="2"/>
        <v>60101110.035120003</v>
      </c>
      <c r="Q16" s="2487"/>
      <c r="R16" s="2487"/>
      <c r="S16" s="2487"/>
      <c r="T16" s="2487"/>
      <c r="U16" s="2487"/>
      <c r="V16" s="2487">
        <f t="shared" si="0"/>
        <v>60101110.035120003</v>
      </c>
      <c r="W16" s="2508" t="s">
        <v>559</v>
      </c>
      <c r="X16" s="2509"/>
      <c r="Y16" s="2510">
        <v>42398</v>
      </c>
      <c r="Z16" s="2487">
        <f t="shared" si="3"/>
        <v>60101110.035120003</v>
      </c>
      <c r="AA16" s="2490"/>
      <c r="AB16" s="2487">
        <f t="shared" si="1"/>
        <v>-60101110.035120003</v>
      </c>
      <c r="AC16" s="2493" t="s">
        <v>933</v>
      </c>
      <c r="AD16" s="2492"/>
      <c r="AE16" s="2493"/>
      <c r="AF16" s="2493"/>
      <c r="AG16" s="2494"/>
      <c r="AH16" s="2491"/>
      <c r="AI16" s="2493"/>
      <c r="AJ16" s="2493"/>
      <c r="AK16" s="2493"/>
      <c r="AL16" s="2493"/>
      <c r="AM16" s="2493"/>
      <c r="AN16" s="2493"/>
      <c r="AO16" s="2493"/>
      <c r="AP16" s="2501"/>
      <c r="AQ16" s="2493"/>
      <c r="AR16" s="2493"/>
      <c r="AS16" s="2493"/>
      <c r="AT16" s="2493"/>
      <c r="AU16" s="2493"/>
      <c r="AV16" s="2493"/>
      <c r="AW16" s="2493"/>
      <c r="AX16" s="2493"/>
      <c r="AZ16" s="2502"/>
    </row>
    <row r="17" spans="1:52" s="2496" customFormat="1" ht="47.25">
      <c r="A17" s="2474"/>
      <c r="B17" s="2730"/>
      <c r="C17" s="2497"/>
      <c r="D17" s="2498"/>
      <c r="E17" s="2478"/>
      <c r="F17" s="2478"/>
      <c r="G17" s="2478"/>
      <c r="H17" s="2478"/>
      <c r="I17" s="2478"/>
      <c r="J17" s="2504"/>
      <c r="K17" s="2505" t="s">
        <v>793</v>
      </c>
      <c r="L17" s="2506" t="s">
        <v>794</v>
      </c>
      <c r="M17" s="2507" t="s">
        <v>886</v>
      </c>
      <c r="N17" s="2500"/>
      <c r="O17" s="2483">
        <v>86634005.920000002</v>
      </c>
      <c r="P17" s="2485">
        <f t="shared" si="2"/>
        <v>86634005.920000002</v>
      </c>
      <c r="Q17" s="2487"/>
      <c r="R17" s="2487"/>
      <c r="S17" s="2487"/>
      <c r="T17" s="2487"/>
      <c r="U17" s="2487"/>
      <c r="V17" s="2487">
        <f t="shared" si="0"/>
        <v>86634005.920000002</v>
      </c>
      <c r="W17" s="2508" t="s">
        <v>564</v>
      </c>
      <c r="X17" s="2510"/>
      <c r="Y17" s="2511">
        <v>42424</v>
      </c>
      <c r="Z17" s="2487">
        <f t="shared" si="3"/>
        <v>86634005.920000002</v>
      </c>
      <c r="AA17" s="2490"/>
      <c r="AB17" s="2487">
        <f t="shared" si="1"/>
        <v>-86634005.920000002</v>
      </c>
      <c r="AC17" s="2493" t="s">
        <v>933</v>
      </c>
      <c r="AD17" s="2492"/>
      <c r="AE17" s="2493"/>
      <c r="AF17" s="2493"/>
      <c r="AG17" s="2494"/>
      <c r="AH17" s="2491"/>
      <c r="AI17" s="2493"/>
      <c r="AJ17" s="2493"/>
      <c r="AK17" s="2493"/>
      <c r="AL17" s="2493"/>
      <c r="AM17" s="2493"/>
      <c r="AN17" s="2493"/>
      <c r="AO17" s="2493"/>
      <c r="AP17" s="2501"/>
      <c r="AQ17" s="2493"/>
      <c r="AR17" s="2493"/>
      <c r="AS17" s="2493"/>
      <c r="AT17" s="2493"/>
      <c r="AU17" s="2493"/>
      <c r="AV17" s="2493"/>
      <c r="AW17" s="2493"/>
      <c r="AX17" s="2493"/>
      <c r="AZ17" s="2502"/>
    </row>
    <row r="18" spans="1:52" s="2496" customFormat="1" ht="31.5">
      <c r="A18" s="2474"/>
      <c r="B18" s="2731"/>
      <c r="C18" s="2497"/>
      <c r="D18" s="2498"/>
      <c r="E18" s="2478"/>
      <c r="F18" s="2478"/>
      <c r="G18" s="2478"/>
      <c r="H18" s="2478"/>
      <c r="I18" s="2478"/>
      <c r="J18" s="2504"/>
      <c r="K18" s="2505" t="s">
        <v>846</v>
      </c>
      <c r="L18" s="2506" t="s">
        <v>794</v>
      </c>
      <c r="M18" s="2507" t="s">
        <v>887</v>
      </c>
      <c r="N18" s="2500"/>
      <c r="O18" s="2512">
        <v>60101110.035120003</v>
      </c>
      <c r="P18" s="2485">
        <f t="shared" si="2"/>
        <v>60101110.035120003</v>
      </c>
      <c r="Q18" s="2487"/>
      <c r="R18" s="2487"/>
      <c r="S18" s="2487"/>
      <c r="T18" s="2487"/>
      <c r="U18" s="2487"/>
      <c r="V18" s="2487">
        <f t="shared" si="0"/>
        <v>60101110.035120003</v>
      </c>
      <c r="W18" s="2508" t="s">
        <v>564</v>
      </c>
      <c r="X18" s="2510"/>
      <c r="Y18" s="2511">
        <v>42424</v>
      </c>
      <c r="Z18" s="2487">
        <f t="shared" si="3"/>
        <v>60101110.035120003</v>
      </c>
      <c r="AA18" s="2490"/>
      <c r="AB18" s="2487">
        <f t="shared" si="1"/>
        <v>-60101110.035120003</v>
      </c>
      <c r="AC18" s="2493" t="s">
        <v>933</v>
      </c>
      <c r="AD18" s="2513"/>
      <c r="AE18" s="2514"/>
      <c r="AF18" s="2514"/>
      <c r="AG18" s="2515"/>
      <c r="AH18" s="2516"/>
      <c r="AI18" s="2493"/>
      <c r="AJ18" s="2493"/>
      <c r="AK18" s="2493"/>
      <c r="AL18" s="2493"/>
      <c r="AM18" s="2493"/>
      <c r="AN18" s="2493"/>
      <c r="AO18" s="2493"/>
      <c r="AP18" s="2501"/>
      <c r="AQ18" s="2493"/>
      <c r="AR18" s="2493"/>
      <c r="AS18" s="2493"/>
      <c r="AT18" s="2493"/>
      <c r="AU18" s="2493"/>
      <c r="AV18" s="2493"/>
      <c r="AW18" s="2493"/>
      <c r="AX18" s="2493"/>
      <c r="AZ18" s="2502"/>
    </row>
    <row r="19" spans="1:52" s="2496" customFormat="1" ht="47.25">
      <c r="A19" s="2474"/>
      <c r="B19" s="2517"/>
      <c r="C19" s="2497"/>
      <c r="D19" s="2498"/>
      <c r="E19" s="2478"/>
      <c r="F19" s="2478"/>
      <c r="G19" s="2478"/>
      <c r="H19" s="2478"/>
      <c r="I19" s="2478"/>
      <c r="J19" s="2504"/>
      <c r="K19" s="2505" t="s">
        <v>793</v>
      </c>
      <c r="L19" s="2506" t="s">
        <v>794</v>
      </c>
      <c r="M19" s="2507" t="s">
        <v>792</v>
      </c>
      <c r="N19" s="2500"/>
      <c r="O19" s="2483">
        <v>86634005.920000002</v>
      </c>
      <c r="P19" s="2485">
        <f t="shared" si="2"/>
        <v>86634005.920000002</v>
      </c>
      <c r="Q19" s="2487"/>
      <c r="R19" s="2487"/>
      <c r="S19" s="2487"/>
      <c r="T19" s="2487"/>
      <c r="U19" s="2487"/>
      <c r="V19" s="2487">
        <f t="shared" si="0"/>
        <v>86634005.920000002</v>
      </c>
      <c r="W19" s="2508" t="s">
        <v>590</v>
      </c>
      <c r="X19" s="2509"/>
      <c r="Y19" s="2509">
        <v>42460</v>
      </c>
      <c r="Z19" s="2487">
        <f t="shared" si="3"/>
        <v>86634005.920000002</v>
      </c>
      <c r="AA19" s="2490"/>
      <c r="AB19" s="2487">
        <f t="shared" si="1"/>
        <v>-86634005.920000002</v>
      </c>
      <c r="AC19" s="2493" t="s">
        <v>933</v>
      </c>
      <c r="AD19" s="2492"/>
      <c r="AE19" s="2493"/>
      <c r="AF19" s="2493"/>
      <c r="AG19" s="2494"/>
      <c r="AH19" s="2491"/>
      <c r="AI19" s="2493"/>
      <c r="AJ19" s="2493"/>
      <c r="AK19" s="2493"/>
      <c r="AL19" s="2493"/>
      <c r="AM19" s="2493"/>
      <c r="AN19" s="2493"/>
      <c r="AO19" s="2493"/>
      <c r="AP19" s="2501"/>
      <c r="AQ19" s="2493"/>
      <c r="AR19" s="2493"/>
      <c r="AS19" s="2493"/>
      <c r="AT19" s="2493"/>
      <c r="AU19" s="2493"/>
      <c r="AV19" s="2493"/>
      <c r="AW19" s="2493"/>
      <c r="AX19" s="2493"/>
      <c r="AZ19" s="2502"/>
    </row>
    <row r="20" spans="1:52" s="2496" customFormat="1" ht="31.5">
      <c r="A20" s="2474"/>
      <c r="B20" s="2518"/>
      <c r="C20" s="2519"/>
      <c r="D20" s="2520"/>
      <c r="E20" s="2478"/>
      <c r="F20" s="2478"/>
      <c r="G20" s="2478"/>
      <c r="H20" s="2478"/>
      <c r="I20" s="2478"/>
      <c r="J20" s="2504"/>
      <c r="K20" s="2521" t="s">
        <v>846</v>
      </c>
      <c r="L20" s="2522" t="s">
        <v>794</v>
      </c>
      <c r="M20" s="2523" t="s">
        <v>893</v>
      </c>
      <c r="N20" s="2524"/>
      <c r="O20" s="2483">
        <v>60101110.035120003</v>
      </c>
      <c r="P20" s="2525">
        <f t="shared" si="2"/>
        <v>60101110.035120003</v>
      </c>
      <c r="Q20" s="2487"/>
      <c r="R20" s="2487"/>
      <c r="S20" s="2487"/>
      <c r="T20" s="2487"/>
      <c r="U20" s="2487"/>
      <c r="V20" s="2487">
        <f t="shared" si="0"/>
        <v>60101110.035120003</v>
      </c>
      <c r="W20" s="2526" t="s">
        <v>844</v>
      </c>
      <c r="X20" s="2509">
        <v>42461</v>
      </c>
      <c r="Y20" s="2509">
        <v>42468</v>
      </c>
      <c r="Z20" s="2488">
        <f t="shared" si="3"/>
        <v>60101110.035120003</v>
      </c>
      <c r="AA20" s="2527"/>
      <c r="AB20" s="2487">
        <f t="shared" si="1"/>
        <v>-60101110.035120003</v>
      </c>
      <c r="AC20" s="2493" t="s">
        <v>933</v>
      </c>
      <c r="AD20" s="2492"/>
      <c r="AE20" s="2493"/>
      <c r="AF20" s="2493"/>
      <c r="AG20" s="2494"/>
      <c r="AH20" s="2491"/>
      <c r="AI20" s="2493"/>
      <c r="AJ20" s="2493"/>
      <c r="AK20" s="2528"/>
      <c r="AL20" s="2528"/>
      <c r="AM20" s="2527" t="e">
        <f>P20-#REF!</f>
        <v>#REF!</v>
      </c>
      <c r="AN20" s="2493"/>
      <c r="AO20" s="2493"/>
      <c r="AP20" s="2501"/>
      <c r="AQ20" s="2493"/>
      <c r="AR20" s="2493"/>
      <c r="AS20" s="2493"/>
      <c r="AT20" s="2493"/>
      <c r="AU20" s="2493"/>
      <c r="AV20" s="2493"/>
      <c r="AW20" s="2493"/>
      <c r="AX20" s="2493"/>
      <c r="AY20" s="2529">
        <f>667000000*3</f>
        <v>2001000000</v>
      </c>
      <c r="AZ20" s="2502"/>
    </row>
    <row r="21" spans="1:52" s="2496" customFormat="1" ht="47.25">
      <c r="A21" s="2474"/>
      <c r="B21" s="2530"/>
      <c r="C21" s="2531"/>
      <c r="D21" s="2532"/>
      <c r="E21" s="2533"/>
      <c r="F21" s="2533"/>
      <c r="G21" s="2534"/>
      <c r="H21" s="2534"/>
      <c r="I21" s="2478"/>
      <c r="J21" s="2534"/>
      <c r="K21" s="2505" t="s">
        <v>793</v>
      </c>
      <c r="L21" s="2506" t="s">
        <v>794</v>
      </c>
      <c r="M21" s="2507" t="s">
        <v>967</v>
      </c>
      <c r="N21" s="2500"/>
      <c r="O21" s="2483">
        <v>86634005.920000002</v>
      </c>
      <c r="P21" s="2485">
        <f>N21+O21</f>
        <v>86634005.920000002</v>
      </c>
      <c r="Q21" s="2487"/>
      <c r="R21" s="2487"/>
      <c r="S21" s="2487"/>
      <c r="T21" s="2487"/>
      <c r="U21" s="2487"/>
      <c r="V21" s="2487">
        <f>P21</f>
        <v>86634005.920000002</v>
      </c>
      <c r="W21" s="2526" t="s">
        <v>964</v>
      </c>
      <c r="X21" s="2509"/>
      <c r="Y21" s="2509">
        <v>42474</v>
      </c>
      <c r="Z21" s="2488">
        <f>V21</f>
        <v>86634005.920000002</v>
      </c>
      <c r="AA21" s="2527"/>
      <c r="AB21" s="2487">
        <f t="shared" ref="AB21:AB28" si="4">+G21-P21</f>
        <v>-86634005.920000002</v>
      </c>
      <c r="AC21" s="2493" t="s">
        <v>933</v>
      </c>
      <c r="AD21" s="2492"/>
      <c r="AE21" s="2493"/>
      <c r="AF21" s="2493"/>
      <c r="AG21" s="2494"/>
      <c r="AH21" s="2491"/>
      <c r="AI21" s="2535"/>
      <c r="AJ21" s="2535"/>
      <c r="AK21" s="2536"/>
      <c r="AL21" s="2536"/>
      <c r="AM21" s="2537"/>
      <c r="AN21" s="2535"/>
      <c r="AO21" s="2535"/>
      <c r="AP21" s="2535"/>
      <c r="AQ21" s="2535"/>
      <c r="AR21" s="2535"/>
      <c r="AS21" s="2535"/>
      <c r="AT21" s="2535"/>
      <c r="AU21" s="2535"/>
      <c r="AV21" s="2535"/>
      <c r="AW21" s="2535"/>
      <c r="AX21" s="2535"/>
      <c r="AY21" s="2529"/>
      <c r="AZ21" s="2502"/>
    </row>
    <row r="22" spans="1:52" s="2496" customFormat="1" ht="31.5">
      <c r="A22" s="2474"/>
      <c r="B22" s="2530"/>
      <c r="C22" s="2531"/>
      <c r="D22" s="2532"/>
      <c r="E22" s="2533"/>
      <c r="F22" s="2533"/>
      <c r="G22" s="2534"/>
      <c r="H22" s="2534"/>
      <c r="I22" s="2478"/>
      <c r="J22" s="2534"/>
      <c r="K22" s="2521" t="s">
        <v>846</v>
      </c>
      <c r="L22" s="2522" t="s">
        <v>794</v>
      </c>
      <c r="M22" s="2523" t="s">
        <v>966</v>
      </c>
      <c r="N22" s="2524"/>
      <c r="O22" s="2483">
        <v>60101110.035120003</v>
      </c>
      <c r="P22" s="2525">
        <f>N22+O22</f>
        <v>60101110.035120003</v>
      </c>
      <c r="Q22" s="2487"/>
      <c r="R22" s="2487"/>
      <c r="S22" s="2487"/>
      <c r="T22" s="2487"/>
      <c r="U22" s="2487"/>
      <c r="V22" s="2487">
        <f>P22</f>
        <v>60101110.035120003</v>
      </c>
      <c r="W22" s="2526" t="s">
        <v>964</v>
      </c>
      <c r="X22" s="2509"/>
      <c r="Y22" s="2509">
        <v>42474</v>
      </c>
      <c r="Z22" s="2488">
        <f>V22</f>
        <v>60101110.035120003</v>
      </c>
      <c r="AA22" s="2527"/>
      <c r="AB22" s="2487">
        <f t="shared" si="4"/>
        <v>-60101110.035120003</v>
      </c>
      <c r="AC22" s="2493" t="s">
        <v>933</v>
      </c>
      <c r="AD22" s="2492"/>
      <c r="AE22" s="2493"/>
      <c r="AF22" s="2493"/>
      <c r="AG22" s="2494"/>
      <c r="AH22" s="2491"/>
      <c r="AI22" s="2535"/>
      <c r="AJ22" s="2535"/>
      <c r="AK22" s="2536"/>
      <c r="AL22" s="2536"/>
      <c r="AM22" s="2537"/>
      <c r="AN22" s="2535"/>
      <c r="AO22" s="2535"/>
      <c r="AP22" s="2535"/>
      <c r="AQ22" s="2535"/>
      <c r="AR22" s="2535"/>
      <c r="AS22" s="2535"/>
      <c r="AT22" s="2535"/>
      <c r="AU22" s="2535"/>
      <c r="AV22" s="2535"/>
      <c r="AW22" s="2535"/>
      <c r="AX22" s="2535"/>
      <c r="AY22" s="2529"/>
      <c r="AZ22" s="2502"/>
    </row>
    <row r="23" spans="1:52" s="2496" customFormat="1" ht="47.25">
      <c r="A23" s="2474"/>
      <c r="B23" s="2530"/>
      <c r="C23" s="2531"/>
      <c r="D23" s="2532"/>
      <c r="E23" s="2533"/>
      <c r="F23" s="2533"/>
      <c r="G23" s="2534"/>
      <c r="H23" s="2534"/>
      <c r="I23" s="2478"/>
      <c r="J23" s="2534"/>
      <c r="K23" s="2521" t="s">
        <v>916</v>
      </c>
      <c r="L23" s="2522" t="s">
        <v>918</v>
      </c>
      <c r="M23" s="2523" t="s">
        <v>1015</v>
      </c>
      <c r="N23" s="2538"/>
      <c r="O23" s="2539">
        <v>343836435</v>
      </c>
      <c r="P23" s="2525">
        <f>N23+O23</f>
        <v>343836435</v>
      </c>
      <c r="Q23" s="2540"/>
      <c r="R23" s="2540"/>
      <c r="S23" s="2540"/>
      <c r="T23" s="2540"/>
      <c r="U23" s="2540"/>
      <c r="V23" s="2487">
        <f>P23</f>
        <v>343836435</v>
      </c>
      <c r="W23" s="2526" t="s">
        <v>1017</v>
      </c>
      <c r="X23" s="2509">
        <v>42478</v>
      </c>
      <c r="Y23" s="2509">
        <v>42487</v>
      </c>
      <c r="Z23" s="2488">
        <f>V23</f>
        <v>343836435</v>
      </c>
      <c r="AA23" s="2527"/>
      <c r="AB23" s="2487">
        <f t="shared" si="4"/>
        <v>-343836435</v>
      </c>
      <c r="AC23" s="2541"/>
      <c r="AD23" s="2513"/>
      <c r="AE23" s="2514"/>
      <c r="AF23" s="2514"/>
      <c r="AG23" s="2515"/>
      <c r="AH23" s="2516"/>
      <c r="AI23" s="2535"/>
      <c r="AJ23" s="2535"/>
      <c r="AK23" s="2536"/>
      <c r="AL23" s="2536"/>
      <c r="AM23" s="2537"/>
      <c r="AN23" s="2535"/>
      <c r="AO23" s="2535"/>
      <c r="AP23" s="2535"/>
      <c r="AQ23" s="2535"/>
      <c r="AR23" s="2535"/>
      <c r="AS23" s="2535"/>
      <c r="AT23" s="2535"/>
      <c r="AU23" s="2535"/>
      <c r="AV23" s="2535"/>
      <c r="AW23" s="2535"/>
      <c r="AX23" s="2535"/>
      <c r="AY23" s="2529"/>
      <c r="AZ23" s="2502"/>
    </row>
    <row r="24" spans="1:52" s="2496" customFormat="1" ht="31.5">
      <c r="A24" s="2474"/>
      <c r="B24" s="2530"/>
      <c r="C24" s="2531"/>
      <c r="D24" s="2532"/>
      <c r="E24" s="2533"/>
      <c r="F24" s="2533"/>
      <c r="G24" s="2534"/>
      <c r="H24" s="2534"/>
      <c r="I24" s="2478"/>
      <c r="J24" s="2534"/>
      <c r="K24" s="2521" t="s">
        <v>917</v>
      </c>
      <c r="L24" s="2522" t="s">
        <v>918</v>
      </c>
      <c r="M24" s="2523" t="s">
        <v>1016</v>
      </c>
      <c r="N24" s="2538"/>
      <c r="O24" s="2539">
        <v>321006672</v>
      </c>
      <c r="P24" s="2525">
        <f>N24+O24</f>
        <v>321006672</v>
      </c>
      <c r="Q24" s="2540"/>
      <c r="R24" s="2540"/>
      <c r="S24" s="2540"/>
      <c r="T24" s="2540"/>
      <c r="U24" s="2540"/>
      <c r="V24" s="2487">
        <f>P24</f>
        <v>321006672</v>
      </c>
      <c r="W24" s="2526" t="s">
        <v>1017</v>
      </c>
      <c r="X24" s="2509">
        <v>42478</v>
      </c>
      <c r="Y24" s="2509">
        <v>42487</v>
      </c>
      <c r="Z24" s="2488">
        <f>V24</f>
        <v>321006672</v>
      </c>
      <c r="AA24" s="2527"/>
      <c r="AB24" s="2487">
        <f t="shared" si="4"/>
        <v>-321006672</v>
      </c>
      <c r="AC24" s="2541"/>
      <c r="AD24" s="2492"/>
      <c r="AE24" s="2493"/>
      <c r="AF24" s="2493"/>
      <c r="AG24" s="2494"/>
      <c r="AH24" s="2491"/>
      <c r="AI24" s="2535"/>
      <c r="AJ24" s="2535"/>
      <c r="AK24" s="2536"/>
      <c r="AL24" s="2536"/>
      <c r="AM24" s="2537"/>
      <c r="AN24" s="2535"/>
      <c r="AO24" s="2535"/>
      <c r="AP24" s="2535"/>
      <c r="AQ24" s="2535"/>
      <c r="AR24" s="2535"/>
      <c r="AS24" s="2535"/>
      <c r="AT24" s="2535"/>
      <c r="AU24" s="2535"/>
      <c r="AV24" s="2535"/>
      <c r="AW24" s="2535"/>
      <c r="AX24" s="2535"/>
      <c r="AY24" s="2529"/>
      <c r="AZ24" s="2502"/>
    </row>
    <row r="25" spans="1:52" s="280" customFormat="1">
      <c r="A25" s="652"/>
      <c r="B25" s="653"/>
      <c r="C25" s="654" t="str">
        <f>C13</f>
        <v>PRK.2016.WKT-4.9.53224.40/302</v>
      </c>
      <c r="D25" s="1211"/>
      <c r="E25" s="655"/>
      <c r="F25" s="655"/>
      <c r="G25" s="657">
        <f>G13</f>
        <v>1919272884</v>
      </c>
      <c r="H25" s="657"/>
      <c r="I25" s="656"/>
      <c r="J25" s="657"/>
      <c r="K25" s="746"/>
      <c r="L25" s="781"/>
      <c r="M25" s="782"/>
      <c r="N25" s="1300">
        <f>SUM(N13:N24)</f>
        <v>0</v>
      </c>
      <c r="O25" s="1300">
        <f t="shared" ref="O25:V25" si="5">SUM(O13:O24)</f>
        <v>1919272883.8204799</v>
      </c>
      <c r="P25" s="1300">
        <f t="shared" si="5"/>
        <v>1919272883.8204799</v>
      </c>
      <c r="Q25" s="1300">
        <f t="shared" si="5"/>
        <v>0</v>
      </c>
      <c r="R25" s="1300">
        <f t="shared" si="5"/>
        <v>0</v>
      </c>
      <c r="S25" s="1300">
        <f t="shared" si="5"/>
        <v>0</v>
      </c>
      <c r="T25" s="1300">
        <f t="shared" si="5"/>
        <v>0</v>
      </c>
      <c r="U25" s="1300">
        <f t="shared" si="5"/>
        <v>0</v>
      </c>
      <c r="V25" s="1300">
        <f t="shared" si="5"/>
        <v>1919272883.8204799</v>
      </c>
      <c r="W25" s="786"/>
      <c r="X25" s="785"/>
      <c r="Y25" s="785"/>
      <c r="Z25" s="1300">
        <f>SUM(Z13:Z24)</f>
        <v>1919272883.8204799</v>
      </c>
      <c r="AA25" s="1212"/>
      <c r="AB25" s="756">
        <f t="shared" si="4"/>
        <v>0.1795201301574707</v>
      </c>
      <c r="AC25" s="1213"/>
      <c r="AD25" s="1382"/>
      <c r="AE25" s="38"/>
      <c r="AF25" s="38"/>
      <c r="AG25" s="383"/>
      <c r="AH25" s="32"/>
      <c r="AI25" s="1207"/>
      <c r="AJ25" s="1207"/>
      <c r="AK25" s="1208"/>
      <c r="AL25" s="1208"/>
      <c r="AM25" s="1209"/>
      <c r="AN25" s="1207"/>
      <c r="AO25" s="1207"/>
      <c r="AP25" s="1207"/>
      <c r="AQ25" s="1207"/>
      <c r="AR25" s="1207"/>
      <c r="AS25" s="1207"/>
      <c r="AT25" s="1207"/>
      <c r="AU25" s="1207"/>
      <c r="AV25" s="1207"/>
      <c r="AW25" s="1207"/>
      <c r="AX25" s="1207"/>
      <c r="AY25" s="1210"/>
      <c r="AZ25" s="1166"/>
    </row>
    <row r="26" spans="1:52" s="2496" customFormat="1" ht="31.5">
      <c r="A26" s="2474"/>
      <c r="B26" s="2530"/>
      <c r="C26" s="2476" t="s">
        <v>2145</v>
      </c>
      <c r="D26" s="2542" t="s">
        <v>2146</v>
      </c>
      <c r="E26" s="2533"/>
      <c r="F26" s="2533">
        <v>76574177</v>
      </c>
      <c r="G26" s="2478">
        <f>E26+F26</f>
        <v>76574177</v>
      </c>
      <c r="H26" s="2534"/>
      <c r="I26" s="2478"/>
      <c r="J26" s="2534"/>
      <c r="K26" s="2521"/>
      <c r="L26" s="2522"/>
      <c r="M26" s="2523" t="s">
        <v>2547</v>
      </c>
      <c r="N26" s="2538"/>
      <c r="O26" s="2539">
        <v>21225000</v>
      </c>
      <c r="P26" s="2525">
        <f>N26+O26</f>
        <v>21225000</v>
      </c>
      <c r="Q26" s="2540"/>
      <c r="R26" s="2540"/>
      <c r="S26" s="2540"/>
      <c r="T26" s="2540"/>
      <c r="U26" s="2540"/>
      <c r="V26" s="2487">
        <f>P26</f>
        <v>21225000</v>
      </c>
      <c r="W26" s="2543" t="s">
        <v>2548</v>
      </c>
      <c r="X26" s="2544">
        <v>42592</v>
      </c>
      <c r="Y26" s="2544">
        <v>42601</v>
      </c>
      <c r="Z26" s="2545">
        <f>V26</f>
        <v>21225000</v>
      </c>
      <c r="AA26" s="2546"/>
      <c r="AB26" s="2487">
        <f t="shared" si="4"/>
        <v>55349177</v>
      </c>
      <c r="AC26" s="2541"/>
      <c r="AD26" s="2492"/>
      <c r="AE26" s="2493"/>
      <c r="AF26" s="2493"/>
      <c r="AG26" s="2494"/>
      <c r="AH26" s="2491"/>
      <c r="AI26" s="2535"/>
      <c r="AJ26" s="2535"/>
      <c r="AK26" s="2536"/>
      <c r="AL26" s="2536"/>
      <c r="AM26" s="2537"/>
      <c r="AN26" s="2535"/>
      <c r="AO26" s="2535"/>
      <c r="AP26" s="2535"/>
      <c r="AQ26" s="2535"/>
      <c r="AR26" s="2535"/>
      <c r="AS26" s="2535"/>
      <c r="AT26" s="2535"/>
      <c r="AU26" s="2535"/>
      <c r="AV26" s="2535"/>
      <c r="AW26" s="2535"/>
      <c r="AX26" s="2535"/>
      <c r="AY26" s="2529"/>
      <c r="AZ26" s="2502"/>
    </row>
    <row r="27" spans="1:52" s="2496" customFormat="1" ht="31.5">
      <c r="A27" s="2474"/>
      <c r="B27" s="2530"/>
      <c r="C27" s="2547"/>
      <c r="D27" s="2542"/>
      <c r="E27" s="2533"/>
      <c r="F27" s="2533"/>
      <c r="G27" s="2534"/>
      <c r="H27" s="2534"/>
      <c r="I27" s="2478"/>
      <c r="J27" s="2534"/>
      <c r="K27" s="2521" t="s">
        <v>554</v>
      </c>
      <c r="L27" s="2522"/>
      <c r="M27" s="2523" t="s">
        <v>3031</v>
      </c>
      <c r="N27" s="2538"/>
      <c r="O27" s="2539">
        <v>6000000</v>
      </c>
      <c r="P27" s="2525">
        <f>N27+O27</f>
        <v>6000000</v>
      </c>
      <c r="Q27" s="2540"/>
      <c r="R27" s="2540"/>
      <c r="S27" s="2540"/>
      <c r="T27" s="2540"/>
      <c r="U27" s="2540"/>
      <c r="V27" s="2487">
        <f>P27</f>
        <v>6000000</v>
      </c>
      <c r="W27" s="2543" t="s">
        <v>3032</v>
      </c>
      <c r="X27" s="2544">
        <v>42670</v>
      </c>
      <c r="Y27" s="2544">
        <v>42676</v>
      </c>
      <c r="Z27" s="2545">
        <f>V27</f>
        <v>6000000</v>
      </c>
      <c r="AA27" s="2546"/>
      <c r="AB27" s="2487">
        <f t="shared" si="4"/>
        <v>-6000000</v>
      </c>
      <c r="AC27" s="2541"/>
      <c r="AD27" s="2492"/>
      <c r="AE27" s="2493"/>
      <c r="AF27" s="2493"/>
      <c r="AG27" s="2494"/>
      <c r="AH27" s="2491"/>
      <c r="AI27" s="2535"/>
      <c r="AJ27" s="2535"/>
      <c r="AK27" s="2536"/>
      <c r="AL27" s="2536"/>
      <c r="AM27" s="2537"/>
      <c r="AN27" s="2535"/>
      <c r="AO27" s="2535"/>
      <c r="AP27" s="2535"/>
      <c r="AQ27" s="2535"/>
      <c r="AR27" s="2535"/>
      <c r="AS27" s="2535"/>
      <c r="AT27" s="2535"/>
      <c r="AU27" s="2535"/>
      <c r="AV27" s="2535"/>
      <c r="AW27" s="2535"/>
      <c r="AX27" s="2535"/>
      <c r="AY27" s="2529"/>
      <c r="AZ27" s="2502"/>
    </row>
    <row r="28" spans="1:52" s="769" customFormat="1">
      <c r="A28" s="652"/>
      <c r="B28" s="653"/>
      <c r="C28" s="1564" t="str">
        <f>C26</f>
        <v>PRK.2016.WKT-4.9.53211.352</v>
      </c>
      <c r="D28" s="1566"/>
      <c r="E28" s="655"/>
      <c r="F28" s="655"/>
      <c r="G28" s="657">
        <f>G26</f>
        <v>76574177</v>
      </c>
      <c r="H28" s="657"/>
      <c r="I28" s="656"/>
      <c r="J28" s="657"/>
      <c r="K28" s="746"/>
      <c r="L28" s="781"/>
      <c r="M28" s="782"/>
      <c r="N28" s="1567">
        <f>SUM(N26:N27)</f>
        <v>0</v>
      </c>
      <c r="O28" s="1567">
        <f t="shared" ref="O28:V28" si="6">SUM(O26:O27)</f>
        <v>27225000</v>
      </c>
      <c r="P28" s="1567">
        <f t="shared" si="6"/>
        <v>27225000</v>
      </c>
      <c r="Q28" s="1567">
        <f t="shared" si="6"/>
        <v>0</v>
      </c>
      <c r="R28" s="1567">
        <f t="shared" si="6"/>
        <v>0</v>
      </c>
      <c r="S28" s="1567">
        <f t="shared" si="6"/>
        <v>0</v>
      </c>
      <c r="T28" s="1567">
        <f t="shared" si="6"/>
        <v>0</v>
      </c>
      <c r="U28" s="1567">
        <f t="shared" si="6"/>
        <v>0</v>
      </c>
      <c r="V28" s="1567">
        <f t="shared" si="6"/>
        <v>27225000</v>
      </c>
      <c r="W28" s="786"/>
      <c r="X28" s="785"/>
      <c r="Y28" s="785"/>
      <c r="Z28" s="1567">
        <f>SUM(Z26:Z27)</f>
        <v>27225000</v>
      </c>
      <c r="AA28" s="1212"/>
      <c r="AB28" s="756">
        <f t="shared" si="4"/>
        <v>49349177</v>
      </c>
      <c r="AC28" s="1213"/>
      <c r="AD28" s="1448"/>
      <c r="AE28" s="755"/>
      <c r="AF28" s="755"/>
      <c r="AG28" s="1449"/>
      <c r="AH28" s="767"/>
      <c r="AI28" s="1568"/>
      <c r="AJ28" s="1568"/>
      <c r="AK28" s="1569"/>
      <c r="AL28" s="1569"/>
      <c r="AM28" s="1570"/>
      <c r="AN28" s="1568"/>
      <c r="AO28" s="1568"/>
      <c r="AP28" s="1568"/>
      <c r="AQ28" s="1568"/>
      <c r="AR28" s="1568"/>
      <c r="AS28" s="1568"/>
      <c r="AT28" s="1568"/>
      <c r="AU28" s="1568"/>
      <c r="AV28" s="1568"/>
      <c r="AW28" s="1568"/>
      <c r="AX28" s="1568"/>
      <c r="AY28" s="1571"/>
      <c r="AZ28" s="1102"/>
    </row>
    <row r="29" spans="1:52" s="63" customFormat="1" ht="15.75" customHeight="1" thickBot="1">
      <c r="A29" s="121"/>
      <c r="B29" s="1157"/>
      <c r="C29" s="123"/>
      <c r="D29" s="124"/>
      <c r="E29" s="125"/>
      <c r="F29" s="125"/>
      <c r="G29" s="120"/>
      <c r="H29" s="115"/>
      <c r="I29" s="26"/>
      <c r="J29" s="127"/>
      <c r="K29" s="133"/>
      <c r="L29" s="133"/>
      <c r="M29" s="134"/>
      <c r="N29" s="791"/>
      <c r="O29" s="246"/>
      <c r="P29" s="46">
        <f>N29+O29</f>
        <v>0</v>
      </c>
      <c r="Q29" s="117"/>
      <c r="R29" s="117"/>
      <c r="S29" s="117"/>
      <c r="T29" s="117"/>
      <c r="U29" s="117"/>
      <c r="V29" s="59">
        <f>+P29</f>
        <v>0</v>
      </c>
      <c r="W29" s="145"/>
      <c r="X29" s="146"/>
      <c r="Y29" s="146"/>
      <c r="Z29" s="145">
        <f t="shared" si="3"/>
        <v>0</v>
      </c>
      <c r="AA29" s="790"/>
      <c r="AB29" s="57">
        <f>+E29-P29</f>
        <v>0</v>
      </c>
      <c r="AC29" s="117"/>
      <c r="AD29" s="1382"/>
      <c r="AE29" s="38"/>
      <c r="AF29" s="38"/>
      <c r="AG29" s="383"/>
      <c r="AH29" s="32"/>
      <c r="AI29" s="61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2"/>
    </row>
    <row r="30" spans="1:52" s="55" customFormat="1" ht="15.75" customHeight="1" thickBot="1">
      <c r="A30" s="2703" t="s">
        <v>45</v>
      </c>
      <c r="B30" s="2704"/>
      <c r="C30" s="2704"/>
      <c r="D30" s="2705"/>
      <c r="E30" s="65">
        <f>SUM(E13:E29)</f>
        <v>0</v>
      </c>
      <c r="F30" s="65">
        <f>+F25+F26</f>
        <v>76574177</v>
      </c>
      <c r="G30" s="65">
        <f>+G25+G26</f>
        <v>1995847061</v>
      </c>
      <c r="H30" s="65"/>
      <c r="I30" s="65"/>
      <c r="J30" s="65"/>
      <c r="K30" s="66"/>
      <c r="L30" s="1328"/>
      <c r="M30" s="1345"/>
      <c r="N30" s="65">
        <f>+N25+N28</f>
        <v>0</v>
      </c>
      <c r="O30" s="65">
        <f t="shared" ref="O30:V30" si="7">+O25+O28</f>
        <v>1946497883.8204799</v>
      </c>
      <c r="P30" s="65">
        <f t="shared" si="7"/>
        <v>1946497883.8204799</v>
      </c>
      <c r="Q30" s="65">
        <f t="shared" si="7"/>
        <v>0</v>
      </c>
      <c r="R30" s="65">
        <f t="shared" si="7"/>
        <v>0</v>
      </c>
      <c r="S30" s="65">
        <f t="shared" si="7"/>
        <v>0</v>
      </c>
      <c r="T30" s="65">
        <f t="shared" si="7"/>
        <v>0</v>
      </c>
      <c r="U30" s="65">
        <f t="shared" si="7"/>
        <v>0</v>
      </c>
      <c r="V30" s="65">
        <f t="shared" si="7"/>
        <v>1946497883.8204799</v>
      </c>
      <c r="W30" s="1257"/>
      <c r="X30" s="1258"/>
      <c r="Y30" s="1258"/>
      <c r="Z30" s="65">
        <f>+Z25+Z28</f>
        <v>1946497883.8204799</v>
      </c>
      <c r="AA30" s="65"/>
      <c r="AB30" s="65">
        <f>+AB25+AB26</f>
        <v>55349177.17952013</v>
      </c>
      <c r="AC30" s="76"/>
      <c r="AD30" s="1382"/>
      <c r="AE30" s="38"/>
      <c r="AF30" s="38"/>
      <c r="AG30" s="383"/>
      <c r="AH30" s="32"/>
      <c r="AI30" s="75"/>
      <c r="AJ30" s="100"/>
      <c r="AK30" s="100"/>
      <c r="AL30" s="74"/>
      <c r="AM30" s="74"/>
      <c r="AN30" s="74"/>
      <c r="AO30" s="74"/>
      <c r="AP30" s="64"/>
      <c r="AQ30" s="101" t="e">
        <f>SUM(#REF!)</f>
        <v>#REF!</v>
      </c>
      <c r="AR30" s="101">
        <f t="shared" ref="AR30:AX30" si="8">SUM(AR29:AR29)</f>
        <v>0</v>
      </c>
      <c r="AS30" s="101">
        <f t="shared" si="8"/>
        <v>0</v>
      </c>
      <c r="AT30" s="101">
        <f t="shared" si="8"/>
        <v>0</v>
      </c>
      <c r="AU30" s="101">
        <f t="shared" si="8"/>
        <v>0</v>
      </c>
      <c r="AV30" s="101">
        <f t="shared" si="8"/>
        <v>0</v>
      </c>
      <c r="AW30" s="101">
        <f t="shared" si="8"/>
        <v>0</v>
      </c>
      <c r="AX30" s="102">
        <f t="shared" si="8"/>
        <v>0</v>
      </c>
      <c r="AZ30" s="56"/>
    </row>
    <row r="31" spans="1:52" s="54" customFormat="1" ht="15.75" customHeight="1">
      <c r="A31" s="80"/>
      <c r="B31" s="80"/>
      <c r="C31" s="80"/>
      <c r="D31" s="80"/>
      <c r="E31" s="110"/>
      <c r="F31" s="110"/>
      <c r="G31" s="110"/>
      <c r="H31" s="110"/>
      <c r="I31" s="110"/>
      <c r="J31" s="110"/>
      <c r="K31" s="111"/>
      <c r="L31" s="1329"/>
      <c r="M31" s="1346"/>
      <c r="N31" s="110"/>
      <c r="O31" s="110"/>
      <c r="P31" s="110"/>
      <c r="Q31" s="110"/>
      <c r="R31" s="110"/>
      <c r="S31" s="110"/>
      <c r="T31" s="110"/>
      <c r="U31" s="110"/>
      <c r="V31" s="103"/>
      <c r="W31" s="374"/>
      <c r="X31" s="375"/>
      <c r="Y31" s="375"/>
      <c r="Z31" s="110"/>
      <c r="AA31" s="110"/>
      <c r="AB31" s="110"/>
      <c r="AC31" s="113"/>
      <c r="AD31" s="1382"/>
      <c r="AE31" s="38"/>
      <c r="AF31" s="38"/>
      <c r="AG31" s="383"/>
      <c r="AH31" s="32"/>
      <c r="AI31" s="53"/>
      <c r="AQ31" s="103"/>
      <c r="AR31" s="103"/>
      <c r="AS31" s="103"/>
      <c r="AT31" s="103"/>
      <c r="AU31" s="103"/>
      <c r="AV31" s="103"/>
      <c r="AW31" s="103"/>
      <c r="AX31" s="103"/>
    </row>
    <row r="32" spans="1:52" s="2493" customFormat="1" ht="31.5">
      <c r="A32" s="2548">
        <v>2</v>
      </c>
      <c r="B32" s="2729" t="s">
        <v>2032</v>
      </c>
      <c r="C32" s="2549" t="s">
        <v>51</v>
      </c>
      <c r="D32" s="2549" t="s">
        <v>52</v>
      </c>
      <c r="E32" s="2550"/>
      <c r="F32" s="2485">
        <v>11910659609</v>
      </c>
      <c r="G32" s="2551">
        <f>+E32+F32</f>
        <v>11910659609</v>
      </c>
      <c r="H32" s="2485" t="s">
        <v>1483</v>
      </c>
      <c r="I32" s="2552">
        <v>42520</v>
      </c>
      <c r="J32" s="2485" t="s">
        <v>900</v>
      </c>
      <c r="K32" s="2505"/>
      <c r="L32" s="2506"/>
      <c r="M32" s="2507" t="s">
        <v>901</v>
      </c>
      <c r="N32" s="2500"/>
      <c r="O32" s="2512">
        <v>0</v>
      </c>
      <c r="P32" s="2485">
        <f>N32+O32</f>
        <v>0</v>
      </c>
      <c r="Q32" s="2550"/>
      <c r="R32" s="2550"/>
      <c r="S32" s="2550"/>
      <c r="T32" s="2550"/>
      <c r="U32" s="2550"/>
      <c r="V32" s="2485">
        <v>0</v>
      </c>
      <c r="W32" s="2508"/>
      <c r="X32" s="2509"/>
      <c r="Y32" s="2510"/>
      <c r="Z32" s="2550">
        <f t="shared" ref="Z32:Z38" si="9">V32</f>
        <v>0</v>
      </c>
      <c r="AA32" s="2553">
        <v>1</v>
      </c>
      <c r="AB32" s="2487">
        <f t="shared" ref="AB32:AB57" si="10">+G32-P32</f>
        <v>11910659609</v>
      </c>
      <c r="AC32" s="2554"/>
      <c r="AD32" s="2492"/>
      <c r="AG32" s="2494"/>
      <c r="AH32" s="2491"/>
      <c r="AI32" s="2528"/>
      <c r="AQ32" s="2550"/>
      <c r="AR32" s="2550"/>
      <c r="AS32" s="2550"/>
      <c r="AT32" s="2550"/>
      <c r="AU32" s="2550"/>
      <c r="AV32" s="2550"/>
      <c r="AW32" s="2550"/>
      <c r="AX32" s="2550"/>
    </row>
    <row r="33" spans="1:50" s="2493" customFormat="1" ht="47.25">
      <c r="A33" s="2548"/>
      <c r="B33" s="2730"/>
      <c r="C33" s="2555"/>
      <c r="D33" s="2549"/>
      <c r="E33" s="2550"/>
      <c r="F33" s="2485"/>
      <c r="G33" s="2485"/>
      <c r="H33" s="2550"/>
      <c r="I33" s="2550"/>
      <c r="J33" s="2556"/>
      <c r="K33" s="2557" t="s">
        <v>916</v>
      </c>
      <c r="L33" s="2558" t="s">
        <v>918</v>
      </c>
      <c r="M33" s="2559" t="s">
        <v>1018</v>
      </c>
      <c r="N33" s="2556"/>
      <c r="O33" s="2560">
        <v>344665402</v>
      </c>
      <c r="P33" s="2551">
        <v>344665402</v>
      </c>
      <c r="Q33" s="2550"/>
      <c r="R33" s="2550"/>
      <c r="S33" s="2550"/>
      <c r="T33" s="2550"/>
      <c r="U33" s="2550"/>
      <c r="V33" s="2485">
        <f t="shared" ref="V33:V38" si="11">P33</f>
        <v>344665402</v>
      </c>
      <c r="W33" s="2526" t="s">
        <v>1017</v>
      </c>
      <c r="X33" s="2509">
        <v>42478</v>
      </c>
      <c r="Y33" s="2509">
        <v>42487</v>
      </c>
      <c r="Z33" s="2550">
        <f t="shared" si="9"/>
        <v>344665402</v>
      </c>
      <c r="AA33" s="2553">
        <v>1</v>
      </c>
      <c r="AB33" s="2487">
        <f t="shared" si="10"/>
        <v>-344665402</v>
      </c>
      <c r="AC33" s="2554"/>
      <c r="AD33" s="2492"/>
      <c r="AG33" s="2494"/>
      <c r="AH33" s="2491"/>
      <c r="AI33" s="2528"/>
      <c r="AQ33" s="2550"/>
      <c r="AR33" s="2550"/>
      <c r="AS33" s="2550"/>
      <c r="AT33" s="2550"/>
      <c r="AU33" s="2550"/>
      <c r="AV33" s="2550"/>
      <c r="AW33" s="2550"/>
      <c r="AX33" s="2550"/>
    </row>
    <row r="34" spans="1:50" s="2493" customFormat="1" ht="31.5">
      <c r="A34" s="2548"/>
      <c r="B34" s="2731"/>
      <c r="C34" s="2561"/>
      <c r="D34" s="2549"/>
      <c r="E34" s="2550"/>
      <c r="F34" s="2485"/>
      <c r="G34" s="2485"/>
      <c r="H34" s="2550"/>
      <c r="I34" s="2550"/>
      <c r="J34" s="2550"/>
      <c r="K34" s="2505" t="s">
        <v>917</v>
      </c>
      <c r="L34" s="2506" t="s">
        <v>918</v>
      </c>
      <c r="M34" s="2507" t="s">
        <v>1019</v>
      </c>
      <c r="N34" s="2483"/>
      <c r="O34" s="2483">
        <v>321006672</v>
      </c>
      <c r="P34" s="2485">
        <v>321006672</v>
      </c>
      <c r="Q34" s="2486"/>
      <c r="R34" s="2486"/>
      <c r="S34" s="2486"/>
      <c r="T34" s="2486"/>
      <c r="U34" s="2486"/>
      <c r="V34" s="2485">
        <f t="shared" si="11"/>
        <v>321006672</v>
      </c>
      <c r="W34" s="2526" t="s">
        <v>1017</v>
      </c>
      <c r="X34" s="2509">
        <v>42478</v>
      </c>
      <c r="Y34" s="2509">
        <v>42487</v>
      </c>
      <c r="Z34" s="2550">
        <f t="shared" si="9"/>
        <v>321006672</v>
      </c>
      <c r="AA34" s="2553">
        <v>1</v>
      </c>
      <c r="AB34" s="2487">
        <f t="shared" si="10"/>
        <v>-321006672</v>
      </c>
      <c r="AC34" s="2554"/>
      <c r="AD34" s="2492"/>
      <c r="AG34" s="2494"/>
      <c r="AH34" s="2491"/>
      <c r="AI34" s="2528"/>
      <c r="AQ34" s="2550"/>
      <c r="AR34" s="2550"/>
      <c r="AS34" s="2550"/>
      <c r="AT34" s="2550"/>
      <c r="AU34" s="2550"/>
      <c r="AV34" s="2550"/>
      <c r="AW34" s="2550"/>
      <c r="AX34" s="2550"/>
    </row>
    <row r="35" spans="1:50" s="2493" customFormat="1" ht="47.25">
      <c r="A35" s="2548"/>
      <c r="B35" s="2562"/>
      <c r="C35" s="2549"/>
      <c r="D35" s="2549"/>
      <c r="E35" s="2550"/>
      <c r="F35" s="2485"/>
      <c r="G35" s="2485"/>
      <c r="H35" s="2550"/>
      <c r="I35" s="2550"/>
      <c r="J35" s="2550"/>
      <c r="K35" s="2557" t="s">
        <v>916</v>
      </c>
      <c r="L35" s="2558" t="s">
        <v>918</v>
      </c>
      <c r="M35" s="2559" t="s">
        <v>1460</v>
      </c>
      <c r="N35" s="2556"/>
      <c r="O35" s="2560">
        <v>348501794</v>
      </c>
      <c r="P35" s="2551">
        <f>O35</f>
        <v>348501794</v>
      </c>
      <c r="Q35" s="2550"/>
      <c r="R35" s="2550"/>
      <c r="S35" s="2550"/>
      <c r="T35" s="2550"/>
      <c r="U35" s="2550"/>
      <c r="V35" s="2485">
        <f t="shared" si="11"/>
        <v>348501794</v>
      </c>
      <c r="W35" s="2508" t="s">
        <v>1349</v>
      </c>
      <c r="X35" s="2510">
        <v>42513</v>
      </c>
      <c r="Y35" s="2511">
        <v>42520</v>
      </c>
      <c r="Z35" s="2550">
        <f t="shared" si="9"/>
        <v>348501794</v>
      </c>
      <c r="AA35" s="2553">
        <v>1</v>
      </c>
      <c r="AB35" s="2487">
        <f t="shared" si="10"/>
        <v>-348501794</v>
      </c>
      <c r="AC35" s="2554"/>
      <c r="AD35" s="2492"/>
      <c r="AG35" s="2563"/>
      <c r="AI35" s="2528"/>
      <c r="AQ35" s="2550"/>
      <c r="AR35" s="2550"/>
      <c r="AS35" s="2550"/>
      <c r="AT35" s="2550"/>
      <c r="AU35" s="2550"/>
      <c r="AV35" s="2550"/>
      <c r="AW35" s="2550"/>
      <c r="AX35" s="2550"/>
    </row>
    <row r="36" spans="1:50" s="2493" customFormat="1" ht="31.5">
      <c r="A36" s="2548"/>
      <c r="B36" s="2729" t="s">
        <v>2031</v>
      </c>
      <c r="C36" s="2549"/>
      <c r="D36" s="2549"/>
      <c r="E36" s="2550"/>
      <c r="F36" s="2485"/>
      <c r="G36" s="2485"/>
      <c r="H36" s="2550"/>
      <c r="I36" s="2550"/>
      <c r="J36" s="2550"/>
      <c r="K36" s="2505" t="s">
        <v>917</v>
      </c>
      <c r="L36" s="2506" t="s">
        <v>918</v>
      </c>
      <c r="M36" s="2507" t="s">
        <v>1461</v>
      </c>
      <c r="N36" s="2483"/>
      <c r="O36" s="2483">
        <v>321006672</v>
      </c>
      <c r="P36" s="2485">
        <f>O36</f>
        <v>321006672</v>
      </c>
      <c r="Q36" s="2486"/>
      <c r="R36" s="2486"/>
      <c r="S36" s="2486"/>
      <c r="T36" s="2486"/>
      <c r="U36" s="2486"/>
      <c r="V36" s="2485">
        <f t="shared" si="11"/>
        <v>321006672</v>
      </c>
      <c r="W36" s="2508" t="s">
        <v>1349</v>
      </c>
      <c r="X36" s="2510">
        <v>42513</v>
      </c>
      <c r="Y36" s="2511">
        <v>42520</v>
      </c>
      <c r="Z36" s="2550">
        <f t="shared" si="9"/>
        <v>321006672</v>
      </c>
      <c r="AA36" s="2553">
        <v>1</v>
      </c>
      <c r="AB36" s="2487">
        <f t="shared" si="10"/>
        <v>-321006672</v>
      </c>
      <c r="AC36" s="2554"/>
      <c r="AD36" s="2513"/>
      <c r="AG36" s="2501"/>
      <c r="AH36" s="2554"/>
      <c r="AI36" s="2528"/>
      <c r="AQ36" s="2550"/>
      <c r="AR36" s="2550"/>
      <c r="AS36" s="2550"/>
      <c r="AT36" s="2550"/>
      <c r="AU36" s="2550"/>
      <c r="AV36" s="2550"/>
      <c r="AW36" s="2550"/>
      <c r="AX36" s="2550"/>
    </row>
    <row r="37" spans="1:50" s="2493" customFormat="1" ht="47.25">
      <c r="A37" s="2564"/>
      <c r="B37" s="2730"/>
      <c r="C37" s="2555"/>
      <c r="D37" s="2565"/>
      <c r="E37" s="2566"/>
      <c r="F37" s="2525"/>
      <c r="G37" s="2525"/>
      <c r="H37" s="2566"/>
      <c r="I37" s="2566"/>
      <c r="J37" s="2566"/>
      <c r="K37" s="2557" t="s">
        <v>916</v>
      </c>
      <c r="L37" s="2558" t="s">
        <v>918</v>
      </c>
      <c r="M37" s="2559" t="s">
        <v>1683</v>
      </c>
      <c r="N37" s="2556"/>
      <c r="O37" s="2483">
        <v>349660844</v>
      </c>
      <c r="P37" s="2485">
        <f>O37</f>
        <v>349660844</v>
      </c>
      <c r="Q37" s="2486"/>
      <c r="R37" s="2486"/>
      <c r="S37" s="2486"/>
      <c r="T37" s="2486"/>
      <c r="U37" s="2486"/>
      <c r="V37" s="2485">
        <f t="shared" si="11"/>
        <v>349660844</v>
      </c>
      <c r="W37" s="2567" t="s">
        <v>1685</v>
      </c>
      <c r="X37" s="2568">
        <v>42528</v>
      </c>
      <c r="Y37" s="2569">
        <v>42534</v>
      </c>
      <c r="Z37" s="2566">
        <f t="shared" si="9"/>
        <v>349660844</v>
      </c>
      <c r="AA37" s="2553">
        <v>1</v>
      </c>
      <c r="AB37" s="2487">
        <f t="shared" si="10"/>
        <v>-349660844</v>
      </c>
      <c r="AC37" s="2570"/>
      <c r="AD37" s="2513"/>
      <c r="AE37" s="2571"/>
      <c r="AF37" s="2571"/>
      <c r="AG37" s="2572"/>
      <c r="AH37" s="2571"/>
      <c r="AI37" s="2528"/>
      <c r="AQ37" s="2550"/>
      <c r="AR37" s="2550"/>
      <c r="AS37" s="2550"/>
      <c r="AT37" s="2550"/>
      <c r="AU37" s="2550"/>
      <c r="AV37" s="2550"/>
      <c r="AW37" s="2550"/>
      <c r="AX37" s="2550"/>
    </row>
    <row r="38" spans="1:50" s="2493" customFormat="1" ht="31.5">
      <c r="A38" s="2564"/>
      <c r="B38" s="2731"/>
      <c r="C38" s="2561"/>
      <c r="D38" s="2565"/>
      <c r="E38" s="2566"/>
      <c r="F38" s="2525"/>
      <c r="G38" s="2525"/>
      <c r="H38" s="2566"/>
      <c r="I38" s="2566"/>
      <c r="J38" s="2566"/>
      <c r="K38" s="2505" t="s">
        <v>917</v>
      </c>
      <c r="L38" s="2506" t="s">
        <v>918</v>
      </c>
      <c r="M38" s="2507" t="s">
        <v>1684</v>
      </c>
      <c r="N38" s="2483"/>
      <c r="O38" s="2483">
        <v>336435650</v>
      </c>
      <c r="P38" s="2485">
        <f>O38</f>
        <v>336435650</v>
      </c>
      <c r="Q38" s="2486"/>
      <c r="R38" s="2486"/>
      <c r="S38" s="2486"/>
      <c r="T38" s="2486"/>
      <c r="U38" s="2486"/>
      <c r="V38" s="2485">
        <f t="shared" si="11"/>
        <v>336435650</v>
      </c>
      <c r="W38" s="2567" t="s">
        <v>1685</v>
      </c>
      <c r="X38" s="2568">
        <v>42528</v>
      </c>
      <c r="Y38" s="2569">
        <v>42534</v>
      </c>
      <c r="Z38" s="2566">
        <f t="shared" si="9"/>
        <v>336435650</v>
      </c>
      <c r="AA38" s="2553">
        <v>1</v>
      </c>
      <c r="AB38" s="2487">
        <f t="shared" si="10"/>
        <v>-336435650</v>
      </c>
      <c r="AC38" s="2570"/>
      <c r="AD38" s="2492"/>
      <c r="AG38" s="2491"/>
      <c r="AH38" s="2491"/>
      <c r="AI38" s="2528"/>
      <c r="AQ38" s="2550"/>
      <c r="AR38" s="2550"/>
      <c r="AS38" s="2550"/>
      <c r="AT38" s="2550"/>
      <c r="AU38" s="2550"/>
      <c r="AV38" s="2550"/>
      <c r="AW38" s="2550"/>
      <c r="AX38" s="2550"/>
    </row>
    <row r="39" spans="1:50" s="2493" customFormat="1" ht="47.25">
      <c r="A39" s="2564"/>
      <c r="B39" s="2573"/>
      <c r="C39" s="2565"/>
      <c r="D39" s="2565"/>
      <c r="E39" s="2566"/>
      <c r="F39" s="2525"/>
      <c r="G39" s="2525"/>
      <c r="H39" s="2566"/>
      <c r="I39" s="2566"/>
      <c r="J39" s="2566"/>
      <c r="K39" s="2521" t="s">
        <v>793</v>
      </c>
      <c r="L39" s="2522" t="s">
        <v>794</v>
      </c>
      <c r="M39" s="2523" t="s">
        <v>1702</v>
      </c>
      <c r="N39" s="2483"/>
      <c r="O39" s="2483">
        <v>86634005.920000002</v>
      </c>
      <c r="P39" s="2525">
        <v>86634005.920000002</v>
      </c>
      <c r="Q39" s="2574"/>
      <c r="R39" s="2574"/>
      <c r="S39" s="2574"/>
      <c r="T39" s="2574"/>
      <c r="U39" s="2574"/>
      <c r="V39" s="2575">
        <v>86634005.920000002</v>
      </c>
      <c r="W39" s="2567" t="s">
        <v>1117</v>
      </c>
      <c r="X39" s="2568"/>
      <c r="Y39" s="2569">
        <v>42474</v>
      </c>
      <c r="Z39" s="2566">
        <v>86634005.920000002</v>
      </c>
      <c r="AA39" s="2553">
        <v>1</v>
      </c>
      <c r="AB39" s="2487">
        <f t="shared" si="10"/>
        <v>-86634005.920000002</v>
      </c>
      <c r="AC39" s="2570" t="s">
        <v>933</v>
      </c>
      <c r="AD39" s="2576"/>
      <c r="AH39" s="2577"/>
      <c r="AI39" s="2528"/>
      <c r="AQ39" s="2550"/>
      <c r="AR39" s="2550"/>
      <c r="AS39" s="2550"/>
      <c r="AT39" s="2550"/>
      <c r="AU39" s="2550"/>
      <c r="AV39" s="2550"/>
      <c r="AW39" s="2550"/>
      <c r="AX39" s="2550"/>
    </row>
    <row r="40" spans="1:50" s="2493" customFormat="1" ht="31.5">
      <c r="A40" s="2564"/>
      <c r="B40" s="2729" t="s">
        <v>2148</v>
      </c>
      <c r="C40" s="2565"/>
      <c r="D40" s="2565"/>
      <c r="E40" s="2566"/>
      <c r="F40" s="2525"/>
      <c r="G40" s="2525"/>
      <c r="H40" s="2566"/>
      <c r="I40" s="2566"/>
      <c r="J40" s="2566"/>
      <c r="K40" s="2521" t="s">
        <v>846</v>
      </c>
      <c r="L40" s="2522" t="s">
        <v>794</v>
      </c>
      <c r="M40" s="2523" t="s">
        <v>1265</v>
      </c>
      <c r="N40" s="2483"/>
      <c r="O40" s="2483">
        <v>60101110.035120003</v>
      </c>
      <c r="P40" s="2525">
        <v>60101110.035120003</v>
      </c>
      <c r="Q40" s="2574"/>
      <c r="R40" s="2574"/>
      <c r="S40" s="2574"/>
      <c r="T40" s="2574"/>
      <c r="U40" s="2574"/>
      <c r="V40" s="2575">
        <v>60101110.035120003</v>
      </c>
      <c r="W40" s="2567" t="s">
        <v>1117</v>
      </c>
      <c r="X40" s="2568"/>
      <c r="Y40" s="2569">
        <v>42474</v>
      </c>
      <c r="Z40" s="2566">
        <v>60101110.035120003</v>
      </c>
      <c r="AA40" s="2553">
        <v>1</v>
      </c>
      <c r="AB40" s="2487">
        <f t="shared" si="10"/>
        <v>-60101110.035120003</v>
      </c>
      <c r="AC40" s="2570" t="s">
        <v>933</v>
      </c>
      <c r="AD40" s="2492"/>
      <c r="AI40" s="2528"/>
      <c r="AQ40" s="2550"/>
      <c r="AR40" s="2550"/>
      <c r="AS40" s="2550"/>
      <c r="AT40" s="2550"/>
      <c r="AU40" s="2550"/>
      <c r="AV40" s="2550"/>
      <c r="AW40" s="2550"/>
      <c r="AX40" s="2550"/>
    </row>
    <row r="41" spans="1:50" s="2493" customFormat="1" ht="47.25">
      <c r="A41" s="2564"/>
      <c r="B41" s="2730"/>
      <c r="C41" s="2565"/>
      <c r="D41" s="2565"/>
      <c r="E41" s="2566"/>
      <c r="F41" s="2525"/>
      <c r="G41" s="2525"/>
      <c r="H41" s="2566"/>
      <c r="I41" s="2566"/>
      <c r="J41" s="2566"/>
      <c r="K41" s="2521" t="s">
        <v>793</v>
      </c>
      <c r="L41" s="2522" t="s">
        <v>794</v>
      </c>
      <c r="M41" s="2523" t="s">
        <v>1703</v>
      </c>
      <c r="N41" s="2483"/>
      <c r="O41" s="2483">
        <v>86634005.920000002</v>
      </c>
      <c r="P41" s="2525">
        <v>86634005.920000002</v>
      </c>
      <c r="Q41" s="2574"/>
      <c r="R41" s="2574"/>
      <c r="S41" s="2574"/>
      <c r="T41" s="2574"/>
      <c r="U41" s="2574"/>
      <c r="V41" s="2575">
        <v>86634005.920000002</v>
      </c>
      <c r="W41" s="2567" t="s">
        <v>1701</v>
      </c>
      <c r="X41" s="2568">
        <v>42522</v>
      </c>
      <c r="Y41" s="2569">
        <v>42528</v>
      </c>
      <c r="Z41" s="2566">
        <v>86634005.920000002</v>
      </c>
      <c r="AA41" s="2553">
        <v>1</v>
      </c>
      <c r="AB41" s="2487">
        <f t="shared" si="10"/>
        <v>-86634005.920000002</v>
      </c>
      <c r="AC41" s="2570"/>
      <c r="AD41" s="2492"/>
      <c r="AI41" s="2528"/>
      <c r="AQ41" s="2550"/>
      <c r="AR41" s="2550"/>
      <c r="AS41" s="2550"/>
      <c r="AT41" s="2550"/>
      <c r="AU41" s="2550"/>
      <c r="AV41" s="2550"/>
      <c r="AW41" s="2550"/>
      <c r="AX41" s="2550"/>
    </row>
    <row r="42" spans="1:50" s="2493" customFormat="1" ht="31.5">
      <c r="A42" s="2564"/>
      <c r="B42" s="2731"/>
      <c r="C42" s="2565"/>
      <c r="D42" s="2565"/>
      <c r="E42" s="2566"/>
      <c r="F42" s="2525"/>
      <c r="G42" s="2525"/>
      <c r="H42" s="2566"/>
      <c r="I42" s="2566"/>
      <c r="J42" s="2566"/>
      <c r="K42" s="2521" t="s">
        <v>846</v>
      </c>
      <c r="L42" s="2522" t="s">
        <v>794</v>
      </c>
      <c r="M42" s="2523" t="s">
        <v>1700</v>
      </c>
      <c r="N42" s="2483"/>
      <c r="O42" s="2483">
        <v>60101110.035120003</v>
      </c>
      <c r="P42" s="2525">
        <v>60101110.035120003</v>
      </c>
      <c r="Q42" s="2574"/>
      <c r="R42" s="2574"/>
      <c r="S42" s="2574"/>
      <c r="T42" s="2574"/>
      <c r="U42" s="2574"/>
      <c r="V42" s="2575">
        <v>60101110.035120003</v>
      </c>
      <c r="W42" s="2567" t="s">
        <v>1701</v>
      </c>
      <c r="X42" s="2568">
        <v>42522</v>
      </c>
      <c r="Y42" s="2569">
        <v>42528</v>
      </c>
      <c r="Z42" s="2566">
        <v>60101110.035120003</v>
      </c>
      <c r="AA42" s="2553">
        <v>1</v>
      </c>
      <c r="AB42" s="2487">
        <f t="shared" si="10"/>
        <v>-60101110.035120003</v>
      </c>
      <c r="AC42" s="2570"/>
      <c r="AD42" s="2492"/>
      <c r="AI42" s="2528"/>
      <c r="AQ42" s="2550"/>
      <c r="AR42" s="2550"/>
      <c r="AS42" s="2550"/>
      <c r="AT42" s="2550"/>
      <c r="AU42" s="2550"/>
      <c r="AV42" s="2550"/>
      <c r="AW42" s="2550"/>
      <c r="AX42" s="2550"/>
    </row>
    <row r="43" spans="1:50" s="2493" customFormat="1" ht="47.25">
      <c r="A43" s="2564"/>
      <c r="B43" s="2573"/>
      <c r="C43" s="2565"/>
      <c r="D43" s="2565"/>
      <c r="E43" s="2566"/>
      <c r="F43" s="2525"/>
      <c r="G43" s="2525"/>
      <c r="H43" s="2566"/>
      <c r="I43" s="2566"/>
      <c r="J43" s="2566"/>
      <c r="K43" s="2521" t="s">
        <v>793</v>
      </c>
      <c r="L43" s="2522" t="s">
        <v>794</v>
      </c>
      <c r="M43" s="2523" t="s">
        <v>1717</v>
      </c>
      <c r="N43" s="2483"/>
      <c r="O43" s="2483">
        <v>89801311</v>
      </c>
      <c r="P43" s="2525">
        <f>N43+O43</f>
        <v>89801311</v>
      </c>
      <c r="Q43" s="2574"/>
      <c r="R43" s="2574"/>
      <c r="S43" s="2574"/>
      <c r="T43" s="2574"/>
      <c r="U43" s="2574"/>
      <c r="V43" s="2575">
        <f>P43</f>
        <v>89801311</v>
      </c>
      <c r="W43" s="2567" t="s">
        <v>1698</v>
      </c>
      <c r="X43" s="2568">
        <v>42534</v>
      </c>
      <c r="Y43" s="2569">
        <v>42549</v>
      </c>
      <c r="Z43" s="2578">
        <f>V43</f>
        <v>89801311</v>
      </c>
      <c r="AA43" s="2553">
        <v>1</v>
      </c>
      <c r="AB43" s="2487">
        <f t="shared" si="10"/>
        <v>-89801311</v>
      </c>
      <c r="AC43" s="2570"/>
      <c r="AD43" s="2492"/>
      <c r="AI43" s="2528"/>
      <c r="AQ43" s="2550"/>
      <c r="AR43" s="2550"/>
      <c r="AS43" s="2550"/>
      <c r="AT43" s="2550"/>
      <c r="AU43" s="2550"/>
      <c r="AV43" s="2550"/>
      <c r="AW43" s="2550"/>
      <c r="AX43" s="2550"/>
    </row>
    <row r="44" spans="1:50" s="2493" customFormat="1" ht="31.5">
      <c r="A44" s="2564"/>
      <c r="B44" s="2573"/>
      <c r="C44" s="2565"/>
      <c r="D44" s="2565"/>
      <c r="E44" s="2566"/>
      <c r="F44" s="2525"/>
      <c r="G44" s="2525"/>
      <c r="H44" s="2566"/>
      <c r="I44" s="2566"/>
      <c r="J44" s="2566"/>
      <c r="K44" s="2521" t="s">
        <v>846</v>
      </c>
      <c r="L44" s="2522" t="s">
        <v>794</v>
      </c>
      <c r="M44" s="2523" t="s">
        <v>1718</v>
      </c>
      <c r="N44" s="2483"/>
      <c r="O44" s="2483">
        <v>61190250</v>
      </c>
      <c r="P44" s="2525">
        <f>N44+O44</f>
        <v>61190250</v>
      </c>
      <c r="Q44" s="2574"/>
      <c r="R44" s="2574"/>
      <c r="S44" s="2574"/>
      <c r="T44" s="2574"/>
      <c r="U44" s="2574"/>
      <c r="V44" s="2575">
        <f>P44</f>
        <v>61190250</v>
      </c>
      <c r="W44" s="2567" t="s">
        <v>1698</v>
      </c>
      <c r="X44" s="2544">
        <v>42534</v>
      </c>
      <c r="Y44" s="2544">
        <v>42549</v>
      </c>
      <c r="Z44" s="2578">
        <f>V44</f>
        <v>61190250</v>
      </c>
      <c r="AA44" s="2579">
        <v>1</v>
      </c>
      <c r="AB44" s="2487">
        <f t="shared" si="10"/>
        <v>-61190250</v>
      </c>
      <c r="AC44" s="2570"/>
      <c r="AD44" s="2492"/>
      <c r="AI44" s="2528"/>
      <c r="AQ44" s="2550"/>
      <c r="AR44" s="2550"/>
      <c r="AS44" s="2550"/>
      <c r="AT44" s="2550"/>
      <c r="AU44" s="2550"/>
      <c r="AV44" s="2550"/>
      <c r="AW44" s="2550"/>
      <c r="AX44" s="2550"/>
    </row>
    <row r="45" spans="1:50" s="2493" customFormat="1" ht="47.25">
      <c r="A45" s="2564"/>
      <c r="B45" s="2573"/>
      <c r="C45" s="2565"/>
      <c r="D45" s="2565"/>
      <c r="E45" s="2566"/>
      <c r="F45" s="2525"/>
      <c r="G45" s="2525"/>
      <c r="H45" s="2566"/>
      <c r="I45" s="2566"/>
      <c r="J45" s="2566"/>
      <c r="K45" s="2521" t="s">
        <v>793</v>
      </c>
      <c r="L45" s="2522" t="s">
        <v>794</v>
      </c>
      <c r="M45" s="2523" t="s">
        <v>2226</v>
      </c>
      <c r="N45" s="2539"/>
      <c r="O45" s="2483">
        <v>89801311</v>
      </c>
      <c r="P45" s="2525">
        <f>N45+O45</f>
        <v>89801311</v>
      </c>
      <c r="Q45" s="2574"/>
      <c r="R45" s="2574"/>
      <c r="S45" s="2574"/>
      <c r="T45" s="2574"/>
      <c r="U45" s="2574"/>
      <c r="V45" s="2575">
        <f>P45</f>
        <v>89801311</v>
      </c>
      <c r="W45" s="2567" t="s">
        <v>1992</v>
      </c>
      <c r="X45" s="2544">
        <v>42573</v>
      </c>
      <c r="Y45" s="2544">
        <v>42579</v>
      </c>
      <c r="Z45" s="2578">
        <f>V45</f>
        <v>89801311</v>
      </c>
      <c r="AA45" s="2579">
        <v>1</v>
      </c>
      <c r="AB45" s="2487">
        <f t="shared" si="10"/>
        <v>-89801311</v>
      </c>
      <c r="AC45" s="2570"/>
      <c r="AD45" s="2492"/>
      <c r="AI45" s="2528"/>
      <c r="AQ45" s="2550"/>
      <c r="AR45" s="2550"/>
      <c r="AS45" s="2550"/>
      <c r="AT45" s="2550"/>
      <c r="AU45" s="2550"/>
      <c r="AV45" s="2550"/>
      <c r="AW45" s="2550"/>
      <c r="AX45" s="2550"/>
    </row>
    <row r="46" spans="1:50" s="2493" customFormat="1" ht="31.5">
      <c r="A46" s="2564"/>
      <c r="B46" s="2573"/>
      <c r="C46" s="2565"/>
      <c r="D46" s="2565"/>
      <c r="E46" s="2566"/>
      <c r="F46" s="2525"/>
      <c r="G46" s="2525"/>
      <c r="H46" s="2566"/>
      <c r="I46" s="2566"/>
      <c r="J46" s="2566"/>
      <c r="K46" s="2521" t="s">
        <v>846</v>
      </c>
      <c r="L46" s="2522" t="s">
        <v>794</v>
      </c>
      <c r="M46" s="2523" t="s">
        <v>2224</v>
      </c>
      <c r="N46" s="2539"/>
      <c r="O46" s="2483">
        <v>61190250</v>
      </c>
      <c r="P46" s="2525">
        <f>N46+O46</f>
        <v>61190250</v>
      </c>
      <c r="Q46" s="2574"/>
      <c r="R46" s="2574"/>
      <c r="S46" s="2574"/>
      <c r="T46" s="2574"/>
      <c r="U46" s="2574"/>
      <c r="V46" s="2575">
        <f>P46</f>
        <v>61190250</v>
      </c>
      <c r="W46" s="2567" t="s">
        <v>1992</v>
      </c>
      <c r="X46" s="2544">
        <v>42573</v>
      </c>
      <c r="Y46" s="2544">
        <v>42579</v>
      </c>
      <c r="Z46" s="2578">
        <f>V46</f>
        <v>61190250</v>
      </c>
      <c r="AA46" s="2579">
        <v>1</v>
      </c>
      <c r="AB46" s="2487">
        <f t="shared" si="10"/>
        <v>-61190250</v>
      </c>
      <c r="AC46" s="2570"/>
      <c r="AD46" s="2492"/>
      <c r="AI46" s="2528"/>
      <c r="AQ46" s="2550"/>
      <c r="AR46" s="2550"/>
      <c r="AS46" s="2550"/>
      <c r="AT46" s="2550"/>
      <c r="AU46" s="2550"/>
      <c r="AV46" s="2550"/>
      <c r="AW46" s="2550"/>
      <c r="AX46" s="2550"/>
    </row>
    <row r="47" spans="1:50" s="2493" customFormat="1" ht="30">
      <c r="A47" s="2564"/>
      <c r="B47" s="2573"/>
      <c r="C47" s="2565"/>
      <c r="D47" s="2565"/>
      <c r="E47" s="2566"/>
      <c r="F47" s="2525"/>
      <c r="G47" s="2525"/>
      <c r="H47" s="2566"/>
      <c r="I47" s="2566"/>
      <c r="J47" s="2566"/>
      <c r="K47" s="2580" t="s">
        <v>916</v>
      </c>
      <c r="L47" s="2522" t="s">
        <v>794</v>
      </c>
      <c r="M47" s="2581" t="s">
        <v>1948</v>
      </c>
      <c r="N47" s="2582">
        <v>0</v>
      </c>
      <c r="O47" s="2582">
        <v>336435650</v>
      </c>
      <c r="P47" s="2582">
        <v>336435650</v>
      </c>
      <c r="Q47" s="2574"/>
      <c r="R47" s="2574"/>
      <c r="S47" s="2574"/>
      <c r="T47" s="2574"/>
      <c r="U47" s="2574"/>
      <c r="V47" s="2582">
        <v>336435650</v>
      </c>
      <c r="W47" s="2567" t="s">
        <v>1950</v>
      </c>
      <c r="X47" s="2544">
        <v>42549</v>
      </c>
      <c r="Y47" s="2544">
        <v>42552</v>
      </c>
      <c r="Z47" s="2583">
        <v>336435650</v>
      </c>
      <c r="AA47" s="2579">
        <v>1</v>
      </c>
      <c r="AB47" s="2487">
        <f t="shared" si="10"/>
        <v>-336435650</v>
      </c>
      <c r="AC47" s="2570"/>
      <c r="AD47" s="2492"/>
      <c r="AI47" s="2528"/>
      <c r="AQ47" s="2550"/>
      <c r="AR47" s="2550"/>
      <c r="AS47" s="2550"/>
      <c r="AT47" s="2550"/>
      <c r="AU47" s="2550"/>
      <c r="AV47" s="2550"/>
      <c r="AW47" s="2550"/>
      <c r="AX47" s="2550"/>
    </row>
    <row r="48" spans="1:50" s="2493" customFormat="1" ht="30">
      <c r="A48" s="2564"/>
      <c r="B48" s="2573"/>
      <c r="C48" s="2565"/>
      <c r="D48" s="2565"/>
      <c r="E48" s="2566"/>
      <c r="F48" s="2525"/>
      <c r="G48" s="2525"/>
      <c r="H48" s="2566"/>
      <c r="I48" s="2566"/>
      <c r="J48" s="2566"/>
      <c r="K48" s="2580" t="s">
        <v>917</v>
      </c>
      <c r="L48" s="2522" t="s">
        <v>794</v>
      </c>
      <c r="M48" s="2581" t="s">
        <v>1949</v>
      </c>
      <c r="N48" s="2582">
        <v>0</v>
      </c>
      <c r="O48" s="2582">
        <v>351130530</v>
      </c>
      <c r="P48" s="2582">
        <v>351130530</v>
      </c>
      <c r="Q48" s="2574"/>
      <c r="R48" s="2574"/>
      <c r="S48" s="2574"/>
      <c r="T48" s="2574"/>
      <c r="U48" s="2574"/>
      <c r="V48" s="2582">
        <v>351130530</v>
      </c>
      <c r="W48" s="2567" t="s">
        <v>1950</v>
      </c>
      <c r="X48" s="2544">
        <v>42549</v>
      </c>
      <c r="Y48" s="2544">
        <v>42552</v>
      </c>
      <c r="Z48" s="2583">
        <v>351130530</v>
      </c>
      <c r="AA48" s="2579">
        <v>1</v>
      </c>
      <c r="AB48" s="2487">
        <f t="shared" si="10"/>
        <v>-351130530</v>
      </c>
      <c r="AC48" s="2570"/>
      <c r="AD48" s="2492"/>
      <c r="AI48" s="2528"/>
      <c r="AQ48" s="2550"/>
      <c r="AR48" s="2550"/>
      <c r="AS48" s="2550"/>
      <c r="AT48" s="2550"/>
      <c r="AU48" s="2550"/>
      <c r="AV48" s="2550"/>
      <c r="AW48" s="2550"/>
      <c r="AX48" s="2550"/>
    </row>
    <row r="49" spans="1:50" s="2493" customFormat="1" ht="30">
      <c r="A49" s="2564"/>
      <c r="B49" s="2573"/>
      <c r="C49" s="2565"/>
      <c r="D49" s="2565"/>
      <c r="E49" s="2566"/>
      <c r="F49" s="2525"/>
      <c r="G49" s="2525"/>
      <c r="H49" s="2566"/>
      <c r="I49" s="2566"/>
      <c r="J49" s="2566"/>
      <c r="K49" s="2584" t="s">
        <v>916</v>
      </c>
      <c r="L49" s="2522" t="s">
        <v>794</v>
      </c>
      <c r="M49" s="2585" t="s">
        <v>2131</v>
      </c>
      <c r="N49" s="2586"/>
      <c r="O49" s="2586">
        <v>354913687</v>
      </c>
      <c r="P49" s="2586">
        <v>354913687</v>
      </c>
      <c r="Q49" s="2586">
        <v>354913687</v>
      </c>
      <c r="R49" s="2586">
        <v>354913687</v>
      </c>
      <c r="S49" s="2586">
        <v>354913687</v>
      </c>
      <c r="T49" s="2586">
        <v>354913687</v>
      </c>
      <c r="U49" s="2586">
        <v>354913687</v>
      </c>
      <c r="V49" s="2586">
        <v>354913687</v>
      </c>
      <c r="W49" s="2567" t="s">
        <v>2133</v>
      </c>
      <c r="X49" s="2544">
        <v>42592</v>
      </c>
      <c r="Y49" s="2544">
        <v>42598</v>
      </c>
      <c r="Z49" s="2587">
        <f>V49</f>
        <v>354913687</v>
      </c>
      <c r="AA49" s="2579">
        <v>1</v>
      </c>
      <c r="AB49" s="2487">
        <f t="shared" si="10"/>
        <v>-354913687</v>
      </c>
      <c r="AC49" s="2570"/>
      <c r="AD49" s="2492"/>
      <c r="AI49" s="2528"/>
      <c r="AQ49" s="2550"/>
      <c r="AR49" s="2550"/>
      <c r="AS49" s="2550"/>
      <c r="AT49" s="2550"/>
      <c r="AU49" s="2550"/>
      <c r="AV49" s="2550"/>
      <c r="AW49" s="2550"/>
      <c r="AX49" s="2550"/>
    </row>
    <row r="50" spans="1:50" s="2493" customFormat="1" ht="30">
      <c r="A50" s="2564"/>
      <c r="B50" s="2573"/>
      <c r="C50" s="2565"/>
      <c r="D50" s="2565"/>
      <c r="E50" s="2566"/>
      <c r="F50" s="2525"/>
      <c r="G50" s="2525"/>
      <c r="H50" s="2566"/>
      <c r="I50" s="2566"/>
      <c r="J50" s="2566"/>
      <c r="K50" s="2584" t="s">
        <v>917</v>
      </c>
      <c r="L50" s="2522" t="s">
        <v>794</v>
      </c>
      <c r="M50" s="2585" t="s">
        <v>2132</v>
      </c>
      <c r="N50" s="2586"/>
      <c r="O50" s="2586">
        <v>336435650</v>
      </c>
      <c r="P50" s="2586">
        <v>336435650</v>
      </c>
      <c r="Q50" s="2586">
        <v>336435650</v>
      </c>
      <c r="R50" s="2586">
        <v>336435650</v>
      </c>
      <c r="S50" s="2586">
        <v>336435650</v>
      </c>
      <c r="T50" s="2586">
        <v>336435650</v>
      </c>
      <c r="U50" s="2586">
        <v>336435650</v>
      </c>
      <c r="V50" s="2586">
        <v>336435650</v>
      </c>
      <c r="W50" s="2567" t="s">
        <v>2133</v>
      </c>
      <c r="X50" s="2544">
        <v>42592</v>
      </c>
      <c r="Y50" s="2544">
        <v>42598</v>
      </c>
      <c r="Z50" s="2587">
        <f>V50</f>
        <v>336435650</v>
      </c>
      <c r="AA50" s="2579">
        <v>1</v>
      </c>
      <c r="AB50" s="2487">
        <f t="shared" si="10"/>
        <v>-336435650</v>
      </c>
      <c r="AC50" s="2570"/>
      <c r="AD50" s="2492"/>
      <c r="AI50" s="2528"/>
      <c r="AQ50" s="2550"/>
      <c r="AR50" s="2550"/>
      <c r="AS50" s="2550"/>
      <c r="AT50" s="2550"/>
      <c r="AU50" s="2550"/>
      <c r="AV50" s="2550"/>
      <c r="AW50" s="2550"/>
      <c r="AX50" s="2550"/>
    </row>
    <row r="51" spans="1:50" s="2493" customFormat="1" ht="30">
      <c r="A51" s="2564"/>
      <c r="B51" s="2573"/>
      <c r="C51" s="2565"/>
      <c r="D51" s="2565"/>
      <c r="E51" s="2566"/>
      <c r="F51" s="2525"/>
      <c r="G51" s="2525"/>
      <c r="H51" s="2566"/>
      <c r="I51" s="2566"/>
      <c r="J51" s="2566"/>
      <c r="K51" s="2588" t="s">
        <v>2233</v>
      </c>
      <c r="L51" s="2522" t="s">
        <v>794</v>
      </c>
      <c r="M51" s="2589" t="s">
        <v>2234</v>
      </c>
      <c r="N51" s="2586"/>
      <c r="O51" s="2586">
        <f>(1373274750*4)+884981911+1168791107</f>
        <v>7546872018</v>
      </c>
      <c r="P51" s="2586">
        <f>N51+O51</f>
        <v>7546872018</v>
      </c>
      <c r="Q51" s="2586"/>
      <c r="R51" s="2586"/>
      <c r="S51" s="2586"/>
      <c r="T51" s="2586"/>
      <c r="U51" s="2586"/>
      <c r="V51" s="2586">
        <f>P51</f>
        <v>7546872018</v>
      </c>
      <c r="W51" s="2567" t="s">
        <v>3446</v>
      </c>
      <c r="X51" s="2544">
        <v>42718</v>
      </c>
      <c r="Y51" s="2544">
        <v>42720</v>
      </c>
      <c r="Z51" s="2587">
        <v>884981911</v>
      </c>
      <c r="AA51" s="2579"/>
      <c r="AB51" s="2487">
        <f t="shared" si="10"/>
        <v>-7546872018</v>
      </c>
      <c r="AC51" s="2570" t="s">
        <v>2135</v>
      </c>
      <c r="AD51" s="2492"/>
      <c r="AI51" s="2528"/>
      <c r="AQ51" s="2550"/>
      <c r="AR51" s="2550"/>
      <c r="AS51" s="2550"/>
      <c r="AT51" s="2550"/>
      <c r="AU51" s="2550"/>
      <c r="AV51" s="2550"/>
      <c r="AW51" s="2550"/>
      <c r="AX51" s="2550"/>
    </row>
    <row r="52" spans="1:50" s="2493" customFormat="1">
      <c r="A52" s="2564"/>
      <c r="B52" s="2573"/>
      <c r="C52" s="2565"/>
      <c r="D52" s="2565"/>
      <c r="E52" s="2566"/>
      <c r="F52" s="2525"/>
      <c r="G52" s="2525"/>
      <c r="H52" s="2566"/>
      <c r="I52" s="2566"/>
      <c r="J52" s="2566"/>
      <c r="K52" s="2588"/>
      <c r="L52" s="2522"/>
      <c r="M52" s="2589"/>
      <c r="N52" s="2586"/>
      <c r="O52" s="2586"/>
      <c r="P52" s="2586"/>
      <c r="Q52" s="2586"/>
      <c r="R52" s="2586"/>
      <c r="S52" s="2586"/>
      <c r="T52" s="2586"/>
      <c r="U52" s="2586"/>
      <c r="V52" s="2586"/>
      <c r="W52" s="2590" t="s">
        <v>3541</v>
      </c>
      <c r="X52" s="2591">
        <v>42724</v>
      </c>
      <c r="Y52" s="2591">
        <v>42731</v>
      </c>
      <c r="Z52" s="2587">
        <v>1168791107</v>
      </c>
      <c r="AA52" s="2579"/>
      <c r="AB52" s="2487"/>
      <c r="AC52" s="2570" t="s">
        <v>2361</v>
      </c>
      <c r="AD52" s="2492"/>
      <c r="AI52" s="2528"/>
      <c r="AQ52" s="2550"/>
      <c r="AR52" s="2550"/>
      <c r="AS52" s="2550"/>
      <c r="AT52" s="2550"/>
      <c r="AU52" s="2550"/>
      <c r="AV52" s="2550"/>
      <c r="AW52" s="2550"/>
      <c r="AX52" s="2550"/>
    </row>
    <row r="53" spans="1:50" s="2493" customFormat="1">
      <c r="A53" s="2564"/>
      <c r="B53" s="2573"/>
      <c r="C53" s="2565"/>
      <c r="D53" s="2565"/>
      <c r="E53" s="2566"/>
      <c r="F53" s="2525"/>
      <c r="G53" s="2525"/>
      <c r="H53" s="2566"/>
      <c r="I53" s="2566"/>
      <c r="J53" s="2566"/>
      <c r="K53" s="2588"/>
      <c r="L53" s="2522"/>
      <c r="M53" s="2589"/>
      <c r="N53" s="2586"/>
      <c r="O53" s="2586"/>
      <c r="P53" s="2586"/>
      <c r="Q53" s="2586"/>
      <c r="R53" s="2586"/>
      <c r="S53" s="2586"/>
      <c r="T53" s="2586"/>
      <c r="U53" s="2586"/>
      <c r="V53" s="2586"/>
      <c r="W53" s="2592" t="s">
        <v>3544</v>
      </c>
      <c r="X53" s="2593">
        <v>42726</v>
      </c>
      <c r="Y53" s="2593">
        <v>42731</v>
      </c>
      <c r="Z53" s="2587">
        <v>1253983705</v>
      </c>
      <c r="AA53" s="2579"/>
      <c r="AB53" s="2487"/>
      <c r="AC53" s="2570" t="s">
        <v>2809</v>
      </c>
      <c r="AD53" s="2492"/>
      <c r="AI53" s="2528"/>
      <c r="AQ53" s="2550"/>
      <c r="AR53" s="2550"/>
      <c r="AS53" s="2550"/>
      <c r="AT53" s="2550"/>
      <c r="AU53" s="2550"/>
      <c r="AV53" s="2550"/>
      <c r="AW53" s="2550"/>
      <c r="AX53" s="2550"/>
    </row>
    <row r="54" spans="1:50" s="2493" customFormat="1">
      <c r="A54" s="2564"/>
      <c r="B54" s="2573"/>
      <c r="C54" s="2565"/>
      <c r="D54" s="2565"/>
      <c r="E54" s="2566"/>
      <c r="F54" s="2525"/>
      <c r="G54" s="2525"/>
      <c r="H54" s="2566"/>
      <c r="I54" s="2566"/>
      <c r="J54" s="2566"/>
      <c r="K54" s="2588"/>
      <c r="L54" s="2522"/>
      <c r="M54" s="2589"/>
      <c r="N54" s="2586"/>
      <c r="O54" s="2586"/>
      <c r="P54" s="2586"/>
      <c r="Q54" s="2586"/>
      <c r="R54" s="2586"/>
      <c r="S54" s="2586"/>
      <c r="T54" s="2586"/>
      <c r="U54" s="2586"/>
      <c r="V54" s="2586"/>
      <c r="W54" s="2592" t="s">
        <v>3544</v>
      </c>
      <c r="X54" s="2593">
        <v>42726</v>
      </c>
      <c r="Y54" s="2593">
        <v>42731</v>
      </c>
      <c r="Z54" s="2587">
        <v>1275967556</v>
      </c>
      <c r="AA54" s="2579"/>
      <c r="AB54" s="2487"/>
      <c r="AC54" s="2570" t="s">
        <v>3067</v>
      </c>
      <c r="AD54" s="2492"/>
      <c r="AI54" s="2528"/>
      <c r="AQ54" s="2550"/>
      <c r="AR54" s="2550"/>
      <c r="AS54" s="2550"/>
      <c r="AT54" s="2550"/>
      <c r="AU54" s="2550"/>
      <c r="AV54" s="2550"/>
      <c r="AW54" s="2550"/>
      <c r="AX54" s="2550"/>
    </row>
    <row r="55" spans="1:50" s="2493" customFormat="1">
      <c r="A55" s="2564"/>
      <c r="B55" s="2573"/>
      <c r="C55" s="2565"/>
      <c r="D55" s="2565"/>
      <c r="E55" s="2566"/>
      <c r="F55" s="2525"/>
      <c r="G55" s="2525"/>
      <c r="H55" s="2566"/>
      <c r="I55" s="2566"/>
      <c r="J55" s="2566"/>
      <c r="K55" s="2588"/>
      <c r="L55" s="2522"/>
      <c r="M55" s="2589"/>
      <c r="N55" s="2586"/>
      <c r="O55" s="2586"/>
      <c r="P55" s="2586"/>
      <c r="Q55" s="2586"/>
      <c r="R55" s="2586"/>
      <c r="S55" s="2586"/>
      <c r="T55" s="2586"/>
      <c r="U55" s="2586"/>
      <c r="V55" s="2586"/>
      <c r="W55" s="2592" t="s">
        <v>3545</v>
      </c>
      <c r="X55" s="2593">
        <v>42727</v>
      </c>
      <c r="Y55" s="2593">
        <v>42731</v>
      </c>
      <c r="Z55" s="2587">
        <v>1375357318</v>
      </c>
      <c r="AA55" s="2579"/>
      <c r="AB55" s="2487"/>
      <c r="AC55" s="2570" t="s">
        <v>3415</v>
      </c>
      <c r="AD55" s="2492"/>
      <c r="AI55" s="2528"/>
      <c r="AQ55" s="2550"/>
      <c r="AR55" s="2550"/>
      <c r="AS55" s="2550"/>
      <c r="AT55" s="2550"/>
      <c r="AU55" s="2550"/>
      <c r="AV55" s="2550"/>
      <c r="AW55" s="2550"/>
      <c r="AX55" s="2550"/>
    </row>
    <row r="56" spans="1:50" s="581" customFormat="1" ht="47.25">
      <c r="A56" s="2111"/>
      <c r="B56" s="2140"/>
      <c r="C56" s="2112"/>
      <c r="D56" s="2112"/>
      <c r="E56" s="2109"/>
      <c r="F56" s="591"/>
      <c r="G56" s="591"/>
      <c r="H56" s="2013" t="s">
        <v>3357</v>
      </c>
      <c r="I56" s="2114">
        <v>42719</v>
      </c>
      <c r="J56" s="571" t="s">
        <v>3355</v>
      </c>
      <c r="K56" s="1718" t="s">
        <v>3505</v>
      </c>
      <c r="L56" s="613" t="s">
        <v>2482</v>
      </c>
      <c r="M56" s="2141" t="s">
        <v>3356</v>
      </c>
      <c r="N56" s="2142"/>
      <c r="O56" s="2142">
        <v>134919070</v>
      </c>
      <c r="P56" s="2142">
        <f>N56+O56</f>
        <v>134919070</v>
      </c>
      <c r="Q56" s="2142"/>
      <c r="R56" s="2142"/>
      <c r="S56" s="2142"/>
      <c r="T56" s="2142"/>
      <c r="U56" s="2142"/>
      <c r="V56" s="2142">
        <f>P56</f>
        <v>134919070</v>
      </c>
      <c r="W56" s="617" t="s">
        <v>3548</v>
      </c>
      <c r="X56" s="2092">
        <v>42732</v>
      </c>
      <c r="Y56" s="2092">
        <v>42734</v>
      </c>
      <c r="Z56" s="2143">
        <f>V56</f>
        <v>134919070</v>
      </c>
      <c r="AA56" s="717">
        <v>1</v>
      </c>
      <c r="AB56" s="576">
        <f t="shared" si="10"/>
        <v>-134919070</v>
      </c>
      <c r="AC56" s="2116"/>
      <c r="AD56" s="1792"/>
      <c r="AI56" s="1793"/>
      <c r="AQ56" s="2020"/>
      <c r="AR56" s="2020"/>
      <c r="AS56" s="2020"/>
      <c r="AT56" s="2020"/>
      <c r="AU56" s="2020"/>
      <c r="AV56" s="2020"/>
      <c r="AW56" s="2020"/>
      <c r="AX56" s="2020"/>
    </row>
    <row r="57" spans="1:50" s="54" customFormat="1" ht="16.5" thickBot="1">
      <c r="A57" s="553"/>
      <c r="B57" s="1157"/>
      <c r="C57" s="122"/>
      <c r="D57" s="122"/>
      <c r="E57" s="137"/>
      <c r="F57" s="125"/>
      <c r="G57" s="125"/>
      <c r="H57" s="137"/>
      <c r="I57" s="137"/>
      <c r="J57" s="125"/>
      <c r="K57" s="554"/>
      <c r="L57" s="133"/>
      <c r="M57" s="134"/>
      <c r="N57" s="1301"/>
      <c r="O57" s="1302"/>
      <c r="P57" s="125"/>
      <c r="Q57" s="1341"/>
      <c r="R57" s="1341"/>
      <c r="S57" s="1341"/>
      <c r="T57" s="1341"/>
      <c r="U57" s="1341"/>
      <c r="V57" s="1341"/>
      <c r="W57" s="1413"/>
      <c r="X57" s="1414"/>
      <c r="Y57" s="1414"/>
      <c r="Z57" s="137">
        <f>V57</f>
        <v>0</v>
      </c>
      <c r="AA57" s="555"/>
      <c r="AB57" s="433">
        <f t="shared" si="10"/>
        <v>0</v>
      </c>
      <c r="AC57" s="556"/>
      <c r="AD57" s="1382"/>
      <c r="AE57" s="38"/>
      <c r="AF57" s="38"/>
      <c r="AG57" s="38"/>
      <c r="AH57" s="38"/>
      <c r="AI57" s="53"/>
      <c r="AQ57" s="103"/>
      <c r="AR57" s="103"/>
      <c r="AS57" s="103"/>
      <c r="AT57" s="103"/>
      <c r="AU57" s="103"/>
      <c r="AV57" s="103"/>
      <c r="AW57" s="103"/>
      <c r="AX57" s="103"/>
    </row>
    <row r="58" spans="1:50" s="772" customFormat="1" ht="15.75" customHeight="1" thickBot="1">
      <c r="A58" s="1146"/>
      <c r="B58" s="1147"/>
      <c r="C58" s="773" t="s">
        <v>51</v>
      </c>
      <c r="D58" s="1148"/>
      <c r="E58" s="1149">
        <f>SUM(E32:E44)</f>
        <v>0</v>
      </c>
      <c r="F58" s="1149">
        <f>SUM(F32:F44)</f>
        <v>11910659609</v>
      </c>
      <c r="G58" s="1149">
        <f>SUM(G32:G44)</f>
        <v>11910659609</v>
      </c>
      <c r="H58" s="1149"/>
      <c r="I58" s="1149"/>
      <c r="J58" s="1149"/>
      <c r="K58" s="1072"/>
      <c r="L58" s="1330"/>
      <c r="M58" s="1347"/>
      <c r="N58" s="1149">
        <f>SUM(N32:N44)</f>
        <v>0</v>
      </c>
      <c r="O58" s="1149">
        <f>SUM(O32:O57)</f>
        <v>11677436992.91024</v>
      </c>
      <c r="P58" s="1149">
        <f t="shared" ref="P58:V58" si="12">SUM(P32:P57)</f>
        <v>11677436992.91024</v>
      </c>
      <c r="Q58" s="1149">
        <f t="shared" si="12"/>
        <v>691349337</v>
      </c>
      <c r="R58" s="1149">
        <f t="shared" si="12"/>
        <v>691349337</v>
      </c>
      <c r="S58" s="1149">
        <f t="shared" si="12"/>
        <v>691349337</v>
      </c>
      <c r="T58" s="1149">
        <f t="shared" si="12"/>
        <v>691349337</v>
      </c>
      <c r="U58" s="1149">
        <f t="shared" si="12"/>
        <v>691349337</v>
      </c>
      <c r="V58" s="1149">
        <f t="shared" si="12"/>
        <v>11677436992.91024</v>
      </c>
      <c r="W58" s="1151"/>
      <c r="X58" s="1415"/>
      <c r="Y58" s="1415"/>
      <c r="Z58" s="1149">
        <f>SUM(Z32:Z57)</f>
        <v>10089646571.91024</v>
      </c>
      <c r="AA58" s="1149"/>
      <c r="AB58" s="1151">
        <f>SUM(AB32:AB57)</f>
        <v>233222616.08975983</v>
      </c>
      <c r="AC58" s="1152"/>
      <c r="AD58" s="1382"/>
      <c r="AE58" s="38"/>
      <c r="AF58" s="38"/>
      <c r="AG58" s="38"/>
      <c r="AH58" s="38"/>
      <c r="AI58" s="771"/>
      <c r="AQ58" s="748"/>
      <c r="AR58" s="748"/>
      <c r="AS58" s="748"/>
      <c r="AT58" s="748"/>
      <c r="AU58" s="748"/>
      <c r="AV58" s="748"/>
      <c r="AW58" s="748"/>
      <c r="AX58" s="748"/>
    </row>
    <row r="59" spans="1:50" s="54" customFormat="1" ht="15.75" customHeight="1">
      <c r="A59" s="80"/>
      <c r="B59" s="1159"/>
      <c r="C59" s="367"/>
      <c r="D59" s="367"/>
      <c r="E59" s="110"/>
      <c r="F59" s="369"/>
      <c r="G59" s="369"/>
      <c r="H59" s="110"/>
      <c r="I59" s="110"/>
      <c r="J59" s="110"/>
      <c r="K59" s="111"/>
      <c r="L59" s="1329"/>
      <c r="M59" s="1346"/>
      <c r="N59" s="110"/>
      <c r="O59" s="110"/>
      <c r="P59" s="110"/>
      <c r="Q59" s="110"/>
      <c r="R59" s="110"/>
      <c r="S59" s="110"/>
      <c r="T59" s="110"/>
      <c r="U59" s="110"/>
      <c r="V59" s="110"/>
      <c r="W59" s="374"/>
      <c r="X59" s="375"/>
      <c r="Y59" s="375"/>
      <c r="Z59" s="110"/>
      <c r="AA59" s="110"/>
      <c r="AB59" s="110"/>
      <c r="AC59" s="113"/>
      <c r="AD59" s="1382"/>
      <c r="AE59" s="38"/>
      <c r="AF59" s="38"/>
      <c r="AG59" s="38"/>
      <c r="AH59" s="38"/>
      <c r="AI59" s="53"/>
      <c r="AQ59" s="103"/>
      <c r="AR59" s="103"/>
      <c r="AS59" s="103"/>
      <c r="AT59" s="103"/>
      <c r="AU59" s="103"/>
      <c r="AV59" s="103"/>
      <c r="AW59" s="103"/>
      <c r="AX59" s="103"/>
    </row>
    <row r="60" spans="1:50" s="581" customFormat="1" ht="47.25">
      <c r="A60" s="2008"/>
      <c r="B60" s="2009"/>
      <c r="C60" s="2010" t="s">
        <v>2149</v>
      </c>
      <c r="D60" s="2011" t="s">
        <v>2532</v>
      </c>
      <c r="E60" s="2012">
        <v>130350000</v>
      </c>
      <c r="F60" s="2012">
        <v>0</v>
      </c>
      <c r="G60" s="2012">
        <f>+E60+F60</f>
        <v>130350000</v>
      </c>
      <c r="H60" s="2013" t="s">
        <v>2296</v>
      </c>
      <c r="I60" s="2014">
        <v>42613</v>
      </c>
      <c r="J60" s="571" t="s">
        <v>2196</v>
      </c>
      <c r="K60" s="1718" t="s">
        <v>2533</v>
      </c>
      <c r="L60" s="626" t="s">
        <v>980</v>
      </c>
      <c r="M60" s="2015" t="s">
        <v>2197</v>
      </c>
      <c r="N60" s="2012">
        <v>127743000</v>
      </c>
      <c r="O60" s="2016"/>
      <c r="P60" s="571">
        <f>N60+O60</f>
        <v>127743000</v>
      </c>
      <c r="Q60" s="2016"/>
      <c r="R60" s="2016"/>
      <c r="S60" s="2016"/>
      <c r="T60" s="2016"/>
      <c r="U60" s="2016"/>
      <c r="V60" s="2016">
        <f>P60</f>
        <v>127743000</v>
      </c>
      <c r="W60" s="631" t="s">
        <v>3543</v>
      </c>
      <c r="X60" s="632">
        <v>42725</v>
      </c>
      <c r="Y60" s="632">
        <v>42731</v>
      </c>
      <c r="Z60" s="2016">
        <f>V60</f>
        <v>127743000</v>
      </c>
      <c r="AA60" s="2017">
        <v>1</v>
      </c>
      <c r="AB60" s="576">
        <f t="shared" ref="AB60:AB108" si="13">+G60-P60</f>
        <v>2607000</v>
      </c>
      <c r="AC60" s="2018"/>
      <c r="AD60" s="1792">
        <v>0</v>
      </c>
      <c r="AG60" s="2019">
        <f>V60</f>
        <v>127743000</v>
      </c>
      <c r="AI60" s="1793"/>
      <c r="AQ60" s="2020"/>
      <c r="AR60" s="2020"/>
      <c r="AS60" s="2020"/>
      <c r="AT60" s="2020"/>
      <c r="AU60" s="2020"/>
      <c r="AV60" s="2020"/>
      <c r="AW60" s="2020"/>
      <c r="AX60" s="2020"/>
    </row>
    <row r="61" spans="1:50" s="54" customFormat="1" ht="15.75" customHeight="1">
      <c r="A61" s="80"/>
      <c r="B61" s="1159"/>
      <c r="C61" s="367"/>
      <c r="D61" s="367"/>
      <c r="E61" s="110"/>
      <c r="F61" s="369"/>
      <c r="G61" s="369"/>
      <c r="H61" s="110"/>
      <c r="I61" s="110"/>
      <c r="J61" s="110"/>
      <c r="K61" s="111"/>
      <c r="L61" s="1329"/>
      <c r="M61" s="1346"/>
      <c r="N61" s="110"/>
      <c r="O61" s="110"/>
      <c r="P61" s="110"/>
      <c r="Q61" s="110"/>
      <c r="R61" s="110"/>
      <c r="S61" s="110"/>
      <c r="T61" s="110"/>
      <c r="U61" s="110"/>
      <c r="V61" s="110"/>
      <c r="W61" s="374"/>
      <c r="X61" s="375"/>
      <c r="Y61" s="375"/>
      <c r="Z61" s="110"/>
      <c r="AA61" s="110"/>
      <c r="AB61" s="1214"/>
      <c r="AC61" s="113"/>
      <c r="AD61" s="1382"/>
      <c r="AE61" s="38"/>
      <c r="AF61" s="38"/>
      <c r="AG61" s="38"/>
      <c r="AH61" s="38"/>
      <c r="AI61" s="53"/>
      <c r="AQ61" s="103"/>
      <c r="AR61" s="103"/>
      <c r="AS61" s="103"/>
      <c r="AT61" s="103"/>
      <c r="AU61" s="103"/>
      <c r="AV61" s="103"/>
      <c r="AW61" s="103"/>
      <c r="AX61" s="103"/>
    </row>
    <row r="62" spans="1:50" s="2038" customFormat="1" ht="47.25">
      <c r="A62" s="2021"/>
      <c r="B62" s="2022"/>
      <c r="C62" s="2023" t="s">
        <v>2150</v>
      </c>
      <c r="D62" s="2024" t="s">
        <v>2152</v>
      </c>
      <c r="E62" s="2025"/>
      <c r="F62" s="2026">
        <v>436843000</v>
      </c>
      <c r="G62" s="2026">
        <f>+E62+F62</f>
        <v>436843000</v>
      </c>
      <c r="H62" s="2027" t="s">
        <v>2291</v>
      </c>
      <c r="I62" s="2028">
        <v>42613</v>
      </c>
      <c r="J62" s="2029" t="s">
        <v>2200</v>
      </c>
      <c r="K62" s="2030" t="s">
        <v>2623</v>
      </c>
      <c r="L62" s="2030" t="s">
        <v>1749</v>
      </c>
      <c r="M62" s="2031" t="s">
        <v>2201</v>
      </c>
      <c r="N62" s="2025"/>
      <c r="O62" s="2026">
        <v>209088000</v>
      </c>
      <c r="P62" s="2029">
        <f t="shared" ref="P62:P95" si="14">N62+O62</f>
        <v>209088000</v>
      </c>
      <c r="Q62" s="2025"/>
      <c r="R62" s="2025"/>
      <c r="S62" s="2025"/>
      <c r="T62" s="2025"/>
      <c r="U62" s="2025"/>
      <c r="V62" s="2025">
        <f>P62</f>
        <v>209088000</v>
      </c>
      <c r="W62" s="2032" t="s">
        <v>3401</v>
      </c>
      <c r="X62" s="2033">
        <v>42709</v>
      </c>
      <c r="Y62" s="2033">
        <v>42713</v>
      </c>
      <c r="Z62" s="2025">
        <f>V62</f>
        <v>209088000</v>
      </c>
      <c r="AA62" s="2034">
        <v>1</v>
      </c>
      <c r="AB62" s="2035">
        <f t="shared" si="13"/>
        <v>227755000</v>
      </c>
      <c r="AC62" s="2036"/>
      <c r="AD62" s="2037">
        <v>1</v>
      </c>
      <c r="AF62" s="2039">
        <f>V62</f>
        <v>209088000</v>
      </c>
      <c r="AI62" s="2040"/>
      <c r="AQ62" s="2041"/>
      <c r="AR62" s="2041"/>
      <c r="AS62" s="2041"/>
      <c r="AT62" s="2041"/>
      <c r="AU62" s="2041"/>
      <c r="AV62" s="2041"/>
      <c r="AW62" s="2041"/>
      <c r="AX62" s="2041"/>
    </row>
    <row r="63" spans="1:50" s="2038" customFormat="1" ht="47.25">
      <c r="A63" s="2021"/>
      <c r="B63" s="2022"/>
      <c r="C63" s="2024"/>
      <c r="D63" s="2024"/>
      <c r="E63" s="2025"/>
      <c r="F63" s="2026"/>
      <c r="G63" s="2026"/>
      <c r="H63" s="2027" t="s">
        <v>2297</v>
      </c>
      <c r="I63" s="2028">
        <v>42613</v>
      </c>
      <c r="J63" s="2029" t="s">
        <v>2202</v>
      </c>
      <c r="K63" s="2042" t="s">
        <v>2489</v>
      </c>
      <c r="L63" s="2043" t="s">
        <v>446</v>
      </c>
      <c r="M63" s="2031" t="s">
        <v>2203</v>
      </c>
      <c r="N63" s="2025"/>
      <c r="O63" s="2026">
        <v>73898000</v>
      </c>
      <c r="P63" s="2029">
        <f t="shared" si="14"/>
        <v>73898000</v>
      </c>
      <c r="Q63" s="2025"/>
      <c r="R63" s="2025"/>
      <c r="S63" s="2025"/>
      <c r="T63" s="2025"/>
      <c r="U63" s="2025"/>
      <c r="V63" s="2025">
        <f>P63</f>
        <v>73898000</v>
      </c>
      <c r="W63" s="2032" t="s">
        <v>3391</v>
      </c>
      <c r="X63" s="2033">
        <v>42709</v>
      </c>
      <c r="Y63" s="2033">
        <v>42713</v>
      </c>
      <c r="Z63" s="2025">
        <f>V63</f>
        <v>73898000</v>
      </c>
      <c r="AA63" s="2034">
        <v>1</v>
      </c>
      <c r="AB63" s="2035">
        <f t="shared" si="13"/>
        <v>-73898000</v>
      </c>
      <c r="AC63" s="2036"/>
      <c r="AD63" s="2037">
        <v>1</v>
      </c>
      <c r="AF63" s="2039">
        <f>V63</f>
        <v>73898000</v>
      </c>
      <c r="AI63" s="2040"/>
      <c r="AQ63" s="2041"/>
      <c r="AR63" s="2041"/>
      <c r="AS63" s="2041"/>
      <c r="AT63" s="2041"/>
      <c r="AU63" s="2041"/>
      <c r="AV63" s="2041"/>
      <c r="AW63" s="2041"/>
      <c r="AX63" s="2041"/>
    </row>
    <row r="64" spans="1:50" s="2038" customFormat="1" ht="47.25">
      <c r="A64" s="2021"/>
      <c r="B64" s="2022"/>
      <c r="C64" s="2024"/>
      <c r="D64" s="2024"/>
      <c r="E64" s="2025"/>
      <c r="F64" s="2026"/>
      <c r="G64" s="2026"/>
      <c r="H64" s="2027" t="s">
        <v>2322</v>
      </c>
      <c r="I64" s="2044">
        <v>42626</v>
      </c>
      <c r="J64" s="2029" t="s">
        <v>2305</v>
      </c>
      <c r="K64" s="2030" t="s">
        <v>2624</v>
      </c>
      <c r="L64" s="2043" t="s">
        <v>2625</v>
      </c>
      <c r="M64" s="2031" t="s">
        <v>2306</v>
      </c>
      <c r="N64" s="2026">
        <v>136290000</v>
      </c>
      <c r="O64" s="2026"/>
      <c r="P64" s="2029">
        <f t="shared" si="14"/>
        <v>136290000</v>
      </c>
      <c r="Q64" s="2025"/>
      <c r="R64" s="2025"/>
      <c r="S64" s="2025"/>
      <c r="T64" s="2025"/>
      <c r="U64" s="2025"/>
      <c r="V64" s="2025">
        <f>P64</f>
        <v>136290000</v>
      </c>
      <c r="W64" s="2032" t="s">
        <v>3391</v>
      </c>
      <c r="X64" s="2033">
        <v>42709</v>
      </c>
      <c r="Y64" s="2033">
        <v>42713</v>
      </c>
      <c r="Z64" s="2025">
        <f>V64</f>
        <v>136290000</v>
      </c>
      <c r="AA64" s="2034">
        <v>1</v>
      </c>
      <c r="AB64" s="2035">
        <f t="shared" si="13"/>
        <v>-136290000</v>
      </c>
      <c r="AC64" s="2036"/>
      <c r="AD64" s="2037">
        <v>1</v>
      </c>
      <c r="AF64" s="2039">
        <f>V64</f>
        <v>136290000</v>
      </c>
      <c r="AI64" s="2040"/>
      <c r="AQ64" s="2041"/>
      <c r="AR64" s="2041"/>
      <c r="AS64" s="2041"/>
      <c r="AT64" s="2041"/>
      <c r="AU64" s="2041"/>
      <c r="AV64" s="2041"/>
      <c r="AW64" s="2041"/>
      <c r="AX64" s="2041"/>
    </row>
    <row r="65" spans="1:50" s="2038" customFormat="1">
      <c r="A65" s="2021"/>
      <c r="B65" s="2022"/>
      <c r="C65" s="2024"/>
      <c r="D65" s="2024"/>
      <c r="E65" s="2025"/>
      <c r="F65" s="2026"/>
      <c r="G65" s="2026"/>
      <c r="H65" s="2045"/>
      <c r="I65" s="2044"/>
      <c r="J65" s="2029" t="s">
        <v>3358</v>
      </c>
      <c r="K65" s="2046"/>
      <c r="L65" s="2043" t="s">
        <v>3360</v>
      </c>
      <c r="M65" s="2031" t="s">
        <v>3359</v>
      </c>
      <c r="N65" s="2026">
        <v>7135128</v>
      </c>
      <c r="O65" s="2026"/>
      <c r="P65" s="2029">
        <f t="shared" si="14"/>
        <v>7135128</v>
      </c>
      <c r="Q65" s="2025"/>
      <c r="R65" s="2025"/>
      <c r="S65" s="2025"/>
      <c r="T65" s="2025"/>
      <c r="U65" s="2025"/>
      <c r="V65" s="2025">
        <f>P65</f>
        <v>7135128</v>
      </c>
      <c r="W65" s="2032"/>
      <c r="X65" s="2033"/>
      <c r="Y65" s="2033"/>
      <c r="Z65" s="2025"/>
      <c r="AA65" s="2025"/>
      <c r="AB65" s="2035">
        <f t="shared" si="13"/>
        <v>-7135128</v>
      </c>
      <c r="AC65" s="2036"/>
      <c r="AD65" s="2037"/>
      <c r="AF65" s="2039"/>
      <c r="AI65" s="2040"/>
      <c r="AQ65" s="2041"/>
      <c r="AR65" s="2041"/>
      <c r="AS65" s="2041"/>
      <c r="AT65" s="2041"/>
      <c r="AU65" s="2041"/>
      <c r="AV65" s="2041"/>
      <c r="AW65" s="2041"/>
      <c r="AX65" s="2041"/>
    </row>
    <row r="66" spans="1:50" s="2038" customFormat="1">
      <c r="A66" s="2021"/>
      <c r="B66" s="2022"/>
      <c r="C66" s="2024"/>
      <c r="D66" s="2024"/>
      <c r="E66" s="2025"/>
      <c r="F66" s="2026"/>
      <c r="G66" s="2026"/>
      <c r="H66" s="2045"/>
      <c r="I66" s="2044"/>
      <c r="J66" s="2029" t="s">
        <v>3467</v>
      </c>
      <c r="K66" s="2046"/>
      <c r="L66" s="2043" t="s">
        <v>446</v>
      </c>
      <c r="M66" s="2031" t="s">
        <v>3468</v>
      </c>
      <c r="N66" s="2026">
        <v>5390000</v>
      </c>
      <c r="O66" s="2026"/>
      <c r="P66" s="2029">
        <f t="shared" si="14"/>
        <v>5390000</v>
      </c>
      <c r="Q66" s="2025"/>
      <c r="R66" s="2025"/>
      <c r="S66" s="2025"/>
      <c r="T66" s="2025"/>
      <c r="U66" s="2025"/>
      <c r="V66" s="2025">
        <f>P66</f>
        <v>5390000</v>
      </c>
      <c r="W66" s="2032" t="s">
        <v>3546</v>
      </c>
      <c r="X66" s="2033">
        <v>42728</v>
      </c>
      <c r="Y66" s="2033">
        <v>42732</v>
      </c>
      <c r="Z66" s="2025">
        <f>V66</f>
        <v>5390000</v>
      </c>
      <c r="AA66" s="2034">
        <v>1</v>
      </c>
      <c r="AB66" s="2035">
        <f t="shared" si="13"/>
        <v>-5390000</v>
      </c>
      <c r="AC66" s="2036"/>
      <c r="AD66" s="2037"/>
      <c r="AF66" s="2039"/>
      <c r="AI66" s="2040"/>
      <c r="AQ66" s="2041"/>
      <c r="AR66" s="2041"/>
      <c r="AS66" s="2041"/>
      <c r="AT66" s="2041"/>
      <c r="AU66" s="2041"/>
      <c r="AV66" s="2041"/>
      <c r="AW66" s="2041"/>
      <c r="AX66" s="2041"/>
    </row>
    <row r="67" spans="1:50" s="54" customFormat="1">
      <c r="A67" s="80"/>
      <c r="B67" s="1159"/>
      <c r="C67" s="367"/>
      <c r="D67" s="367"/>
      <c r="E67" s="110"/>
      <c r="F67" s="369"/>
      <c r="G67" s="369"/>
      <c r="H67" s="918"/>
      <c r="I67" s="1235"/>
      <c r="J67" s="369"/>
      <c r="K67" s="372"/>
      <c r="L67" s="528"/>
      <c r="M67" s="368"/>
      <c r="N67" s="369"/>
      <c r="O67" s="369"/>
      <c r="P67" s="369"/>
      <c r="Q67" s="110"/>
      <c r="R67" s="110"/>
      <c r="S67" s="110"/>
      <c r="T67" s="110"/>
      <c r="U67" s="110"/>
      <c r="V67" s="110"/>
      <c r="W67" s="374"/>
      <c r="X67" s="375"/>
      <c r="Y67" s="375"/>
      <c r="Z67" s="110"/>
      <c r="AA67" s="110"/>
      <c r="AB67" s="433"/>
      <c r="AC67" s="113"/>
      <c r="AD67" s="1382"/>
      <c r="AE67" s="38"/>
      <c r="AF67" s="967"/>
      <c r="AG67" s="38"/>
      <c r="AH67" s="38"/>
      <c r="AI67" s="53"/>
      <c r="AQ67" s="103"/>
      <c r="AR67" s="103"/>
      <c r="AS67" s="103"/>
      <c r="AT67" s="103"/>
      <c r="AU67" s="103"/>
      <c r="AV67" s="103"/>
      <c r="AW67" s="103"/>
      <c r="AX67" s="103"/>
    </row>
    <row r="68" spans="1:50" s="755" customFormat="1" ht="15.75" customHeight="1">
      <c r="A68" s="1216"/>
      <c r="B68" s="1217"/>
      <c r="C68" s="1217" t="str">
        <f>C62</f>
        <v>PRK.2016.WKT-4.9.53211.354</v>
      </c>
      <c r="D68" s="1217"/>
      <c r="E68" s="849"/>
      <c r="F68" s="849"/>
      <c r="G68" s="849">
        <f>G62</f>
        <v>436843000</v>
      </c>
      <c r="H68" s="849"/>
      <c r="I68" s="849"/>
      <c r="J68" s="849"/>
      <c r="K68" s="1218"/>
      <c r="L68" s="1331"/>
      <c r="M68" s="1348"/>
      <c r="N68" s="849">
        <f>SUM(N62:N67)</f>
        <v>148815128</v>
      </c>
      <c r="O68" s="849">
        <f t="shared" ref="O68:V68" si="15">SUM(O62:O67)</f>
        <v>282986000</v>
      </c>
      <c r="P68" s="849">
        <f t="shared" si="15"/>
        <v>431801128</v>
      </c>
      <c r="Q68" s="849">
        <f t="shared" si="15"/>
        <v>0</v>
      </c>
      <c r="R68" s="849">
        <f t="shared" si="15"/>
        <v>0</v>
      </c>
      <c r="S68" s="849">
        <f t="shared" si="15"/>
        <v>0</v>
      </c>
      <c r="T68" s="849">
        <f t="shared" si="15"/>
        <v>0</v>
      </c>
      <c r="U68" s="849">
        <f t="shared" si="15"/>
        <v>0</v>
      </c>
      <c r="V68" s="849">
        <f t="shared" si="15"/>
        <v>431801128</v>
      </c>
      <c r="W68" s="1372"/>
      <c r="X68" s="1373"/>
      <c r="Y68" s="1373"/>
      <c r="Z68" s="849">
        <f>SUM(Z62:Z67)</f>
        <v>424666000</v>
      </c>
      <c r="AA68" s="849"/>
      <c r="AB68" s="756">
        <f t="shared" si="13"/>
        <v>5041872</v>
      </c>
      <c r="AC68" s="858"/>
      <c r="AD68" s="1382"/>
      <c r="AE68" s="38"/>
      <c r="AF68" s="38"/>
      <c r="AG68" s="38"/>
      <c r="AH68" s="38"/>
      <c r="AI68" s="754"/>
      <c r="AQ68" s="748"/>
      <c r="AR68" s="748"/>
      <c r="AS68" s="748"/>
      <c r="AT68" s="748"/>
      <c r="AU68" s="748"/>
      <c r="AV68" s="748"/>
      <c r="AW68" s="748"/>
      <c r="AX68" s="748"/>
    </row>
    <row r="69" spans="1:50" s="54" customFormat="1" ht="15.75" customHeight="1">
      <c r="A69" s="80"/>
      <c r="B69" s="1159"/>
      <c r="C69" s="367"/>
      <c r="D69" s="367"/>
      <c r="E69" s="110"/>
      <c r="F69" s="369"/>
      <c r="G69" s="369"/>
      <c r="H69" s="110"/>
      <c r="I69" s="110"/>
      <c r="J69" s="110"/>
      <c r="K69" s="111"/>
      <c r="L69" s="1329"/>
      <c r="M69" s="1346"/>
      <c r="N69" s="110"/>
      <c r="O69" s="110"/>
      <c r="P69" s="110"/>
      <c r="Q69" s="110"/>
      <c r="R69" s="110"/>
      <c r="S69" s="110"/>
      <c r="T69" s="110"/>
      <c r="U69" s="110"/>
      <c r="V69" s="110"/>
      <c r="W69" s="374"/>
      <c r="X69" s="375"/>
      <c r="Y69" s="375"/>
      <c r="Z69" s="110"/>
      <c r="AA69" s="110"/>
      <c r="AB69" s="1214"/>
      <c r="AC69" s="113"/>
      <c r="AD69" s="1382"/>
      <c r="AE69" s="38"/>
      <c r="AF69" s="38"/>
      <c r="AG69" s="38"/>
      <c r="AH69" s="38"/>
      <c r="AI69" s="53"/>
      <c r="AQ69" s="103"/>
      <c r="AR69" s="103"/>
      <c r="AS69" s="103"/>
      <c r="AT69" s="103"/>
      <c r="AU69" s="103"/>
      <c r="AV69" s="103"/>
      <c r="AW69" s="103"/>
      <c r="AX69" s="103"/>
    </row>
    <row r="70" spans="1:50" s="2066" customFormat="1" ht="47.25">
      <c r="A70" s="2047"/>
      <c r="B70" s="2048"/>
      <c r="C70" s="2049" t="s">
        <v>2151</v>
      </c>
      <c r="D70" s="2050" t="s">
        <v>2153</v>
      </c>
      <c r="E70" s="2051">
        <v>414573500</v>
      </c>
      <c r="F70" s="2051">
        <v>0</v>
      </c>
      <c r="G70" s="2051">
        <f>+E70+F70</f>
        <v>414573500</v>
      </c>
      <c r="H70" s="2052" t="s">
        <v>2295</v>
      </c>
      <c r="I70" s="2053">
        <v>42613</v>
      </c>
      <c r="J70" s="2054" t="s">
        <v>2198</v>
      </c>
      <c r="K70" s="2055" t="s">
        <v>2626</v>
      </c>
      <c r="L70" s="2056" t="s">
        <v>1380</v>
      </c>
      <c r="M70" s="2057" t="s">
        <v>2199</v>
      </c>
      <c r="N70" s="2051">
        <v>13310000</v>
      </c>
      <c r="O70" s="2058"/>
      <c r="P70" s="2054">
        <f t="shared" si="14"/>
        <v>13310000</v>
      </c>
      <c r="Q70" s="2058"/>
      <c r="R70" s="2058"/>
      <c r="S70" s="2058"/>
      <c r="T70" s="2058"/>
      <c r="U70" s="2058"/>
      <c r="V70" s="2058">
        <f>P70</f>
        <v>13310000</v>
      </c>
      <c r="W70" s="2059" t="s">
        <v>3402</v>
      </c>
      <c r="X70" s="2060">
        <v>42713</v>
      </c>
      <c r="Y70" s="2060">
        <v>42718</v>
      </c>
      <c r="Z70" s="2061">
        <f>V70</f>
        <v>13310000</v>
      </c>
      <c r="AA70" s="2062">
        <v>1</v>
      </c>
      <c r="AB70" s="2063">
        <f t="shared" si="13"/>
        <v>401263500</v>
      </c>
      <c r="AC70" s="2064"/>
      <c r="AD70" s="2065">
        <v>1</v>
      </c>
      <c r="AF70" s="2067">
        <f>V70</f>
        <v>13310000</v>
      </c>
      <c r="AI70" s="2068"/>
      <c r="AQ70" s="2069"/>
      <c r="AR70" s="2069"/>
      <c r="AS70" s="2069"/>
      <c r="AT70" s="2069"/>
      <c r="AU70" s="2069"/>
      <c r="AV70" s="2069"/>
      <c r="AW70" s="2069"/>
      <c r="AX70" s="2069"/>
    </row>
    <row r="71" spans="1:50" s="2280" customFormat="1" ht="47.25">
      <c r="A71" s="2372"/>
      <c r="B71" s="2373"/>
      <c r="C71" s="2374"/>
      <c r="D71" s="2375"/>
      <c r="E71" s="2341"/>
      <c r="F71" s="2341"/>
      <c r="G71" s="2341"/>
      <c r="H71" s="2293" t="s">
        <v>2332</v>
      </c>
      <c r="I71" s="2264">
        <v>42626</v>
      </c>
      <c r="J71" s="2341" t="s">
        <v>2318</v>
      </c>
      <c r="K71" s="2266" t="s">
        <v>2627</v>
      </c>
      <c r="L71" s="2266" t="s">
        <v>1749</v>
      </c>
      <c r="M71" s="2376" t="s">
        <v>2319</v>
      </c>
      <c r="N71" s="2341">
        <v>294852195</v>
      </c>
      <c r="O71" s="2377"/>
      <c r="P71" s="2262">
        <f t="shared" si="14"/>
        <v>294852195</v>
      </c>
      <c r="Q71" s="2377"/>
      <c r="R71" s="2377"/>
      <c r="S71" s="2377"/>
      <c r="T71" s="2377"/>
      <c r="U71" s="2377"/>
      <c r="V71" s="2377">
        <f>P71</f>
        <v>294852195</v>
      </c>
      <c r="W71" s="2378" t="s">
        <v>3540</v>
      </c>
      <c r="X71" s="2379">
        <v>42719</v>
      </c>
      <c r="Y71" s="2379">
        <v>42724</v>
      </c>
      <c r="Z71" s="2380">
        <f>V71</f>
        <v>294852195</v>
      </c>
      <c r="AA71" s="2381">
        <v>1</v>
      </c>
      <c r="AB71" s="2277">
        <f t="shared" si="13"/>
        <v>-294852195</v>
      </c>
      <c r="AC71" s="2382"/>
      <c r="AD71" s="2279">
        <v>0</v>
      </c>
      <c r="AG71" s="2299">
        <f>V71</f>
        <v>294852195</v>
      </c>
      <c r="AI71" s="2281"/>
      <c r="AQ71" s="2272"/>
      <c r="AR71" s="2272"/>
      <c r="AS71" s="2272"/>
      <c r="AT71" s="2272"/>
      <c r="AU71" s="2272"/>
      <c r="AV71" s="2272"/>
      <c r="AW71" s="2272"/>
      <c r="AX71" s="2272"/>
    </row>
    <row r="72" spans="1:50" s="581" customFormat="1" ht="47.25">
      <c r="A72" s="2008"/>
      <c r="B72" s="2009"/>
      <c r="C72" s="2081"/>
      <c r="D72" s="2011"/>
      <c r="E72" s="2012"/>
      <c r="F72" s="2012"/>
      <c r="G72" s="2012"/>
      <c r="H72" s="2013" t="s">
        <v>2865</v>
      </c>
      <c r="I72" s="2082">
        <v>42671</v>
      </c>
      <c r="J72" s="571" t="s">
        <v>2780</v>
      </c>
      <c r="K72" s="1718" t="s">
        <v>3308</v>
      </c>
      <c r="L72" s="2083" t="s">
        <v>3309</v>
      </c>
      <c r="M72" s="2015" t="s">
        <v>903</v>
      </c>
      <c r="N72" s="2012">
        <v>39446000</v>
      </c>
      <c r="O72" s="2016"/>
      <c r="P72" s="571">
        <f t="shared" si="14"/>
        <v>39446000</v>
      </c>
      <c r="Q72" s="2016"/>
      <c r="R72" s="2016"/>
      <c r="S72" s="2016"/>
      <c r="T72" s="2016"/>
      <c r="U72" s="2016"/>
      <c r="V72" s="2016">
        <f>P72</f>
        <v>39446000</v>
      </c>
      <c r="W72" s="631" t="s">
        <v>3649</v>
      </c>
      <c r="X72" s="632">
        <v>42728</v>
      </c>
      <c r="Y72" s="632">
        <v>42732</v>
      </c>
      <c r="Z72" s="2084">
        <f>V72</f>
        <v>39446000</v>
      </c>
      <c r="AA72" s="2085">
        <v>1</v>
      </c>
      <c r="AB72" s="576">
        <f t="shared" si="13"/>
        <v>-39446000</v>
      </c>
      <c r="AC72" s="2018"/>
      <c r="AD72" s="1792"/>
      <c r="AG72" s="2019"/>
      <c r="AI72" s="1793"/>
      <c r="AQ72" s="2020"/>
      <c r="AR72" s="2020"/>
      <c r="AS72" s="2020"/>
      <c r="AT72" s="2020"/>
      <c r="AU72" s="2020"/>
      <c r="AV72" s="2020"/>
      <c r="AW72" s="2020"/>
      <c r="AX72" s="2020"/>
    </row>
    <row r="73" spans="1:50" s="581" customFormat="1" ht="47.25">
      <c r="A73" s="2008"/>
      <c r="B73" s="2009"/>
      <c r="C73" s="2081"/>
      <c r="D73" s="2011"/>
      <c r="E73" s="2012"/>
      <c r="F73" s="2012"/>
      <c r="G73" s="2012"/>
      <c r="H73" s="2013" t="s">
        <v>2892</v>
      </c>
      <c r="I73" s="2082">
        <v>42674</v>
      </c>
      <c r="J73" s="571" t="s">
        <v>2859</v>
      </c>
      <c r="K73" s="1718" t="s">
        <v>3310</v>
      </c>
      <c r="L73" s="1718" t="s">
        <v>1749</v>
      </c>
      <c r="M73" s="2015" t="s">
        <v>2860</v>
      </c>
      <c r="N73" s="2012">
        <v>63310500</v>
      </c>
      <c r="O73" s="2016"/>
      <c r="P73" s="571">
        <f t="shared" si="14"/>
        <v>63310500</v>
      </c>
      <c r="Q73" s="2016"/>
      <c r="R73" s="2016"/>
      <c r="S73" s="2016"/>
      <c r="T73" s="2016"/>
      <c r="U73" s="2016"/>
      <c r="V73" s="2016">
        <f>P73</f>
        <v>63310500</v>
      </c>
      <c r="W73" s="631" t="s">
        <v>3649</v>
      </c>
      <c r="X73" s="632">
        <v>42728</v>
      </c>
      <c r="Y73" s="632">
        <v>42732</v>
      </c>
      <c r="Z73" s="2084">
        <f>V73</f>
        <v>63310500</v>
      </c>
      <c r="AA73" s="2085">
        <v>1</v>
      </c>
      <c r="AB73" s="576">
        <f t="shared" si="13"/>
        <v>-63310500</v>
      </c>
      <c r="AC73" s="2018"/>
      <c r="AD73" s="1792"/>
      <c r="AG73" s="2019"/>
      <c r="AI73" s="1793"/>
      <c r="AQ73" s="2020"/>
      <c r="AR73" s="2020"/>
      <c r="AS73" s="2020"/>
      <c r="AT73" s="2020"/>
      <c r="AU73" s="2020"/>
      <c r="AV73" s="2020"/>
      <c r="AW73" s="2020"/>
      <c r="AX73" s="2020"/>
    </row>
    <row r="74" spans="1:50" s="772" customFormat="1">
      <c r="A74" s="1216"/>
      <c r="B74" s="1217"/>
      <c r="C74" s="1217" t="str">
        <f>C70</f>
        <v>PRK.2016.WKT-4.9.53211.355</v>
      </c>
      <c r="D74" s="1236"/>
      <c r="E74" s="1237"/>
      <c r="F74" s="1237"/>
      <c r="G74" s="849">
        <f>G70</f>
        <v>414573500</v>
      </c>
      <c r="H74" s="1238"/>
      <c r="I74" s="1239"/>
      <c r="J74" s="1237"/>
      <c r="K74" s="1218"/>
      <c r="L74" s="1331"/>
      <c r="M74" s="1349"/>
      <c r="N74" s="849">
        <f t="shared" ref="N74:V74" si="16">SUM(N70:N73)</f>
        <v>410918695</v>
      </c>
      <c r="O74" s="849">
        <f t="shared" si="16"/>
        <v>0</v>
      </c>
      <c r="P74" s="849">
        <f t="shared" si="16"/>
        <v>410918695</v>
      </c>
      <c r="Q74" s="849">
        <f t="shared" si="16"/>
        <v>0</v>
      </c>
      <c r="R74" s="849">
        <f t="shared" si="16"/>
        <v>0</v>
      </c>
      <c r="S74" s="849">
        <f t="shared" si="16"/>
        <v>0</v>
      </c>
      <c r="T74" s="849">
        <f t="shared" si="16"/>
        <v>0</v>
      </c>
      <c r="U74" s="849">
        <f t="shared" si="16"/>
        <v>0</v>
      </c>
      <c r="V74" s="849">
        <f t="shared" si="16"/>
        <v>410918695</v>
      </c>
      <c r="W74" s="1372"/>
      <c r="X74" s="1373"/>
      <c r="Y74" s="1373"/>
      <c r="Z74" s="849">
        <f>SUM(Z70:Z73)</f>
        <v>410918695</v>
      </c>
      <c r="AA74" s="849"/>
      <c r="AB74" s="756">
        <f t="shared" si="13"/>
        <v>3654805</v>
      </c>
      <c r="AC74" s="858"/>
      <c r="AD74" s="1382"/>
      <c r="AE74" s="38"/>
      <c r="AF74" s="38"/>
      <c r="AG74" s="38"/>
      <c r="AH74" s="38"/>
      <c r="AI74" s="771"/>
      <c r="AQ74" s="748"/>
      <c r="AR74" s="748"/>
      <c r="AS74" s="748"/>
      <c r="AT74" s="748"/>
      <c r="AU74" s="748"/>
      <c r="AV74" s="748"/>
      <c r="AW74" s="748"/>
      <c r="AX74" s="748"/>
    </row>
    <row r="75" spans="1:50" s="54" customFormat="1" ht="15.75" customHeight="1">
      <c r="A75" s="80"/>
      <c r="B75" s="1159"/>
      <c r="C75" s="367"/>
      <c r="D75" s="367"/>
      <c r="E75" s="110"/>
      <c r="F75" s="369"/>
      <c r="G75" s="369"/>
      <c r="H75" s="110"/>
      <c r="I75" s="110"/>
      <c r="J75" s="110"/>
      <c r="K75" s="111"/>
      <c r="L75" s="1329"/>
      <c r="M75" s="1346"/>
      <c r="N75" s="110"/>
      <c r="O75" s="110"/>
      <c r="P75" s="110"/>
      <c r="Q75" s="110"/>
      <c r="R75" s="110"/>
      <c r="S75" s="110"/>
      <c r="T75" s="110"/>
      <c r="U75" s="110"/>
      <c r="V75" s="110"/>
      <c r="W75" s="374"/>
      <c r="X75" s="375"/>
      <c r="Y75" s="375"/>
      <c r="Z75" s="110"/>
      <c r="AA75" s="110"/>
      <c r="AB75" s="1214"/>
      <c r="AC75" s="113"/>
      <c r="AD75" s="1382"/>
      <c r="AE75" s="38"/>
      <c r="AF75" s="38"/>
      <c r="AG75" s="38"/>
      <c r="AH75" s="38"/>
      <c r="AI75" s="53"/>
      <c r="AQ75" s="103"/>
      <c r="AR75" s="103"/>
      <c r="AS75" s="103"/>
      <c r="AT75" s="103"/>
      <c r="AU75" s="103"/>
      <c r="AV75" s="103"/>
      <c r="AW75" s="103"/>
      <c r="AX75" s="103"/>
    </row>
    <row r="76" spans="1:50" s="581" customFormat="1" ht="47.25">
      <c r="A76" s="2008"/>
      <c r="B76" s="2009"/>
      <c r="C76" s="2010" t="s">
        <v>2154</v>
      </c>
      <c r="D76" s="2081" t="s">
        <v>2155</v>
      </c>
      <c r="E76" s="2016"/>
      <c r="F76" s="2012">
        <v>328418830</v>
      </c>
      <c r="G76" s="2012">
        <f>+E76+F76</f>
        <v>328418830</v>
      </c>
      <c r="H76" s="2013" t="s">
        <v>2293</v>
      </c>
      <c r="I76" s="2014">
        <v>42613</v>
      </c>
      <c r="J76" s="571" t="s">
        <v>2204</v>
      </c>
      <c r="K76" s="595" t="s">
        <v>2486</v>
      </c>
      <c r="L76" s="626" t="s">
        <v>242</v>
      </c>
      <c r="M76" s="2015" t="s">
        <v>2205</v>
      </c>
      <c r="N76" s="2016"/>
      <c r="O76" s="2012">
        <v>37720813</v>
      </c>
      <c r="P76" s="571">
        <f t="shared" si="14"/>
        <v>37720813</v>
      </c>
      <c r="Q76" s="2016"/>
      <c r="R76" s="2016"/>
      <c r="S76" s="2016"/>
      <c r="T76" s="2016"/>
      <c r="U76" s="2016"/>
      <c r="V76" s="2016">
        <f t="shared" ref="V76:V92" si="17">P76</f>
        <v>37720813</v>
      </c>
      <c r="W76" s="631" t="s">
        <v>3543</v>
      </c>
      <c r="X76" s="632">
        <v>42725</v>
      </c>
      <c r="Y76" s="632">
        <v>42731</v>
      </c>
      <c r="Z76" s="2016">
        <f>V76</f>
        <v>37720813</v>
      </c>
      <c r="AA76" s="2017">
        <v>1</v>
      </c>
      <c r="AB76" s="576">
        <f t="shared" si="13"/>
        <v>290698017</v>
      </c>
      <c r="AC76" s="2018"/>
      <c r="AD76" s="1792">
        <v>1</v>
      </c>
      <c r="AG76" s="2019">
        <f>F76</f>
        <v>328418830</v>
      </c>
      <c r="AI76" s="1793"/>
      <c r="AQ76" s="2020"/>
      <c r="AR76" s="2020"/>
      <c r="AS76" s="2020"/>
      <c r="AT76" s="2020"/>
      <c r="AU76" s="2020"/>
      <c r="AV76" s="2020"/>
      <c r="AW76" s="2020"/>
      <c r="AX76" s="2020"/>
    </row>
    <row r="77" spans="1:50" s="581" customFormat="1" ht="15.75" customHeight="1">
      <c r="A77" s="2008"/>
      <c r="B77" s="2009"/>
      <c r="C77" s="2081"/>
      <c r="D77" s="2081"/>
      <c r="E77" s="2016"/>
      <c r="F77" s="2012"/>
      <c r="G77" s="2012"/>
      <c r="H77" s="2016"/>
      <c r="I77" s="2016"/>
      <c r="J77" s="571" t="s">
        <v>2206</v>
      </c>
      <c r="K77" s="2086"/>
      <c r="L77" s="626" t="s">
        <v>974</v>
      </c>
      <c r="M77" s="2015" t="s">
        <v>2207</v>
      </c>
      <c r="N77" s="2012">
        <v>5307500</v>
      </c>
      <c r="O77" s="2016"/>
      <c r="P77" s="571">
        <f t="shared" si="14"/>
        <v>5307500</v>
      </c>
      <c r="Q77" s="2016"/>
      <c r="R77" s="2016"/>
      <c r="S77" s="2016"/>
      <c r="T77" s="2016"/>
      <c r="U77" s="2016"/>
      <c r="V77" s="2016">
        <f t="shared" si="17"/>
        <v>5307500</v>
      </c>
      <c r="W77" s="631" t="s">
        <v>2816</v>
      </c>
      <c r="X77" s="632">
        <v>42663</v>
      </c>
      <c r="Y77" s="632">
        <v>42668</v>
      </c>
      <c r="Z77" s="2016">
        <f>V77</f>
        <v>5307500</v>
      </c>
      <c r="AA77" s="2017">
        <v>1</v>
      </c>
      <c r="AB77" s="576">
        <f t="shared" si="13"/>
        <v>-5307500</v>
      </c>
      <c r="AC77" s="2018"/>
      <c r="AD77" s="1792">
        <v>1</v>
      </c>
      <c r="AF77" s="2019">
        <f>V77</f>
        <v>5307500</v>
      </c>
      <c r="AI77" s="1793"/>
      <c r="AQ77" s="2020"/>
      <c r="AR77" s="2020"/>
      <c r="AS77" s="2020"/>
      <c r="AT77" s="2020"/>
      <c r="AU77" s="2020"/>
      <c r="AV77" s="2020"/>
      <c r="AW77" s="2020"/>
      <c r="AX77" s="2020"/>
    </row>
    <row r="78" spans="1:50" s="581" customFormat="1" ht="15.75" customHeight="1">
      <c r="A78" s="2008"/>
      <c r="B78" s="2009"/>
      <c r="C78" s="2081"/>
      <c r="D78" s="2081"/>
      <c r="E78" s="2016"/>
      <c r="F78" s="2012"/>
      <c r="G78" s="2012"/>
      <c r="H78" s="2016"/>
      <c r="I78" s="2016"/>
      <c r="J78" s="571" t="s">
        <v>2208</v>
      </c>
      <c r="K78" s="2086"/>
      <c r="L78" s="626" t="s">
        <v>1737</v>
      </c>
      <c r="M78" s="2015" t="s">
        <v>2209</v>
      </c>
      <c r="N78" s="2016"/>
      <c r="O78" s="2012">
        <v>5955620</v>
      </c>
      <c r="P78" s="571">
        <f t="shared" si="14"/>
        <v>5955620</v>
      </c>
      <c r="Q78" s="2016"/>
      <c r="R78" s="2016"/>
      <c r="S78" s="2016"/>
      <c r="T78" s="2016"/>
      <c r="U78" s="2016"/>
      <c r="V78" s="2016">
        <f t="shared" si="17"/>
        <v>5955620</v>
      </c>
      <c r="W78" s="631" t="s">
        <v>3107</v>
      </c>
      <c r="X78" s="632">
        <v>42684</v>
      </c>
      <c r="Y78" s="632">
        <v>42696</v>
      </c>
      <c r="Z78" s="2016">
        <f>V78</f>
        <v>5955620</v>
      </c>
      <c r="AA78" s="2017">
        <v>1</v>
      </c>
      <c r="AB78" s="576">
        <f t="shared" si="13"/>
        <v>-5955620</v>
      </c>
      <c r="AC78" s="2018"/>
      <c r="AD78" s="1792">
        <v>1</v>
      </c>
      <c r="AF78" s="2019">
        <f t="shared" ref="AF78:AF88" si="18">V78</f>
        <v>5955620</v>
      </c>
      <c r="AI78" s="1793"/>
      <c r="AQ78" s="2020"/>
      <c r="AR78" s="2020"/>
      <c r="AS78" s="2020"/>
      <c r="AT78" s="2020"/>
      <c r="AU78" s="2020"/>
      <c r="AV78" s="2020"/>
      <c r="AW78" s="2020"/>
      <c r="AX78" s="2020"/>
    </row>
    <row r="79" spans="1:50" s="581" customFormat="1" ht="15.75" customHeight="1">
      <c r="A79" s="2008"/>
      <c r="B79" s="2009"/>
      <c r="C79" s="2081"/>
      <c r="D79" s="2081"/>
      <c r="E79" s="2016"/>
      <c r="F79" s="2012"/>
      <c r="G79" s="2012"/>
      <c r="H79" s="2016"/>
      <c r="I79" s="2016"/>
      <c r="J79" s="571" t="s">
        <v>2210</v>
      </c>
      <c r="K79" s="2086"/>
      <c r="L79" s="626" t="s">
        <v>1737</v>
      </c>
      <c r="M79" s="2015" t="s">
        <v>2211</v>
      </c>
      <c r="N79" s="2016"/>
      <c r="O79" s="2012">
        <v>8094625</v>
      </c>
      <c r="P79" s="571">
        <f t="shared" si="14"/>
        <v>8094625</v>
      </c>
      <c r="Q79" s="2016"/>
      <c r="R79" s="2016"/>
      <c r="S79" s="2016"/>
      <c r="T79" s="2016"/>
      <c r="U79" s="2016"/>
      <c r="V79" s="2016">
        <f t="shared" si="17"/>
        <v>8094625</v>
      </c>
      <c r="W79" s="631" t="s">
        <v>3063</v>
      </c>
      <c r="X79" s="632">
        <v>42682</v>
      </c>
      <c r="Y79" s="632">
        <v>42685</v>
      </c>
      <c r="Z79" s="2016">
        <f>V79</f>
        <v>8094625</v>
      </c>
      <c r="AA79" s="2017">
        <v>1</v>
      </c>
      <c r="AB79" s="576">
        <f t="shared" si="13"/>
        <v>-8094625</v>
      </c>
      <c r="AC79" s="2018"/>
      <c r="AD79" s="1792">
        <v>1</v>
      </c>
      <c r="AF79" s="2019">
        <f t="shared" si="18"/>
        <v>8094625</v>
      </c>
      <c r="AI79" s="1793"/>
      <c r="AQ79" s="2020"/>
      <c r="AR79" s="2020"/>
      <c r="AS79" s="2020"/>
      <c r="AT79" s="2020"/>
      <c r="AU79" s="2020"/>
      <c r="AV79" s="2020"/>
      <c r="AW79" s="2020"/>
      <c r="AX79" s="2020"/>
    </row>
    <row r="80" spans="1:50" s="581" customFormat="1" ht="47.25">
      <c r="A80" s="2008"/>
      <c r="B80" s="2009"/>
      <c r="C80" s="2081"/>
      <c r="D80" s="2081"/>
      <c r="E80" s="2016"/>
      <c r="F80" s="2012"/>
      <c r="G80" s="2012"/>
      <c r="H80" s="2013" t="s">
        <v>2290</v>
      </c>
      <c r="I80" s="2014">
        <v>42613</v>
      </c>
      <c r="J80" s="571" t="s">
        <v>2212</v>
      </c>
      <c r="K80" s="595" t="s">
        <v>2487</v>
      </c>
      <c r="L80" s="2083" t="s">
        <v>2488</v>
      </c>
      <c r="M80" s="2015" t="s">
        <v>2213</v>
      </c>
      <c r="N80" s="2016"/>
      <c r="O80" s="2012">
        <v>15928550</v>
      </c>
      <c r="P80" s="2012">
        <f t="shared" si="14"/>
        <v>15928550</v>
      </c>
      <c r="Q80" s="2016"/>
      <c r="R80" s="2016"/>
      <c r="S80" s="2016"/>
      <c r="T80" s="2016"/>
      <c r="U80" s="2016"/>
      <c r="V80" s="2016">
        <f t="shared" si="17"/>
        <v>15928550</v>
      </c>
      <c r="W80" s="631" t="s">
        <v>3542</v>
      </c>
      <c r="X80" s="632">
        <v>42724</v>
      </c>
      <c r="Y80" s="632">
        <v>42731</v>
      </c>
      <c r="Z80" s="2016">
        <f>V80</f>
        <v>15928550</v>
      </c>
      <c r="AA80" s="2017">
        <v>1</v>
      </c>
      <c r="AB80" s="576">
        <f t="shared" si="13"/>
        <v>-15928550</v>
      </c>
      <c r="AC80" s="2018"/>
      <c r="AD80" s="1792">
        <v>1</v>
      </c>
      <c r="AF80" s="2019">
        <f t="shared" si="18"/>
        <v>15928550</v>
      </c>
      <c r="AI80" s="1793"/>
      <c r="AQ80" s="2020"/>
      <c r="AR80" s="2020"/>
      <c r="AS80" s="2020"/>
      <c r="AT80" s="2020"/>
      <c r="AU80" s="2020"/>
      <c r="AV80" s="2020"/>
      <c r="AW80" s="2020"/>
      <c r="AX80" s="2020"/>
    </row>
    <row r="81" spans="1:50" s="581" customFormat="1" ht="31.5">
      <c r="A81" s="2008"/>
      <c r="B81" s="2009"/>
      <c r="C81" s="2081"/>
      <c r="D81" s="2081"/>
      <c r="E81" s="2016"/>
      <c r="F81" s="2012"/>
      <c r="G81" s="2012"/>
      <c r="H81" s="2016"/>
      <c r="I81" s="2016"/>
      <c r="J81" s="571" t="s">
        <v>2214</v>
      </c>
      <c r="K81" s="2086"/>
      <c r="L81" s="626" t="s">
        <v>2406</v>
      </c>
      <c r="M81" s="2015" t="s">
        <v>2215</v>
      </c>
      <c r="N81" s="2016"/>
      <c r="O81" s="2012">
        <v>8460430</v>
      </c>
      <c r="P81" s="2012">
        <f t="shared" si="14"/>
        <v>8460430</v>
      </c>
      <c r="Q81" s="2016"/>
      <c r="R81" s="2016"/>
      <c r="S81" s="2016"/>
      <c r="T81" s="2016"/>
      <c r="U81" s="2016"/>
      <c r="V81" s="2016">
        <f t="shared" si="17"/>
        <v>8460430</v>
      </c>
      <c r="W81" s="631" t="s">
        <v>2474</v>
      </c>
      <c r="X81" s="632">
        <v>42634</v>
      </c>
      <c r="Y81" s="632">
        <v>42636</v>
      </c>
      <c r="Z81" s="2016">
        <f t="shared" ref="Z81:Z88" si="19">V81</f>
        <v>8460430</v>
      </c>
      <c r="AA81" s="2017">
        <v>1</v>
      </c>
      <c r="AB81" s="576">
        <f t="shared" si="13"/>
        <v>-8460430</v>
      </c>
      <c r="AC81" s="2018"/>
      <c r="AD81" s="1792">
        <v>1</v>
      </c>
      <c r="AF81" s="2019"/>
      <c r="AI81" s="1793"/>
      <c r="AQ81" s="2020"/>
      <c r="AR81" s="2020"/>
      <c r="AS81" s="2020"/>
      <c r="AT81" s="2020"/>
      <c r="AU81" s="2020"/>
      <c r="AV81" s="2020"/>
      <c r="AW81" s="2020"/>
      <c r="AX81" s="2020"/>
    </row>
    <row r="82" spans="1:50" s="581" customFormat="1" ht="47.25">
      <c r="A82" s="2008"/>
      <c r="B82" s="2009"/>
      <c r="C82" s="2081"/>
      <c r="D82" s="2081"/>
      <c r="E82" s="2016"/>
      <c r="F82" s="2012"/>
      <c r="G82" s="2012"/>
      <c r="H82" s="2013" t="s">
        <v>2292</v>
      </c>
      <c r="I82" s="2014">
        <v>42613</v>
      </c>
      <c r="J82" s="571" t="s">
        <v>2216</v>
      </c>
      <c r="K82" s="595" t="s">
        <v>2493</v>
      </c>
      <c r="L82" s="626" t="s">
        <v>194</v>
      </c>
      <c r="M82" s="2015" t="s">
        <v>2217</v>
      </c>
      <c r="N82" s="2016"/>
      <c r="O82" s="2012">
        <v>15299680</v>
      </c>
      <c r="P82" s="2012">
        <f t="shared" si="14"/>
        <v>15299680</v>
      </c>
      <c r="Q82" s="2016"/>
      <c r="R82" s="2016"/>
      <c r="S82" s="2016"/>
      <c r="T82" s="2016"/>
      <c r="U82" s="2016"/>
      <c r="V82" s="2016">
        <f t="shared" si="17"/>
        <v>15299680</v>
      </c>
      <c r="W82" s="631" t="s">
        <v>3443</v>
      </c>
      <c r="X82" s="632">
        <v>42717</v>
      </c>
      <c r="Y82" s="632">
        <v>42720</v>
      </c>
      <c r="Z82" s="2016">
        <f t="shared" si="19"/>
        <v>15299680</v>
      </c>
      <c r="AA82" s="2017">
        <v>1</v>
      </c>
      <c r="AB82" s="576">
        <f t="shared" si="13"/>
        <v>-15299680</v>
      </c>
      <c r="AC82" s="2018"/>
      <c r="AD82" s="1792">
        <v>1</v>
      </c>
      <c r="AF82" s="2019">
        <f t="shared" si="18"/>
        <v>15299680</v>
      </c>
      <c r="AI82" s="1793"/>
      <c r="AQ82" s="2020"/>
      <c r="AR82" s="2020"/>
      <c r="AS82" s="2020"/>
      <c r="AT82" s="2020"/>
      <c r="AU82" s="2020"/>
      <c r="AV82" s="2020"/>
      <c r="AW82" s="2020"/>
      <c r="AX82" s="2020"/>
    </row>
    <row r="83" spans="1:50" s="581" customFormat="1" ht="47.25">
      <c r="A83" s="2008"/>
      <c r="B83" s="2009"/>
      <c r="C83" s="2081"/>
      <c r="D83" s="2081"/>
      <c r="E83" s="2016"/>
      <c r="F83" s="2012"/>
      <c r="G83" s="2012"/>
      <c r="H83" s="2013" t="s">
        <v>2294</v>
      </c>
      <c r="I83" s="2014">
        <v>42613</v>
      </c>
      <c r="J83" s="571" t="s">
        <v>2218</v>
      </c>
      <c r="K83" s="595" t="s">
        <v>2485</v>
      </c>
      <c r="L83" s="626" t="s">
        <v>2406</v>
      </c>
      <c r="M83" s="2015" t="s">
        <v>2219</v>
      </c>
      <c r="N83" s="2016"/>
      <c r="O83" s="2012">
        <v>18860406</v>
      </c>
      <c r="P83" s="2012">
        <f t="shared" si="14"/>
        <v>18860406</v>
      </c>
      <c r="Q83" s="2016"/>
      <c r="R83" s="2016"/>
      <c r="S83" s="2016"/>
      <c r="T83" s="2016"/>
      <c r="U83" s="2016"/>
      <c r="V83" s="2016">
        <f t="shared" si="17"/>
        <v>18860406</v>
      </c>
      <c r="W83" s="687" t="s">
        <v>3402</v>
      </c>
      <c r="X83" s="2087">
        <v>42713</v>
      </c>
      <c r="Y83" s="2087">
        <v>42718</v>
      </c>
      <c r="Z83" s="2084">
        <f t="shared" si="19"/>
        <v>18860406</v>
      </c>
      <c r="AA83" s="2085">
        <v>1</v>
      </c>
      <c r="AB83" s="576">
        <f t="shared" si="13"/>
        <v>-18860406</v>
      </c>
      <c r="AC83" s="2018"/>
      <c r="AD83" s="1792">
        <v>1</v>
      </c>
      <c r="AF83" s="2019">
        <f t="shared" si="18"/>
        <v>18860406</v>
      </c>
      <c r="AI83" s="1793"/>
      <c r="AQ83" s="2020"/>
      <c r="AR83" s="2020"/>
      <c r="AS83" s="2020"/>
      <c r="AT83" s="2020"/>
      <c r="AU83" s="2020"/>
      <c r="AV83" s="2020"/>
      <c r="AW83" s="2020"/>
      <c r="AX83" s="2020"/>
    </row>
    <row r="84" spans="1:50" s="581" customFormat="1">
      <c r="A84" s="2008"/>
      <c r="B84" s="2009"/>
      <c r="C84" s="2081"/>
      <c r="D84" s="2081"/>
      <c r="E84" s="2016"/>
      <c r="F84" s="2012"/>
      <c r="G84" s="2012"/>
      <c r="H84" s="2016"/>
      <c r="I84" s="2016"/>
      <c r="J84" s="571" t="s">
        <v>2258</v>
      </c>
      <c r="K84" s="2086"/>
      <c r="L84" s="626" t="s">
        <v>2406</v>
      </c>
      <c r="M84" s="2015" t="s">
        <v>2259</v>
      </c>
      <c r="N84" s="2016"/>
      <c r="O84" s="2012">
        <v>5888190</v>
      </c>
      <c r="P84" s="2012">
        <f t="shared" si="14"/>
        <v>5888190</v>
      </c>
      <c r="Q84" s="2016"/>
      <c r="R84" s="2016"/>
      <c r="S84" s="2016"/>
      <c r="T84" s="2016"/>
      <c r="U84" s="2016"/>
      <c r="V84" s="2016">
        <f t="shared" si="17"/>
        <v>5888190</v>
      </c>
      <c r="W84" s="631" t="s">
        <v>2474</v>
      </c>
      <c r="X84" s="632">
        <v>42634</v>
      </c>
      <c r="Y84" s="632">
        <v>42636</v>
      </c>
      <c r="Z84" s="2016">
        <f t="shared" si="19"/>
        <v>5888190</v>
      </c>
      <c r="AA84" s="2017">
        <v>1</v>
      </c>
      <c r="AB84" s="576">
        <f t="shared" si="13"/>
        <v>-5888190</v>
      </c>
      <c r="AC84" s="2018"/>
      <c r="AD84" s="1792">
        <v>1</v>
      </c>
      <c r="AF84" s="2019"/>
      <c r="AI84" s="1793"/>
      <c r="AQ84" s="2020"/>
      <c r="AR84" s="2020"/>
      <c r="AS84" s="2020"/>
      <c r="AT84" s="2020"/>
      <c r="AU84" s="2020"/>
      <c r="AV84" s="2020"/>
      <c r="AW84" s="2020"/>
      <c r="AX84" s="2020"/>
    </row>
    <row r="85" spans="1:50" s="1828" customFormat="1">
      <c r="A85" s="2070"/>
      <c r="B85" s="2071"/>
      <c r="C85" s="2072"/>
      <c r="D85" s="2072"/>
      <c r="E85" s="2076"/>
      <c r="F85" s="2073"/>
      <c r="G85" s="2073"/>
      <c r="H85" s="2076"/>
      <c r="I85" s="2076"/>
      <c r="J85" s="2074" t="s">
        <v>2398</v>
      </c>
      <c r="K85" s="2144"/>
      <c r="L85" s="2145" t="s">
        <v>2406</v>
      </c>
      <c r="M85" s="2075" t="s">
        <v>2402</v>
      </c>
      <c r="N85" s="2073"/>
      <c r="O85" s="2073">
        <v>6666000</v>
      </c>
      <c r="P85" s="2073">
        <f t="shared" si="14"/>
        <v>6666000</v>
      </c>
      <c r="Q85" s="2076"/>
      <c r="R85" s="2076"/>
      <c r="S85" s="2076"/>
      <c r="T85" s="2076"/>
      <c r="U85" s="2076"/>
      <c r="V85" s="2076">
        <f t="shared" si="17"/>
        <v>6666000</v>
      </c>
      <c r="W85" s="2077" t="s">
        <v>3052</v>
      </c>
      <c r="X85" s="2078">
        <v>42675</v>
      </c>
      <c r="Y85" s="2078">
        <v>42682</v>
      </c>
      <c r="Z85" s="2076">
        <f t="shared" si="19"/>
        <v>6666000</v>
      </c>
      <c r="AA85" s="2146">
        <v>1</v>
      </c>
      <c r="AB85" s="1863">
        <f t="shared" si="13"/>
        <v>-6666000</v>
      </c>
      <c r="AC85" s="2079"/>
      <c r="AD85" s="1827">
        <v>1</v>
      </c>
      <c r="AF85" s="1829">
        <f t="shared" si="18"/>
        <v>6666000</v>
      </c>
      <c r="AI85" s="1839"/>
      <c r="AQ85" s="2080"/>
      <c r="AR85" s="2080"/>
      <c r="AS85" s="2080"/>
      <c r="AT85" s="2080"/>
      <c r="AU85" s="2080"/>
      <c r="AV85" s="2080"/>
      <c r="AW85" s="2080"/>
      <c r="AX85" s="2080"/>
    </row>
    <row r="86" spans="1:50" s="1828" customFormat="1">
      <c r="A86" s="2070"/>
      <c r="B86" s="2071"/>
      <c r="C86" s="2072"/>
      <c r="D86" s="2072"/>
      <c r="E86" s="2076"/>
      <c r="F86" s="2073"/>
      <c r="G86" s="2073"/>
      <c r="H86" s="2076"/>
      <c r="I86" s="2076"/>
      <c r="J86" s="2074" t="s">
        <v>2399</v>
      </c>
      <c r="K86" s="2144"/>
      <c r="L86" s="2145" t="s">
        <v>2406</v>
      </c>
      <c r="M86" s="2075" t="s">
        <v>2403</v>
      </c>
      <c r="N86" s="2073"/>
      <c r="O86" s="2073">
        <v>8487105</v>
      </c>
      <c r="P86" s="2073">
        <f t="shared" si="14"/>
        <v>8487105</v>
      </c>
      <c r="Q86" s="2076"/>
      <c r="R86" s="2076"/>
      <c r="S86" s="2076"/>
      <c r="T86" s="2076"/>
      <c r="U86" s="2076"/>
      <c r="V86" s="2076">
        <f t="shared" si="17"/>
        <v>8487105</v>
      </c>
      <c r="W86" s="2077" t="s">
        <v>3063</v>
      </c>
      <c r="X86" s="2078">
        <v>42682</v>
      </c>
      <c r="Y86" s="2078">
        <v>42685</v>
      </c>
      <c r="Z86" s="2076">
        <f t="shared" si="19"/>
        <v>8487105</v>
      </c>
      <c r="AA86" s="2146">
        <v>1</v>
      </c>
      <c r="AB86" s="1863">
        <f t="shared" si="13"/>
        <v>-8487105</v>
      </c>
      <c r="AC86" s="2079"/>
      <c r="AD86" s="1827">
        <v>1</v>
      </c>
      <c r="AF86" s="1829">
        <f t="shared" si="18"/>
        <v>8487105</v>
      </c>
      <c r="AI86" s="1839"/>
      <c r="AQ86" s="2080"/>
      <c r="AR86" s="2080"/>
      <c r="AS86" s="2080"/>
      <c r="AT86" s="2080"/>
      <c r="AU86" s="2080"/>
      <c r="AV86" s="2080"/>
      <c r="AW86" s="2080"/>
      <c r="AX86" s="2080"/>
    </row>
    <row r="87" spans="1:50" s="2066" customFormat="1">
      <c r="A87" s="2047"/>
      <c r="B87" s="2048"/>
      <c r="C87" s="2426"/>
      <c r="D87" s="2426"/>
      <c r="E87" s="2058"/>
      <c r="F87" s="2051"/>
      <c r="G87" s="2051"/>
      <c r="H87" s="2058"/>
      <c r="I87" s="2058"/>
      <c r="J87" s="2054" t="s">
        <v>2400</v>
      </c>
      <c r="K87" s="2427"/>
      <c r="L87" s="2056" t="s">
        <v>446</v>
      </c>
      <c r="M87" s="2057" t="s">
        <v>2404</v>
      </c>
      <c r="N87" s="2051">
        <v>5753000</v>
      </c>
      <c r="O87" s="2051"/>
      <c r="P87" s="2051">
        <f t="shared" si="14"/>
        <v>5753000</v>
      </c>
      <c r="Q87" s="2058"/>
      <c r="R87" s="2058"/>
      <c r="S87" s="2058"/>
      <c r="T87" s="2058"/>
      <c r="U87" s="2058"/>
      <c r="V87" s="2058">
        <f t="shared" si="17"/>
        <v>5753000</v>
      </c>
      <c r="W87" s="2428" t="s">
        <v>3052</v>
      </c>
      <c r="X87" s="2429">
        <v>42675</v>
      </c>
      <c r="Y87" s="2429">
        <v>42682</v>
      </c>
      <c r="Z87" s="2058">
        <f t="shared" si="19"/>
        <v>5753000</v>
      </c>
      <c r="AA87" s="2430">
        <v>1</v>
      </c>
      <c r="AB87" s="2063">
        <f t="shared" si="13"/>
        <v>-5753000</v>
      </c>
      <c r="AC87" s="2064"/>
      <c r="AD87" s="2065">
        <v>1</v>
      </c>
      <c r="AF87" s="2067">
        <f t="shared" si="18"/>
        <v>5753000</v>
      </c>
      <c r="AI87" s="2068"/>
      <c r="AQ87" s="2069"/>
      <c r="AR87" s="2069"/>
      <c r="AS87" s="2069"/>
      <c r="AT87" s="2069"/>
      <c r="AU87" s="2069"/>
      <c r="AV87" s="2069"/>
      <c r="AW87" s="2069"/>
      <c r="AX87" s="2069"/>
    </row>
    <row r="88" spans="1:50" s="2493" customFormat="1">
      <c r="A88" s="2594"/>
      <c r="B88" s="2595"/>
      <c r="C88" s="2596"/>
      <c r="D88" s="2596"/>
      <c r="E88" s="2556"/>
      <c r="F88" s="2551"/>
      <c r="G88" s="2551"/>
      <c r="H88" s="2556"/>
      <c r="I88" s="2556"/>
      <c r="J88" s="2485" t="s">
        <v>2401</v>
      </c>
      <c r="K88" s="2597"/>
      <c r="L88" s="2558" t="s">
        <v>2406</v>
      </c>
      <c r="M88" s="2559" t="s">
        <v>2405</v>
      </c>
      <c r="N88" s="2551">
        <v>9955000</v>
      </c>
      <c r="O88" s="2551"/>
      <c r="P88" s="2551">
        <f t="shared" si="14"/>
        <v>9955000</v>
      </c>
      <c r="Q88" s="2556"/>
      <c r="R88" s="2556"/>
      <c r="S88" s="2556"/>
      <c r="T88" s="2556"/>
      <c r="U88" s="2556"/>
      <c r="V88" s="2556">
        <f t="shared" si="17"/>
        <v>9955000</v>
      </c>
      <c r="W88" s="2508" t="s">
        <v>3112</v>
      </c>
      <c r="X88" s="2509">
        <v>42685</v>
      </c>
      <c r="Y88" s="2510">
        <v>42691</v>
      </c>
      <c r="Z88" s="2550">
        <f t="shared" si="19"/>
        <v>9955000</v>
      </c>
      <c r="AA88" s="2553">
        <v>1</v>
      </c>
      <c r="AB88" s="2487">
        <f t="shared" si="13"/>
        <v>-9955000</v>
      </c>
      <c r="AC88" s="2598"/>
      <c r="AD88" s="2492">
        <v>1</v>
      </c>
      <c r="AF88" s="2599">
        <f t="shared" si="18"/>
        <v>9955000</v>
      </c>
      <c r="AI88" s="2528"/>
      <c r="AQ88" s="2550"/>
      <c r="AR88" s="2550"/>
      <c r="AS88" s="2550"/>
      <c r="AT88" s="2550"/>
      <c r="AU88" s="2550"/>
      <c r="AV88" s="2550"/>
      <c r="AW88" s="2550"/>
      <c r="AX88" s="2550"/>
    </row>
    <row r="89" spans="1:50" s="1904" customFormat="1" ht="47.25">
      <c r="A89" s="2198"/>
      <c r="B89" s="2199"/>
      <c r="C89" s="2200"/>
      <c r="D89" s="2200"/>
      <c r="E89" s="2201"/>
      <c r="F89" s="2202"/>
      <c r="G89" s="2202"/>
      <c r="H89" s="2203" t="s">
        <v>2762</v>
      </c>
      <c r="I89" s="2204">
        <v>42669</v>
      </c>
      <c r="J89" s="2154" t="s">
        <v>2713</v>
      </c>
      <c r="K89" s="2205" t="s">
        <v>3311</v>
      </c>
      <c r="L89" s="2206" t="s">
        <v>2406</v>
      </c>
      <c r="M89" s="2207" t="s">
        <v>2712</v>
      </c>
      <c r="N89" s="2202">
        <v>35453000</v>
      </c>
      <c r="O89" s="2202"/>
      <c r="P89" s="2202">
        <f t="shared" si="14"/>
        <v>35453000</v>
      </c>
      <c r="Q89" s="2201"/>
      <c r="R89" s="2201"/>
      <c r="S89" s="2201"/>
      <c r="T89" s="2201"/>
      <c r="U89" s="2201"/>
      <c r="V89" s="2201">
        <f t="shared" si="17"/>
        <v>35453000</v>
      </c>
      <c r="W89" s="2208" t="s">
        <v>3543</v>
      </c>
      <c r="X89" s="2209">
        <v>42725</v>
      </c>
      <c r="Y89" s="2209">
        <v>42731</v>
      </c>
      <c r="Z89" s="2201">
        <f>V89</f>
        <v>35453000</v>
      </c>
      <c r="AA89" s="2210">
        <v>1</v>
      </c>
      <c r="AB89" s="1960">
        <f t="shared" si="13"/>
        <v>-35453000</v>
      </c>
      <c r="AC89" s="2211"/>
      <c r="AD89" s="1903"/>
      <c r="AF89" s="1905"/>
      <c r="AG89" s="1905">
        <f>P89</f>
        <v>35453000</v>
      </c>
      <c r="AI89" s="1971"/>
      <c r="AQ89" s="2153"/>
      <c r="AR89" s="2153"/>
      <c r="AS89" s="2153"/>
      <c r="AT89" s="2153"/>
      <c r="AU89" s="2153"/>
      <c r="AV89" s="2153"/>
      <c r="AW89" s="2153"/>
      <c r="AX89" s="2153"/>
    </row>
    <row r="90" spans="1:50" s="581" customFormat="1" ht="47.25">
      <c r="A90" s="2008"/>
      <c r="B90" s="2009"/>
      <c r="C90" s="2081"/>
      <c r="D90" s="2081"/>
      <c r="E90" s="2016"/>
      <c r="F90" s="2012"/>
      <c r="G90" s="2012"/>
      <c r="H90" s="2090" t="s">
        <v>2949</v>
      </c>
      <c r="I90" s="2088">
        <v>42670</v>
      </c>
      <c r="J90" s="571" t="s">
        <v>2757</v>
      </c>
      <c r="K90" s="2089" t="s">
        <v>3307</v>
      </c>
      <c r="L90" s="626" t="s">
        <v>242</v>
      </c>
      <c r="M90" s="2015" t="s">
        <v>2756</v>
      </c>
      <c r="N90" s="2012">
        <v>48762670</v>
      </c>
      <c r="O90" s="2012"/>
      <c r="P90" s="2012">
        <f t="shared" si="14"/>
        <v>48762670</v>
      </c>
      <c r="Q90" s="2016"/>
      <c r="R90" s="2016"/>
      <c r="S90" s="2016"/>
      <c r="T90" s="2016"/>
      <c r="U90" s="2016"/>
      <c r="V90" s="2016">
        <f t="shared" si="17"/>
        <v>48762670</v>
      </c>
      <c r="W90" s="631" t="s">
        <v>3543</v>
      </c>
      <c r="X90" s="632">
        <v>42725</v>
      </c>
      <c r="Y90" s="632">
        <v>42731</v>
      </c>
      <c r="Z90" s="2016">
        <f>V90</f>
        <v>48762670</v>
      </c>
      <c r="AA90" s="2017">
        <v>1</v>
      </c>
      <c r="AB90" s="576">
        <f t="shared" si="13"/>
        <v>-48762670</v>
      </c>
      <c r="AC90" s="2018"/>
      <c r="AD90" s="1792"/>
      <c r="AF90" s="2019"/>
      <c r="AG90" s="2019"/>
      <c r="AI90" s="1793"/>
      <c r="AQ90" s="2020"/>
      <c r="AR90" s="2020"/>
      <c r="AS90" s="2020"/>
      <c r="AT90" s="2020"/>
      <c r="AU90" s="2020"/>
      <c r="AV90" s="2020"/>
      <c r="AW90" s="2020"/>
      <c r="AX90" s="2020"/>
    </row>
    <row r="91" spans="1:50" s="581" customFormat="1" ht="47.25">
      <c r="A91" s="2008"/>
      <c r="B91" s="2009"/>
      <c r="C91" s="2081"/>
      <c r="D91" s="2081"/>
      <c r="E91" s="2016"/>
      <c r="F91" s="2012"/>
      <c r="G91" s="2012"/>
      <c r="H91" s="2013" t="s">
        <v>2948</v>
      </c>
      <c r="I91" s="2088">
        <v>42677</v>
      </c>
      <c r="J91" s="571" t="s">
        <v>2946</v>
      </c>
      <c r="K91" s="2089" t="s">
        <v>3312</v>
      </c>
      <c r="L91" s="626" t="s">
        <v>1326</v>
      </c>
      <c r="M91" s="2015" t="s">
        <v>2947</v>
      </c>
      <c r="N91" s="2012">
        <v>47765704</v>
      </c>
      <c r="O91" s="2012"/>
      <c r="P91" s="2012">
        <f t="shared" si="14"/>
        <v>47765704</v>
      </c>
      <c r="Q91" s="2016"/>
      <c r="R91" s="2016"/>
      <c r="S91" s="2016"/>
      <c r="T91" s="2016"/>
      <c r="U91" s="2016"/>
      <c r="V91" s="2016">
        <f t="shared" si="17"/>
        <v>47765704</v>
      </c>
      <c r="W91" s="631" t="s">
        <v>3649</v>
      </c>
      <c r="X91" s="632">
        <v>42728</v>
      </c>
      <c r="Y91" s="632">
        <v>42732</v>
      </c>
      <c r="Z91" s="2084">
        <f>V91</f>
        <v>47765704</v>
      </c>
      <c r="AA91" s="2085">
        <v>1</v>
      </c>
      <c r="AB91" s="576">
        <f t="shared" si="13"/>
        <v>-47765704</v>
      </c>
      <c r="AC91" s="2018"/>
      <c r="AD91" s="1792"/>
      <c r="AF91" s="2019"/>
      <c r="AG91" s="2019"/>
      <c r="AI91" s="1793"/>
      <c r="AQ91" s="2020"/>
      <c r="AR91" s="2020"/>
      <c r="AS91" s="2020"/>
      <c r="AT91" s="2020"/>
      <c r="AU91" s="2020"/>
      <c r="AV91" s="2020"/>
      <c r="AW91" s="2020"/>
      <c r="AX91" s="2020"/>
    </row>
    <row r="92" spans="1:50" s="581" customFormat="1" ht="47.25">
      <c r="A92" s="2008"/>
      <c r="B92" s="2009"/>
      <c r="C92" s="2081"/>
      <c r="D92" s="2081"/>
      <c r="E92" s="2016"/>
      <c r="F92" s="2012"/>
      <c r="G92" s="2012"/>
      <c r="H92" s="2013" t="s">
        <v>3276</v>
      </c>
      <c r="I92" s="2088">
        <v>42709</v>
      </c>
      <c r="J92" s="571" t="s">
        <v>3261</v>
      </c>
      <c r="K92" s="2089" t="s">
        <v>3741</v>
      </c>
      <c r="L92" s="2083" t="s">
        <v>1749</v>
      </c>
      <c r="M92" s="2015" t="s">
        <v>3262</v>
      </c>
      <c r="N92" s="2012">
        <v>22717200</v>
      </c>
      <c r="O92" s="2012"/>
      <c r="P92" s="2012">
        <f t="shared" si="14"/>
        <v>22717200</v>
      </c>
      <c r="Q92" s="2016"/>
      <c r="R92" s="2016"/>
      <c r="S92" s="2016"/>
      <c r="T92" s="2016"/>
      <c r="U92" s="2016"/>
      <c r="V92" s="2016">
        <f t="shared" si="17"/>
        <v>22717200</v>
      </c>
      <c r="W92" s="631"/>
      <c r="X92" s="632"/>
      <c r="Y92" s="632"/>
      <c r="Z92" s="2016"/>
      <c r="AA92" s="2016"/>
      <c r="AB92" s="576">
        <f t="shared" si="13"/>
        <v>-22717200</v>
      </c>
      <c r="AC92" s="2018"/>
      <c r="AD92" s="1792"/>
      <c r="AF92" s="2019"/>
      <c r="AG92" s="2019"/>
      <c r="AI92" s="1793"/>
      <c r="AQ92" s="2020"/>
      <c r="AR92" s="2020"/>
      <c r="AS92" s="2020"/>
      <c r="AT92" s="2020"/>
      <c r="AU92" s="2020"/>
      <c r="AV92" s="2020"/>
      <c r="AW92" s="2020"/>
      <c r="AX92" s="2020"/>
    </row>
    <row r="93" spans="1:50" s="581" customFormat="1" ht="31.5">
      <c r="A93" s="2008"/>
      <c r="B93" s="2009"/>
      <c r="C93" s="2081"/>
      <c r="D93" s="2081"/>
      <c r="E93" s="2016"/>
      <c r="F93" s="2012"/>
      <c r="G93" s="2012"/>
      <c r="H93" s="2091"/>
      <c r="I93" s="2088"/>
      <c r="J93" s="571" t="s">
        <v>3339</v>
      </c>
      <c r="K93" s="2086"/>
      <c r="L93" s="609" t="s">
        <v>193</v>
      </c>
      <c r="M93" s="2015" t="s">
        <v>3340</v>
      </c>
      <c r="N93" s="2012"/>
      <c r="O93" s="2012">
        <v>5539600</v>
      </c>
      <c r="P93" s="2012">
        <f t="shared" si="14"/>
        <v>5539600</v>
      </c>
      <c r="Q93" s="2016"/>
      <c r="R93" s="2016"/>
      <c r="S93" s="2016"/>
      <c r="T93" s="2016"/>
      <c r="U93" s="2016"/>
      <c r="V93" s="2016">
        <f>P93</f>
        <v>5539600</v>
      </c>
      <c r="W93" s="617" t="s">
        <v>3546</v>
      </c>
      <c r="X93" s="2092">
        <v>42728</v>
      </c>
      <c r="Y93" s="2092">
        <v>42732</v>
      </c>
      <c r="Z93" s="2016">
        <f>V93</f>
        <v>5539600</v>
      </c>
      <c r="AA93" s="2017">
        <v>1</v>
      </c>
      <c r="AB93" s="576">
        <f t="shared" si="13"/>
        <v>-5539600</v>
      </c>
      <c r="AC93" s="2018"/>
      <c r="AD93" s="1792"/>
      <c r="AF93" s="2019"/>
      <c r="AG93" s="2019"/>
      <c r="AI93" s="1793"/>
      <c r="AQ93" s="2020"/>
      <c r="AR93" s="2020"/>
      <c r="AS93" s="2020"/>
      <c r="AT93" s="2020"/>
      <c r="AU93" s="2020"/>
      <c r="AV93" s="2020"/>
      <c r="AW93" s="2020"/>
      <c r="AX93" s="2020"/>
    </row>
    <row r="94" spans="1:50" s="581" customFormat="1">
      <c r="A94" s="2008"/>
      <c r="B94" s="2009"/>
      <c r="C94" s="2081"/>
      <c r="D94" s="2081"/>
      <c r="E94" s="2016"/>
      <c r="F94" s="2012"/>
      <c r="G94" s="2012"/>
      <c r="H94" s="2091"/>
      <c r="I94" s="2088"/>
      <c r="J94" s="571" t="s">
        <v>3343</v>
      </c>
      <c r="K94" s="2086"/>
      <c r="L94" s="609" t="s">
        <v>193</v>
      </c>
      <c r="M94" s="2015" t="s">
        <v>3341</v>
      </c>
      <c r="N94" s="2012"/>
      <c r="O94" s="2012">
        <v>6556880</v>
      </c>
      <c r="P94" s="2012">
        <f t="shared" si="14"/>
        <v>6556880</v>
      </c>
      <c r="Q94" s="2016"/>
      <c r="R94" s="2016"/>
      <c r="S94" s="2016"/>
      <c r="T94" s="2016"/>
      <c r="U94" s="2016"/>
      <c r="V94" s="2016">
        <f>P94</f>
        <v>6556880</v>
      </c>
      <c r="W94" s="617" t="s">
        <v>3546</v>
      </c>
      <c r="X94" s="2092">
        <v>42728</v>
      </c>
      <c r="Y94" s="2092">
        <v>42732</v>
      </c>
      <c r="Z94" s="2016">
        <f>V94</f>
        <v>6556880</v>
      </c>
      <c r="AA94" s="2017">
        <v>1</v>
      </c>
      <c r="AB94" s="576">
        <f t="shared" si="13"/>
        <v>-6556880</v>
      </c>
      <c r="AC94" s="2018"/>
      <c r="AD94" s="1792"/>
      <c r="AF94" s="2019"/>
      <c r="AG94" s="2019"/>
      <c r="AI94" s="1793"/>
      <c r="AQ94" s="2020"/>
      <c r="AR94" s="2020"/>
      <c r="AS94" s="2020"/>
      <c r="AT94" s="2020"/>
      <c r="AU94" s="2020"/>
      <c r="AV94" s="2020"/>
      <c r="AW94" s="2020"/>
      <c r="AX94" s="2020"/>
    </row>
    <row r="95" spans="1:50" s="1828" customFormat="1" ht="15.75" customHeight="1">
      <c r="A95" s="2070"/>
      <c r="B95" s="2071"/>
      <c r="C95" s="2072"/>
      <c r="D95" s="2072"/>
      <c r="E95" s="2076"/>
      <c r="F95" s="2073"/>
      <c r="G95" s="2073"/>
      <c r="H95" s="2076"/>
      <c r="I95" s="2076"/>
      <c r="J95" s="2074" t="s">
        <v>3344</v>
      </c>
      <c r="K95" s="2144"/>
      <c r="L95" s="2147" t="s">
        <v>193</v>
      </c>
      <c r="M95" s="2075" t="s">
        <v>3342</v>
      </c>
      <c r="N95" s="2076"/>
      <c r="O95" s="2073">
        <v>2377168</v>
      </c>
      <c r="P95" s="2073">
        <f t="shared" si="14"/>
        <v>2377168</v>
      </c>
      <c r="Q95" s="2076"/>
      <c r="R95" s="2076"/>
      <c r="S95" s="2076"/>
      <c r="T95" s="2076"/>
      <c r="U95" s="2076"/>
      <c r="V95" s="2076">
        <f>P95</f>
        <v>2377168</v>
      </c>
      <c r="W95" s="2148" t="s">
        <v>3546</v>
      </c>
      <c r="X95" s="2149">
        <v>42728</v>
      </c>
      <c r="Y95" s="2149">
        <v>42732</v>
      </c>
      <c r="Z95" s="2076">
        <f>V95</f>
        <v>2377168</v>
      </c>
      <c r="AA95" s="2146">
        <v>1</v>
      </c>
      <c r="AB95" s="1863">
        <f t="shared" si="13"/>
        <v>-2377168</v>
      </c>
      <c r="AC95" s="2079"/>
      <c r="AD95" s="1827"/>
      <c r="AI95" s="1839"/>
      <c r="AQ95" s="2080"/>
      <c r="AR95" s="2080"/>
      <c r="AS95" s="2080"/>
      <c r="AT95" s="2080"/>
      <c r="AU95" s="2080"/>
      <c r="AV95" s="2080"/>
      <c r="AW95" s="2080"/>
      <c r="AX95" s="2080"/>
    </row>
    <row r="96" spans="1:50" s="755" customFormat="1" ht="15.75" customHeight="1">
      <c r="A96" s="1216"/>
      <c r="B96" s="1217"/>
      <c r="C96" s="1217" t="str">
        <f>C76</f>
        <v>PRK.2016.WKT-4.9.53211.356</v>
      </c>
      <c r="D96" s="1217"/>
      <c r="E96" s="849"/>
      <c r="F96" s="849"/>
      <c r="G96" s="849">
        <f>G76</f>
        <v>328418830</v>
      </c>
      <c r="H96" s="849"/>
      <c r="I96" s="849"/>
      <c r="J96" s="849"/>
      <c r="K96" s="1218"/>
      <c r="L96" s="1331"/>
      <c r="M96" s="1348"/>
      <c r="N96" s="849">
        <f t="shared" ref="N96:V96" si="20">SUM(N76:N95)</f>
        <v>175714074</v>
      </c>
      <c r="O96" s="849">
        <f t="shared" si="20"/>
        <v>145835067</v>
      </c>
      <c r="P96" s="849">
        <f t="shared" si="20"/>
        <v>321549141</v>
      </c>
      <c r="Q96" s="849">
        <f t="shared" si="20"/>
        <v>0</v>
      </c>
      <c r="R96" s="849">
        <f t="shared" si="20"/>
        <v>0</v>
      </c>
      <c r="S96" s="849">
        <f t="shared" si="20"/>
        <v>0</v>
      </c>
      <c r="T96" s="849">
        <f t="shared" si="20"/>
        <v>0</v>
      </c>
      <c r="U96" s="849">
        <f t="shared" si="20"/>
        <v>0</v>
      </c>
      <c r="V96" s="849">
        <f t="shared" si="20"/>
        <v>321549141</v>
      </c>
      <c r="W96" s="1372"/>
      <c r="X96" s="1373"/>
      <c r="Y96" s="1373"/>
      <c r="Z96" s="849">
        <f>SUM(Z76:Z95)</f>
        <v>298831941</v>
      </c>
      <c r="AA96" s="849"/>
      <c r="AB96" s="756">
        <f t="shared" si="13"/>
        <v>6869689</v>
      </c>
      <c r="AC96" s="858"/>
      <c r="AD96" s="1382"/>
      <c r="AE96" s="38"/>
      <c r="AF96" s="38"/>
      <c r="AG96" s="38"/>
      <c r="AH96" s="38"/>
      <c r="AI96" s="754"/>
      <c r="AQ96" s="748"/>
      <c r="AR96" s="748"/>
      <c r="AS96" s="748"/>
      <c r="AT96" s="748"/>
      <c r="AU96" s="748"/>
      <c r="AV96" s="748"/>
      <c r="AW96" s="748"/>
      <c r="AX96" s="748"/>
    </row>
    <row r="97" spans="1:50" s="54" customFormat="1" ht="15.75" customHeight="1">
      <c r="A97" s="80"/>
      <c r="B97" s="1159"/>
      <c r="C97" s="367"/>
      <c r="D97" s="367"/>
      <c r="E97" s="110"/>
      <c r="F97" s="369"/>
      <c r="G97" s="369"/>
      <c r="H97" s="110"/>
      <c r="I97" s="110"/>
      <c r="J97" s="110"/>
      <c r="K97" s="111"/>
      <c r="L97" s="1329"/>
      <c r="M97" s="1346"/>
      <c r="N97" s="110"/>
      <c r="O97" s="110"/>
      <c r="P97" s="110"/>
      <c r="Q97" s="110"/>
      <c r="R97" s="110"/>
      <c r="S97" s="110"/>
      <c r="T97" s="110"/>
      <c r="U97" s="110"/>
      <c r="V97" s="110"/>
      <c r="W97" s="374"/>
      <c r="X97" s="375"/>
      <c r="Y97" s="375"/>
      <c r="Z97" s="110"/>
      <c r="AA97" s="110"/>
      <c r="AB97" s="466"/>
      <c r="AC97" s="113"/>
      <c r="AD97" s="1382"/>
      <c r="AE97" s="38"/>
      <c r="AF97" s="38"/>
      <c r="AG97" s="38"/>
      <c r="AH97" s="38"/>
      <c r="AI97" s="53"/>
      <c r="AQ97" s="103"/>
      <c r="AR97" s="103"/>
      <c r="AS97" s="103"/>
      <c r="AT97" s="103"/>
      <c r="AU97" s="103"/>
      <c r="AV97" s="103"/>
      <c r="AW97" s="103"/>
      <c r="AX97" s="103"/>
    </row>
    <row r="98" spans="1:50" s="581" customFormat="1" ht="47.25">
      <c r="A98" s="2093"/>
      <c r="B98" s="2094"/>
      <c r="C98" s="2010" t="s">
        <v>1027</v>
      </c>
      <c r="D98" s="2010" t="s">
        <v>53</v>
      </c>
      <c r="E98" s="2020"/>
      <c r="F98" s="571">
        <v>718110000</v>
      </c>
      <c r="G98" s="571">
        <v>718110000</v>
      </c>
      <c r="H98" s="2013" t="s">
        <v>2193</v>
      </c>
      <c r="I98" s="2020"/>
      <c r="J98" s="571" t="s">
        <v>68</v>
      </c>
      <c r="K98" s="595" t="s">
        <v>972</v>
      </c>
      <c r="L98" s="609" t="s">
        <v>193</v>
      </c>
      <c r="M98" s="1343" t="s">
        <v>69</v>
      </c>
      <c r="N98" s="571">
        <v>16390000</v>
      </c>
      <c r="O98" s="2020"/>
      <c r="P98" s="571">
        <f t="shared" ref="P98:P108" si="21">N98+O98</f>
        <v>16390000</v>
      </c>
      <c r="Q98" s="2020"/>
      <c r="R98" s="2020"/>
      <c r="S98" s="2020"/>
      <c r="T98" s="2020"/>
      <c r="U98" s="2020"/>
      <c r="V98" s="2020">
        <f t="shared" ref="V98:V108" si="22">P98</f>
        <v>16390000</v>
      </c>
      <c r="W98" s="585" t="s">
        <v>1308</v>
      </c>
      <c r="X98" s="586">
        <v>42487</v>
      </c>
      <c r="Y98" s="586">
        <v>42493</v>
      </c>
      <c r="Z98" s="2020">
        <f>V98</f>
        <v>16390000</v>
      </c>
      <c r="AA98" s="612">
        <v>1</v>
      </c>
      <c r="AB98" s="576">
        <f t="shared" si="13"/>
        <v>701720000</v>
      </c>
      <c r="AC98" s="2095"/>
      <c r="AD98" s="1792"/>
      <c r="AI98" s="1793"/>
      <c r="AQ98" s="2020"/>
      <c r="AR98" s="2020"/>
      <c r="AS98" s="2020"/>
      <c r="AT98" s="2020"/>
      <c r="AU98" s="2020"/>
      <c r="AV98" s="2020"/>
      <c r="AW98" s="2020"/>
      <c r="AX98" s="2020"/>
    </row>
    <row r="99" spans="1:50" s="2066" customFormat="1" ht="47.25">
      <c r="A99" s="2431"/>
      <c r="B99" s="2432"/>
      <c r="C99" s="2049"/>
      <c r="D99" s="2049"/>
      <c r="E99" s="2069"/>
      <c r="F99" s="2054"/>
      <c r="G99" s="2054"/>
      <c r="H99" s="2052" t="s">
        <v>2194</v>
      </c>
      <c r="I99" s="2053">
        <v>42429</v>
      </c>
      <c r="J99" s="2054" t="s">
        <v>70</v>
      </c>
      <c r="K99" s="2055" t="s">
        <v>1977</v>
      </c>
      <c r="L99" s="2433" t="s">
        <v>1978</v>
      </c>
      <c r="M99" s="2434" t="s">
        <v>71</v>
      </c>
      <c r="N99" s="2054">
        <v>14300000</v>
      </c>
      <c r="O99" s="2069"/>
      <c r="P99" s="2054">
        <f t="shared" si="21"/>
        <v>14300000</v>
      </c>
      <c r="Q99" s="2069"/>
      <c r="R99" s="2069"/>
      <c r="S99" s="2069"/>
      <c r="T99" s="2069"/>
      <c r="U99" s="2069"/>
      <c r="V99" s="2069">
        <f t="shared" si="22"/>
        <v>14300000</v>
      </c>
      <c r="W99" s="2435" t="s">
        <v>2474</v>
      </c>
      <c r="X99" s="2436">
        <v>42634</v>
      </c>
      <c r="Y99" s="2436">
        <v>42636</v>
      </c>
      <c r="Z99" s="2069">
        <f>V99</f>
        <v>14300000</v>
      </c>
      <c r="AA99" s="2437">
        <v>1</v>
      </c>
      <c r="AB99" s="2063">
        <f t="shared" si="13"/>
        <v>-14300000</v>
      </c>
      <c r="AC99" s="2438"/>
      <c r="AD99" s="2065"/>
      <c r="AI99" s="2068"/>
      <c r="AQ99" s="2069"/>
      <c r="AR99" s="2069"/>
      <c r="AS99" s="2069"/>
      <c r="AT99" s="2069"/>
      <c r="AU99" s="2069"/>
      <c r="AV99" s="2069"/>
      <c r="AW99" s="2069"/>
      <c r="AX99" s="2069"/>
    </row>
    <row r="100" spans="1:50" s="581" customFormat="1" ht="47.25">
      <c r="A100" s="2093"/>
      <c r="B100" s="2094"/>
      <c r="C100" s="2010"/>
      <c r="D100" s="2010"/>
      <c r="E100" s="2020"/>
      <c r="F100" s="571"/>
      <c r="G100" s="571"/>
      <c r="H100" s="2013" t="s">
        <v>2195</v>
      </c>
      <c r="I100" s="2014">
        <v>42439</v>
      </c>
      <c r="J100" s="571" t="s">
        <v>114</v>
      </c>
      <c r="K100" s="595" t="s">
        <v>1319</v>
      </c>
      <c r="L100" s="609" t="s">
        <v>980</v>
      </c>
      <c r="M100" s="1343" t="s">
        <v>508</v>
      </c>
      <c r="N100" s="571">
        <v>119680000</v>
      </c>
      <c r="O100" s="2020"/>
      <c r="P100" s="571">
        <f t="shared" si="21"/>
        <v>119680000</v>
      </c>
      <c r="Q100" s="2020"/>
      <c r="R100" s="2020"/>
      <c r="S100" s="2020"/>
      <c r="T100" s="2020"/>
      <c r="U100" s="2020"/>
      <c r="V100" s="2020">
        <f t="shared" si="22"/>
        <v>119680000</v>
      </c>
      <c r="W100" s="585" t="s">
        <v>1804</v>
      </c>
      <c r="X100" s="586">
        <v>42543</v>
      </c>
      <c r="Y100" s="586">
        <v>42428</v>
      </c>
      <c r="Z100" s="2020">
        <f t="shared" ref="Z100:Z106" si="23">V100</f>
        <v>119680000</v>
      </c>
      <c r="AA100" s="612">
        <v>1</v>
      </c>
      <c r="AB100" s="576">
        <f t="shared" si="13"/>
        <v>-119680000</v>
      </c>
      <c r="AC100" s="2095" t="s">
        <v>1325</v>
      </c>
      <c r="AD100" s="1792"/>
      <c r="AI100" s="1793"/>
      <c r="AQ100" s="2020"/>
      <c r="AR100" s="2020"/>
      <c r="AS100" s="2020"/>
      <c r="AT100" s="2020"/>
      <c r="AU100" s="2020"/>
      <c r="AV100" s="2020"/>
      <c r="AW100" s="2020"/>
      <c r="AX100" s="2020"/>
    </row>
    <row r="101" spans="1:50" s="581" customFormat="1" ht="47.25">
      <c r="A101" s="2093"/>
      <c r="B101" s="2094"/>
      <c r="C101" s="2010"/>
      <c r="D101" s="2010"/>
      <c r="E101" s="2020"/>
      <c r="F101" s="571"/>
      <c r="G101" s="571"/>
      <c r="H101" s="2013" t="s">
        <v>697</v>
      </c>
      <c r="I101" s="2014">
        <v>42459</v>
      </c>
      <c r="J101" s="571" t="s">
        <v>609</v>
      </c>
      <c r="K101" s="595" t="s">
        <v>978</v>
      </c>
      <c r="L101" s="1718" t="s">
        <v>979</v>
      </c>
      <c r="M101" s="1343" t="s">
        <v>610</v>
      </c>
      <c r="N101" s="571">
        <v>66825000</v>
      </c>
      <c r="O101" s="2020"/>
      <c r="P101" s="571">
        <f t="shared" si="21"/>
        <v>66825000</v>
      </c>
      <c r="Q101" s="2020"/>
      <c r="R101" s="2020"/>
      <c r="S101" s="2020"/>
      <c r="T101" s="2020"/>
      <c r="U101" s="2020"/>
      <c r="V101" s="2020">
        <f t="shared" si="22"/>
        <v>66825000</v>
      </c>
      <c r="W101" s="585" t="s">
        <v>1947</v>
      </c>
      <c r="X101" s="586">
        <v>42545</v>
      </c>
      <c r="Y101" s="586">
        <v>42552</v>
      </c>
      <c r="Z101" s="2020">
        <f t="shared" si="23"/>
        <v>66825000</v>
      </c>
      <c r="AA101" s="612">
        <v>1</v>
      </c>
      <c r="AB101" s="576">
        <f t="shared" si="13"/>
        <v>-66825000</v>
      </c>
      <c r="AC101" s="2095" t="s">
        <v>1325</v>
      </c>
      <c r="AD101" s="1792"/>
      <c r="AI101" s="1793"/>
      <c r="AQ101" s="2020"/>
      <c r="AR101" s="2020"/>
      <c r="AS101" s="2020"/>
      <c r="AT101" s="2020"/>
      <c r="AU101" s="2020"/>
      <c r="AV101" s="2020"/>
      <c r="AW101" s="2020"/>
      <c r="AX101" s="2020"/>
    </row>
    <row r="102" spans="1:50" s="581" customFormat="1" ht="47.25">
      <c r="A102" s="2093"/>
      <c r="B102" s="2094"/>
      <c r="C102" s="2010"/>
      <c r="D102" s="2010"/>
      <c r="E102" s="2020"/>
      <c r="F102" s="571"/>
      <c r="G102" s="571"/>
      <c r="H102" s="2013" t="s">
        <v>699</v>
      </c>
      <c r="I102" s="2014">
        <v>42459</v>
      </c>
      <c r="J102" s="571" t="s">
        <v>612</v>
      </c>
      <c r="K102" s="2257" t="s">
        <v>1989</v>
      </c>
      <c r="L102" s="1718" t="s">
        <v>1326</v>
      </c>
      <c r="M102" s="1343" t="s">
        <v>613</v>
      </c>
      <c r="N102" s="571">
        <v>26486900</v>
      </c>
      <c r="O102" s="2020"/>
      <c r="P102" s="571">
        <f t="shared" si="21"/>
        <v>26486900</v>
      </c>
      <c r="Q102" s="2020"/>
      <c r="R102" s="2020"/>
      <c r="S102" s="2020"/>
      <c r="T102" s="2020"/>
      <c r="U102" s="2020"/>
      <c r="V102" s="2020">
        <f t="shared" si="22"/>
        <v>26486900</v>
      </c>
      <c r="W102" s="585" t="s">
        <v>1990</v>
      </c>
      <c r="X102" s="586">
        <v>42552</v>
      </c>
      <c r="Y102" s="586">
        <v>42566</v>
      </c>
      <c r="Z102" s="2020">
        <f t="shared" si="23"/>
        <v>26486900</v>
      </c>
      <c r="AA102" s="612">
        <v>1</v>
      </c>
      <c r="AB102" s="576">
        <f t="shared" si="13"/>
        <v>-26486900</v>
      </c>
      <c r="AC102" s="2095"/>
      <c r="AD102" s="1792"/>
      <c r="AI102" s="1793"/>
      <c r="AQ102" s="2020"/>
      <c r="AR102" s="2020"/>
      <c r="AS102" s="2020"/>
      <c r="AT102" s="2020"/>
      <c r="AU102" s="2020"/>
      <c r="AV102" s="2020"/>
      <c r="AW102" s="2020"/>
      <c r="AX102" s="2020"/>
    </row>
    <row r="103" spans="1:50" s="581" customFormat="1" ht="31.5">
      <c r="A103" s="2093"/>
      <c r="B103" s="2094"/>
      <c r="C103" s="2010"/>
      <c r="D103" s="2010"/>
      <c r="E103" s="2020"/>
      <c r="F103" s="571"/>
      <c r="G103" s="571"/>
      <c r="H103" s="2096"/>
      <c r="I103" s="2014"/>
      <c r="J103" s="571" t="s">
        <v>614</v>
      </c>
      <c r="K103" s="583"/>
      <c r="L103" s="1718" t="s">
        <v>1326</v>
      </c>
      <c r="M103" s="1343" t="s">
        <v>615</v>
      </c>
      <c r="N103" s="571">
        <v>8195000</v>
      </c>
      <c r="O103" s="2020"/>
      <c r="P103" s="571">
        <f t="shared" si="21"/>
        <v>8195000</v>
      </c>
      <c r="Q103" s="2020"/>
      <c r="R103" s="2020"/>
      <c r="S103" s="2020"/>
      <c r="T103" s="2020"/>
      <c r="U103" s="2020"/>
      <c r="V103" s="2020">
        <f t="shared" si="22"/>
        <v>8195000</v>
      </c>
      <c r="W103" s="585" t="s">
        <v>1474</v>
      </c>
      <c r="X103" s="586">
        <v>42509</v>
      </c>
      <c r="Y103" s="586">
        <v>42517</v>
      </c>
      <c r="Z103" s="2020">
        <f t="shared" si="23"/>
        <v>8195000</v>
      </c>
      <c r="AA103" s="2097">
        <v>1</v>
      </c>
      <c r="AB103" s="576">
        <f t="shared" si="13"/>
        <v>-8195000</v>
      </c>
      <c r="AC103" s="2095"/>
      <c r="AD103" s="1792"/>
      <c r="AI103" s="1793"/>
      <c r="AQ103" s="2020"/>
      <c r="AR103" s="2020"/>
      <c r="AS103" s="2020"/>
      <c r="AT103" s="2020"/>
      <c r="AU103" s="2020"/>
      <c r="AV103" s="2020"/>
      <c r="AW103" s="2020"/>
      <c r="AX103" s="2020"/>
    </row>
    <row r="104" spans="1:50" s="581" customFormat="1" ht="47.25">
      <c r="A104" s="2093"/>
      <c r="B104" s="2094"/>
      <c r="C104" s="2010"/>
      <c r="D104" s="2010"/>
      <c r="E104" s="2020"/>
      <c r="F104" s="571"/>
      <c r="G104" s="571"/>
      <c r="H104" s="2013" t="s">
        <v>1424</v>
      </c>
      <c r="I104" s="2014">
        <v>42517</v>
      </c>
      <c r="J104" s="571" t="s">
        <v>1396</v>
      </c>
      <c r="K104" s="595" t="s">
        <v>1758</v>
      </c>
      <c r="L104" s="1718" t="s">
        <v>194</v>
      </c>
      <c r="M104" s="1343" t="s">
        <v>1397</v>
      </c>
      <c r="N104" s="571"/>
      <c r="O104" s="571">
        <v>24924460</v>
      </c>
      <c r="P104" s="571">
        <f t="shared" si="21"/>
        <v>24924460</v>
      </c>
      <c r="Q104" s="2020"/>
      <c r="R104" s="2020"/>
      <c r="S104" s="2020"/>
      <c r="T104" s="2020"/>
      <c r="U104" s="2020"/>
      <c r="V104" s="2020">
        <f t="shared" si="22"/>
        <v>24924460</v>
      </c>
      <c r="W104" s="617" t="s">
        <v>2263</v>
      </c>
      <c r="X104" s="2087">
        <v>42608</v>
      </c>
      <c r="Y104" s="2087">
        <v>42615</v>
      </c>
      <c r="Z104" s="2020">
        <f t="shared" si="23"/>
        <v>24924460</v>
      </c>
      <c r="AA104" s="2097">
        <v>1</v>
      </c>
      <c r="AB104" s="576">
        <f t="shared" si="13"/>
        <v>-24924460</v>
      </c>
      <c r="AC104" s="2095"/>
      <c r="AD104" s="1792"/>
      <c r="AI104" s="1793"/>
      <c r="AQ104" s="2020"/>
      <c r="AR104" s="2020"/>
      <c r="AS104" s="2020"/>
      <c r="AT104" s="2020"/>
      <c r="AU104" s="2020"/>
      <c r="AV104" s="2020"/>
      <c r="AW104" s="2020"/>
      <c r="AX104" s="2020"/>
    </row>
    <row r="105" spans="1:50" s="581" customFormat="1" ht="47.25">
      <c r="A105" s="2093"/>
      <c r="B105" s="2094"/>
      <c r="C105" s="2010"/>
      <c r="D105" s="2010"/>
      <c r="E105" s="2020"/>
      <c r="F105" s="571"/>
      <c r="G105" s="571"/>
      <c r="H105" s="2013" t="s">
        <v>1425</v>
      </c>
      <c r="I105" s="2014">
        <v>42519</v>
      </c>
      <c r="J105" s="571" t="s">
        <v>1399</v>
      </c>
      <c r="K105" s="595" t="s">
        <v>1762</v>
      </c>
      <c r="L105" s="1718" t="s">
        <v>243</v>
      </c>
      <c r="M105" s="1343" t="s">
        <v>1400</v>
      </c>
      <c r="N105" s="571"/>
      <c r="O105" s="571">
        <v>12626680</v>
      </c>
      <c r="P105" s="571">
        <f t="shared" si="21"/>
        <v>12626680</v>
      </c>
      <c r="Q105" s="2020"/>
      <c r="R105" s="2020"/>
      <c r="S105" s="2020"/>
      <c r="T105" s="2020"/>
      <c r="U105" s="2020"/>
      <c r="V105" s="2020">
        <f t="shared" si="22"/>
        <v>12626680</v>
      </c>
      <c r="W105" s="617" t="s">
        <v>2263</v>
      </c>
      <c r="X105" s="2087">
        <v>42608</v>
      </c>
      <c r="Y105" s="2087">
        <v>42615</v>
      </c>
      <c r="Z105" s="2020">
        <f t="shared" si="23"/>
        <v>12626680</v>
      </c>
      <c r="AA105" s="2097">
        <v>1</v>
      </c>
      <c r="AB105" s="576">
        <f t="shared" si="13"/>
        <v>-12626680</v>
      </c>
      <c r="AC105" s="2095"/>
      <c r="AD105" s="1792"/>
      <c r="AI105" s="1793"/>
      <c r="AQ105" s="2020"/>
      <c r="AR105" s="2020"/>
      <c r="AS105" s="2020"/>
      <c r="AT105" s="2020"/>
      <c r="AU105" s="2020"/>
      <c r="AV105" s="2020"/>
      <c r="AW105" s="2020"/>
      <c r="AX105" s="2020"/>
    </row>
    <row r="106" spans="1:50" s="581" customFormat="1" ht="47.25">
      <c r="A106" s="2093"/>
      <c r="B106" s="2094"/>
      <c r="C106" s="2010"/>
      <c r="D106" s="2010"/>
      <c r="E106" s="2020"/>
      <c r="F106" s="571"/>
      <c r="G106" s="571"/>
      <c r="H106" s="2013" t="s">
        <v>1558</v>
      </c>
      <c r="I106" s="2014">
        <v>42520</v>
      </c>
      <c r="J106" s="571" t="s">
        <v>1557</v>
      </c>
      <c r="K106" s="595" t="s">
        <v>1753</v>
      </c>
      <c r="L106" s="1718" t="s">
        <v>1802</v>
      </c>
      <c r="M106" s="1343" t="s">
        <v>1556</v>
      </c>
      <c r="N106" s="571"/>
      <c r="O106" s="571">
        <v>18376785</v>
      </c>
      <c r="P106" s="571">
        <f t="shared" si="21"/>
        <v>18376785</v>
      </c>
      <c r="Q106" s="2020"/>
      <c r="R106" s="2020"/>
      <c r="S106" s="2020"/>
      <c r="T106" s="2020"/>
      <c r="U106" s="2020"/>
      <c r="V106" s="2020">
        <f t="shared" si="22"/>
        <v>18376785</v>
      </c>
      <c r="W106" s="585" t="s">
        <v>1998</v>
      </c>
      <c r="X106" s="586">
        <v>42579</v>
      </c>
      <c r="Y106" s="586">
        <v>42580</v>
      </c>
      <c r="Z106" s="2020">
        <f t="shared" si="23"/>
        <v>18376785</v>
      </c>
      <c r="AA106" s="2097">
        <v>1</v>
      </c>
      <c r="AB106" s="576">
        <f t="shared" si="13"/>
        <v>-18376785</v>
      </c>
      <c r="AC106" s="2095"/>
      <c r="AD106" s="1792"/>
      <c r="AI106" s="1793"/>
      <c r="AQ106" s="2020"/>
      <c r="AR106" s="2020"/>
      <c r="AS106" s="2020"/>
      <c r="AT106" s="2020"/>
      <c r="AU106" s="2020"/>
      <c r="AV106" s="2020"/>
      <c r="AW106" s="2020"/>
      <c r="AX106" s="2020"/>
    </row>
    <row r="107" spans="1:50" s="581" customFormat="1" ht="47.25">
      <c r="A107" s="2093"/>
      <c r="B107" s="2094"/>
      <c r="C107" s="2010"/>
      <c r="D107" s="2010"/>
      <c r="E107" s="2020"/>
      <c r="F107" s="571"/>
      <c r="G107" s="571"/>
      <c r="H107" s="2013" t="s">
        <v>1586</v>
      </c>
      <c r="I107" s="2014">
        <v>42535</v>
      </c>
      <c r="J107" s="571" t="s">
        <v>1576</v>
      </c>
      <c r="K107" s="595" t="s">
        <v>1800</v>
      </c>
      <c r="L107" s="1718" t="s">
        <v>1799</v>
      </c>
      <c r="M107" s="1343" t="s">
        <v>1577</v>
      </c>
      <c r="N107" s="571">
        <v>88746350</v>
      </c>
      <c r="O107" s="571"/>
      <c r="P107" s="571">
        <f t="shared" si="21"/>
        <v>88746350</v>
      </c>
      <c r="Q107" s="2020"/>
      <c r="R107" s="2020"/>
      <c r="S107" s="2020"/>
      <c r="T107" s="2020"/>
      <c r="U107" s="2020"/>
      <c r="V107" s="2020">
        <f t="shared" si="22"/>
        <v>88746350</v>
      </c>
      <c r="W107" s="631" t="s">
        <v>3060</v>
      </c>
      <c r="X107" s="2098">
        <v>42678</v>
      </c>
      <c r="Y107" s="2098">
        <v>42684</v>
      </c>
      <c r="Z107" s="631">
        <f>V107</f>
        <v>88746350</v>
      </c>
      <c r="AA107" s="2099">
        <v>1</v>
      </c>
      <c r="AB107" s="576">
        <f t="shared" si="13"/>
        <v>-88746350</v>
      </c>
      <c r="AC107" s="2095"/>
      <c r="AD107" s="1792">
        <v>1</v>
      </c>
      <c r="AF107" s="2019">
        <f>V107</f>
        <v>88746350</v>
      </c>
      <c r="AI107" s="1793"/>
      <c r="AQ107" s="2020"/>
      <c r="AR107" s="2020"/>
      <c r="AS107" s="2020"/>
      <c r="AT107" s="2020"/>
      <c r="AU107" s="2020"/>
      <c r="AV107" s="2020"/>
      <c r="AW107" s="2020"/>
      <c r="AX107" s="2020"/>
    </row>
    <row r="108" spans="1:50" s="581" customFormat="1" ht="47.25">
      <c r="A108" s="2093"/>
      <c r="B108" s="2094"/>
      <c r="C108" s="2010"/>
      <c r="D108" s="2010"/>
      <c r="E108" s="2020"/>
      <c r="F108" s="571"/>
      <c r="G108" s="571"/>
      <c r="H108" s="2013" t="s">
        <v>1623</v>
      </c>
      <c r="I108" s="2014">
        <v>42542</v>
      </c>
      <c r="J108" s="571" t="s">
        <v>1621</v>
      </c>
      <c r="K108" s="595" t="s">
        <v>2481</v>
      </c>
      <c r="L108" s="1718" t="s">
        <v>2482</v>
      </c>
      <c r="M108" s="1343" t="s">
        <v>1620</v>
      </c>
      <c r="N108" s="2100">
        <v>111330780</v>
      </c>
      <c r="O108" s="2100"/>
      <c r="P108" s="571">
        <f t="shared" si="21"/>
        <v>111330780</v>
      </c>
      <c r="Q108" s="2101"/>
      <c r="R108" s="2101"/>
      <c r="S108" s="2101"/>
      <c r="T108" s="2101"/>
      <c r="U108" s="2101"/>
      <c r="V108" s="2020">
        <f t="shared" si="22"/>
        <v>111330780</v>
      </c>
      <c r="W108" s="631" t="s">
        <v>2677</v>
      </c>
      <c r="X108" s="2098">
        <v>42643</v>
      </c>
      <c r="Y108" s="2098">
        <v>42648</v>
      </c>
      <c r="Z108" s="2020">
        <f>V108</f>
        <v>111330780</v>
      </c>
      <c r="AA108" s="2097">
        <v>1</v>
      </c>
      <c r="AB108" s="576">
        <f t="shared" si="13"/>
        <v>-111330780</v>
      </c>
      <c r="AC108" s="2095"/>
      <c r="AD108" s="1792">
        <v>1</v>
      </c>
      <c r="AI108" s="1793"/>
      <c r="AQ108" s="2020"/>
      <c r="AR108" s="2020"/>
      <c r="AS108" s="2020"/>
      <c r="AT108" s="2020"/>
      <c r="AU108" s="2020"/>
      <c r="AV108" s="2020"/>
      <c r="AW108" s="2020"/>
      <c r="AX108" s="2020"/>
    </row>
    <row r="109" spans="1:50" s="1828" customFormat="1" ht="47.25">
      <c r="A109" s="2157"/>
      <c r="B109" s="2158"/>
      <c r="C109" s="2159"/>
      <c r="D109" s="2159"/>
      <c r="E109" s="2080"/>
      <c r="F109" s="2074"/>
      <c r="G109" s="2074"/>
      <c r="H109" s="2160" t="s">
        <v>1426</v>
      </c>
      <c r="I109" s="1872">
        <v>42517</v>
      </c>
      <c r="J109" s="1873" t="s">
        <v>1394</v>
      </c>
      <c r="K109" s="2161" t="s">
        <v>1735</v>
      </c>
      <c r="L109" s="2147" t="s">
        <v>271</v>
      </c>
      <c r="M109" s="2162" t="s">
        <v>1395</v>
      </c>
      <c r="N109" s="1875"/>
      <c r="O109" s="2163">
        <v>132775775</v>
      </c>
      <c r="P109" s="1861">
        <f>N109+O109</f>
        <v>132775775</v>
      </c>
      <c r="Q109" s="2164"/>
      <c r="R109" s="2164"/>
      <c r="S109" s="2164"/>
      <c r="T109" s="2164"/>
      <c r="U109" s="2164"/>
      <c r="V109" s="1863">
        <f>P109</f>
        <v>132775775</v>
      </c>
      <c r="W109" s="2165" t="s">
        <v>3117</v>
      </c>
      <c r="X109" s="2166">
        <v>42689</v>
      </c>
      <c r="Y109" s="2167">
        <v>42691</v>
      </c>
      <c r="Z109" s="2080">
        <f>V109</f>
        <v>132775775</v>
      </c>
      <c r="AA109" s="2168">
        <v>1</v>
      </c>
      <c r="AB109" s="1863">
        <f>+G109-P109</f>
        <v>-132775775</v>
      </c>
      <c r="AC109" s="2169"/>
      <c r="AD109" s="1827">
        <v>1</v>
      </c>
      <c r="AI109" s="1839"/>
      <c r="AQ109" s="2080"/>
      <c r="AR109" s="2080"/>
      <c r="AS109" s="2080"/>
      <c r="AT109" s="2080"/>
      <c r="AU109" s="2080"/>
      <c r="AV109" s="2080"/>
      <c r="AW109" s="2080"/>
      <c r="AX109" s="2080"/>
    </row>
    <row r="110" spans="1:50" s="581" customFormat="1" ht="47.25">
      <c r="A110" s="2093"/>
      <c r="B110" s="2094"/>
      <c r="C110" s="2010"/>
      <c r="D110" s="2010"/>
      <c r="E110" s="2020"/>
      <c r="F110" s="571"/>
      <c r="G110" s="571"/>
      <c r="H110" s="1799" t="s">
        <v>1666</v>
      </c>
      <c r="I110" s="2102">
        <v>42545</v>
      </c>
      <c r="J110" s="582" t="s">
        <v>1651</v>
      </c>
      <c r="K110" s="595" t="s">
        <v>1801</v>
      </c>
      <c r="L110" s="1718" t="s">
        <v>1799</v>
      </c>
      <c r="M110" s="1343" t="s">
        <v>1652</v>
      </c>
      <c r="N110" s="1297">
        <v>68591600</v>
      </c>
      <c r="O110" s="2103"/>
      <c r="P110" s="1801">
        <f>N110+O110</f>
        <v>68591600</v>
      </c>
      <c r="Q110" s="2104"/>
      <c r="R110" s="2104"/>
      <c r="S110" s="2104"/>
      <c r="T110" s="2104"/>
      <c r="U110" s="2104"/>
      <c r="V110" s="576">
        <f>P110</f>
        <v>68591600</v>
      </c>
      <c r="W110" s="631" t="s">
        <v>3060</v>
      </c>
      <c r="X110" s="2098">
        <v>42678</v>
      </c>
      <c r="Y110" s="2098">
        <v>42684</v>
      </c>
      <c r="Z110" s="631">
        <f>V110</f>
        <v>68591600</v>
      </c>
      <c r="AA110" s="2099">
        <v>1</v>
      </c>
      <c r="AB110" s="576">
        <f>+G110-P110</f>
        <v>-68591600</v>
      </c>
      <c r="AC110" s="2095"/>
      <c r="AD110" s="1792">
        <v>1</v>
      </c>
      <c r="AF110" s="2019">
        <f>V110</f>
        <v>68591600</v>
      </c>
      <c r="AI110" s="1793"/>
      <c r="AQ110" s="2020"/>
      <c r="AR110" s="2020"/>
      <c r="AS110" s="2020"/>
      <c r="AT110" s="2020"/>
      <c r="AU110" s="2020"/>
      <c r="AV110" s="2020"/>
      <c r="AW110" s="2020"/>
      <c r="AX110" s="2020"/>
    </row>
    <row r="111" spans="1:50" s="1828" customFormat="1">
      <c r="A111" s="2157"/>
      <c r="B111" s="2158"/>
      <c r="C111" s="2159"/>
      <c r="D111" s="2159"/>
      <c r="E111" s="2080"/>
      <c r="F111" s="2074"/>
      <c r="G111" s="2074"/>
      <c r="H111" s="2160"/>
      <c r="I111" s="1872"/>
      <c r="J111" s="1873" t="s">
        <v>1668</v>
      </c>
      <c r="K111" s="2170"/>
      <c r="L111" s="2147" t="s">
        <v>1371</v>
      </c>
      <c r="M111" s="2162" t="s">
        <v>1669</v>
      </c>
      <c r="N111" s="1875">
        <v>7045467</v>
      </c>
      <c r="O111" s="2163"/>
      <c r="P111" s="1863">
        <f>N111+O111</f>
        <v>7045467</v>
      </c>
      <c r="Q111" s="2164"/>
      <c r="R111" s="2164"/>
      <c r="S111" s="2164"/>
      <c r="T111" s="2164"/>
      <c r="U111" s="2164"/>
      <c r="V111" s="1863">
        <f>P111</f>
        <v>7045467</v>
      </c>
      <c r="W111" s="2077" t="s">
        <v>3443</v>
      </c>
      <c r="X111" s="2171">
        <v>42717</v>
      </c>
      <c r="Y111" s="2171">
        <v>42720</v>
      </c>
      <c r="Z111" s="2077">
        <f>V111</f>
        <v>7045467</v>
      </c>
      <c r="AA111" s="2172">
        <v>1</v>
      </c>
      <c r="AB111" s="1863">
        <f>+G111-P111</f>
        <v>-7045467</v>
      </c>
      <c r="AC111" s="2169"/>
      <c r="AD111" s="1827">
        <v>1</v>
      </c>
      <c r="AF111" s="1829">
        <f>V111</f>
        <v>7045467</v>
      </c>
      <c r="AI111" s="1839"/>
      <c r="AQ111" s="2080"/>
      <c r="AR111" s="2080"/>
      <c r="AS111" s="2080"/>
      <c r="AT111" s="2080"/>
      <c r="AU111" s="2080"/>
      <c r="AV111" s="2080"/>
      <c r="AW111" s="2080"/>
      <c r="AX111" s="2080"/>
    </row>
    <row r="112" spans="1:50" s="755" customFormat="1">
      <c r="A112" s="770"/>
      <c r="B112" s="773"/>
      <c r="C112" s="773" t="s">
        <v>1027</v>
      </c>
      <c r="D112" s="773"/>
      <c r="E112" s="748">
        <f>E98</f>
        <v>0</v>
      </c>
      <c r="F112" s="748">
        <f>F98</f>
        <v>718110000</v>
      </c>
      <c r="G112" s="748">
        <f>G98</f>
        <v>718110000</v>
      </c>
      <c r="H112" s="787"/>
      <c r="I112" s="788"/>
      <c r="J112" s="748"/>
      <c r="K112" s="763"/>
      <c r="L112" s="1332"/>
      <c r="M112" s="776"/>
      <c r="N112" s="748">
        <f>SUM(N98:N111)</f>
        <v>527591097</v>
      </c>
      <c r="O112" s="748">
        <f t="shared" ref="O112:U112" si="24">SUM(O98:O110)</f>
        <v>188703700</v>
      </c>
      <c r="P112" s="748">
        <f>SUM(P98:P111)</f>
        <v>716294797</v>
      </c>
      <c r="Q112" s="748">
        <f t="shared" si="24"/>
        <v>0</v>
      </c>
      <c r="R112" s="748">
        <f t="shared" si="24"/>
        <v>0</v>
      </c>
      <c r="S112" s="748">
        <f t="shared" si="24"/>
        <v>0</v>
      </c>
      <c r="T112" s="748">
        <f t="shared" si="24"/>
        <v>0</v>
      </c>
      <c r="U112" s="748">
        <f t="shared" si="24"/>
        <v>0</v>
      </c>
      <c r="V112" s="748">
        <f>SUM(V98:V111)</f>
        <v>716294797</v>
      </c>
      <c r="W112" s="756"/>
      <c r="X112" s="1416"/>
      <c r="Y112" s="1416"/>
      <c r="Z112" s="748">
        <f>SUM(Z98:Z111)</f>
        <v>716294797</v>
      </c>
      <c r="AA112" s="748"/>
      <c r="AB112" s="748">
        <f>SUM(AB98:AB111)</f>
        <v>1815203</v>
      </c>
      <c r="AC112" s="754"/>
      <c r="AD112" s="1382"/>
      <c r="AE112" s="38"/>
      <c r="AF112" s="38"/>
      <c r="AG112" s="38"/>
      <c r="AH112" s="38"/>
      <c r="AI112" s="754"/>
      <c r="AQ112" s="748"/>
      <c r="AR112" s="748"/>
      <c r="AS112" s="748"/>
      <c r="AT112" s="748"/>
      <c r="AU112" s="748"/>
      <c r="AV112" s="748"/>
      <c r="AW112" s="748"/>
      <c r="AX112" s="748"/>
    </row>
    <row r="113" spans="1:50" s="54" customFormat="1" ht="15.75" customHeight="1">
      <c r="A113" s="81"/>
      <c r="B113" s="1153"/>
      <c r="C113" s="50"/>
      <c r="D113" s="50"/>
      <c r="E113" s="103"/>
      <c r="F113" s="51"/>
      <c r="G113" s="51"/>
      <c r="H113" s="103"/>
      <c r="I113" s="103"/>
      <c r="J113" s="51"/>
      <c r="K113" s="104"/>
      <c r="L113" s="1333"/>
      <c r="M113" s="72"/>
      <c r="N113" s="51"/>
      <c r="O113" s="103"/>
      <c r="P113" s="51"/>
      <c r="Q113" s="103"/>
      <c r="R113" s="103"/>
      <c r="S113" s="103"/>
      <c r="T113" s="103"/>
      <c r="U113" s="103"/>
      <c r="V113" s="103"/>
      <c r="W113" s="140"/>
      <c r="X113" s="141"/>
      <c r="Y113" s="141"/>
      <c r="Z113" s="103"/>
      <c r="AA113" s="103"/>
      <c r="AB113" s="52"/>
      <c r="AC113" s="106"/>
      <c r="AD113" s="1382"/>
      <c r="AE113" s="38"/>
      <c r="AF113" s="38"/>
      <c r="AG113" s="38"/>
      <c r="AH113" s="38"/>
      <c r="AI113" s="53"/>
      <c r="AQ113" s="103"/>
      <c r="AR113" s="103"/>
      <c r="AS113" s="103"/>
      <c r="AT113" s="103"/>
      <c r="AU113" s="103"/>
      <c r="AV113" s="103"/>
      <c r="AW113" s="103"/>
      <c r="AX113" s="103"/>
    </row>
    <row r="114" spans="1:50" s="1904" customFormat="1" ht="47.25">
      <c r="A114" s="2150"/>
      <c r="B114" s="2151"/>
      <c r="C114" s="2152" t="s">
        <v>54</v>
      </c>
      <c r="D114" s="2212" t="s">
        <v>55</v>
      </c>
      <c r="E114" s="2153"/>
      <c r="F114" s="2154">
        <v>74700000</v>
      </c>
      <c r="G114" s="2154">
        <v>74700000</v>
      </c>
      <c r="H114" s="2153"/>
      <c r="I114" s="2153"/>
      <c r="J114" s="2154" t="s">
        <v>65</v>
      </c>
      <c r="K114" s="1953" t="s">
        <v>973</v>
      </c>
      <c r="L114" s="1978" t="s">
        <v>974</v>
      </c>
      <c r="M114" s="2155" t="s">
        <v>67</v>
      </c>
      <c r="N114" s="2154">
        <v>22376457</v>
      </c>
      <c r="O114" s="2153"/>
      <c r="P114" s="2154">
        <f>N114+O114</f>
        <v>22376457</v>
      </c>
      <c r="Q114" s="2153"/>
      <c r="R114" s="2153"/>
      <c r="S114" s="2153"/>
      <c r="T114" s="2153"/>
      <c r="U114" s="2153"/>
      <c r="V114" s="2153">
        <f>P114</f>
        <v>22376457</v>
      </c>
      <c r="W114" s="1960" t="s">
        <v>1474</v>
      </c>
      <c r="X114" s="1961">
        <v>42509</v>
      </c>
      <c r="Y114" s="1961">
        <v>42517</v>
      </c>
      <c r="Z114" s="2154">
        <f>V114</f>
        <v>22376457</v>
      </c>
      <c r="AA114" s="2213">
        <v>1</v>
      </c>
      <c r="AB114" s="1960">
        <f>+G114-P114</f>
        <v>52323543</v>
      </c>
      <c r="AC114" s="2156"/>
      <c r="AD114" s="1903"/>
      <c r="AI114" s="1971"/>
      <c r="AQ114" s="2153"/>
      <c r="AR114" s="2153"/>
      <c r="AS114" s="2153"/>
      <c r="AT114" s="2153"/>
      <c r="AU114" s="2153"/>
      <c r="AV114" s="2153"/>
      <c r="AW114" s="2153"/>
      <c r="AX114" s="2153"/>
    </row>
    <row r="115" spans="1:50" s="581" customFormat="1" ht="47.25">
      <c r="A115" s="2093"/>
      <c r="B115" s="2094"/>
      <c r="C115" s="2010"/>
      <c r="D115" s="2105"/>
      <c r="E115" s="2020"/>
      <c r="F115" s="571"/>
      <c r="G115" s="571"/>
      <c r="H115" s="2013" t="s">
        <v>1150</v>
      </c>
      <c r="I115" s="2014">
        <v>42489</v>
      </c>
      <c r="J115" s="571" t="s">
        <v>997</v>
      </c>
      <c r="K115" s="595" t="s">
        <v>1774</v>
      </c>
      <c r="L115" s="609" t="s">
        <v>1371</v>
      </c>
      <c r="M115" s="1343" t="s">
        <v>998</v>
      </c>
      <c r="N115" s="571">
        <v>32065000</v>
      </c>
      <c r="O115" s="2020"/>
      <c r="P115" s="571">
        <f>N115+O115</f>
        <v>32065000</v>
      </c>
      <c r="Q115" s="2020"/>
      <c r="R115" s="2020"/>
      <c r="S115" s="2020"/>
      <c r="T115" s="2020"/>
      <c r="U115" s="2020"/>
      <c r="V115" s="2020">
        <f>P115</f>
        <v>32065000</v>
      </c>
      <c r="W115" s="585" t="s">
        <v>2535</v>
      </c>
      <c r="X115" s="586">
        <v>42635</v>
      </c>
      <c r="Y115" s="586">
        <v>42641</v>
      </c>
      <c r="Z115" s="571">
        <f>V115</f>
        <v>32065000</v>
      </c>
      <c r="AA115" s="2106">
        <v>1</v>
      </c>
      <c r="AB115" s="576">
        <f>+G115-P115</f>
        <v>-32065000</v>
      </c>
      <c r="AC115" s="2095"/>
      <c r="AD115" s="1792"/>
      <c r="AI115" s="1793"/>
      <c r="AQ115" s="2020"/>
      <c r="AR115" s="2020"/>
      <c r="AS115" s="2020"/>
      <c r="AT115" s="2020"/>
      <c r="AU115" s="2020"/>
      <c r="AV115" s="2020"/>
      <c r="AW115" s="2020"/>
      <c r="AX115" s="2020"/>
    </row>
    <row r="116" spans="1:50" s="581" customFormat="1" ht="47.25">
      <c r="A116" s="2093"/>
      <c r="B116" s="2094"/>
      <c r="C116" s="2010"/>
      <c r="D116" s="2105"/>
      <c r="E116" s="2020"/>
      <c r="F116" s="571"/>
      <c r="G116" s="571"/>
      <c r="H116" s="2013" t="s">
        <v>1622</v>
      </c>
      <c r="I116" s="2014">
        <v>42542</v>
      </c>
      <c r="J116" s="571" t="s">
        <v>1619</v>
      </c>
      <c r="K116" s="1718" t="s">
        <v>2163</v>
      </c>
      <c r="L116" s="609" t="s">
        <v>2162</v>
      </c>
      <c r="M116" s="1343" t="s">
        <v>1618</v>
      </c>
      <c r="N116" s="571">
        <v>19958400</v>
      </c>
      <c r="O116" s="2020"/>
      <c r="P116" s="571">
        <f>N116+O116</f>
        <v>19958400</v>
      </c>
      <c r="Q116" s="2020"/>
      <c r="R116" s="2020"/>
      <c r="S116" s="2020"/>
      <c r="T116" s="2020"/>
      <c r="U116" s="2020"/>
      <c r="V116" s="2020">
        <f>P116</f>
        <v>19958400</v>
      </c>
      <c r="W116" s="585" t="s">
        <v>3168</v>
      </c>
      <c r="X116" s="586">
        <v>42690</v>
      </c>
      <c r="Y116" s="586">
        <v>42697</v>
      </c>
      <c r="Z116" s="571">
        <f>V116</f>
        <v>19958400</v>
      </c>
      <c r="AA116" s="2106">
        <v>1</v>
      </c>
      <c r="AB116" s="576">
        <f>+G116-P116</f>
        <v>-19958400</v>
      </c>
      <c r="AC116" s="2095"/>
      <c r="AD116" s="1792"/>
      <c r="AF116" s="2019">
        <f>V116</f>
        <v>19958400</v>
      </c>
      <c r="AI116" s="1793"/>
      <c r="AQ116" s="2020"/>
      <c r="AR116" s="2020"/>
      <c r="AS116" s="2020"/>
      <c r="AT116" s="2020"/>
      <c r="AU116" s="2020"/>
      <c r="AV116" s="2020"/>
      <c r="AW116" s="2020"/>
      <c r="AX116" s="2020"/>
    </row>
    <row r="117" spans="1:50" s="755" customFormat="1">
      <c r="A117" s="770"/>
      <c r="B117" s="773"/>
      <c r="C117" s="773" t="str">
        <f>C114</f>
        <v>PRK.2016.WKT-4.9.53211.273</v>
      </c>
      <c r="D117" s="774"/>
      <c r="E117" s="748"/>
      <c r="F117" s="748">
        <f>F114</f>
        <v>74700000</v>
      </c>
      <c r="G117" s="748">
        <f>G114</f>
        <v>74700000</v>
      </c>
      <c r="H117" s="748"/>
      <c r="I117" s="748"/>
      <c r="J117" s="748"/>
      <c r="K117" s="775"/>
      <c r="L117" s="1332"/>
      <c r="M117" s="776"/>
      <c r="N117" s="748">
        <f>SUM(N114:N116)</f>
        <v>74399857</v>
      </c>
      <c r="O117" s="748">
        <f t="shared" ref="O117:V117" si="25">SUM(O114:O116)</f>
        <v>0</v>
      </c>
      <c r="P117" s="748">
        <f t="shared" si="25"/>
        <v>74399857</v>
      </c>
      <c r="Q117" s="748">
        <f t="shared" si="25"/>
        <v>0</v>
      </c>
      <c r="R117" s="748">
        <f t="shared" si="25"/>
        <v>0</v>
      </c>
      <c r="S117" s="748">
        <f t="shared" si="25"/>
        <v>0</v>
      </c>
      <c r="T117" s="748">
        <f t="shared" si="25"/>
        <v>0</v>
      </c>
      <c r="U117" s="748">
        <f t="shared" si="25"/>
        <v>0</v>
      </c>
      <c r="V117" s="748">
        <f t="shared" si="25"/>
        <v>74399857</v>
      </c>
      <c r="W117" s="756"/>
      <c r="X117" s="1416"/>
      <c r="Y117" s="1416"/>
      <c r="Z117" s="748">
        <f>SUM(Z114:Z116)</f>
        <v>74399857</v>
      </c>
      <c r="AA117" s="748"/>
      <c r="AB117" s="756">
        <f>+G117-P117</f>
        <v>300143</v>
      </c>
      <c r="AC117" s="754"/>
      <c r="AD117" s="1382"/>
      <c r="AE117" s="38"/>
      <c r="AF117" s="38"/>
      <c r="AG117" s="38"/>
      <c r="AH117" s="38"/>
      <c r="AI117" s="754"/>
      <c r="AQ117" s="748"/>
      <c r="AR117" s="748"/>
      <c r="AS117" s="748"/>
      <c r="AT117" s="748"/>
      <c r="AU117" s="748"/>
      <c r="AV117" s="748"/>
      <c r="AW117" s="748"/>
      <c r="AX117" s="748"/>
    </row>
    <row r="118" spans="1:50" s="54" customFormat="1">
      <c r="A118" s="81"/>
      <c r="B118" s="1153"/>
      <c r="C118" s="50"/>
      <c r="D118" s="83"/>
      <c r="E118" s="103"/>
      <c r="F118" s="51"/>
      <c r="G118" s="51"/>
      <c r="H118" s="103"/>
      <c r="I118" s="103"/>
      <c r="J118" s="103"/>
      <c r="K118" s="104"/>
      <c r="L118" s="1333"/>
      <c r="M118" s="1350"/>
      <c r="N118" s="103"/>
      <c r="O118" s="103"/>
      <c r="P118" s="103"/>
      <c r="Q118" s="103"/>
      <c r="R118" s="103"/>
      <c r="S118" s="103"/>
      <c r="T118" s="103"/>
      <c r="U118" s="103"/>
      <c r="V118" s="103"/>
      <c r="W118" s="140"/>
      <c r="X118" s="141"/>
      <c r="Y118" s="141"/>
      <c r="Z118" s="103"/>
      <c r="AA118" s="103"/>
      <c r="AB118" s="52"/>
      <c r="AC118" s="106"/>
      <c r="AD118" s="1382"/>
      <c r="AE118" s="38"/>
      <c r="AF118" s="38"/>
      <c r="AG118" s="38"/>
      <c r="AH118" s="38"/>
      <c r="AI118" s="53"/>
      <c r="AQ118" s="103"/>
      <c r="AR118" s="103"/>
      <c r="AS118" s="103"/>
      <c r="AT118" s="103"/>
      <c r="AU118" s="103"/>
      <c r="AV118" s="103"/>
      <c r="AW118" s="103"/>
      <c r="AX118" s="103"/>
    </row>
    <row r="119" spans="1:50" s="2280" customFormat="1" ht="47.25">
      <c r="A119" s="2258"/>
      <c r="B119" s="2259"/>
      <c r="C119" s="2260" t="s">
        <v>56</v>
      </c>
      <c r="D119" s="2261" t="s">
        <v>57</v>
      </c>
      <c r="E119" s="2262">
        <v>819800000</v>
      </c>
      <c r="F119" s="2262"/>
      <c r="G119" s="2262">
        <f>E119+F119</f>
        <v>819800000</v>
      </c>
      <c r="H119" s="2263" t="s">
        <v>64</v>
      </c>
      <c r="I119" s="2264">
        <v>42422</v>
      </c>
      <c r="J119" s="2265" t="s">
        <v>66</v>
      </c>
      <c r="K119" s="2266" t="s">
        <v>1813</v>
      </c>
      <c r="L119" s="2267" t="s">
        <v>265</v>
      </c>
      <c r="M119" s="2268" t="s">
        <v>58</v>
      </c>
      <c r="N119" s="2269">
        <v>297000000</v>
      </c>
      <c r="O119" s="2270"/>
      <c r="P119" s="2271">
        <f t="shared" ref="P119:P125" si="26">N119+O119</f>
        <v>297000000</v>
      </c>
      <c r="Q119" s="2272"/>
      <c r="R119" s="2272"/>
      <c r="S119" s="2272"/>
      <c r="T119" s="2272"/>
      <c r="U119" s="2272"/>
      <c r="V119" s="2272">
        <f t="shared" ref="V119:V125" si="27">P119</f>
        <v>297000000</v>
      </c>
      <c r="W119" s="2273" t="s">
        <v>1931</v>
      </c>
      <c r="X119" s="2274">
        <v>42551</v>
      </c>
      <c r="Y119" s="2274">
        <v>42570</v>
      </c>
      <c r="Z119" s="2275">
        <f>V119</f>
        <v>297000000</v>
      </c>
      <c r="AA119" s="2276">
        <v>1</v>
      </c>
      <c r="AB119" s="2277">
        <f t="shared" ref="AB119:AB125" si="28">+G119-P119</f>
        <v>522800000</v>
      </c>
      <c r="AC119" s="2278"/>
      <c r="AD119" s="2279"/>
      <c r="AI119" s="2281"/>
      <c r="AQ119" s="2272"/>
      <c r="AR119" s="2272"/>
      <c r="AS119" s="2272"/>
      <c r="AT119" s="2272"/>
      <c r="AU119" s="2272"/>
      <c r="AV119" s="2272"/>
      <c r="AW119" s="2272"/>
      <c r="AX119" s="2272"/>
    </row>
    <row r="120" spans="1:50" s="2280" customFormat="1">
      <c r="A120" s="2282"/>
      <c r="B120" s="2283"/>
      <c r="C120" s="2284"/>
      <c r="D120" s="2285"/>
      <c r="E120" s="2275"/>
      <c r="F120" s="2286"/>
      <c r="G120" s="2286"/>
      <c r="H120" s="2287"/>
      <c r="I120" s="2288"/>
      <c r="J120" s="2289" t="s">
        <v>596</v>
      </c>
      <c r="K120" s="2290"/>
      <c r="L120" s="2267" t="s">
        <v>265</v>
      </c>
      <c r="M120" s="2291" t="s">
        <v>597</v>
      </c>
      <c r="N120" s="2269">
        <v>7397500</v>
      </c>
      <c r="O120" s="2270"/>
      <c r="P120" s="2271">
        <f t="shared" si="26"/>
        <v>7397500</v>
      </c>
      <c r="Q120" s="2275"/>
      <c r="R120" s="2275"/>
      <c r="S120" s="2275"/>
      <c r="T120" s="2275"/>
      <c r="U120" s="2275"/>
      <c r="V120" s="2275">
        <f t="shared" si="27"/>
        <v>7397500</v>
      </c>
      <c r="W120" s="2273" t="s">
        <v>1105</v>
      </c>
      <c r="X120" s="2274">
        <v>42482</v>
      </c>
      <c r="Y120" s="2274">
        <v>42493</v>
      </c>
      <c r="Z120" s="2275">
        <f>V120</f>
        <v>7397500</v>
      </c>
      <c r="AA120" s="2276">
        <v>1</v>
      </c>
      <c r="AB120" s="2277">
        <f t="shared" si="28"/>
        <v>-7397500</v>
      </c>
      <c r="AC120" s="2292"/>
      <c r="AD120" s="2279"/>
      <c r="AI120" s="2281"/>
      <c r="AQ120" s="2272"/>
      <c r="AR120" s="2272"/>
      <c r="AS120" s="2272"/>
      <c r="AT120" s="2272"/>
      <c r="AU120" s="2272"/>
      <c r="AV120" s="2272"/>
      <c r="AW120" s="2272"/>
      <c r="AX120" s="2272"/>
    </row>
    <row r="121" spans="1:50" s="2280" customFormat="1" ht="47.25">
      <c r="A121" s="2282"/>
      <c r="B121" s="2283"/>
      <c r="C121" s="2284"/>
      <c r="D121" s="2285"/>
      <c r="E121" s="2275"/>
      <c r="F121" s="2286"/>
      <c r="G121" s="2286"/>
      <c r="H121" s="2293" t="s">
        <v>1636</v>
      </c>
      <c r="I121" s="2264">
        <v>42544</v>
      </c>
      <c r="J121" s="2289" t="s">
        <v>1593</v>
      </c>
      <c r="K121" s="2266" t="s">
        <v>1981</v>
      </c>
      <c r="L121" s="2294" t="s">
        <v>1982</v>
      </c>
      <c r="M121" s="2291" t="s">
        <v>3297</v>
      </c>
      <c r="N121" s="2269">
        <v>297000000</v>
      </c>
      <c r="O121" s="2270"/>
      <c r="P121" s="2271">
        <f t="shared" si="26"/>
        <v>297000000</v>
      </c>
      <c r="Q121" s="2275"/>
      <c r="R121" s="2275"/>
      <c r="S121" s="2275"/>
      <c r="T121" s="2275"/>
      <c r="U121" s="2275"/>
      <c r="V121" s="2295">
        <f t="shared" si="27"/>
        <v>297000000</v>
      </c>
      <c r="W121" s="2273" t="s">
        <v>3296</v>
      </c>
      <c r="X121" s="2274">
        <v>42703</v>
      </c>
      <c r="Y121" s="2274">
        <v>42706</v>
      </c>
      <c r="Z121" s="2275">
        <f>V121</f>
        <v>297000000</v>
      </c>
      <c r="AA121" s="2276">
        <v>1</v>
      </c>
      <c r="AB121" s="2277">
        <f t="shared" si="28"/>
        <v>-297000000</v>
      </c>
      <c r="AC121" s="2292"/>
      <c r="AD121" s="2279"/>
      <c r="AI121" s="2281"/>
      <c r="AQ121" s="2272"/>
      <c r="AR121" s="2272"/>
      <c r="AS121" s="2272"/>
      <c r="AT121" s="2272"/>
      <c r="AU121" s="2272"/>
      <c r="AV121" s="2272"/>
      <c r="AW121" s="2272"/>
      <c r="AX121" s="2272"/>
    </row>
    <row r="122" spans="1:50" s="2280" customFormat="1" ht="47.25">
      <c r="A122" s="2282"/>
      <c r="B122" s="2283"/>
      <c r="C122" s="2284"/>
      <c r="D122" s="2285"/>
      <c r="E122" s="2275"/>
      <c r="F122" s="2286"/>
      <c r="G122" s="2286"/>
      <c r="H122" s="2293" t="s">
        <v>1853</v>
      </c>
      <c r="I122" s="2288">
        <v>42552</v>
      </c>
      <c r="J122" s="2289" t="s">
        <v>1829</v>
      </c>
      <c r="K122" s="2266" t="s">
        <v>2169</v>
      </c>
      <c r="L122" s="2296" t="s">
        <v>193</v>
      </c>
      <c r="M122" s="2291" t="s">
        <v>1832</v>
      </c>
      <c r="N122" s="2269"/>
      <c r="O122" s="2297">
        <v>59400000</v>
      </c>
      <c r="P122" s="2271">
        <f t="shared" si="26"/>
        <v>59400000</v>
      </c>
      <c r="Q122" s="2275"/>
      <c r="R122" s="2275"/>
      <c r="S122" s="2275"/>
      <c r="T122" s="2275"/>
      <c r="U122" s="2275"/>
      <c r="V122" s="2295">
        <f t="shared" si="27"/>
        <v>59400000</v>
      </c>
      <c r="W122" s="2273" t="s">
        <v>3296</v>
      </c>
      <c r="X122" s="2274">
        <v>42703</v>
      </c>
      <c r="Y122" s="2274">
        <v>42706</v>
      </c>
      <c r="Z122" s="2295">
        <v>47223000</v>
      </c>
      <c r="AA122" s="2298">
        <f>Z122/V122</f>
        <v>0.79500000000000004</v>
      </c>
      <c r="AB122" s="2277">
        <f t="shared" si="28"/>
        <v>-59400000</v>
      </c>
      <c r="AC122" s="2292"/>
      <c r="AD122" s="2279"/>
      <c r="AE122" s="2280" t="e">
        <f>W122/V122</f>
        <v>#VALUE!</v>
      </c>
      <c r="AG122" s="2299">
        <f>+V122</f>
        <v>59400000</v>
      </c>
      <c r="AI122" s="2281"/>
      <c r="AQ122" s="2272"/>
      <c r="AR122" s="2272"/>
      <c r="AS122" s="2272"/>
      <c r="AT122" s="2272"/>
      <c r="AU122" s="2272"/>
      <c r="AV122" s="2272"/>
      <c r="AW122" s="2272"/>
      <c r="AX122" s="2272"/>
    </row>
    <row r="123" spans="1:50" s="2280" customFormat="1" ht="47.25">
      <c r="A123" s="2282"/>
      <c r="B123" s="2283"/>
      <c r="C123" s="2284"/>
      <c r="D123" s="2285"/>
      <c r="E123" s="2275"/>
      <c r="F123" s="2286"/>
      <c r="G123" s="2286"/>
      <c r="H123" s="2293" t="s">
        <v>1854</v>
      </c>
      <c r="I123" s="2288">
        <v>42552</v>
      </c>
      <c r="J123" s="2289" t="s">
        <v>1830</v>
      </c>
      <c r="K123" s="2266" t="s">
        <v>2171</v>
      </c>
      <c r="L123" s="2296" t="s">
        <v>252</v>
      </c>
      <c r="M123" s="2291" t="s">
        <v>1833</v>
      </c>
      <c r="N123" s="2269"/>
      <c r="O123" s="2297">
        <v>49500000</v>
      </c>
      <c r="P123" s="2271">
        <f t="shared" si="26"/>
        <v>49500000</v>
      </c>
      <c r="Q123" s="2275"/>
      <c r="R123" s="2275"/>
      <c r="S123" s="2275"/>
      <c r="T123" s="2275"/>
      <c r="U123" s="2275"/>
      <c r="V123" s="2295">
        <f t="shared" si="27"/>
        <v>49500000</v>
      </c>
      <c r="W123" s="2300" t="s">
        <v>3649</v>
      </c>
      <c r="X123" s="2274">
        <v>42728</v>
      </c>
      <c r="Y123" s="2274">
        <v>42732</v>
      </c>
      <c r="Z123" s="2295">
        <v>31729500</v>
      </c>
      <c r="AA123" s="2298">
        <f>Z123/V123</f>
        <v>0.64100000000000001</v>
      </c>
      <c r="AB123" s="2277">
        <f t="shared" si="28"/>
        <v>-49500000</v>
      </c>
      <c r="AC123" s="2292"/>
      <c r="AD123" s="2279"/>
      <c r="AG123" s="2299">
        <f>+V123</f>
        <v>49500000</v>
      </c>
      <c r="AI123" s="2281"/>
      <c r="AQ123" s="2272"/>
      <c r="AR123" s="2272"/>
      <c r="AS123" s="2272"/>
      <c r="AT123" s="2272"/>
      <c r="AU123" s="2272"/>
      <c r="AV123" s="2272"/>
      <c r="AW123" s="2272"/>
      <c r="AX123" s="2272"/>
    </row>
    <row r="124" spans="1:50" s="2280" customFormat="1" ht="47.25">
      <c r="A124" s="2282"/>
      <c r="B124" s="2283"/>
      <c r="C124" s="2284"/>
      <c r="D124" s="2285"/>
      <c r="E124" s="2275"/>
      <c r="F124" s="2286"/>
      <c r="G124" s="2286"/>
      <c r="H124" s="2293" t="s">
        <v>1855</v>
      </c>
      <c r="I124" s="2288">
        <v>42552</v>
      </c>
      <c r="J124" s="2289" t="s">
        <v>1831</v>
      </c>
      <c r="K124" s="2266" t="s">
        <v>2170</v>
      </c>
      <c r="L124" s="2296" t="s">
        <v>250</v>
      </c>
      <c r="M124" s="2291" t="s">
        <v>1834</v>
      </c>
      <c r="N124" s="2269"/>
      <c r="O124" s="2297">
        <v>49500000</v>
      </c>
      <c r="P124" s="2271">
        <f t="shared" si="26"/>
        <v>49500000</v>
      </c>
      <c r="Q124" s="2275"/>
      <c r="R124" s="2275"/>
      <c r="S124" s="2275"/>
      <c r="T124" s="2275"/>
      <c r="U124" s="2275"/>
      <c r="V124" s="2295">
        <f t="shared" si="27"/>
        <v>49500000</v>
      </c>
      <c r="W124" s="2273" t="s">
        <v>587</v>
      </c>
      <c r="X124" s="2274">
        <v>42731</v>
      </c>
      <c r="Y124" s="2274">
        <v>42734</v>
      </c>
      <c r="Z124" s="2295">
        <v>23809500</v>
      </c>
      <c r="AA124" s="2298">
        <f>Z124/V124</f>
        <v>0.48099999999999998</v>
      </c>
      <c r="AB124" s="2277">
        <f t="shared" si="28"/>
        <v>-49500000</v>
      </c>
      <c r="AC124" s="2292"/>
      <c r="AD124" s="2279"/>
      <c r="AG124" s="2299">
        <f>+V124</f>
        <v>49500000</v>
      </c>
      <c r="AI124" s="2281"/>
      <c r="AQ124" s="2272"/>
      <c r="AR124" s="2272"/>
      <c r="AS124" s="2272"/>
      <c r="AT124" s="2272"/>
      <c r="AU124" s="2272"/>
      <c r="AV124" s="2272"/>
      <c r="AW124" s="2272"/>
      <c r="AX124" s="2272"/>
    </row>
    <row r="125" spans="1:50" s="2280" customFormat="1" ht="47.25">
      <c r="A125" s="2282"/>
      <c r="B125" s="2283"/>
      <c r="C125" s="2284"/>
      <c r="D125" s="2285"/>
      <c r="E125" s="2275"/>
      <c r="F125" s="2286"/>
      <c r="G125" s="2286"/>
      <c r="H125" s="2293" t="s">
        <v>2330</v>
      </c>
      <c r="I125" s="2288">
        <v>42626</v>
      </c>
      <c r="J125" s="2289" t="s">
        <v>2314</v>
      </c>
      <c r="K125" s="2301" t="s">
        <v>2491</v>
      </c>
      <c r="L125" s="2296" t="s">
        <v>193</v>
      </c>
      <c r="M125" s="2291" t="s">
        <v>2315</v>
      </c>
      <c r="N125" s="2269"/>
      <c r="O125" s="2297">
        <v>59400000</v>
      </c>
      <c r="P125" s="2302">
        <f t="shared" si="26"/>
        <v>59400000</v>
      </c>
      <c r="Q125" s="2275"/>
      <c r="R125" s="2275"/>
      <c r="S125" s="2275"/>
      <c r="T125" s="2275"/>
      <c r="U125" s="2275"/>
      <c r="V125" s="2295">
        <f t="shared" si="27"/>
        <v>59400000</v>
      </c>
      <c r="W125" s="2273" t="s">
        <v>3296</v>
      </c>
      <c r="X125" s="2274">
        <v>42703</v>
      </c>
      <c r="Y125" s="2274">
        <v>42706</v>
      </c>
      <c r="Z125" s="2295">
        <v>38857500</v>
      </c>
      <c r="AA125" s="2298">
        <f>Z125/V125</f>
        <v>0.65416666666666667</v>
      </c>
      <c r="AB125" s="2277">
        <f t="shared" si="28"/>
        <v>-59400000</v>
      </c>
      <c r="AC125" s="2292"/>
      <c r="AD125" s="2279"/>
      <c r="AG125" s="2299">
        <f>+V125</f>
        <v>59400000</v>
      </c>
      <c r="AI125" s="2281"/>
      <c r="AQ125" s="2272"/>
      <c r="AR125" s="2272"/>
      <c r="AS125" s="2272"/>
      <c r="AT125" s="2272"/>
      <c r="AU125" s="2272"/>
      <c r="AV125" s="2272"/>
      <c r="AW125" s="2272"/>
      <c r="AX125" s="2272"/>
    </row>
    <row r="126" spans="1:50" s="54" customFormat="1">
      <c r="A126" s="82"/>
      <c r="B126" s="1158"/>
      <c r="C126" s="290"/>
      <c r="D126" s="321"/>
      <c r="E126" s="449"/>
      <c r="F126" s="262"/>
      <c r="G126" s="262"/>
      <c r="H126" s="379"/>
      <c r="I126" s="322"/>
      <c r="J126" s="323"/>
      <c r="K126" s="293"/>
      <c r="L126" s="294"/>
      <c r="M126" s="325"/>
      <c r="N126" s="58"/>
      <c r="O126" s="685"/>
      <c r="P126" s="295"/>
      <c r="Q126" s="431"/>
      <c r="R126" s="431"/>
      <c r="S126" s="431"/>
      <c r="T126" s="431"/>
      <c r="U126" s="431"/>
      <c r="V126" s="431"/>
      <c r="W126" s="326" t="s">
        <v>3546</v>
      </c>
      <c r="X126" s="327">
        <v>42728</v>
      </c>
      <c r="Y126" s="327">
        <v>42732</v>
      </c>
      <c r="Z126" s="431">
        <v>12127500</v>
      </c>
      <c r="AA126" s="1735">
        <f>Z126/V125</f>
        <v>0.20416666666666666</v>
      </c>
      <c r="AB126" s="433"/>
      <c r="AC126" s="311"/>
      <c r="AD126" s="1382"/>
      <c r="AE126" s="38"/>
      <c r="AF126" s="38"/>
      <c r="AG126" s="1405"/>
      <c r="AH126" s="38"/>
      <c r="AI126" s="53"/>
      <c r="AQ126" s="103"/>
      <c r="AR126" s="103"/>
      <c r="AS126" s="103"/>
      <c r="AT126" s="103"/>
      <c r="AU126" s="103"/>
      <c r="AV126" s="103"/>
      <c r="AW126" s="103"/>
      <c r="AX126" s="103"/>
    </row>
    <row r="127" spans="1:50" s="755" customFormat="1">
      <c r="A127" s="744"/>
      <c r="B127" s="750"/>
      <c r="C127" s="773" t="s">
        <v>56</v>
      </c>
      <c r="D127" s="778"/>
      <c r="E127" s="745">
        <f>E119</f>
        <v>819800000</v>
      </c>
      <c r="F127" s="745">
        <f>F119</f>
        <v>0</v>
      </c>
      <c r="G127" s="745">
        <f>G119</f>
        <v>819800000</v>
      </c>
      <c r="H127" s="779"/>
      <c r="I127" s="753"/>
      <c r="J127" s="780"/>
      <c r="K127" s="781"/>
      <c r="L127" s="781"/>
      <c r="M127" s="782"/>
      <c r="N127" s="783">
        <f>SUM(N119:N125)</f>
        <v>601397500</v>
      </c>
      <c r="O127" s="783">
        <f t="shared" ref="O127:V127" si="29">SUM(O119:O125)</f>
        <v>217800000</v>
      </c>
      <c r="P127" s="783">
        <f t="shared" si="29"/>
        <v>819197500</v>
      </c>
      <c r="Q127" s="783">
        <f t="shared" si="29"/>
        <v>0</v>
      </c>
      <c r="R127" s="783">
        <f t="shared" si="29"/>
        <v>0</v>
      </c>
      <c r="S127" s="783">
        <f t="shared" si="29"/>
        <v>0</v>
      </c>
      <c r="T127" s="783">
        <f t="shared" si="29"/>
        <v>0</v>
      </c>
      <c r="U127" s="783">
        <f t="shared" si="29"/>
        <v>0</v>
      </c>
      <c r="V127" s="783">
        <f t="shared" si="29"/>
        <v>819197500</v>
      </c>
      <c r="W127" s="784"/>
      <c r="X127" s="785"/>
      <c r="Y127" s="785"/>
      <c r="Z127" s="783">
        <f>SUM(Z119:Z125)</f>
        <v>743017000</v>
      </c>
      <c r="AA127" s="745"/>
      <c r="AB127" s="756">
        <f>+G127-P127</f>
        <v>602500</v>
      </c>
      <c r="AC127" s="786"/>
      <c r="AD127" s="1382"/>
      <c r="AE127" s="38"/>
      <c r="AF127" s="38"/>
      <c r="AG127" s="38"/>
      <c r="AH127" s="38"/>
      <c r="AI127" s="754"/>
      <c r="AQ127" s="748"/>
      <c r="AR127" s="748"/>
      <c r="AS127" s="748"/>
      <c r="AT127" s="748"/>
      <c r="AU127" s="748"/>
      <c r="AV127" s="748"/>
      <c r="AW127" s="748"/>
      <c r="AX127" s="748"/>
    </row>
    <row r="128" spans="1:50" s="54" customFormat="1" ht="15.75" customHeight="1" thickBot="1">
      <c r="A128" s="82"/>
      <c r="B128" s="82"/>
      <c r="C128" s="82"/>
      <c r="D128" s="82"/>
      <c r="E128" s="107"/>
      <c r="F128" s="107"/>
      <c r="G128" s="107"/>
      <c r="H128" s="107"/>
      <c r="I128" s="107"/>
      <c r="J128" s="107"/>
      <c r="K128" s="108"/>
      <c r="L128" s="324"/>
      <c r="M128" s="1351"/>
      <c r="N128" s="449"/>
      <c r="O128" s="449"/>
      <c r="P128" s="449"/>
      <c r="Q128" s="449"/>
      <c r="R128" s="449"/>
      <c r="S128" s="449"/>
      <c r="T128" s="449"/>
      <c r="U128" s="449"/>
      <c r="V128" s="137"/>
      <c r="W128" s="326"/>
      <c r="X128" s="327"/>
      <c r="Y128" s="327"/>
      <c r="Z128" s="449"/>
      <c r="AA128" s="107"/>
      <c r="AB128" s="107"/>
      <c r="AC128" s="109"/>
      <c r="AD128" s="1382"/>
      <c r="AE128" s="38"/>
      <c r="AF128" s="38"/>
      <c r="AG128" s="38"/>
      <c r="AH128" s="38"/>
      <c r="AI128" s="53"/>
      <c r="AQ128" s="103"/>
      <c r="AR128" s="103"/>
      <c r="AS128" s="103"/>
      <c r="AT128" s="103"/>
      <c r="AU128" s="103"/>
      <c r="AV128" s="103"/>
      <c r="AW128" s="103"/>
      <c r="AX128" s="103"/>
    </row>
    <row r="129" spans="1:50" s="317" customFormat="1" ht="15.75" customHeight="1" thickBot="1">
      <c r="A129" s="2703" t="s">
        <v>50</v>
      </c>
      <c r="B129" s="2704"/>
      <c r="C129" s="2704"/>
      <c r="D129" s="2705"/>
      <c r="E129" s="65">
        <f>+E58+E60+E62+E70+E76+E112+E117+E127</f>
        <v>1364723500</v>
      </c>
      <c r="F129" s="65">
        <f>+F58+F60+F62+F70+F76+F112+F117+F127</f>
        <v>13468731439</v>
      </c>
      <c r="G129" s="65">
        <f>+G58+G60+G62+G70+G76+G112+G117+G127</f>
        <v>14833454939</v>
      </c>
      <c r="H129" s="65"/>
      <c r="I129" s="65"/>
      <c r="J129" s="65"/>
      <c r="K129" s="66"/>
      <c r="L129" s="1334"/>
      <c r="M129" s="1352"/>
      <c r="N129" s="65">
        <f t="shared" ref="N129:V129" si="30">+N58+N60+N68+N74+N96+N112+N117+N127</f>
        <v>2066579351</v>
      </c>
      <c r="O129" s="65">
        <f t="shared" si="30"/>
        <v>12512761759.91024</v>
      </c>
      <c r="P129" s="65">
        <f t="shared" si="30"/>
        <v>14579341110.91024</v>
      </c>
      <c r="Q129" s="65">
        <f t="shared" si="30"/>
        <v>691349337</v>
      </c>
      <c r="R129" s="65">
        <f t="shared" si="30"/>
        <v>691349337</v>
      </c>
      <c r="S129" s="65">
        <f t="shared" si="30"/>
        <v>691349337</v>
      </c>
      <c r="T129" s="65">
        <f t="shared" si="30"/>
        <v>691349337</v>
      </c>
      <c r="U129" s="65">
        <f t="shared" si="30"/>
        <v>691349337</v>
      </c>
      <c r="V129" s="65">
        <f t="shared" si="30"/>
        <v>14579341110.91024</v>
      </c>
      <c r="W129" s="341"/>
      <c r="X129" s="1417"/>
      <c r="Y129" s="1417"/>
      <c r="Z129" s="65">
        <f>+Z58+Z60+Z68+Z74+Z96+Z112+Z117+Z127</f>
        <v>12885517861.91024</v>
      </c>
      <c r="AA129" s="65"/>
      <c r="AB129" s="777">
        <f>+G129-P129</f>
        <v>254113828.08975983</v>
      </c>
      <c r="AC129" s="76"/>
      <c r="AD129" s="1382"/>
      <c r="AE129" s="38"/>
      <c r="AF129" s="38"/>
      <c r="AG129" s="38"/>
      <c r="AH129" s="38"/>
      <c r="AI129" s="316"/>
      <c r="AQ129" s="318"/>
      <c r="AR129" s="318"/>
      <c r="AS129" s="318"/>
      <c r="AT129" s="318"/>
      <c r="AU129" s="318"/>
      <c r="AV129" s="318"/>
      <c r="AW129" s="318"/>
      <c r="AX129" s="318"/>
    </row>
    <row r="130" spans="1:50" s="54" customFormat="1" ht="15.75" customHeight="1">
      <c r="A130" s="80"/>
      <c r="B130" s="80"/>
      <c r="C130" s="80"/>
      <c r="D130" s="80"/>
      <c r="E130" s="110"/>
      <c r="F130" s="110"/>
      <c r="G130" s="110"/>
      <c r="H130" s="110"/>
      <c r="I130" s="110"/>
      <c r="J130" s="110"/>
      <c r="K130" s="111"/>
      <c r="L130" s="1329"/>
      <c r="M130" s="1346"/>
      <c r="N130" s="110"/>
      <c r="O130" s="110"/>
      <c r="P130" s="110"/>
      <c r="Q130" s="110"/>
      <c r="R130" s="110"/>
      <c r="S130" s="110"/>
      <c r="T130" s="110"/>
      <c r="U130" s="110"/>
      <c r="V130" s="103"/>
      <c r="W130" s="374"/>
      <c r="X130" s="375"/>
      <c r="Y130" s="375"/>
      <c r="Z130" s="110"/>
      <c r="AA130" s="110"/>
      <c r="AB130" s="110"/>
      <c r="AC130" s="113"/>
      <c r="AD130" s="1382"/>
      <c r="AE130" s="38"/>
      <c r="AF130" s="38"/>
      <c r="AG130" s="38"/>
      <c r="AH130" s="38"/>
      <c r="AI130" s="53"/>
      <c r="AQ130" s="103"/>
      <c r="AR130" s="103"/>
      <c r="AS130" s="103"/>
      <c r="AT130" s="103"/>
      <c r="AU130" s="103"/>
      <c r="AV130" s="103"/>
      <c r="AW130" s="103"/>
      <c r="AX130" s="103"/>
    </row>
    <row r="131" spans="1:50" s="581" customFormat="1" ht="47.25">
      <c r="A131" s="2093">
        <v>3</v>
      </c>
      <c r="B131" s="2732" t="s">
        <v>2034</v>
      </c>
      <c r="C131" s="2010" t="s">
        <v>516</v>
      </c>
      <c r="D131" s="2107" t="s">
        <v>517</v>
      </c>
      <c r="E131" s="2020"/>
      <c r="F131" s="571">
        <v>143220000</v>
      </c>
      <c r="G131" s="571">
        <f>E131+F131</f>
        <v>143220000</v>
      </c>
      <c r="H131" s="2108" t="s">
        <v>1006</v>
      </c>
      <c r="I131" s="2014">
        <v>42482</v>
      </c>
      <c r="J131" s="571" t="s">
        <v>594</v>
      </c>
      <c r="K131" s="595" t="s">
        <v>1772</v>
      </c>
      <c r="L131" s="1651" t="s">
        <v>1749</v>
      </c>
      <c r="M131" s="1343" t="s">
        <v>595</v>
      </c>
      <c r="N131" s="571">
        <v>53148150</v>
      </c>
      <c r="O131" s="2020"/>
      <c r="P131" s="1801">
        <f>N131+O131</f>
        <v>53148150</v>
      </c>
      <c r="Q131" s="2020"/>
      <c r="R131" s="2020"/>
      <c r="S131" s="2020"/>
      <c r="T131" s="2020"/>
      <c r="U131" s="2020"/>
      <c r="V131" s="2020">
        <f>P131</f>
        <v>53148150</v>
      </c>
      <c r="W131" s="585" t="s">
        <v>2276</v>
      </c>
      <c r="X131" s="586">
        <v>42608</v>
      </c>
      <c r="Y131" s="586">
        <v>42615</v>
      </c>
      <c r="Z131" s="2109">
        <f>V131</f>
        <v>53148150</v>
      </c>
      <c r="AA131" s="2110">
        <v>1</v>
      </c>
      <c r="AB131" s="576">
        <f t="shared" ref="AB131:AB136" si="31">+G131-P131</f>
        <v>90071850</v>
      </c>
      <c r="AC131" s="2095"/>
      <c r="AD131" s="1792"/>
      <c r="AI131" s="1793"/>
      <c r="AQ131" s="2020"/>
      <c r="AR131" s="2020"/>
      <c r="AS131" s="2020"/>
      <c r="AT131" s="2020"/>
      <c r="AU131" s="2020"/>
      <c r="AV131" s="2020"/>
      <c r="AW131" s="2020"/>
      <c r="AX131" s="2020"/>
    </row>
    <row r="132" spans="1:50" s="2280" customFormat="1" ht="31.5">
      <c r="A132" s="2282"/>
      <c r="B132" s="2733"/>
      <c r="C132" s="2284"/>
      <c r="D132" s="2303"/>
      <c r="E132" s="2275"/>
      <c r="F132" s="2286"/>
      <c r="G132" s="2286"/>
      <c r="H132" s="2304"/>
      <c r="I132" s="2288"/>
      <c r="J132" s="2286" t="s">
        <v>987</v>
      </c>
      <c r="K132" s="2305"/>
      <c r="L132" s="2290"/>
      <c r="M132" s="2291" t="s">
        <v>988</v>
      </c>
      <c r="N132" s="2286"/>
      <c r="O132" s="2286">
        <v>9909900</v>
      </c>
      <c r="P132" s="2271">
        <f>N132+O132</f>
        <v>9909900</v>
      </c>
      <c r="Q132" s="2275"/>
      <c r="R132" s="2275"/>
      <c r="S132" s="2275"/>
      <c r="T132" s="2275"/>
      <c r="U132" s="2275"/>
      <c r="V132" s="2275">
        <f>P132</f>
        <v>9909900</v>
      </c>
      <c r="W132" s="2273" t="s">
        <v>1474</v>
      </c>
      <c r="X132" s="2274">
        <v>42509</v>
      </c>
      <c r="Y132" s="2274">
        <v>42517</v>
      </c>
      <c r="Z132" s="2275">
        <f>V132</f>
        <v>9909900</v>
      </c>
      <c r="AA132" s="2306">
        <v>1</v>
      </c>
      <c r="AB132" s="2277">
        <f t="shared" si="31"/>
        <v>-9909900</v>
      </c>
      <c r="AC132" s="2307"/>
      <c r="AD132" s="2279"/>
      <c r="AI132" s="2281"/>
      <c r="AQ132" s="2272"/>
      <c r="AR132" s="2272"/>
      <c r="AS132" s="2272"/>
      <c r="AT132" s="2272"/>
      <c r="AU132" s="2272"/>
      <c r="AV132" s="2272"/>
      <c r="AW132" s="2272"/>
      <c r="AX132" s="2272"/>
    </row>
    <row r="133" spans="1:50" s="581" customFormat="1" ht="47.25">
      <c r="A133" s="2111"/>
      <c r="B133" s="2734"/>
      <c r="C133" s="2112"/>
      <c r="D133" s="2113"/>
      <c r="E133" s="2109"/>
      <c r="F133" s="591"/>
      <c r="G133" s="591"/>
      <c r="H133" s="2108" t="s">
        <v>1835</v>
      </c>
      <c r="I133" s="2114">
        <v>42549</v>
      </c>
      <c r="J133" s="591" t="s">
        <v>1595</v>
      </c>
      <c r="K133" s="595" t="s">
        <v>1976</v>
      </c>
      <c r="L133" s="1651" t="s">
        <v>1749</v>
      </c>
      <c r="M133" s="1344" t="s">
        <v>1732</v>
      </c>
      <c r="N133" s="591">
        <v>64770750</v>
      </c>
      <c r="O133" s="2109"/>
      <c r="P133" s="1801">
        <f>N133+O133</f>
        <v>64770750</v>
      </c>
      <c r="Q133" s="2109"/>
      <c r="R133" s="2109"/>
      <c r="S133" s="2109"/>
      <c r="T133" s="2109"/>
      <c r="U133" s="2109"/>
      <c r="V133" s="2109">
        <f>P133</f>
        <v>64770750</v>
      </c>
      <c r="W133" s="617" t="s">
        <v>3206</v>
      </c>
      <c r="X133" s="2092">
        <v>42698</v>
      </c>
      <c r="Y133" s="2092">
        <v>42704</v>
      </c>
      <c r="Z133" s="2109">
        <f>V133</f>
        <v>64770750</v>
      </c>
      <c r="AA133" s="2115">
        <v>1</v>
      </c>
      <c r="AB133" s="576">
        <f t="shared" si="31"/>
        <v>-64770750</v>
      </c>
      <c r="AC133" s="2116"/>
      <c r="AD133" s="1792"/>
      <c r="AG133" s="2019">
        <f>+V133</f>
        <v>64770750</v>
      </c>
      <c r="AI133" s="1793"/>
      <c r="AQ133" s="2020"/>
      <c r="AR133" s="2020"/>
      <c r="AS133" s="2020"/>
      <c r="AT133" s="2020"/>
      <c r="AU133" s="2020"/>
      <c r="AV133" s="2020"/>
      <c r="AW133" s="2020"/>
      <c r="AX133" s="2020"/>
    </row>
    <row r="134" spans="1:50" s="1828" customFormat="1" ht="31.5">
      <c r="A134" s="2214"/>
      <c r="B134" s="2215"/>
      <c r="C134" s="2216"/>
      <c r="D134" s="2217"/>
      <c r="E134" s="2218"/>
      <c r="F134" s="2219"/>
      <c r="G134" s="2219"/>
      <c r="H134" s="2220"/>
      <c r="I134" s="2221"/>
      <c r="J134" s="2219" t="s">
        <v>3099</v>
      </c>
      <c r="K134" s="1857" t="s">
        <v>3256</v>
      </c>
      <c r="L134" s="1858" t="s">
        <v>786</v>
      </c>
      <c r="M134" s="2195" t="s">
        <v>3100</v>
      </c>
      <c r="N134" s="2219">
        <v>7821000</v>
      </c>
      <c r="O134" s="2218"/>
      <c r="P134" s="1861">
        <f>N134+O134</f>
        <v>7821000</v>
      </c>
      <c r="Q134" s="2218"/>
      <c r="R134" s="2218"/>
      <c r="S134" s="2218"/>
      <c r="T134" s="2218"/>
      <c r="U134" s="2218"/>
      <c r="V134" s="2218">
        <f>P134</f>
        <v>7821000</v>
      </c>
      <c r="W134" s="2148" t="s">
        <v>3443</v>
      </c>
      <c r="X134" s="2149">
        <v>42717</v>
      </c>
      <c r="Y134" s="2149">
        <v>42720</v>
      </c>
      <c r="Z134" s="2218">
        <f>V134</f>
        <v>7821000</v>
      </c>
      <c r="AA134" s="2222">
        <v>1</v>
      </c>
      <c r="AB134" s="1863">
        <f t="shared" si="31"/>
        <v>-7821000</v>
      </c>
      <c r="AC134" s="2223"/>
      <c r="AD134" s="1827"/>
      <c r="AG134" s="1829"/>
      <c r="AI134" s="1839"/>
      <c r="AQ134" s="2080"/>
      <c r="AR134" s="2080"/>
      <c r="AS134" s="2080"/>
      <c r="AT134" s="2080"/>
      <c r="AU134" s="2080"/>
      <c r="AV134" s="2080"/>
      <c r="AW134" s="2080"/>
      <c r="AX134" s="2080"/>
    </row>
    <row r="135" spans="1:50" s="1828" customFormat="1" ht="31.5">
      <c r="A135" s="2214"/>
      <c r="B135" s="2215"/>
      <c r="C135" s="2216"/>
      <c r="D135" s="2217"/>
      <c r="E135" s="2218"/>
      <c r="F135" s="2219"/>
      <c r="G135" s="2219"/>
      <c r="H135" s="2220"/>
      <c r="I135" s="2221"/>
      <c r="J135" s="2219" t="s">
        <v>3101</v>
      </c>
      <c r="K135" s="1857" t="s">
        <v>3257</v>
      </c>
      <c r="L135" s="1858" t="s">
        <v>786</v>
      </c>
      <c r="M135" s="2195" t="s">
        <v>3102</v>
      </c>
      <c r="N135" s="2219">
        <v>7458000</v>
      </c>
      <c r="O135" s="2218"/>
      <c r="P135" s="1822">
        <f>N135+O135</f>
        <v>7458000</v>
      </c>
      <c r="Q135" s="2218"/>
      <c r="R135" s="2218"/>
      <c r="S135" s="2218"/>
      <c r="T135" s="2218"/>
      <c r="U135" s="2218"/>
      <c r="V135" s="2218">
        <f>P135</f>
        <v>7458000</v>
      </c>
      <c r="W135" s="2148" t="s">
        <v>3443</v>
      </c>
      <c r="X135" s="2149">
        <v>42717</v>
      </c>
      <c r="Y135" s="2149">
        <v>42720</v>
      </c>
      <c r="Z135" s="2218">
        <f>V135</f>
        <v>7458000</v>
      </c>
      <c r="AA135" s="2222">
        <v>1</v>
      </c>
      <c r="AB135" s="1863">
        <f t="shared" si="31"/>
        <v>-7458000</v>
      </c>
      <c r="AC135" s="2223"/>
      <c r="AD135" s="1827"/>
      <c r="AG135" s="1829"/>
      <c r="AI135" s="1839"/>
      <c r="AQ135" s="2080"/>
      <c r="AR135" s="2080"/>
      <c r="AS135" s="2080"/>
      <c r="AT135" s="2080"/>
      <c r="AU135" s="2080"/>
      <c r="AV135" s="2080"/>
      <c r="AW135" s="2080"/>
      <c r="AX135" s="2080"/>
    </row>
    <row r="136" spans="1:50" s="755" customFormat="1">
      <c r="A136" s="744"/>
      <c r="B136" s="749"/>
      <c r="C136" s="750"/>
      <c r="D136" s="751"/>
      <c r="E136" s="745"/>
      <c r="F136" s="745">
        <f>SUM(F131:F133)</f>
        <v>143220000</v>
      </c>
      <c r="G136" s="745">
        <f>G131</f>
        <v>143220000</v>
      </c>
      <c r="H136" s="752"/>
      <c r="I136" s="753"/>
      <c r="J136" s="745"/>
      <c r="K136" s="746"/>
      <c r="L136" s="781"/>
      <c r="M136" s="782"/>
      <c r="N136" s="745">
        <f>SUM(N131:N135)</f>
        <v>133197900</v>
      </c>
      <c r="O136" s="745">
        <f t="shared" ref="O136:V136" si="32">SUM(O131:O135)</f>
        <v>9909900</v>
      </c>
      <c r="P136" s="745">
        <f t="shared" si="32"/>
        <v>143107800</v>
      </c>
      <c r="Q136" s="745">
        <f t="shared" si="32"/>
        <v>0</v>
      </c>
      <c r="R136" s="745">
        <f t="shared" si="32"/>
        <v>0</v>
      </c>
      <c r="S136" s="745">
        <f t="shared" si="32"/>
        <v>0</v>
      </c>
      <c r="T136" s="745">
        <f t="shared" si="32"/>
        <v>0</v>
      </c>
      <c r="U136" s="745">
        <f t="shared" si="32"/>
        <v>0</v>
      </c>
      <c r="V136" s="745">
        <f t="shared" si="32"/>
        <v>143107800</v>
      </c>
      <c r="W136" s="784"/>
      <c r="X136" s="785"/>
      <c r="Y136" s="785"/>
      <c r="Z136" s="745">
        <f>SUM(Z131:Z135)</f>
        <v>143107800</v>
      </c>
      <c r="AA136" s="745"/>
      <c r="AB136" s="756">
        <f t="shared" si="31"/>
        <v>112200</v>
      </c>
      <c r="AC136" s="747"/>
      <c r="AD136" s="1382"/>
      <c r="AE136" s="38"/>
      <c r="AF136" s="38"/>
      <c r="AG136" s="1406"/>
      <c r="AH136" s="38"/>
      <c r="AI136" s="754"/>
      <c r="AQ136" s="748"/>
      <c r="AR136" s="748"/>
      <c r="AS136" s="748"/>
      <c r="AT136" s="748"/>
      <c r="AU136" s="748"/>
      <c r="AV136" s="748"/>
      <c r="AW136" s="748"/>
      <c r="AX136" s="748"/>
    </row>
    <row r="137" spans="1:50" s="54" customFormat="1" ht="15.75" customHeight="1">
      <c r="A137" s="82"/>
      <c r="B137" s="2732" t="s">
        <v>2033</v>
      </c>
      <c r="C137" s="290"/>
      <c r="D137" s="290"/>
      <c r="E137" s="107"/>
      <c r="F137" s="262"/>
      <c r="G137" s="262"/>
      <c r="H137" s="107"/>
      <c r="I137" s="107"/>
      <c r="J137" s="107"/>
      <c r="K137" s="108"/>
      <c r="L137" s="324"/>
      <c r="M137" s="1351"/>
      <c r="N137" s="449"/>
      <c r="O137" s="449"/>
      <c r="P137" s="449"/>
      <c r="Q137" s="449"/>
      <c r="R137" s="449"/>
      <c r="S137" s="449"/>
      <c r="T137" s="449"/>
      <c r="U137" s="449"/>
      <c r="V137" s="449"/>
      <c r="W137" s="326"/>
      <c r="X137" s="327"/>
      <c r="Y137" s="327"/>
      <c r="Z137" s="449"/>
      <c r="AA137" s="107"/>
      <c r="AB137" s="107"/>
      <c r="AC137" s="109"/>
      <c r="AD137" s="1382"/>
      <c r="AE137" s="38"/>
      <c r="AF137" s="38"/>
      <c r="AG137" s="1406"/>
      <c r="AH137" s="38"/>
      <c r="AI137" s="53"/>
      <c r="AQ137" s="103"/>
      <c r="AR137" s="103"/>
      <c r="AS137" s="103"/>
      <c r="AT137" s="103"/>
      <c r="AU137" s="103"/>
      <c r="AV137" s="103"/>
      <c r="AW137" s="103"/>
      <c r="AX137" s="103"/>
    </row>
    <row r="138" spans="1:50" s="2280" customFormat="1" ht="47.25">
      <c r="A138" s="2282"/>
      <c r="B138" s="2733"/>
      <c r="C138" s="2260" t="s">
        <v>518</v>
      </c>
      <c r="D138" s="2308" t="s">
        <v>519</v>
      </c>
      <c r="E138" s="2272"/>
      <c r="F138" s="2262">
        <v>228690000</v>
      </c>
      <c r="G138" s="2262">
        <f>E138+F138</f>
        <v>228690000</v>
      </c>
      <c r="H138" s="2304" t="s">
        <v>908</v>
      </c>
      <c r="I138" s="2288">
        <v>42468</v>
      </c>
      <c r="J138" s="2286" t="s">
        <v>866</v>
      </c>
      <c r="K138" s="2309" t="s">
        <v>1748</v>
      </c>
      <c r="L138" s="2294" t="s">
        <v>1749</v>
      </c>
      <c r="M138" s="2291" t="s">
        <v>867</v>
      </c>
      <c r="N138" s="2286">
        <v>112186800</v>
      </c>
      <c r="O138" s="2275"/>
      <c r="P138" s="2271">
        <f>N138+O138</f>
        <v>112186800</v>
      </c>
      <c r="Q138" s="2275"/>
      <c r="R138" s="2275"/>
      <c r="S138" s="2275"/>
      <c r="T138" s="2275"/>
      <c r="U138" s="2275"/>
      <c r="V138" s="2275">
        <f>P138</f>
        <v>112186800</v>
      </c>
      <c r="W138" s="2273" t="s">
        <v>2563</v>
      </c>
      <c r="X138" s="2274">
        <v>42579</v>
      </c>
      <c r="Y138" s="2274">
        <v>42585</v>
      </c>
      <c r="Z138" s="2275">
        <f>V138</f>
        <v>112186800</v>
      </c>
      <c r="AA138" s="2306">
        <v>1</v>
      </c>
      <c r="AB138" s="2277">
        <f>+G138-P138</f>
        <v>116503200</v>
      </c>
      <c r="AC138" s="2307"/>
      <c r="AD138" s="2279"/>
      <c r="AG138" s="2299">
        <f>+V138</f>
        <v>112186800</v>
      </c>
      <c r="AI138" s="2281"/>
      <c r="AQ138" s="2272"/>
      <c r="AR138" s="2272"/>
      <c r="AS138" s="2272"/>
      <c r="AT138" s="2272"/>
      <c r="AU138" s="2272"/>
      <c r="AV138" s="2272"/>
      <c r="AW138" s="2272"/>
      <c r="AX138" s="2272"/>
    </row>
    <row r="139" spans="1:50" s="2280" customFormat="1" ht="47.25">
      <c r="A139" s="2282"/>
      <c r="B139" s="2734"/>
      <c r="C139" s="2284"/>
      <c r="D139" s="2303"/>
      <c r="E139" s="2275"/>
      <c r="F139" s="2286"/>
      <c r="G139" s="2286"/>
      <c r="H139" s="2293" t="s">
        <v>1637</v>
      </c>
      <c r="I139" s="2264">
        <v>42544</v>
      </c>
      <c r="J139" s="2286" t="s">
        <v>1594</v>
      </c>
      <c r="K139" s="2309" t="s">
        <v>3197</v>
      </c>
      <c r="L139" s="2294" t="s">
        <v>1749</v>
      </c>
      <c r="M139" s="2291" t="s">
        <v>3198</v>
      </c>
      <c r="N139" s="2286">
        <v>113642595</v>
      </c>
      <c r="O139" s="2275"/>
      <c r="P139" s="2271">
        <f>N139+O139</f>
        <v>113642595</v>
      </c>
      <c r="Q139" s="2275"/>
      <c r="R139" s="2275"/>
      <c r="S139" s="2275"/>
      <c r="T139" s="2275"/>
      <c r="U139" s="2275"/>
      <c r="V139" s="2275">
        <f>P139</f>
        <v>113642595</v>
      </c>
      <c r="W139" s="2273" t="s">
        <v>3199</v>
      </c>
      <c r="X139" s="2274">
        <v>42698</v>
      </c>
      <c r="Y139" s="2274"/>
      <c r="Z139" s="2275">
        <f>V139</f>
        <v>113642595</v>
      </c>
      <c r="AA139" s="2306">
        <v>1</v>
      </c>
      <c r="AB139" s="2277">
        <f>+G139-P139</f>
        <v>-113642595</v>
      </c>
      <c r="AC139" s="2307"/>
      <c r="AD139" s="2279"/>
      <c r="AG139" s="2299">
        <f>+V139</f>
        <v>113642595</v>
      </c>
      <c r="AI139" s="2281"/>
      <c r="AQ139" s="2272"/>
      <c r="AR139" s="2272"/>
      <c r="AS139" s="2272"/>
      <c r="AT139" s="2272"/>
      <c r="AU139" s="2272"/>
      <c r="AV139" s="2272"/>
      <c r="AW139" s="2272"/>
      <c r="AX139" s="2272"/>
    </row>
    <row r="140" spans="1:50" s="772" customFormat="1">
      <c r="A140" s="744"/>
      <c r="B140" s="749"/>
      <c r="C140" s="789"/>
      <c r="D140" s="1078"/>
      <c r="E140" s="745"/>
      <c r="F140" s="1079"/>
      <c r="G140" s="745">
        <f>G138</f>
        <v>228690000</v>
      </c>
      <c r="H140" s="1080"/>
      <c r="I140" s="1081"/>
      <c r="J140" s="1079"/>
      <c r="K140" s="746"/>
      <c r="L140" s="781"/>
      <c r="M140" s="1353"/>
      <c r="N140" s="745">
        <f>SUM(N138:N139)</f>
        <v>225829395</v>
      </c>
      <c r="O140" s="745">
        <f t="shared" ref="O140:V140" si="33">SUM(O138:O139)</f>
        <v>0</v>
      </c>
      <c r="P140" s="745">
        <f t="shared" si="33"/>
        <v>225829395</v>
      </c>
      <c r="Q140" s="745">
        <f t="shared" si="33"/>
        <v>0</v>
      </c>
      <c r="R140" s="745">
        <f t="shared" si="33"/>
        <v>0</v>
      </c>
      <c r="S140" s="745">
        <f t="shared" si="33"/>
        <v>0</v>
      </c>
      <c r="T140" s="745">
        <f t="shared" si="33"/>
        <v>0</v>
      </c>
      <c r="U140" s="745">
        <f t="shared" si="33"/>
        <v>0</v>
      </c>
      <c r="V140" s="745">
        <f t="shared" si="33"/>
        <v>225829395</v>
      </c>
      <c r="W140" s="784"/>
      <c r="X140" s="785"/>
      <c r="Y140" s="785"/>
      <c r="Z140" s="745">
        <f>SUM(Z138:Z139)</f>
        <v>225829395</v>
      </c>
      <c r="AA140" s="745"/>
      <c r="AB140" s="784">
        <f>+G140-P140</f>
        <v>2860605</v>
      </c>
      <c r="AC140" s="747"/>
      <c r="AD140" s="1382"/>
      <c r="AE140" s="38"/>
      <c r="AF140" s="38"/>
      <c r="AG140" s="38"/>
      <c r="AH140" s="38"/>
      <c r="AI140" s="771"/>
      <c r="AQ140" s="748"/>
      <c r="AR140" s="748"/>
      <c r="AS140" s="748"/>
      <c r="AT140" s="748"/>
      <c r="AU140" s="748"/>
      <c r="AV140" s="748"/>
      <c r="AW140" s="748"/>
      <c r="AX140" s="748"/>
    </row>
    <row r="141" spans="1:50" s="54" customFormat="1" ht="15.75" customHeight="1">
      <c r="A141" s="82"/>
      <c r="B141" s="1158"/>
      <c r="C141" s="290"/>
      <c r="D141" s="290"/>
      <c r="E141" s="107"/>
      <c r="F141" s="262"/>
      <c r="G141" s="262"/>
      <c r="H141" s="107"/>
      <c r="I141" s="107"/>
      <c r="J141" s="107"/>
      <c r="K141" s="108"/>
      <c r="L141" s="324"/>
      <c r="M141" s="1351"/>
      <c r="N141" s="449"/>
      <c r="O141" s="449"/>
      <c r="P141" s="449"/>
      <c r="Q141" s="449"/>
      <c r="R141" s="449"/>
      <c r="S141" s="449"/>
      <c r="T141" s="449"/>
      <c r="U141" s="449"/>
      <c r="V141" s="449"/>
      <c r="W141" s="326"/>
      <c r="X141" s="327"/>
      <c r="Y141" s="327"/>
      <c r="Z141" s="449"/>
      <c r="AA141" s="107"/>
      <c r="AB141" s="107"/>
      <c r="AC141" s="109"/>
      <c r="AD141" s="1382"/>
      <c r="AE141" s="38"/>
      <c r="AF141" s="38"/>
      <c r="AG141" s="38"/>
      <c r="AH141" s="38"/>
      <c r="AI141" s="53"/>
      <c r="AQ141" s="103"/>
      <c r="AR141" s="103"/>
      <c r="AS141" s="103"/>
      <c r="AT141" s="103"/>
      <c r="AU141" s="103"/>
      <c r="AV141" s="103"/>
      <c r="AW141" s="103"/>
      <c r="AX141" s="103"/>
    </row>
    <row r="142" spans="1:50" s="2280" customFormat="1" ht="47.25">
      <c r="A142" s="2282"/>
      <c r="B142" s="2283"/>
      <c r="C142" s="2260" t="s">
        <v>520</v>
      </c>
      <c r="D142" s="2308" t="s">
        <v>521</v>
      </c>
      <c r="E142" s="2272"/>
      <c r="F142" s="2262">
        <v>199430000</v>
      </c>
      <c r="G142" s="2262">
        <f>E142+F142</f>
        <v>199430000</v>
      </c>
      <c r="H142" s="2304" t="s">
        <v>696</v>
      </c>
      <c r="I142" s="2264">
        <v>42459</v>
      </c>
      <c r="J142" s="2286" t="s">
        <v>592</v>
      </c>
      <c r="K142" s="2301" t="s">
        <v>976</v>
      </c>
      <c r="L142" s="2294" t="s">
        <v>975</v>
      </c>
      <c r="M142" s="2291" t="s">
        <v>593</v>
      </c>
      <c r="N142" s="2286">
        <v>26950000</v>
      </c>
      <c r="O142" s="2275"/>
      <c r="P142" s="2271">
        <f>N142+O142</f>
        <v>26950000</v>
      </c>
      <c r="Q142" s="2275"/>
      <c r="R142" s="2275"/>
      <c r="S142" s="2275"/>
      <c r="T142" s="2275"/>
      <c r="U142" s="2275"/>
      <c r="V142" s="2275">
        <f>P142</f>
        <v>26950000</v>
      </c>
      <c r="W142" s="2273" t="s">
        <v>1947</v>
      </c>
      <c r="X142" s="2274">
        <v>42545</v>
      </c>
      <c r="Y142" s="2274">
        <v>42552</v>
      </c>
      <c r="Z142" s="2275">
        <f>V142</f>
        <v>26950000</v>
      </c>
      <c r="AA142" s="2310">
        <v>1</v>
      </c>
      <c r="AB142" s="2277">
        <f>+G142-P142</f>
        <v>172480000</v>
      </c>
      <c r="AC142" s="2307"/>
      <c r="AD142" s="2279"/>
      <c r="AI142" s="2281"/>
      <c r="AQ142" s="2272"/>
      <c r="AR142" s="2272"/>
      <c r="AS142" s="2272"/>
      <c r="AT142" s="2272"/>
      <c r="AU142" s="2272"/>
      <c r="AV142" s="2272"/>
      <c r="AW142" s="2272"/>
      <c r="AX142" s="2272"/>
    </row>
    <row r="143" spans="1:50" s="2280" customFormat="1" ht="47.25">
      <c r="A143" s="2282"/>
      <c r="B143" s="2283"/>
      <c r="C143" s="2284"/>
      <c r="D143" s="2303"/>
      <c r="E143" s="2275"/>
      <c r="F143" s="2286"/>
      <c r="G143" s="2286"/>
      <c r="H143" s="2304" t="s">
        <v>1151</v>
      </c>
      <c r="I143" s="2264">
        <v>42489</v>
      </c>
      <c r="J143" s="2286" t="s">
        <v>999</v>
      </c>
      <c r="K143" s="2301" t="s">
        <v>1768</v>
      </c>
      <c r="L143" s="2294" t="s">
        <v>1749</v>
      </c>
      <c r="M143" s="2291" t="s">
        <v>1000</v>
      </c>
      <c r="N143" s="2286">
        <v>40260000</v>
      </c>
      <c r="O143" s="2275"/>
      <c r="P143" s="2271">
        <f>N143+O143</f>
        <v>40260000</v>
      </c>
      <c r="Q143" s="2275"/>
      <c r="R143" s="2275"/>
      <c r="S143" s="2275"/>
      <c r="T143" s="2275"/>
      <c r="U143" s="2275"/>
      <c r="V143" s="2275">
        <f>P143</f>
        <v>40260000</v>
      </c>
      <c r="W143" s="2311" t="s">
        <v>2276</v>
      </c>
      <c r="X143" s="2312">
        <v>42608</v>
      </c>
      <c r="Y143" s="2312">
        <v>42615</v>
      </c>
      <c r="Z143" s="2275">
        <f>V143</f>
        <v>40260000</v>
      </c>
      <c r="AA143" s="2310">
        <v>1</v>
      </c>
      <c r="AB143" s="2277">
        <f>+G143-P143</f>
        <v>-40260000</v>
      </c>
      <c r="AC143" s="2307"/>
      <c r="AD143" s="2279"/>
      <c r="AI143" s="2281"/>
      <c r="AQ143" s="2272"/>
      <c r="AR143" s="2272"/>
      <c r="AS143" s="2272"/>
      <c r="AT143" s="2272"/>
      <c r="AU143" s="2272"/>
      <c r="AV143" s="2272"/>
      <c r="AW143" s="2272"/>
      <c r="AX143" s="2272"/>
    </row>
    <row r="144" spans="1:50" s="2280" customFormat="1" ht="47.25">
      <c r="A144" s="2282"/>
      <c r="B144" s="2283"/>
      <c r="C144" s="2284"/>
      <c r="D144" s="2303"/>
      <c r="E144" s="2275"/>
      <c r="F144" s="2286"/>
      <c r="G144" s="2286"/>
      <c r="H144" s="2304" t="s">
        <v>1163</v>
      </c>
      <c r="I144" s="2264">
        <v>42489</v>
      </c>
      <c r="J144" s="2286" t="s">
        <v>1025</v>
      </c>
      <c r="K144" s="2301" t="s">
        <v>1771</v>
      </c>
      <c r="L144" s="2294" t="s">
        <v>252</v>
      </c>
      <c r="M144" s="2291" t="s">
        <v>1026</v>
      </c>
      <c r="N144" s="2286"/>
      <c r="O144" s="2313">
        <v>30987000</v>
      </c>
      <c r="P144" s="2271">
        <f>N144+O144</f>
        <v>30987000</v>
      </c>
      <c r="Q144" s="2275"/>
      <c r="R144" s="2275"/>
      <c r="S144" s="2275"/>
      <c r="T144" s="2275"/>
      <c r="U144" s="2275"/>
      <c r="V144" s="2275">
        <f>P144</f>
        <v>30987000</v>
      </c>
      <c r="W144" s="2273" t="s">
        <v>2539</v>
      </c>
      <c r="X144" s="2274">
        <v>42635</v>
      </c>
      <c r="Y144" s="2274">
        <v>42641</v>
      </c>
      <c r="Z144" s="2275">
        <f>V144</f>
        <v>30987000</v>
      </c>
      <c r="AA144" s="2310">
        <v>1</v>
      </c>
      <c r="AB144" s="2277">
        <f>+G144-P144</f>
        <v>-30987000</v>
      </c>
      <c r="AC144" s="2307"/>
      <c r="AD144" s="2279"/>
      <c r="AI144" s="2281"/>
      <c r="AQ144" s="2272"/>
      <c r="AR144" s="2272"/>
      <c r="AS144" s="2272"/>
      <c r="AT144" s="2272"/>
      <c r="AU144" s="2272"/>
      <c r="AV144" s="2272"/>
      <c r="AW144" s="2272"/>
      <c r="AX144" s="2272"/>
    </row>
    <row r="145" spans="1:52" s="2280" customFormat="1" ht="47.25">
      <c r="A145" s="2282"/>
      <c r="B145" s="2283"/>
      <c r="C145" s="2284"/>
      <c r="D145" s="2303"/>
      <c r="E145" s="2275"/>
      <c r="F145" s="2286"/>
      <c r="G145" s="2286"/>
      <c r="H145" s="2304" t="s">
        <v>2331</v>
      </c>
      <c r="I145" s="2264">
        <v>42626</v>
      </c>
      <c r="J145" s="2286" t="s">
        <v>2316</v>
      </c>
      <c r="K145" s="2301" t="s">
        <v>3313</v>
      </c>
      <c r="L145" s="2294" t="s">
        <v>271</v>
      </c>
      <c r="M145" s="2291" t="s">
        <v>2317</v>
      </c>
      <c r="N145" s="2286"/>
      <c r="O145" s="2286">
        <v>28638500</v>
      </c>
      <c r="P145" s="2271">
        <f>N145+O145</f>
        <v>28638500</v>
      </c>
      <c r="Q145" s="2275"/>
      <c r="R145" s="2275"/>
      <c r="S145" s="2275"/>
      <c r="T145" s="2275"/>
      <c r="U145" s="2275"/>
      <c r="V145" s="2275">
        <f>P145</f>
        <v>28638500</v>
      </c>
      <c r="W145" s="2273" t="s">
        <v>3548</v>
      </c>
      <c r="X145" s="2274">
        <v>42732</v>
      </c>
      <c r="Y145" s="2274">
        <v>42734</v>
      </c>
      <c r="Z145" s="2275">
        <f>V145</f>
        <v>28638500</v>
      </c>
      <c r="AA145" s="2310">
        <v>1</v>
      </c>
      <c r="AB145" s="2277">
        <f>+G145-P145</f>
        <v>-28638500</v>
      </c>
      <c r="AC145" s="2307"/>
      <c r="AD145" s="2279"/>
      <c r="AG145" s="2314">
        <f>P145</f>
        <v>28638500</v>
      </c>
      <c r="AI145" s="2281"/>
      <c r="AQ145" s="2272"/>
      <c r="AR145" s="2272"/>
      <c r="AS145" s="2272"/>
      <c r="AT145" s="2272"/>
      <c r="AU145" s="2272"/>
      <c r="AV145" s="2272"/>
      <c r="AW145" s="2272"/>
      <c r="AX145" s="2272"/>
    </row>
    <row r="146" spans="1:52" s="2280" customFormat="1" ht="47.25">
      <c r="A146" s="2282"/>
      <c r="B146" s="2283"/>
      <c r="C146" s="2284"/>
      <c r="D146" s="2303"/>
      <c r="E146" s="2275"/>
      <c r="F146" s="2286"/>
      <c r="G146" s="2286"/>
      <c r="H146" s="2304" t="s">
        <v>2437</v>
      </c>
      <c r="I146" s="2288">
        <v>42633</v>
      </c>
      <c r="J146" s="2286" t="s">
        <v>2414</v>
      </c>
      <c r="K146" s="2301" t="s">
        <v>2494</v>
      </c>
      <c r="L146" s="2294" t="s">
        <v>1749</v>
      </c>
      <c r="M146" s="2291" t="s">
        <v>2415</v>
      </c>
      <c r="N146" s="2286">
        <v>70455000</v>
      </c>
      <c r="O146" s="2286"/>
      <c r="P146" s="2271">
        <f>N146+O146</f>
        <v>70455000</v>
      </c>
      <c r="Q146" s="2275"/>
      <c r="R146" s="2275"/>
      <c r="S146" s="2275"/>
      <c r="T146" s="2275"/>
      <c r="U146" s="2275"/>
      <c r="V146" s="2275">
        <f>P146</f>
        <v>70455000</v>
      </c>
      <c r="W146" s="2273" t="s">
        <v>3540</v>
      </c>
      <c r="X146" s="2274">
        <v>42719</v>
      </c>
      <c r="Y146" s="2274">
        <v>42724</v>
      </c>
      <c r="Z146" s="2275">
        <f>V146</f>
        <v>70455000</v>
      </c>
      <c r="AA146" s="2298">
        <v>1</v>
      </c>
      <c r="AB146" s="2277">
        <f>+G146-P146</f>
        <v>-70455000</v>
      </c>
      <c r="AC146" s="2307"/>
      <c r="AD146" s="2279"/>
      <c r="AG146" s="2314">
        <f>P146</f>
        <v>70455000</v>
      </c>
      <c r="AI146" s="2281"/>
      <c r="AQ146" s="2272"/>
      <c r="AR146" s="2272"/>
      <c r="AS146" s="2272"/>
      <c r="AT146" s="2272"/>
      <c r="AU146" s="2272"/>
      <c r="AV146" s="2272"/>
      <c r="AW146" s="2272"/>
      <c r="AX146" s="2272"/>
    </row>
    <row r="147" spans="1:52" s="54" customFormat="1">
      <c r="A147" s="82"/>
      <c r="B147" s="1158"/>
      <c r="C147" s="290"/>
      <c r="D147" s="743"/>
      <c r="E147" s="449"/>
      <c r="F147" s="262"/>
      <c r="G147" s="262"/>
      <c r="H147" s="379"/>
      <c r="I147" s="322"/>
      <c r="J147" s="262"/>
      <c r="K147" s="293"/>
      <c r="L147" s="454"/>
      <c r="M147" s="325"/>
      <c r="N147" s="262"/>
      <c r="O147" s="449"/>
      <c r="P147" s="295"/>
      <c r="Q147" s="449"/>
      <c r="R147" s="449"/>
      <c r="S147" s="449"/>
      <c r="T147" s="449"/>
      <c r="U147" s="449"/>
      <c r="V147" s="449"/>
      <c r="W147" s="326"/>
      <c r="X147" s="327"/>
      <c r="Y147" s="327"/>
      <c r="Z147" s="449"/>
      <c r="AA147" s="449"/>
      <c r="AB147" s="57"/>
      <c r="AC147" s="109"/>
      <c r="AD147" s="1382"/>
      <c r="AE147" s="38"/>
      <c r="AF147" s="38"/>
      <c r="AG147" s="38"/>
      <c r="AH147" s="38"/>
      <c r="AI147" s="53"/>
      <c r="AQ147" s="103"/>
      <c r="AR147" s="103"/>
      <c r="AS147" s="103"/>
      <c r="AT147" s="103"/>
      <c r="AU147" s="103"/>
      <c r="AV147" s="103"/>
      <c r="AW147" s="103"/>
      <c r="AX147" s="103"/>
    </row>
    <row r="148" spans="1:52" s="772" customFormat="1" ht="15.75" customHeight="1">
      <c r="A148" s="744"/>
      <c r="B148" s="750"/>
      <c r="C148" s="789"/>
      <c r="D148" s="789"/>
      <c r="E148" s="745"/>
      <c r="F148" s="745">
        <f>F142</f>
        <v>199430000</v>
      </c>
      <c r="G148" s="745">
        <f>G142</f>
        <v>199430000</v>
      </c>
      <c r="H148" s="745"/>
      <c r="I148" s="745"/>
      <c r="J148" s="745"/>
      <c r="K148" s="746"/>
      <c r="L148" s="781"/>
      <c r="M148" s="782"/>
      <c r="N148" s="745">
        <f>SUM(N142:N147)</f>
        <v>137665000</v>
      </c>
      <c r="O148" s="745">
        <f t="shared" ref="O148:V148" si="34">SUM(O142:O147)</f>
        <v>59625500</v>
      </c>
      <c r="P148" s="745">
        <f t="shared" si="34"/>
        <v>197290500</v>
      </c>
      <c r="Q148" s="745">
        <f t="shared" si="34"/>
        <v>0</v>
      </c>
      <c r="R148" s="745">
        <f t="shared" si="34"/>
        <v>0</v>
      </c>
      <c r="S148" s="745">
        <f t="shared" si="34"/>
        <v>0</v>
      </c>
      <c r="T148" s="745">
        <f t="shared" si="34"/>
        <v>0</v>
      </c>
      <c r="U148" s="745">
        <f t="shared" si="34"/>
        <v>0</v>
      </c>
      <c r="V148" s="745">
        <f t="shared" si="34"/>
        <v>197290500</v>
      </c>
      <c r="W148" s="784"/>
      <c r="X148" s="785"/>
      <c r="Y148" s="785"/>
      <c r="Z148" s="745">
        <f>SUM(Z142:Z147)</f>
        <v>197290500</v>
      </c>
      <c r="AA148" s="745"/>
      <c r="AB148" s="756">
        <f>+G148-P148</f>
        <v>2139500</v>
      </c>
      <c r="AC148" s="747"/>
      <c r="AD148" s="1382"/>
      <c r="AE148" s="38"/>
      <c r="AF148" s="38"/>
      <c r="AG148" s="38"/>
      <c r="AH148" s="38"/>
      <c r="AI148" s="771"/>
      <c r="AQ148" s="748"/>
      <c r="AR148" s="748"/>
      <c r="AS148" s="748"/>
      <c r="AT148" s="748"/>
      <c r="AU148" s="748"/>
      <c r="AV148" s="748"/>
      <c r="AW148" s="748"/>
      <c r="AX148" s="748"/>
    </row>
    <row r="149" spans="1:52" s="54" customFormat="1" ht="15.75" customHeight="1" thickBot="1">
      <c r="A149" s="82"/>
      <c r="B149" s="82"/>
      <c r="C149" s="82"/>
      <c r="D149" s="82"/>
      <c r="E149" s="107"/>
      <c r="F149" s="107"/>
      <c r="G149" s="107"/>
      <c r="H149" s="107"/>
      <c r="I149" s="107"/>
      <c r="J149" s="107"/>
      <c r="K149" s="108"/>
      <c r="L149" s="324"/>
      <c r="M149" s="1351"/>
      <c r="N149" s="449"/>
      <c r="O149" s="449"/>
      <c r="P149" s="449"/>
      <c r="Q149" s="449"/>
      <c r="R149" s="449"/>
      <c r="S149" s="449"/>
      <c r="T149" s="449"/>
      <c r="U149" s="449"/>
      <c r="V149" s="137"/>
      <c r="W149" s="326"/>
      <c r="X149" s="327"/>
      <c r="Y149" s="327"/>
      <c r="Z149" s="449"/>
      <c r="AA149" s="107"/>
      <c r="AB149" s="107"/>
      <c r="AC149" s="109"/>
      <c r="AD149" s="1382"/>
      <c r="AE149" s="38"/>
      <c r="AF149" s="38"/>
      <c r="AG149" s="38"/>
      <c r="AH149" s="38"/>
      <c r="AI149" s="53"/>
      <c r="AQ149" s="103"/>
      <c r="AR149" s="103"/>
      <c r="AS149" s="103"/>
      <c r="AT149" s="103"/>
      <c r="AU149" s="103"/>
      <c r="AV149" s="103"/>
      <c r="AW149" s="103"/>
      <c r="AX149" s="103"/>
    </row>
    <row r="150" spans="1:52" s="317" customFormat="1" ht="15.75" customHeight="1" thickBot="1">
      <c r="A150" s="2703" t="s">
        <v>515</v>
      </c>
      <c r="B150" s="2704"/>
      <c r="C150" s="2704"/>
      <c r="D150" s="2705"/>
      <c r="E150" s="65">
        <f>E136+E138+E148</f>
        <v>0</v>
      </c>
      <c r="F150" s="65">
        <f>F136+F138+F148</f>
        <v>571340000</v>
      </c>
      <c r="G150" s="65">
        <f>G131+G138+G142</f>
        <v>571340000</v>
      </c>
      <c r="H150" s="65"/>
      <c r="I150" s="65"/>
      <c r="J150" s="65"/>
      <c r="K150" s="66"/>
      <c r="L150" s="1334"/>
      <c r="M150" s="1352"/>
      <c r="N150" s="65">
        <f>N136+N140+N148</f>
        <v>496692295</v>
      </c>
      <c r="O150" s="65">
        <f t="shared" ref="O150:V150" si="35">O136+O140+O148</f>
        <v>69535400</v>
      </c>
      <c r="P150" s="65">
        <f>P136+P140+P148</f>
        <v>566227695</v>
      </c>
      <c r="Q150" s="65">
        <f t="shared" si="35"/>
        <v>0</v>
      </c>
      <c r="R150" s="65">
        <f t="shared" si="35"/>
        <v>0</v>
      </c>
      <c r="S150" s="65">
        <f t="shared" si="35"/>
        <v>0</v>
      </c>
      <c r="T150" s="65">
        <f t="shared" si="35"/>
        <v>0</v>
      </c>
      <c r="U150" s="65">
        <f t="shared" si="35"/>
        <v>0</v>
      </c>
      <c r="V150" s="65">
        <f t="shared" si="35"/>
        <v>566227695</v>
      </c>
      <c r="W150" s="341"/>
      <c r="X150" s="1417"/>
      <c r="Y150" s="1417"/>
      <c r="Z150" s="65">
        <f>Z136+Z140+Z148</f>
        <v>566227695</v>
      </c>
      <c r="AA150" s="65"/>
      <c r="AB150" s="777">
        <f>+G150-P150</f>
        <v>5112305</v>
      </c>
      <c r="AC150" s="76"/>
      <c r="AD150" s="1382"/>
      <c r="AE150" s="38"/>
      <c r="AF150" s="38"/>
      <c r="AG150" s="38"/>
      <c r="AH150" s="38"/>
      <c r="AI150" s="316"/>
      <c r="AQ150" s="318"/>
      <c r="AR150" s="318"/>
      <c r="AS150" s="318"/>
      <c r="AT150" s="318"/>
      <c r="AU150" s="318"/>
      <c r="AV150" s="318"/>
      <c r="AW150" s="318"/>
      <c r="AX150" s="318"/>
    </row>
    <row r="151" spans="1:52" ht="15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3"/>
      <c r="K151" s="5"/>
      <c r="L151" s="1318"/>
      <c r="M151" s="1318"/>
      <c r="N151" s="1294"/>
      <c r="O151" s="1294"/>
      <c r="P151" s="1256"/>
      <c r="Q151" s="1339"/>
      <c r="R151" s="1339"/>
      <c r="S151" s="1339"/>
      <c r="T151" s="1339"/>
      <c r="U151" s="1339"/>
      <c r="V151" s="1340"/>
      <c r="W151" s="1418"/>
      <c r="X151" s="1419"/>
      <c r="Y151" s="1420"/>
      <c r="Z151" s="1419"/>
      <c r="AA151" s="136"/>
      <c r="AB151" s="97"/>
      <c r="AC151" s="342"/>
      <c r="AD151" s="1382"/>
      <c r="AE151" s="38"/>
      <c r="AF151" s="38"/>
      <c r="AG151" s="38"/>
      <c r="AH151" s="38"/>
      <c r="AI151" s="98"/>
      <c r="AJ151" s="98"/>
      <c r="AK151" s="98"/>
      <c r="AL151" s="98"/>
      <c r="AM151" s="98"/>
      <c r="AN151" s="98"/>
      <c r="AO151" s="98"/>
      <c r="AP151" s="99"/>
      <c r="AQ151" s="78"/>
      <c r="AR151" s="78"/>
      <c r="AS151" s="78"/>
      <c r="AT151" s="78"/>
      <c r="AU151" s="78"/>
      <c r="AV151" s="78"/>
      <c r="AW151" s="78"/>
      <c r="AX151" s="78"/>
    </row>
    <row r="152" spans="1:52" s="1778" customFormat="1" ht="47.25">
      <c r="A152" s="2117">
        <v>4</v>
      </c>
      <c r="B152" s="2726" t="s">
        <v>2035</v>
      </c>
      <c r="C152" s="578" t="s">
        <v>567</v>
      </c>
      <c r="D152" s="579" t="s">
        <v>735</v>
      </c>
      <c r="E152" s="569">
        <v>119830000</v>
      </c>
      <c r="F152" s="569"/>
      <c r="G152" s="569">
        <v>239659000</v>
      </c>
      <c r="H152" s="1799" t="s">
        <v>948</v>
      </c>
      <c r="I152" s="2102">
        <v>42474</v>
      </c>
      <c r="J152" s="582" t="s">
        <v>902</v>
      </c>
      <c r="K152" s="595" t="s">
        <v>2024</v>
      </c>
      <c r="L152" s="609" t="s">
        <v>1328</v>
      </c>
      <c r="M152" s="1343" t="s">
        <v>903</v>
      </c>
      <c r="N152" s="1297">
        <v>107800000</v>
      </c>
      <c r="O152" s="1299"/>
      <c r="P152" s="1801">
        <f t="shared" ref="P152:P157" si="36">N152+O152</f>
        <v>107800000</v>
      </c>
      <c r="Q152" s="2104"/>
      <c r="R152" s="2104"/>
      <c r="S152" s="2104"/>
      <c r="T152" s="2104"/>
      <c r="U152" s="2104"/>
      <c r="V152" s="576">
        <f t="shared" ref="V152:V157" si="37">P152</f>
        <v>107800000</v>
      </c>
      <c r="W152" s="631" t="s">
        <v>3060</v>
      </c>
      <c r="X152" s="2098">
        <v>42678</v>
      </c>
      <c r="Y152" s="2098">
        <v>42684</v>
      </c>
      <c r="Z152" s="631">
        <f t="shared" ref="Z152:Z157" si="38">V152</f>
        <v>107800000</v>
      </c>
      <c r="AA152" s="2099">
        <v>1</v>
      </c>
      <c r="AB152" s="576">
        <f t="shared" ref="AB152:AB158" si="39">+G152-P152</f>
        <v>131859000</v>
      </c>
      <c r="AC152" s="577"/>
      <c r="AD152" s="1792">
        <v>1</v>
      </c>
      <c r="AE152" s="581"/>
      <c r="AF152" s="2019">
        <f>V152</f>
        <v>107800000</v>
      </c>
      <c r="AG152" s="581"/>
      <c r="AH152" s="581"/>
      <c r="AI152" s="577"/>
      <c r="AJ152" s="577"/>
      <c r="AK152" s="577"/>
      <c r="AL152" s="577"/>
      <c r="AM152" s="577"/>
      <c r="AN152" s="577"/>
      <c r="AO152" s="577"/>
      <c r="AP152" s="1802"/>
      <c r="AQ152" s="577"/>
      <c r="AR152" s="577"/>
      <c r="AS152" s="577"/>
      <c r="AT152" s="577"/>
      <c r="AU152" s="577"/>
      <c r="AV152" s="577"/>
      <c r="AW152" s="577"/>
      <c r="AX152" s="577"/>
    </row>
    <row r="153" spans="1:52" s="1778" customFormat="1">
      <c r="A153" s="2117"/>
      <c r="B153" s="2727"/>
      <c r="C153" s="578"/>
      <c r="D153" s="579"/>
      <c r="E153" s="569"/>
      <c r="F153" s="569"/>
      <c r="G153" s="569"/>
      <c r="H153" s="1799"/>
      <c r="I153" s="2102"/>
      <c r="J153" s="582" t="s">
        <v>1154</v>
      </c>
      <c r="K153" s="583"/>
      <c r="L153" s="609" t="s">
        <v>1327</v>
      </c>
      <c r="M153" s="1343" t="s">
        <v>1155</v>
      </c>
      <c r="N153" s="1297">
        <v>3135000</v>
      </c>
      <c r="O153" s="1299"/>
      <c r="P153" s="1801">
        <f t="shared" si="36"/>
        <v>3135000</v>
      </c>
      <c r="Q153" s="2104"/>
      <c r="R153" s="2104"/>
      <c r="S153" s="2104"/>
      <c r="T153" s="2104"/>
      <c r="U153" s="2104"/>
      <c r="V153" s="576">
        <f t="shared" si="37"/>
        <v>3135000</v>
      </c>
      <c r="W153" s="631" t="s">
        <v>2025</v>
      </c>
      <c r="X153" s="2098">
        <v>42520</v>
      </c>
      <c r="Y153" s="2098">
        <v>42522</v>
      </c>
      <c r="Z153" s="631">
        <f t="shared" si="38"/>
        <v>3135000</v>
      </c>
      <c r="AA153" s="2118">
        <v>1</v>
      </c>
      <c r="AB153" s="576">
        <f t="shared" si="39"/>
        <v>-3135000</v>
      </c>
      <c r="AC153" s="577"/>
      <c r="AD153" s="1792"/>
      <c r="AE153" s="581"/>
      <c r="AF153" s="581"/>
      <c r="AG153" s="581"/>
      <c r="AH153" s="581"/>
      <c r="AI153" s="577"/>
      <c r="AJ153" s="577"/>
      <c r="AK153" s="577"/>
      <c r="AL153" s="577"/>
      <c r="AM153" s="577"/>
      <c r="AN153" s="577"/>
      <c r="AO153" s="577"/>
      <c r="AP153" s="1802"/>
      <c r="AQ153" s="577"/>
      <c r="AR153" s="577"/>
      <c r="AS153" s="577"/>
      <c r="AT153" s="577"/>
      <c r="AU153" s="577"/>
      <c r="AV153" s="577"/>
      <c r="AW153" s="577"/>
      <c r="AX153" s="577"/>
    </row>
    <row r="154" spans="1:52" s="1778" customFormat="1">
      <c r="A154" s="2117"/>
      <c r="B154" s="2728"/>
      <c r="C154" s="578"/>
      <c r="D154" s="579"/>
      <c r="E154" s="569"/>
      <c r="F154" s="569"/>
      <c r="G154" s="569"/>
      <c r="H154" s="1799"/>
      <c r="I154" s="2102"/>
      <c r="J154" s="582" t="s">
        <v>1156</v>
      </c>
      <c r="K154" s="583"/>
      <c r="L154" s="609" t="s">
        <v>1328</v>
      </c>
      <c r="M154" s="1343" t="s">
        <v>1157</v>
      </c>
      <c r="N154" s="1297">
        <v>6600000</v>
      </c>
      <c r="O154" s="1299"/>
      <c r="P154" s="1801">
        <f t="shared" si="36"/>
        <v>6600000</v>
      </c>
      <c r="Q154" s="2104"/>
      <c r="R154" s="2104"/>
      <c r="S154" s="2104"/>
      <c r="T154" s="2104"/>
      <c r="U154" s="2104"/>
      <c r="V154" s="576">
        <f t="shared" si="37"/>
        <v>6600000</v>
      </c>
      <c r="W154" s="631" t="s">
        <v>2025</v>
      </c>
      <c r="X154" s="2098">
        <v>42520</v>
      </c>
      <c r="Y154" s="2098">
        <v>42522</v>
      </c>
      <c r="Z154" s="631">
        <f t="shared" si="38"/>
        <v>6600000</v>
      </c>
      <c r="AA154" s="2118">
        <v>1</v>
      </c>
      <c r="AB154" s="576">
        <f t="shared" si="39"/>
        <v>-6600000</v>
      </c>
      <c r="AC154" s="577"/>
      <c r="AD154" s="1792"/>
      <c r="AE154" s="581"/>
      <c r="AF154" s="581"/>
      <c r="AG154" s="581"/>
      <c r="AH154" s="581"/>
      <c r="AI154" s="577"/>
      <c r="AJ154" s="577"/>
      <c r="AK154" s="577"/>
      <c r="AL154" s="577"/>
      <c r="AM154" s="577"/>
      <c r="AN154" s="577"/>
      <c r="AO154" s="577"/>
      <c r="AP154" s="1802"/>
      <c r="AQ154" s="577"/>
      <c r="AR154" s="577"/>
      <c r="AS154" s="577"/>
      <c r="AT154" s="577"/>
      <c r="AU154" s="577"/>
      <c r="AV154" s="577"/>
      <c r="AW154" s="577"/>
      <c r="AX154" s="577"/>
    </row>
    <row r="155" spans="1:52" s="1778" customFormat="1" ht="47.25">
      <c r="A155" s="2117"/>
      <c r="B155" s="1155"/>
      <c r="C155" s="578"/>
      <c r="D155" s="579"/>
      <c r="E155" s="569"/>
      <c r="F155" s="569"/>
      <c r="G155" s="569"/>
      <c r="H155" s="1799" t="s">
        <v>1546</v>
      </c>
      <c r="I155" s="2102">
        <v>42529</v>
      </c>
      <c r="J155" s="582" t="s">
        <v>1534</v>
      </c>
      <c r="K155" s="595" t="s">
        <v>3059</v>
      </c>
      <c r="L155" s="1718" t="s">
        <v>2630</v>
      </c>
      <c r="M155" s="1343" t="s">
        <v>1535</v>
      </c>
      <c r="N155" s="1297">
        <v>52834320</v>
      </c>
      <c r="O155" s="1299"/>
      <c r="P155" s="1801">
        <f t="shared" si="36"/>
        <v>52834320</v>
      </c>
      <c r="Q155" s="2104"/>
      <c r="R155" s="2104"/>
      <c r="S155" s="2104"/>
      <c r="T155" s="2104"/>
      <c r="U155" s="2104"/>
      <c r="V155" s="576">
        <f t="shared" si="37"/>
        <v>52834320</v>
      </c>
      <c r="W155" s="631" t="s">
        <v>3058</v>
      </c>
      <c r="X155" s="2098">
        <v>42675</v>
      </c>
      <c r="Y155" s="2098">
        <v>42678</v>
      </c>
      <c r="Z155" s="631">
        <f t="shared" si="38"/>
        <v>52834320</v>
      </c>
      <c r="AA155" s="2118">
        <v>1</v>
      </c>
      <c r="AB155" s="576">
        <f t="shared" si="39"/>
        <v>-52834320</v>
      </c>
      <c r="AC155" s="577"/>
      <c r="AD155" s="1792"/>
      <c r="AE155" s="581"/>
      <c r="AF155" s="2019">
        <f>V155</f>
        <v>52834320</v>
      </c>
      <c r="AG155" s="581"/>
      <c r="AH155" s="581"/>
      <c r="AI155" s="577"/>
      <c r="AJ155" s="577"/>
      <c r="AK155" s="577"/>
      <c r="AL155" s="577"/>
      <c r="AM155" s="577"/>
      <c r="AN155" s="577"/>
      <c r="AO155" s="577"/>
      <c r="AP155" s="1802"/>
      <c r="AQ155" s="577"/>
      <c r="AR155" s="577"/>
      <c r="AS155" s="577"/>
      <c r="AT155" s="577"/>
      <c r="AU155" s="577"/>
      <c r="AV155" s="577"/>
      <c r="AW155" s="577"/>
      <c r="AX155" s="577"/>
    </row>
    <row r="156" spans="1:52" s="1778" customFormat="1" ht="63" customHeight="1">
      <c r="A156" s="2117"/>
      <c r="B156" s="2718" t="s">
        <v>2036</v>
      </c>
      <c r="C156" s="2119"/>
      <c r="D156" s="579"/>
      <c r="E156" s="569"/>
      <c r="F156" s="569"/>
      <c r="G156" s="569"/>
      <c r="H156" s="1799" t="s">
        <v>2708</v>
      </c>
      <c r="I156" s="2102">
        <v>42600</v>
      </c>
      <c r="J156" s="582" t="s">
        <v>2039</v>
      </c>
      <c r="K156" s="595" t="s">
        <v>2829</v>
      </c>
      <c r="L156" s="1718" t="s">
        <v>2630</v>
      </c>
      <c r="M156" s="1343" t="s">
        <v>2397</v>
      </c>
      <c r="N156" s="1297">
        <v>64575280</v>
      </c>
      <c r="O156" s="1299"/>
      <c r="P156" s="1801">
        <f t="shared" si="36"/>
        <v>64575280</v>
      </c>
      <c r="Q156" s="2104"/>
      <c r="R156" s="2104"/>
      <c r="S156" s="2104"/>
      <c r="T156" s="2104"/>
      <c r="U156" s="2104"/>
      <c r="V156" s="1788">
        <f t="shared" si="37"/>
        <v>64575280</v>
      </c>
      <c r="W156" s="2104" t="s">
        <v>3541</v>
      </c>
      <c r="X156" s="2120">
        <v>42724</v>
      </c>
      <c r="Y156" s="2120">
        <v>42731</v>
      </c>
      <c r="Z156" s="631">
        <f t="shared" si="38"/>
        <v>64575280</v>
      </c>
      <c r="AA156" s="2118">
        <v>1</v>
      </c>
      <c r="AB156" s="576">
        <f t="shared" si="39"/>
        <v>-64575280</v>
      </c>
      <c r="AC156" s="577"/>
      <c r="AD156" s="1792"/>
      <c r="AE156" s="581"/>
      <c r="AF156" s="2019">
        <f>P156</f>
        <v>64575280</v>
      </c>
      <c r="AG156" s="581"/>
      <c r="AH156" s="581"/>
      <c r="AI156" s="577"/>
      <c r="AJ156" s="577"/>
      <c r="AK156" s="577"/>
      <c r="AL156" s="577"/>
      <c r="AM156" s="577"/>
      <c r="AN156" s="577"/>
      <c r="AO156" s="577"/>
      <c r="AP156" s="1802"/>
      <c r="AQ156" s="577"/>
      <c r="AR156" s="577"/>
      <c r="AS156" s="577"/>
      <c r="AT156" s="577"/>
      <c r="AU156" s="577"/>
      <c r="AV156" s="577"/>
      <c r="AW156" s="577"/>
      <c r="AX156" s="577"/>
    </row>
    <row r="157" spans="1:52" s="1778" customFormat="1" ht="31.5">
      <c r="A157" s="2117"/>
      <c r="B157" s="2719"/>
      <c r="C157" s="578"/>
      <c r="D157" s="579"/>
      <c r="E157" s="569"/>
      <c r="F157" s="569"/>
      <c r="G157" s="569"/>
      <c r="H157" s="1799"/>
      <c r="I157" s="2102"/>
      <c r="J157" s="582" t="s">
        <v>2890</v>
      </c>
      <c r="K157" s="583"/>
      <c r="L157" s="609" t="s">
        <v>3174</v>
      </c>
      <c r="M157" s="1343" t="s">
        <v>2891</v>
      </c>
      <c r="N157" s="1297">
        <v>4702500</v>
      </c>
      <c r="O157" s="1299"/>
      <c r="P157" s="1801">
        <f t="shared" si="36"/>
        <v>4702500</v>
      </c>
      <c r="Q157" s="2104"/>
      <c r="R157" s="2104"/>
      <c r="S157" s="2104"/>
      <c r="T157" s="2104"/>
      <c r="U157" s="2104"/>
      <c r="V157" s="1788">
        <f t="shared" si="37"/>
        <v>4702500</v>
      </c>
      <c r="W157" s="631" t="s">
        <v>3168</v>
      </c>
      <c r="X157" s="2098">
        <v>42690</v>
      </c>
      <c r="Y157" s="2098">
        <v>42697</v>
      </c>
      <c r="Z157" s="631">
        <f t="shared" si="38"/>
        <v>4702500</v>
      </c>
      <c r="AA157" s="2118">
        <v>1</v>
      </c>
      <c r="AB157" s="576">
        <f t="shared" si="39"/>
        <v>-4702500</v>
      </c>
      <c r="AC157" s="577"/>
      <c r="AD157" s="1792"/>
      <c r="AE157" s="581"/>
      <c r="AF157" s="581"/>
      <c r="AG157" s="581"/>
      <c r="AH157" s="581"/>
      <c r="AI157" s="577"/>
      <c r="AJ157" s="577"/>
      <c r="AK157" s="577"/>
      <c r="AL157" s="577"/>
      <c r="AM157" s="577"/>
      <c r="AN157" s="577"/>
      <c r="AO157" s="577"/>
      <c r="AP157" s="1802"/>
      <c r="AQ157" s="577"/>
      <c r="AR157" s="577"/>
      <c r="AS157" s="577"/>
      <c r="AT157" s="577"/>
      <c r="AU157" s="577"/>
      <c r="AV157" s="577"/>
      <c r="AW157" s="577"/>
      <c r="AX157" s="577"/>
    </row>
    <row r="158" spans="1:52" s="769" customFormat="1">
      <c r="A158" s="652"/>
      <c r="B158" s="2719"/>
      <c r="C158" s="863"/>
      <c r="D158" s="760"/>
      <c r="E158" s="656">
        <f>E152</f>
        <v>119830000</v>
      </c>
      <c r="F158" s="656"/>
      <c r="G158" s="656">
        <f>G152</f>
        <v>239659000</v>
      </c>
      <c r="H158" s="864"/>
      <c r="I158" s="761"/>
      <c r="J158" s="762"/>
      <c r="K158" s="763"/>
      <c r="L158" s="1332"/>
      <c r="M158" s="776"/>
      <c r="N158" s="783">
        <f>SUM(N152:N157)</f>
        <v>239647100</v>
      </c>
      <c r="O158" s="783">
        <f>SUM(O152:O155)</f>
        <v>0</v>
      </c>
      <c r="P158" s="783">
        <f>SUM(P152:U157)</f>
        <v>239647100</v>
      </c>
      <c r="Q158" s="783">
        <f>SUM(Q152:Q155)</f>
        <v>0</v>
      </c>
      <c r="R158" s="783">
        <f>SUM(R152:R155)</f>
        <v>0</v>
      </c>
      <c r="S158" s="783">
        <f>SUM(S152:S155)</f>
        <v>0</v>
      </c>
      <c r="T158" s="783">
        <f>SUM(T152:T155)</f>
        <v>0</v>
      </c>
      <c r="U158" s="783">
        <f>SUM(U152:U155)</f>
        <v>0</v>
      </c>
      <c r="V158" s="783">
        <f>SUM(V152:V157)</f>
        <v>239647100</v>
      </c>
      <c r="W158" s="1372"/>
      <c r="X158" s="1423"/>
      <c r="Y158" s="1423"/>
      <c r="Z158" s="1372">
        <f>SUM(Z152:Z157)</f>
        <v>239647100</v>
      </c>
      <c r="AA158" s="658"/>
      <c r="AB158" s="756">
        <f t="shared" si="39"/>
        <v>11900</v>
      </c>
      <c r="AC158" s="767"/>
      <c r="AD158" s="1382"/>
      <c r="AE158" s="38"/>
      <c r="AF158" s="38"/>
      <c r="AG158" s="38"/>
      <c r="AH158" s="38"/>
      <c r="AI158" s="767"/>
      <c r="AJ158" s="767"/>
      <c r="AK158" s="767"/>
      <c r="AL158" s="767"/>
      <c r="AM158" s="767"/>
      <c r="AN158" s="767"/>
      <c r="AO158" s="767"/>
      <c r="AP158" s="768"/>
      <c r="AQ158" s="767"/>
      <c r="AR158" s="767"/>
      <c r="AS158" s="767"/>
      <c r="AT158" s="767"/>
      <c r="AU158" s="767"/>
      <c r="AV158" s="767"/>
      <c r="AW158" s="767"/>
      <c r="AX158" s="767"/>
    </row>
    <row r="159" spans="1:52" ht="15.75" customHeight="1">
      <c r="A159" s="22"/>
      <c r="B159" s="2720"/>
      <c r="C159" s="24"/>
      <c r="D159" s="25"/>
      <c r="E159" s="26"/>
      <c r="F159" s="26"/>
      <c r="G159" s="26"/>
      <c r="H159" s="26"/>
      <c r="I159" s="26"/>
      <c r="J159" s="126"/>
      <c r="K159" s="34"/>
      <c r="L159" s="248"/>
      <c r="M159" s="72"/>
      <c r="N159" s="1295"/>
      <c r="O159" s="1295"/>
      <c r="P159" s="139"/>
      <c r="Q159" s="144"/>
      <c r="R159" s="144"/>
      <c r="S159" s="144"/>
      <c r="T159" s="144"/>
      <c r="U159" s="144"/>
      <c r="V159" s="144"/>
      <c r="W159" s="144"/>
      <c r="X159" s="1424"/>
      <c r="Y159" s="1424"/>
      <c r="Z159" s="144"/>
      <c r="AA159" s="910">
        <v>1</v>
      </c>
      <c r="AB159" s="36"/>
      <c r="AC159" s="38"/>
      <c r="AD159" s="1382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9"/>
      <c r="AQ159" s="38"/>
      <c r="AR159" s="38"/>
      <c r="AS159" s="38"/>
      <c r="AT159" s="38"/>
      <c r="AU159" s="38"/>
      <c r="AV159" s="38"/>
      <c r="AW159" s="38"/>
      <c r="AX159" s="38"/>
      <c r="AZ159" s="40"/>
    </row>
    <row r="160" spans="1:52" s="2496" customFormat="1" ht="47.25">
      <c r="A160" s="2474"/>
      <c r="B160" s="2514"/>
      <c r="C160" s="2497" t="s">
        <v>568</v>
      </c>
      <c r="D160" s="2498" t="s">
        <v>569</v>
      </c>
      <c r="E160" s="2478"/>
      <c r="F160" s="2478">
        <v>79200000</v>
      </c>
      <c r="G160" s="2478">
        <f>E160+F160</f>
        <v>79200000</v>
      </c>
      <c r="H160" s="2478" t="s">
        <v>1243</v>
      </c>
      <c r="I160" s="2600">
        <v>42489</v>
      </c>
      <c r="J160" s="2504" t="s">
        <v>1186</v>
      </c>
      <c r="K160" s="2601" t="s">
        <v>1766</v>
      </c>
      <c r="L160" s="2602" t="s">
        <v>1767</v>
      </c>
      <c r="M160" s="2507" t="s">
        <v>1185</v>
      </c>
      <c r="N160" s="2500"/>
      <c r="O160" s="2603">
        <v>79200000</v>
      </c>
      <c r="P160" s="2604">
        <f>N160+O160</f>
        <v>79200000</v>
      </c>
      <c r="Q160" s="2487"/>
      <c r="R160" s="2487"/>
      <c r="S160" s="2487"/>
      <c r="T160" s="2487"/>
      <c r="U160" s="2487"/>
      <c r="V160" s="2487">
        <f>P160</f>
        <v>79200000</v>
      </c>
      <c r="W160" s="2590" t="s">
        <v>2263</v>
      </c>
      <c r="X160" s="2489">
        <v>42608</v>
      </c>
      <c r="Y160" s="2489">
        <v>42615</v>
      </c>
      <c r="Z160" s="2487">
        <v>6600000</v>
      </c>
      <c r="AA160" s="2605">
        <v>1</v>
      </c>
      <c r="AB160" s="2487">
        <f t="shared" ref="AB160:AB170" si="40">+G160-P160</f>
        <v>0</v>
      </c>
      <c r="AC160" s="2493" t="s">
        <v>2121</v>
      </c>
      <c r="AD160" s="2492"/>
      <c r="AE160" s="2493"/>
      <c r="AF160" s="2493"/>
      <c r="AG160" s="2493"/>
      <c r="AH160" s="2493"/>
      <c r="AI160" s="2493"/>
      <c r="AJ160" s="2493"/>
      <c r="AK160" s="2493"/>
      <c r="AL160" s="2493"/>
      <c r="AM160" s="2493"/>
      <c r="AN160" s="2493"/>
      <c r="AO160" s="2493"/>
      <c r="AP160" s="2501"/>
      <c r="AQ160" s="2493"/>
      <c r="AR160" s="2493"/>
      <c r="AS160" s="2493"/>
      <c r="AT160" s="2493"/>
      <c r="AU160" s="2493"/>
      <c r="AV160" s="2493"/>
      <c r="AW160" s="2493"/>
      <c r="AX160" s="2493"/>
      <c r="AZ160" s="2502"/>
    </row>
    <row r="161" spans="1:52" s="2496" customFormat="1" ht="15.75" customHeight="1">
      <c r="A161" s="2474"/>
      <c r="B161" s="2517"/>
      <c r="C161" s="2497"/>
      <c r="D161" s="2498"/>
      <c r="E161" s="2478"/>
      <c r="F161" s="2478"/>
      <c r="G161" s="2478"/>
      <c r="H161" s="2478"/>
      <c r="I161" s="2478"/>
      <c r="J161" s="2504"/>
      <c r="K161" s="2606"/>
      <c r="L161" s="2602"/>
      <c r="M161" s="2507"/>
      <c r="N161" s="2500"/>
      <c r="O161" s="2500"/>
      <c r="P161" s="2604"/>
      <c r="Q161" s="2487"/>
      <c r="R161" s="2487"/>
      <c r="S161" s="2487"/>
      <c r="T161" s="2487"/>
      <c r="U161" s="2487"/>
      <c r="V161" s="2487"/>
      <c r="W161" s="2590" t="s">
        <v>2263</v>
      </c>
      <c r="X161" s="2489">
        <v>42608</v>
      </c>
      <c r="Y161" s="2489">
        <v>42615</v>
      </c>
      <c r="Z161" s="2487">
        <v>6600000</v>
      </c>
      <c r="AA161" s="2605">
        <v>1</v>
      </c>
      <c r="AB161" s="2487">
        <f t="shared" si="40"/>
        <v>0</v>
      </c>
      <c r="AC161" s="2493" t="s">
        <v>2135</v>
      </c>
      <c r="AD161" s="2492"/>
      <c r="AE161" s="2493"/>
      <c r="AF161" s="2493"/>
      <c r="AG161" s="2493"/>
      <c r="AH161" s="2493"/>
      <c r="AI161" s="2493"/>
      <c r="AJ161" s="2493"/>
      <c r="AK161" s="2493"/>
      <c r="AL161" s="2493"/>
      <c r="AM161" s="2493"/>
      <c r="AN161" s="2493"/>
      <c r="AO161" s="2493"/>
      <c r="AP161" s="2501"/>
      <c r="AQ161" s="2493"/>
      <c r="AR161" s="2493"/>
      <c r="AS161" s="2493"/>
      <c r="AT161" s="2493"/>
      <c r="AU161" s="2493"/>
      <c r="AV161" s="2493"/>
      <c r="AW161" s="2493"/>
      <c r="AX161" s="2493"/>
      <c r="AZ161" s="2502"/>
    </row>
    <row r="162" spans="1:52" s="2496" customFormat="1" ht="15.75" customHeight="1">
      <c r="A162" s="2474"/>
      <c r="B162" s="2517"/>
      <c r="C162" s="2497"/>
      <c r="D162" s="2498"/>
      <c r="E162" s="2478"/>
      <c r="F162" s="2478"/>
      <c r="G162" s="2478"/>
      <c r="H162" s="2478"/>
      <c r="I162" s="2478"/>
      <c r="J162" s="2504"/>
      <c r="K162" s="2606"/>
      <c r="L162" s="2607"/>
      <c r="M162" s="2507"/>
      <c r="N162" s="2500"/>
      <c r="O162" s="2500"/>
      <c r="P162" s="2604"/>
      <c r="Q162" s="2487"/>
      <c r="R162" s="2487"/>
      <c r="S162" s="2487"/>
      <c r="T162" s="2487"/>
      <c r="U162" s="2487"/>
      <c r="V162" s="2487"/>
      <c r="W162" s="2590" t="s">
        <v>2474</v>
      </c>
      <c r="X162" s="2489">
        <v>42634</v>
      </c>
      <c r="Y162" s="2489">
        <v>42636</v>
      </c>
      <c r="Z162" s="2487">
        <v>6600000</v>
      </c>
      <c r="AA162" s="2605">
        <v>1</v>
      </c>
      <c r="AB162" s="2487"/>
      <c r="AC162" s="2493" t="s">
        <v>2361</v>
      </c>
      <c r="AD162" s="2492"/>
      <c r="AE162" s="2493"/>
      <c r="AF162" s="2493"/>
      <c r="AG162" s="2493"/>
      <c r="AH162" s="2493"/>
      <c r="AI162" s="2493"/>
      <c r="AJ162" s="2493"/>
      <c r="AK162" s="2493"/>
      <c r="AL162" s="2493"/>
      <c r="AM162" s="2493"/>
      <c r="AN162" s="2493"/>
      <c r="AO162" s="2493"/>
      <c r="AP162" s="2501"/>
      <c r="AQ162" s="2493"/>
      <c r="AR162" s="2493"/>
      <c r="AS162" s="2493"/>
      <c r="AT162" s="2493"/>
      <c r="AU162" s="2493"/>
      <c r="AV162" s="2493"/>
      <c r="AW162" s="2493"/>
      <c r="AX162" s="2493"/>
      <c r="AZ162" s="2502"/>
    </row>
    <row r="163" spans="1:52" s="2496" customFormat="1" ht="15.75" customHeight="1">
      <c r="A163" s="2474"/>
      <c r="B163" s="2517"/>
      <c r="C163" s="2497"/>
      <c r="D163" s="2498"/>
      <c r="E163" s="2478"/>
      <c r="F163" s="2478"/>
      <c r="G163" s="2478"/>
      <c r="H163" s="2478"/>
      <c r="I163" s="2478"/>
      <c r="J163" s="2504"/>
      <c r="K163" s="2606"/>
      <c r="L163" s="2607"/>
      <c r="M163" s="2507"/>
      <c r="N163" s="2500"/>
      <c r="O163" s="2500"/>
      <c r="P163" s="2604"/>
      <c r="Q163" s="2487"/>
      <c r="R163" s="2487"/>
      <c r="S163" s="2487"/>
      <c r="T163" s="2487"/>
      <c r="U163" s="2487"/>
      <c r="V163" s="2487"/>
      <c r="W163" s="2590" t="s">
        <v>3032</v>
      </c>
      <c r="X163" s="2489">
        <v>42670</v>
      </c>
      <c r="Y163" s="2489">
        <v>42676</v>
      </c>
      <c r="Z163" s="2487">
        <v>6600000</v>
      </c>
      <c r="AA163" s="2605">
        <v>1</v>
      </c>
      <c r="AB163" s="2487"/>
      <c r="AC163" s="2493" t="s">
        <v>2809</v>
      </c>
      <c r="AD163" s="2492"/>
      <c r="AE163" s="2493"/>
      <c r="AF163" s="2493"/>
      <c r="AG163" s="2493"/>
      <c r="AH163" s="2493"/>
      <c r="AI163" s="2493"/>
      <c r="AJ163" s="2493"/>
      <c r="AK163" s="2493"/>
      <c r="AL163" s="2493"/>
      <c r="AM163" s="2493"/>
      <c r="AN163" s="2493"/>
      <c r="AO163" s="2493"/>
      <c r="AP163" s="2501"/>
      <c r="AQ163" s="2493"/>
      <c r="AR163" s="2493"/>
      <c r="AS163" s="2493"/>
      <c r="AT163" s="2493"/>
      <c r="AU163" s="2493"/>
      <c r="AV163" s="2493"/>
      <c r="AW163" s="2493"/>
      <c r="AX163" s="2493"/>
      <c r="AZ163" s="2502"/>
    </row>
    <row r="164" spans="1:52" s="2496" customFormat="1" ht="15.75" customHeight="1">
      <c r="A164" s="2474"/>
      <c r="B164" s="2517"/>
      <c r="C164" s="2497"/>
      <c r="D164" s="2498"/>
      <c r="E164" s="2478"/>
      <c r="F164" s="2478"/>
      <c r="G164" s="2478"/>
      <c r="H164" s="2478"/>
      <c r="I164" s="2478"/>
      <c r="J164" s="2504"/>
      <c r="K164" s="2606"/>
      <c r="L164" s="2607"/>
      <c r="M164" s="2507"/>
      <c r="N164" s="2500"/>
      <c r="O164" s="2500"/>
      <c r="P164" s="2604"/>
      <c r="Q164" s="2487"/>
      <c r="R164" s="2487"/>
      <c r="S164" s="2487"/>
      <c r="T164" s="2487"/>
      <c r="U164" s="2487"/>
      <c r="V164" s="2487"/>
      <c r="W164" s="2590" t="s">
        <v>3203</v>
      </c>
      <c r="X164" s="2489">
        <v>42698</v>
      </c>
      <c r="Y164" s="2489">
        <v>42704</v>
      </c>
      <c r="Z164" s="2487">
        <v>6600000</v>
      </c>
      <c r="AA164" s="2605">
        <v>1</v>
      </c>
      <c r="AB164" s="2487"/>
      <c r="AC164" s="2493" t="s">
        <v>3067</v>
      </c>
      <c r="AD164" s="2492"/>
      <c r="AE164" s="2493"/>
      <c r="AF164" s="2493"/>
      <c r="AG164" s="2493"/>
      <c r="AH164" s="2493"/>
      <c r="AI164" s="2493"/>
      <c r="AJ164" s="2493"/>
      <c r="AK164" s="2493"/>
      <c r="AL164" s="2493"/>
      <c r="AM164" s="2493"/>
      <c r="AN164" s="2493"/>
      <c r="AO164" s="2493"/>
      <c r="AP164" s="2501"/>
      <c r="AQ164" s="2493"/>
      <c r="AR164" s="2493"/>
      <c r="AS164" s="2493"/>
      <c r="AT164" s="2493"/>
      <c r="AU164" s="2493"/>
      <c r="AV164" s="2493"/>
      <c r="AW164" s="2493"/>
      <c r="AX164" s="2493"/>
      <c r="AZ164" s="2502"/>
    </row>
    <row r="165" spans="1:52" s="2496" customFormat="1" ht="15.75" customHeight="1">
      <c r="A165" s="2474"/>
      <c r="B165" s="2517"/>
      <c r="C165" s="2497"/>
      <c r="D165" s="2498"/>
      <c r="E165" s="2478"/>
      <c r="F165" s="2478"/>
      <c r="G165" s="2478"/>
      <c r="H165" s="2478"/>
      <c r="I165" s="2478"/>
      <c r="J165" s="2504"/>
      <c r="K165" s="2606"/>
      <c r="L165" s="2607"/>
      <c r="M165" s="2507"/>
      <c r="N165" s="2500"/>
      <c r="O165" s="2500"/>
      <c r="P165" s="2604"/>
      <c r="Q165" s="2487"/>
      <c r="R165" s="2487"/>
      <c r="S165" s="2487"/>
      <c r="T165" s="2487"/>
      <c r="U165" s="2487"/>
      <c r="V165" s="2487"/>
      <c r="W165" s="2590" t="s">
        <v>3541</v>
      </c>
      <c r="X165" s="2489">
        <v>42724</v>
      </c>
      <c r="Y165" s="2489">
        <v>42731</v>
      </c>
      <c r="Z165" s="2487">
        <v>6600000</v>
      </c>
      <c r="AA165" s="2605">
        <v>1</v>
      </c>
      <c r="AB165" s="2487"/>
      <c r="AC165" s="2493" t="s">
        <v>3415</v>
      </c>
      <c r="AD165" s="2492"/>
      <c r="AE165" s="2493"/>
      <c r="AF165" s="2493"/>
      <c r="AG165" s="2493"/>
      <c r="AH165" s="2493"/>
      <c r="AI165" s="2493"/>
      <c r="AJ165" s="2493"/>
      <c r="AK165" s="2493"/>
      <c r="AL165" s="2493"/>
      <c r="AM165" s="2493"/>
      <c r="AN165" s="2493"/>
      <c r="AO165" s="2493"/>
      <c r="AP165" s="2501"/>
      <c r="AQ165" s="2493"/>
      <c r="AR165" s="2493"/>
      <c r="AS165" s="2493"/>
      <c r="AT165" s="2493"/>
      <c r="AU165" s="2493"/>
      <c r="AV165" s="2493"/>
      <c r="AW165" s="2493"/>
      <c r="AX165" s="2493"/>
      <c r="AZ165" s="2502"/>
    </row>
    <row r="166" spans="1:52" s="769" customFormat="1" ht="15.75" customHeight="1">
      <c r="A166" s="652"/>
      <c r="B166" s="862"/>
      <c r="C166" s="863"/>
      <c r="D166" s="760"/>
      <c r="E166" s="656"/>
      <c r="F166" s="656"/>
      <c r="G166" s="656">
        <f>G160</f>
        <v>79200000</v>
      </c>
      <c r="H166" s="656"/>
      <c r="I166" s="656"/>
      <c r="J166" s="762"/>
      <c r="K166" s="1103"/>
      <c r="L166" s="1335"/>
      <c r="M166" s="776"/>
      <c r="N166" s="1325"/>
      <c r="O166" s="1325"/>
      <c r="P166" s="1326"/>
      <c r="Q166" s="756"/>
      <c r="R166" s="756"/>
      <c r="S166" s="756"/>
      <c r="T166" s="756"/>
      <c r="U166" s="756"/>
      <c r="V166" s="756"/>
      <c r="W166" s="1372"/>
      <c r="X166" s="1425"/>
      <c r="Y166" s="1425"/>
      <c r="Z166" s="756">
        <f>SUM(Z160:Z165)</f>
        <v>39600000</v>
      </c>
      <c r="AA166" s="659"/>
      <c r="AB166" s="756"/>
      <c r="AC166" s="755"/>
      <c r="AD166" s="1382"/>
      <c r="AE166" s="38"/>
      <c r="AF166" s="38"/>
      <c r="AG166" s="38"/>
      <c r="AH166" s="38"/>
      <c r="AI166" s="755"/>
      <c r="AJ166" s="755"/>
      <c r="AK166" s="755"/>
      <c r="AL166" s="755"/>
      <c r="AM166" s="755"/>
      <c r="AN166" s="755"/>
      <c r="AO166" s="755"/>
      <c r="AP166" s="1137"/>
      <c r="AQ166" s="755"/>
      <c r="AR166" s="755"/>
      <c r="AS166" s="755"/>
      <c r="AT166" s="755"/>
      <c r="AU166" s="755"/>
      <c r="AV166" s="755"/>
      <c r="AW166" s="755"/>
      <c r="AX166" s="755"/>
      <c r="AZ166" s="1102"/>
    </row>
    <row r="167" spans="1:52" s="2496" customFormat="1" ht="47.25">
      <c r="A167" s="2474"/>
      <c r="B167" s="2517"/>
      <c r="C167" s="2497" t="s">
        <v>570</v>
      </c>
      <c r="D167" s="2498" t="s">
        <v>736</v>
      </c>
      <c r="E167" s="2478">
        <v>142054000</v>
      </c>
      <c r="F167" s="2478"/>
      <c r="G167" s="2478">
        <f>E167+F167</f>
        <v>142054000</v>
      </c>
      <c r="H167" s="2478" t="s">
        <v>1005</v>
      </c>
      <c r="I167" s="2600">
        <v>42482</v>
      </c>
      <c r="J167" s="2504" t="s">
        <v>983</v>
      </c>
      <c r="K167" s="2606" t="s">
        <v>2026</v>
      </c>
      <c r="L167" s="2607" t="s">
        <v>1764</v>
      </c>
      <c r="M167" s="2507" t="s">
        <v>984</v>
      </c>
      <c r="N167" s="2500"/>
      <c r="O167" s="2603">
        <v>32530025</v>
      </c>
      <c r="P167" s="2604">
        <f>N167+O167</f>
        <v>32530025</v>
      </c>
      <c r="Q167" s="2487"/>
      <c r="R167" s="2487"/>
      <c r="S167" s="2487"/>
      <c r="T167" s="2487"/>
      <c r="U167" s="2487"/>
      <c r="V167" s="2487">
        <f>P167</f>
        <v>32530025</v>
      </c>
      <c r="W167" s="2487" t="s">
        <v>3045</v>
      </c>
      <c r="X167" s="2489">
        <v>42671</v>
      </c>
      <c r="Y167" s="2489">
        <v>42676</v>
      </c>
      <c r="Z167" s="2487">
        <f>V167</f>
        <v>32530025</v>
      </c>
      <c r="AA167" s="2608">
        <v>1</v>
      </c>
      <c r="AB167" s="2487">
        <f t="shared" si="40"/>
        <v>109523975</v>
      </c>
      <c r="AC167" s="2493"/>
      <c r="AD167" s="2492">
        <v>1</v>
      </c>
      <c r="AE167" s="2493"/>
      <c r="AF167" s="2599">
        <f>V167</f>
        <v>32530025</v>
      </c>
      <c r="AG167" s="2493"/>
      <c r="AH167" s="2493"/>
      <c r="AI167" s="2493"/>
      <c r="AJ167" s="2493"/>
      <c r="AK167" s="2493"/>
      <c r="AL167" s="2493"/>
      <c r="AM167" s="2493"/>
      <c r="AN167" s="2493"/>
      <c r="AO167" s="2493"/>
      <c r="AP167" s="2501"/>
      <c r="AQ167" s="2493"/>
      <c r="AR167" s="2493"/>
      <c r="AS167" s="2493"/>
      <c r="AT167" s="2493"/>
      <c r="AU167" s="2493"/>
      <c r="AV167" s="2493"/>
      <c r="AW167" s="2493"/>
      <c r="AX167" s="2493"/>
      <c r="AZ167" s="2502"/>
    </row>
    <row r="168" spans="1:52" s="2496" customFormat="1" ht="31.5">
      <c r="A168" s="2474"/>
      <c r="B168" s="2609"/>
      <c r="C168" s="2610"/>
      <c r="D168" s="2611"/>
      <c r="E168" s="2533"/>
      <c r="F168" s="2533"/>
      <c r="G168" s="2478"/>
      <c r="H168" s="2478" t="s">
        <v>1183</v>
      </c>
      <c r="I168" s="2600">
        <v>42494</v>
      </c>
      <c r="J168" s="2534" t="s">
        <v>1158</v>
      </c>
      <c r="K168" s="2601" t="s">
        <v>1763</v>
      </c>
      <c r="L168" s="2607" t="s">
        <v>1764</v>
      </c>
      <c r="M168" s="2523" t="s">
        <v>1159</v>
      </c>
      <c r="N168" s="2603">
        <v>40579000</v>
      </c>
      <c r="O168" s="2612"/>
      <c r="P168" s="2604">
        <f>N168+O168</f>
        <v>40579000</v>
      </c>
      <c r="Q168" s="2540"/>
      <c r="R168" s="2540"/>
      <c r="S168" s="2540"/>
      <c r="T168" s="2540"/>
      <c r="U168" s="2540"/>
      <c r="V168" s="2487">
        <f>P168</f>
        <v>40579000</v>
      </c>
      <c r="W168" s="2487" t="s">
        <v>3045</v>
      </c>
      <c r="X168" s="2489">
        <v>42671</v>
      </c>
      <c r="Y168" s="2489">
        <v>42676</v>
      </c>
      <c r="Z168" s="2487">
        <f>V168</f>
        <v>40579000</v>
      </c>
      <c r="AA168" s="2608">
        <v>1</v>
      </c>
      <c r="AB168" s="2487">
        <f t="shared" si="40"/>
        <v>-40579000</v>
      </c>
      <c r="AC168" s="2541"/>
      <c r="AD168" s="2492">
        <v>1</v>
      </c>
      <c r="AE168" s="2493"/>
      <c r="AF168" s="2599">
        <f>V168</f>
        <v>40579000</v>
      </c>
      <c r="AG168" s="2493"/>
      <c r="AH168" s="2493"/>
      <c r="AI168" s="2535"/>
      <c r="AJ168" s="2535"/>
      <c r="AK168" s="2535"/>
      <c r="AL168" s="2535"/>
      <c r="AM168" s="2535"/>
      <c r="AN168" s="2535"/>
      <c r="AO168" s="2535"/>
      <c r="AP168" s="2535"/>
      <c r="AQ168" s="2535"/>
      <c r="AR168" s="2535"/>
      <c r="AS168" s="2535"/>
      <c r="AT168" s="2535"/>
      <c r="AU168" s="2535"/>
      <c r="AV168" s="2535"/>
      <c r="AW168" s="2535"/>
      <c r="AX168" s="2535"/>
      <c r="AZ168" s="2502"/>
    </row>
    <row r="169" spans="1:52" s="2496" customFormat="1" ht="47.25">
      <c r="A169" s="2474"/>
      <c r="B169" s="2609"/>
      <c r="C169" s="2610"/>
      <c r="D169" s="2611"/>
      <c r="E169" s="2533"/>
      <c r="F169" s="2533"/>
      <c r="G169" s="2533"/>
      <c r="H169" s="2478" t="s">
        <v>2041</v>
      </c>
      <c r="I169" s="2600">
        <v>42597</v>
      </c>
      <c r="J169" s="2534" t="s">
        <v>2027</v>
      </c>
      <c r="K169" s="2601" t="s">
        <v>2492</v>
      </c>
      <c r="L169" s="2607" t="s">
        <v>1764</v>
      </c>
      <c r="M169" s="2523" t="s">
        <v>2028</v>
      </c>
      <c r="N169" s="2603">
        <v>68937600</v>
      </c>
      <c r="O169" s="2612"/>
      <c r="P169" s="2604">
        <f>N169+O169</f>
        <v>68937600</v>
      </c>
      <c r="Q169" s="2540"/>
      <c r="R169" s="2540"/>
      <c r="S169" s="2540"/>
      <c r="T169" s="2540"/>
      <c r="U169" s="2540"/>
      <c r="V169" s="2487">
        <f>P169</f>
        <v>68937600</v>
      </c>
      <c r="W169" s="2508" t="s">
        <v>3117</v>
      </c>
      <c r="X169" s="2613">
        <v>42689</v>
      </c>
      <c r="Y169" s="2613">
        <v>42691</v>
      </c>
      <c r="Z169" s="2487">
        <f>V169</f>
        <v>68937600</v>
      </c>
      <c r="AA169" s="2608">
        <v>1</v>
      </c>
      <c r="AB169" s="2487">
        <f t="shared" si="40"/>
        <v>-68937600</v>
      </c>
      <c r="AC169" s="2541"/>
      <c r="AD169" s="2492">
        <v>1</v>
      </c>
      <c r="AE169" s="2493"/>
      <c r="AF169" s="2599">
        <f>V169</f>
        <v>68937600</v>
      </c>
      <c r="AG169" s="2493"/>
      <c r="AH169" s="2493"/>
      <c r="AI169" s="2535"/>
      <c r="AJ169" s="2535"/>
      <c r="AK169" s="2535"/>
      <c r="AL169" s="2535"/>
      <c r="AM169" s="2535"/>
      <c r="AN169" s="2535"/>
      <c r="AO169" s="2535"/>
      <c r="AP169" s="2535"/>
      <c r="AQ169" s="2535"/>
      <c r="AR169" s="2535"/>
      <c r="AS169" s="2535"/>
      <c r="AT169" s="2535"/>
      <c r="AU169" s="2535"/>
      <c r="AV169" s="2535"/>
      <c r="AW169" s="2535"/>
      <c r="AX169" s="2535"/>
      <c r="AZ169" s="2502"/>
    </row>
    <row r="170" spans="1:52" s="889" customFormat="1" ht="15.75" customHeight="1" thickBot="1">
      <c r="A170" s="877"/>
      <c r="B170" s="1163"/>
      <c r="C170" s="878"/>
      <c r="D170" s="879"/>
      <c r="E170" s="890">
        <f>E167</f>
        <v>142054000</v>
      </c>
      <c r="F170" s="890">
        <f>F167</f>
        <v>0</v>
      </c>
      <c r="G170" s="890">
        <f>G167</f>
        <v>142054000</v>
      </c>
      <c r="H170" s="860"/>
      <c r="I170" s="860"/>
      <c r="J170" s="860"/>
      <c r="K170" s="880"/>
      <c r="L170" s="880"/>
      <c r="M170" s="881"/>
      <c r="N170" s="1304">
        <f>SUM(N167:N169)</f>
        <v>109516600</v>
      </c>
      <c r="O170" s="1304">
        <f t="shared" ref="O170:V170" si="41">SUM(O167:O169)</f>
        <v>32530025</v>
      </c>
      <c r="P170" s="1304">
        <f t="shared" si="41"/>
        <v>142046625</v>
      </c>
      <c r="Q170" s="1304">
        <f t="shared" si="41"/>
        <v>0</v>
      </c>
      <c r="R170" s="1304">
        <f t="shared" si="41"/>
        <v>0</v>
      </c>
      <c r="S170" s="1304">
        <f t="shared" si="41"/>
        <v>0</v>
      </c>
      <c r="T170" s="1304">
        <f t="shared" si="41"/>
        <v>0</v>
      </c>
      <c r="U170" s="1304">
        <f t="shared" si="41"/>
        <v>0</v>
      </c>
      <c r="V170" s="1304">
        <f t="shared" si="41"/>
        <v>142046625</v>
      </c>
      <c r="W170" s="1364"/>
      <c r="X170" s="1427"/>
      <c r="Y170" s="884"/>
      <c r="Z170" s="1304">
        <f>SUM(Z167:Z169)</f>
        <v>142046625</v>
      </c>
      <c r="AA170" s="885"/>
      <c r="AB170" s="756">
        <f t="shared" si="40"/>
        <v>7375</v>
      </c>
      <c r="AC170" s="883"/>
      <c r="AD170" s="1382"/>
      <c r="AE170" s="38"/>
      <c r="AF170" s="38"/>
      <c r="AG170" s="38"/>
      <c r="AH170" s="38"/>
      <c r="AI170" s="886"/>
      <c r="AJ170" s="887"/>
      <c r="AK170" s="887"/>
      <c r="AL170" s="887"/>
      <c r="AM170" s="887"/>
      <c r="AN170" s="887"/>
      <c r="AO170" s="887"/>
      <c r="AP170" s="887"/>
      <c r="AQ170" s="887"/>
      <c r="AR170" s="887"/>
      <c r="AS170" s="887"/>
      <c r="AT170" s="887"/>
      <c r="AU170" s="887"/>
      <c r="AV170" s="887"/>
      <c r="AW170" s="887"/>
      <c r="AX170" s="888"/>
    </row>
    <row r="171" spans="1:52" s="63" customFormat="1" ht="15.75" customHeight="1" thickBot="1">
      <c r="A171" s="866"/>
      <c r="B171" s="1164"/>
      <c r="C171" s="867"/>
      <c r="D171" s="868"/>
      <c r="E171" s="869"/>
      <c r="F171" s="869"/>
      <c r="G171" s="686"/>
      <c r="H171" s="686"/>
      <c r="I171" s="686"/>
      <c r="J171" s="870"/>
      <c r="K171" s="871"/>
      <c r="L171" s="872"/>
      <c r="M171" s="873"/>
      <c r="N171" s="1305"/>
      <c r="O171" s="874"/>
      <c r="P171" s="377"/>
      <c r="Q171" s="689"/>
      <c r="R171" s="689"/>
      <c r="S171" s="689"/>
      <c r="T171" s="689"/>
      <c r="U171" s="689"/>
      <c r="V171" s="433"/>
      <c r="W171" s="1110"/>
      <c r="X171" s="1267"/>
      <c r="Y171" s="875"/>
      <c r="Z171" s="366"/>
      <c r="AA171" s="876"/>
      <c r="AB171" s="377"/>
      <c r="AC171" s="689"/>
      <c r="AD171" s="1382"/>
      <c r="AE171" s="38"/>
      <c r="AF171" s="38"/>
      <c r="AG171" s="38"/>
      <c r="AH171" s="38"/>
      <c r="AI171" s="689"/>
      <c r="AJ171" s="690"/>
      <c r="AK171" s="690"/>
      <c r="AL171" s="690"/>
      <c r="AM171" s="690"/>
      <c r="AN171" s="690"/>
      <c r="AO171" s="690"/>
      <c r="AP171" s="690"/>
      <c r="AQ171" s="690"/>
      <c r="AR171" s="690"/>
      <c r="AS171" s="690"/>
      <c r="AT171" s="690"/>
      <c r="AU171" s="690"/>
      <c r="AV171" s="690"/>
      <c r="AW171" s="690"/>
      <c r="AX171" s="690"/>
    </row>
    <row r="172" spans="1:52" s="738" customFormat="1" ht="15.75" customHeight="1" thickBot="1">
      <c r="A172" s="2703" t="s">
        <v>566</v>
      </c>
      <c r="B172" s="2704"/>
      <c r="C172" s="2704"/>
      <c r="D172" s="2705"/>
      <c r="E172" s="65">
        <f>E158+E160+E170</f>
        <v>261884000</v>
      </c>
      <c r="F172" s="65">
        <f>F158+F160+F170</f>
        <v>79200000</v>
      </c>
      <c r="G172" s="65">
        <f>G158+G160+G170</f>
        <v>460913000</v>
      </c>
      <c r="H172" s="65"/>
      <c r="I172" s="65"/>
      <c r="J172" s="65"/>
      <c r="K172" s="66"/>
      <c r="L172" s="1328"/>
      <c r="M172" s="1345"/>
      <c r="N172" s="65">
        <f t="shared" ref="N172:V172" si="42">N158+N160+N170</f>
        <v>349163700</v>
      </c>
      <c r="O172" s="65">
        <f t="shared" si="42"/>
        <v>111730025</v>
      </c>
      <c r="P172" s="65">
        <f t="shared" si="42"/>
        <v>460893725</v>
      </c>
      <c r="Q172" s="65">
        <f t="shared" si="42"/>
        <v>0</v>
      </c>
      <c r="R172" s="65">
        <f t="shared" si="42"/>
        <v>0</v>
      </c>
      <c r="S172" s="65">
        <f t="shared" si="42"/>
        <v>0</v>
      </c>
      <c r="T172" s="65">
        <f t="shared" si="42"/>
        <v>0</v>
      </c>
      <c r="U172" s="65">
        <f t="shared" si="42"/>
        <v>0</v>
      </c>
      <c r="V172" s="65">
        <f t="shared" si="42"/>
        <v>460893725</v>
      </c>
      <c r="W172" s="1257"/>
      <c r="X172" s="1258"/>
      <c r="Y172" s="1258"/>
      <c r="Z172" s="65">
        <f>Z158+Z166+Z170</f>
        <v>421293725</v>
      </c>
      <c r="AA172" s="65"/>
      <c r="AB172" s="341">
        <f>+G172-P172</f>
        <v>19275</v>
      </c>
      <c r="AC172" s="76"/>
      <c r="AD172" s="1382"/>
      <c r="AE172" s="38"/>
      <c r="AF172" s="38"/>
      <c r="AG172" s="38"/>
      <c r="AH172" s="38"/>
      <c r="AI172" s="352"/>
      <c r="AJ172" s="735"/>
      <c r="AK172" s="735"/>
      <c r="AL172" s="736"/>
      <c r="AM172" s="736"/>
      <c r="AN172" s="736"/>
      <c r="AO172" s="736"/>
      <c r="AP172" s="737"/>
      <c r="AQ172" s="101" t="e">
        <f>SUM(#REF!)</f>
        <v>#REF!</v>
      </c>
      <c r="AR172" s="101">
        <f t="shared" ref="AR172:AX172" si="43">SUM(AR170:AR170)</f>
        <v>0</v>
      </c>
      <c r="AS172" s="101">
        <f t="shared" si="43"/>
        <v>0</v>
      </c>
      <c r="AT172" s="101">
        <f t="shared" si="43"/>
        <v>0</v>
      </c>
      <c r="AU172" s="101">
        <f t="shared" si="43"/>
        <v>0</v>
      </c>
      <c r="AV172" s="101">
        <f t="shared" si="43"/>
        <v>0</v>
      </c>
      <c r="AW172" s="101">
        <f t="shared" si="43"/>
        <v>0</v>
      </c>
      <c r="AX172" s="102">
        <f t="shared" si="43"/>
        <v>0</v>
      </c>
      <c r="AZ172" s="739"/>
    </row>
    <row r="173" spans="1:52" ht="15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3"/>
      <c r="K173" s="5"/>
      <c r="L173" s="1318"/>
      <c r="M173" s="1318"/>
      <c r="N173" s="1294"/>
      <c r="O173" s="1294"/>
      <c r="P173" s="1256"/>
      <c r="Q173" s="1339"/>
      <c r="R173" s="1339"/>
      <c r="S173" s="1339"/>
      <c r="T173" s="1339"/>
      <c r="U173" s="1339"/>
      <c r="V173" s="1340"/>
      <c r="W173" s="1418"/>
      <c r="X173" s="1419"/>
      <c r="Y173" s="1420"/>
      <c r="Z173" s="1419"/>
      <c r="AA173" s="136"/>
      <c r="AB173" s="97"/>
      <c r="AC173" s="342"/>
      <c r="AD173" s="1382"/>
      <c r="AE173" s="38"/>
      <c r="AF173" s="38"/>
      <c r="AG173" s="38"/>
      <c r="AH173" s="38"/>
      <c r="AI173" s="98"/>
      <c r="AJ173" s="98"/>
      <c r="AK173" s="98"/>
      <c r="AL173" s="98"/>
      <c r="AM173" s="98"/>
      <c r="AN173" s="98"/>
      <c r="AO173" s="98"/>
      <c r="AP173" s="99"/>
      <c r="AQ173" s="78"/>
      <c r="AR173" s="78"/>
      <c r="AS173" s="78"/>
      <c r="AT173" s="78"/>
      <c r="AU173" s="78"/>
      <c r="AV173" s="78"/>
      <c r="AW173" s="78"/>
      <c r="AX173" s="78"/>
    </row>
    <row r="174" spans="1:52" s="2328" customFormat="1" ht="47.25">
      <c r="A174" s="2315">
        <v>5</v>
      </c>
      <c r="B174" s="2726" t="s">
        <v>2037</v>
      </c>
      <c r="C174" s="2316" t="s">
        <v>737</v>
      </c>
      <c r="D174" s="2317" t="s">
        <v>738</v>
      </c>
      <c r="E174" s="2318"/>
      <c r="F174" s="2318">
        <v>500034000</v>
      </c>
      <c r="G174" s="2318">
        <f>E174+F174</f>
        <v>500034000</v>
      </c>
      <c r="H174" s="2319" t="s">
        <v>2736</v>
      </c>
      <c r="I174" s="2320">
        <v>42660</v>
      </c>
      <c r="J174" s="2321" t="s">
        <v>2709</v>
      </c>
      <c r="K174" s="2322" t="s">
        <v>3315</v>
      </c>
      <c r="L174" s="2267" t="s">
        <v>271</v>
      </c>
      <c r="M174" s="2268" t="s">
        <v>2710</v>
      </c>
      <c r="N174" s="2269"/>
      <c r="O174" s="2297">
        <v>240277125</v>
      </c>
      <c r="P174" s="2271">
        <f>N174+O174</f>
        <v>240277125</v>
      </c>
      <c r="Q174" s="2323"/>
      <c r="R174" s="2323"/>
      <c r="S174" s="2323"/>
      <c r="T174" s="2323"/>
      <c r="U174" s="2323"/>
      <c r="V174" s="2277">
        <f>P174</f>
        <v>240277125</v>
      </c>
      <c r="W174" s="2323" t="s">
        <v>3540</v>
      </c>
      <c r="X174" s="2324">
        <v>42719</v>
      </c>
      <c r="Y174" s="2324">
        <v>42724</v>
      </c>
      <c r="Z174" s="2323">
        <f>V174</f>
        <v>240277125</v>
      </c>
      <c r="AA174" s="2325">
        <v>1</v>
      </c>
      <c r="AB174" s="2277">
        <f>+G174-P174</f>
        <v>259756875</v>
      </c>
      <c r="AC174" s="2326"/>
      <c r="AD174" s="2279"/>
      <c r="AE174" s="2280"/>
      <c r="AF174" s="2280"/>
      <c r="AG174" s="2280"/>
      <c r="AH174" s="2280"/>
      <c r="AI174" s="2326"/>
      <c r="AJ174" s="2326"/>
      <c r="AK174" s="2326"/>
      <c r="AL174" s="2326"/>
      <c r="AM174" s="2326"/>
      <c r="AN174" s="2326"/>
      <c r="AO174" s="2326"/>
      <c r="AP174" s="2327"/>
      <c r="AQ174" s="2326"/>
      <c r="AR174" s="2326"/>
      <c r="AS174" s="2326"/>
      <c r="AT174" s="2326"/>
      <c r="AU174" s="2326"/>
      <c r="AV174" s="2326"/>
      <c r="AW174" s="2326"/>
      <c r="AX174" s="2326"/>
    </row>
    <row r="175" spans="1:52" s="2328" customFormat="1" ht="31.5">
      <c r="A175" s="2315"/>
      <c r="B175" s="2727"/>
      <c r="C175" s="2316"/>
      <c r="D175" s="2317"/>
      <c r="E175" s="2318"/>
      <c r="F175" s="2318"/>
      <c r="G175" s="2318"/>
      <c r="H175" s="2319"/>
      <c r="I175" s="2320"/>
      <c r="J175" s="2321" t="s">
        <v>2758</v>
      </c>
      <c r="K175" s="2322" t="s">
        <v>3314</v>
      </c>
      <c r="L175" s="2267" t="s">
        <v>271</v>
      </c>
      <c r="M175" s="2268" t="s">
        <v>2759</v>
      </c>
      <c r="N175" s="2269"/>
      <c r="O175" s="2297">
        <v>247797110</v>
      </c>
      <c r="P175" s="2271">
        <f>N175+O175</f>
        <v>247797110</v>
      </c>
      <c r="Q175" s="2323"/>
      <c r="R175" s="2323"/>
      <c r="S175" s="2323"/>
      <c r="T175" s="2323"/>
      <c r="U175" s="2323"/>
      <c r="V175" s="2277">
        <f>P175</f>
        <v>247797110</v>
      </c>
      <c r="W175" s="2323" t="s">
        <v>3543</v>
      </c>
      <c r="X175" s="2324">
        <v>42725</v>
      </c>
      <c r="Y175" s="2324">
        <v>42731</v>
      </c>
      <c r="Z175" s="2323">
        <f>V175</f>
        <v>247797110</v>
      </c>
      <c r="AA175" s="2325">
        <v>1</v>
      </c>
      <c r="AB175" s="2277">
        <f>+G175-P175</f>
        <v>-247797110</v>
      </c>
      <c r="AC175" s="2326"/>
      <c r="AD175" s="2279"/>
      <c r="AE175" s="2280"/>
      <c r="AF175" s="2280"/>
      <c r="AG175" s="2280"/>
      <c r="AH175" s="2280"/>
      <c r="AI175" s="2326"/>
      <c r="AJ175" s="2326"/>
      <c r="AK175" s="2326"/>
      <c r="AL175" s="2326"/>
      <c r="AM175" s="2326"/>
      <c r="AN175" s="2326"/>
      <c r="AO175" s="2326"/>
      <c r="AP175" s="2327"/>
      <c r="AQ175" s="2326"/>
      <c r="AR175" s="2326"/>
      <c r="AS175" s="2326"/>
      <c r="AT175" s="2326"/>
      <c r="AU175" s="2326"/>
      <c r="AV175" s="2326"/>
      <c r="AW175" s="2326"/>
      <c r="AX175" s="2326"/>
    </row>
    <row r="176" spans="1:52" s="1000" customFormat="1">
      <c r="A176" s="652"/>
      <c r="B176" s="2727"/>
      <c r="C176" s="1458" t="str">
        <f>C174</f>
        <v>PRK.2016.WKT-4.9.53211.271</v>
      </c>
      <c r="D176" s="1459"/>
      <c r="E176" s="860"/>
      <c r="F176" s="860"/>
      <c r="G176" s="656">
        <f>G174</f>
        <v>500034000</v>
      </c>
      <c r="H176" s="1090"/>
      <c r="I176" s="1091"/>
      <c r="J176" s="1008"/>
      <c r="K176" s="1010"/>
      <c r="L176" s="1460"/>
      <c r="M176" s="1461"/>
      <c r="N176" s="1462">
        <f>SUM(N174:N175)</f>
        <v>0</v>
      </c>
      <c r="O176" s="783">
        <f t="shared" ref="O176:V176" si="44">SUM(O174:O175)</f>
        <v>488074235</v>
      </c>
      <c r="P176" s="783">
        <f t="shared" si="44"/>
        <v>488074235</v>
      </c>
      <c r="Q176" s="783">
        <f t="shared" si="44"/>
        <v>0</v>
      </c>
      <c r="R176" s="783">
        <f t="shared" si="44"/>
        <v>0</v>
      </c>
      <c r="S176" s="783">
        <f t="shared" si="44"/>
        <v>0</v>
      </c>
      <c r="T176" s="783">
        <f t="shared" si="44"/>
        <v>0</v>
      </c>
      <c r="U176" s="783">
        <f t="shared" si="44"/>
        <v>0</v>
      </c>
      <c r="V176" s="783">
        <f t="shared" si="44"/>
        <v>488074235</v>
      </c>
      <c r="W176" s="1463"/>
      <c r="X176" s="1464"/>
      <c r="Y176" s="1464"/>
      <c r="Z176" s="783">
        <f>SUM(Z174:Z175)</f>
        <v>488074235</v>
      </c>
      <c r="AA176" s="1012"/>
      <c r="AB176" s="756">
        <f>+G176-P176</f>
        <v>11959765</v>
      </c>
      <c r="AC176" s="1014"/>
      <c r="AD176" s="1446"/>
      <c r="AE176" s="772"/>
      <c r="AF176" s="772"/>
      <c r="AG176" s="772"/>
      <c r="AH176" s="772"/>
      <c r="AI176" s="1014"/>
      <c r="AJ176" s="1014"/>
      <c r="AK176" s="1014"/>
      <c r="AL176" s="1014"/>
      <c r="AM176" s="1014"/>
      <c r="AN176" s="1014"/>
      <c r="AO176" s="1014"/>
      <c r="AP176" s="1465"/>
      <c r="AQ176" s="1014"/>
      <c r="AR176" s="1014"/>
      <c r="AS176" s="1014"/>
      <c r="AT176" s="1014"/>
      <c r="AU176" s="1014"/>
      <c r="AV176" s="1014"/>
      <c r="AW176" s="1014"/>
      <c r="AX176" s="1014"/>
    </row>
    <row r="177" spans="1:52" ht="15.75" customHeight="1">
      <c r="A177" s="22"/>
      <c r="B177" s="2727"/>
      <c r="C177" s="24"/>
      <c r="D177" s="25"/>
      <c r="E177" s="26"/>
      <c r="F177" s="26"/>
      <c r="G177" s="26"/>
      <c r="H177" s="26"/>
      <c r="I177" s="26"/>
      <c r="J177" s="126"/>
      <c r="K177" s="34"/>
      <c r="L177" s="248"/>
      <c r="M177" s="72"/>
      <c r="N177" s="1295"/>
      <c r="O177" s="1295"/>
      <c r="P177" s="139"/>
      <c r="Q177" s="144"/>
      <c r="R177" s="144"/>
      <c r="S177" s="144"/>
      <c r="T177" s="144"/>
      <c r="U177" s="144"/>
      <c r="V177" s="144"/>
      <c r="W177" s="144"/>
      <c r="X177" s="1424"/>
      <c r="Y177" s="1424"/>
      <c r="Z177" s="144"/>
      <c r="AA177" s="36"/>
      <c r="AB177" s="36"/>
      <c r="AC177" s="38"/>
      <c r="AD177" s="1382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9"/>
      <c r="AQ177" s="38"/>
      <c r="AR177" s="38"/>
      <c r="AS177" s="38"/>
      <c r="AT177" s="38"/>
      <c r="AU177" s="38"/>
      <c r="AV177" s="38"/>
      <c r="AW177" s="38"/>
      <c r="AX177" s="38"/>
      <c r="AZ177" s="40"/>
    </row>
    <row r="178" spans="1:52" s="1780" customFormat="1" ht="47.25">
      <c r="A178" s="1885"/>
      <c r="B178" s="2728"/>
      <c r="C178" s="2224" t="s">
        <v>739</v>
      </c>
      <c r="D178" s="2225" t="s">
        <v>740</v>
      </c>
      <c r="E178" s="1949"/>
      <c r="F178" s="1949">
        <v>54000000</v>
      </c>
      <c r="G178" s="1949">
        <f>E178+F178</f>
        <v>54000000</v>
      </c>
      <c r="H178" s="1983" t="s">
        <v>947</v>
      </c>
      <c r="I178" s="1984">
        <v>42474</v>
      </c>
      <c r="J178" s="1952" t="s">
        <v>904</v>
      </c>
      <c r="K178" s="2226" t="s">
        <v>1773</v>
      </c>
      <c r="L178" s="1954" t="s">
        <v>193</v>
      </c>
      <c r="M178" s="2155" t="s">
        <v>905</v>
      </c>
      <c r="N178" s="2227"/>
      <c r="O178" s="2228">
        <v>26839560</v>
      </c>
      <c r="P178" s="1958">
        <f>N178+O178</f>
        <v>26839560</v>
      </c>
      <c r="Q178" s="1960"/>
      <c r="R178" s="1960"/>
      <c r="S178" s="1960"/>
      <c r="T178" s="1960"/>
      <c r="U178" s="1960"/>
      <c r="V178" s="1960">
        <f>P178</f>
        <v>26839560</v>
      </c>
      <c r="W178" s="1960" t="s">
        <v>1931</v>
      </c>
      <c r="X178" s="2229">
        <v>42551</v>
      </c>
      <c r="Y178" s="2229">
        <v>42570</v>
      </c>
      <c r="Z178" s="1960">
        <f>V178</f>
        <v>26839560</v>
      </c>
      <c r="AA178" s="2230">
        <v>1</v>
      </c>
      <c r="AB178" s="1960">
        <f>+G178-P178</f>
        <v>27160440</v>
      </c>
      <c r="AC178" s="1904"/>
      <c r="AD178" s="1903"/>
      <c r="AE178" s="1904"/>
      <c r="AF178" s="1904"/>
      <c r="AG178" s="1904"/>
      <c r="AH178" s="1904"/>
      <c r="AI178" s="1904"/>
      <c r="AJ178" s="1904"/>
      <c r="AK178" s="1904"/>
      <c r="AL178" s="1904"/>
      <c r="AM178" s="1904"/>
      <c r="AN178" s="1904"/>
      <c r="AO178" s="1904"/>
      <c r="AP178" s="2231"/>
      <c r="AQ178" s="1904"/>
      <c r="AR178" s="1904"/>
      <c r="AS178" s="1904"/>
      <c r="AT178" s="1904"/>
      <c r="AU178" s="1904"/>
      <c r="AV178" s="1904"/>
      <c r="AW178" s="1904"/>
      <c r="AX178" s="1904"/>
      <c r="AZ178" s="1910"/>
    </row>
    <row r="179" spans="1:52" s="1780" customFormat="1" ht="47.25">
      <c r="A179" s="1885"/>
      <c r="B179" s="2232"/>
      <c r="C179" s="2224"/>
      <c r="D179" s="2225"/>
      <c r="E179" s="1949"/>
      <c r="F179" s="1949"/>
      <c r="G179" s="1949"/>
      <c r="H179" s="1983" t="s">
        <v>2015</v>
      </c>
      <c r="I179" s="1984">
        <v>42586</v>
      </c>
      <c r="J179" s="1952" t="s">
        <v>2010</v>
      </c>
      <c r="K179" s="2226" t="s">
        <v>3316</v>
      </c>
      <c r="L179" s="1954" t="s">
        <v>193</v>
      </c>
      <c r="M179" s="2155" t="s">
        <v>2011</v>
      </c>
      <c r="N179" s="2227"/>
      <c r="O179" s="2228">
        <v>26839560</v>
      </c>
      <c r="P179" s="1958">
        <f>N179+O179</f>
        <v>26839560</v>
      </c>
      <c r="Q179" s="1960"/>
      <c r="R179" s="1960"/>
      <c r="S179" s="1960"/>
      <c r="T179" s="1960"/>
      <c r="U179" s="1960"/>
      <c r="V179" s="1960">
        <f>P179</f>
        <v>26839560</v>
      </c>
      <c r="W179" s="1960" t="s">
        <v>3547</v>
      </c>
      <c r="X179" s="2229">
        <v>42728</v>
      </c>
      <c r="Y179" s="2229">
        <v>42734</v>
      </c>
      <c r="Z179" s="1960">
        <f>V179</f>
        <v>26839560</v>
      </c>
      <c r="AA179" s="2230">
        <v>1</v>
      </c>
      <c r="AB179" s="1960">
        <f>+G179-P179</f>
        <v>-26839560</v>
      </c>
      <c r="AC179" s="1904"/>
      <c r="AD179" s="1903">
        <v>0</v>
      </c>
      <c r="AE179" s="1904"/>
      <c r="AF179" s="1905">
        <f>P179</f>
        <v>26839560</v>
      </c>
      <c r="AG179" s="1904"/>
      <c r="AH179" s="1904"/>
      <c r="AI179" s="1904"/>
      <c r="AJ179" s="1904"/>
      <c r="AK179" s="1904"/>
      <c r="AL179" s="1904"/>
      <c r="AM179" s="1904"/>
      <c r="AN179" s="1904"/>
      <c r="AO179" s="1904"/>
      <c r="AP179" s="2231"/>
      <c r="AQ179" s="1904"/>
      <c r="AR179" s="1904"/>
      <c r="AS179" s="1904"/>
      <c r="AT179" s="1904"/>
      <c r="AU179" s="1904"/>
      <c r="AV179" s="1904"/>
      <c r="AW179" s="1904"/>
      <c r="AX179" s="1904"/>
      <c r="AZ179" s="1910"/>
    </row>
    <row r="180" spans="1:52" s="769" customFormat="1">
      <c r="A180" s="652"/>
      <c r="B180" s="2726" t="s">
        <v>2038</v>
      </c>
      <c r="C180" s="863" t="str">
        <f>C178</f>
        <v>PRK.2016.WKT-4.9.53223.276</v>
      </c>
      <c r="D180" s="760"/>
      <c r="E180" s="656"/>
      <c r="F180" s="656">
        <f>F178</f>
        <v>54000000</v>
      </c>
      <c r="G180" s="656">
        <f>G178</f>
        <v>54000000</v>
      </c>
      <c r="H180" s="864"/>
      <c r="I180" s="761"/>
      <c r="J180" s="762"/>
      <c r="K180" s="1103"/>
      <c r="L180" s="1336"/>
      <c r="M180" s="776"/>
      <c r="N180" s="1304">
        <f>SUM(N178:N179)</f>
        <v>0</v>
      </c>
      <c r="O180" s="1304">
        <f>SUM(O178:O179)</f>
        <v>53679120</v>
      </c>
      <c r="P180" s="1304">
        <f>SUM(P178:P179)</f>
        <v>53679120</v>
      </c>
      <c r="Q180" s="756"/>
      <c r="R180" s="756"/>
      <c r="S180" s="756"/>
      <c r="T180" s="756"/>
      <c r="U180" s="756"/>
      <c r="V180" s="1304">
        <f>SUM(V178:V179)</f>
        <v>53679120</v>
      </c>
      <c r="W180" s="756"/>
      <c r="X180" s="1425"/>
      <c r="Y180" s="1425"/>
      <c r="Z180" s="1304">
        <f>SUM(Z178:Z179)</f>
        <v>53679120</v>
      </c>
      <c r="AA180" s="1138"/>
      <c r="AB180" s="756">
        <f>+G180-P180</f>
        <v>320880</v>
      </c>
      <c r="AC180" s="755"/>
      <c r="AD180" s="1382"/>
      <c r="AE180" s="38"/>
      <c r="AF180" s="38"/>
      <c r="AG180" s="38"/>
      <c r="AH180" s="38"/>
      <c r="AI180" s="755"/>
      <c r="AJ180" s="755"/>
      <c r="AK180" s="755"/>
      <c r="AL180" s="755"/>
      <c r="AM180" s="755"/>
      <c r="AN180" s="755"/>
      <c r="AO180" s="755"/>
      <c r="AP180" s="1137"/>
      <c r="AQ180" s="755"/>
      <c r="AR180" s="755"/>
      <c r="AS180" s="755"/>
      <c r="AT180" s="755"/>
      <c r="AU180" s="755"/>
      <c r="AV180" s="755"/>
      <c r="AW180" s="755"/>
      <c r="AX180" s="755"/>
      <c r="AZ180" s="1102"/>
    </row>
    <row r="181" spans="1:52" ht="15.75" customHeight="1">
      <c r="A181" s="22"/>
      <c r="B181" s="2727"/>
      <c r="C181" s="24"/>
      <c r="D181" s="25"/>
      <c r="E181" s="26"/>
      <c r="F181" s="26"/>
      <c r="G181" s="26"/>
      <c r="H181" s="26"/>
      <c r="I181" s="26"/>
      <c r="J181" s="126"/>
      <c r="K181" s="34"/>
      <c r="L181" s="248"/>
      <c r="M181" s="72"/>
      <c r="N181" s="1295"/>
      <c r="O181" s="1295"/>
      <c r="P181" s="139"/>
      <c r="Q181" s="144"/>
      <c r="R181" s="144"/>
      <c r="S181" s="144"/>
      <c r="T181" s="144"/>
      <c r="U181" s="144"/>
      <c r="V181" s="144"/>
      <c r="W181" s="144"/>
      <c r="X181" s="1424"/>
      <c r="Y181" s="1424"/>
      <c r="Z181" s="144"/>
      <c r="AA181" s="36"/>
      <c r="AB181" s="36"/>
      <c r="AC181" s="38"/>
      <c r="AD181" s="1382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9"/>
      <c r="AQ181" s="38"/>
      <c r="AR181" s="38"/>
      <c r="AS181" s="38"/>
      <c r="AT181" s="38"/>
      <c r="AU181" s="38"/>
      <c r="AV181" s="38"/>
      <c r="AW181" s="38"/>
      <c r="AX181" s="38"/>
      <c r="AZ181" s="40"/>
    </row>
    <row r="182" spans="1:52" s="1778" customFormat="1" ht="47.25">
      <c r="A182" s="567"/>
      <c r="B182" s="2728"/>
      <c r="C182" s="578" t="s">
        <v>741</v>
      </c>
      <c r="D182" s="579" t="s">
        <v>742</v>
      </c>
      <c r="E182" s="569"/>
      <c r="F182" s="569">
        <v>274026000</v>
      </c>
      <c r="G182" s="569">
        <f>E182+F182</f>
        <v>274026000</v>
      </c>
      <c r="H182" s="1799" t="s">
        <v>1547</v>
      </c>
      <c r="I182" s="2102">
        <v>42520</v>
      </c>
      <c r="J182" s="582" t="s">
        <v>1532</v>
      </c>
      <c r="K182" s="600" t="s">
        <v>2468</v>
      </c>
      <c r="L182" s="1718" t="s">
        <v>271</v>
      </c>
      <c r="M182" s="1343" t="s">
        <v>1533</v>
      </c>
      <c r="N182" s="1296"/>
      <c r="O182" s="2121">
        <v>199243550</v>
      </c>
      <c r="P182" s="1801">
        <f>N182+O182</f>
        <v>199243550</v>
      </c>
      <c r="Q182" s="576"/>
      <c r="R182" s="576"/>
      <c r="S182" s="576"/>
      <c r="T182" s="576"/>
      <c r="U182" s="576"/>
      <c r="V182" s="576">
        <f>P182</f>
        <v>199243550</v>
      </c>
      <c r="W182" s="576" t="s">
        <v>2469</v>
      </c>
      <c r="X182" s="2122">
        <v>42629</v>
      </c>
      <c r="Y182" s="2122">
        <v>42636</v>
      </c>
      <c r="Z182" s="576">
        <f>V182</f>
        <v>199243550</v>
      </c>
      <c r="AA182" s="2123">
        <v>1</v>
      </c>
      <c r="AB182" s="576">
        <f>+G182-P182</f>
        <v>74782450</v>
      </c>
      <c r="AC182" s="581"/>
      <c r="AD182" s="1792">
        <v>1</v>
      </c>
      <c r="AE182" s="581"/>
      <c r="AF182" s="581"/>
      <c r="AG182" s="581"/>
      <c r="AH182" s="581"/>
      <c r="AI182" s="581"/>
      <c r="AJ182" s="581"/>
      <c r="AK182" s="581"/>
      <c r="AL182" s="581"/>
      <c r="AM182" s="581"/>
      <c r="AN182" s="581"/>
      <c r="AO182" s="581"/>
      <c r="AP182" s="2124"/>
      <c r="AQ182" s="581"/>
      <c r="AR182" s="581"/>
      <c r="AS182" s="581"/>
      <c r="AT182" s="581"/>
      <c r="AU182" s="581"/>
      <c r="AV182" s="581"/>
      <c r="AW182" s="581"/>
      <c r="AX182" s="581"/>
      <c r="AZ182" s="1431"/>
    </row>
    <row r="183" spans="1:52" s="1778" customFormat="1" ht="47.25">
      <c r="A183" s="567"/>
      <c r="B183" s="2125"/>
      <c r="C183" s="2126"/>
      <c r="D183" s="2127"/>
      <c r="E183" s="733"/>
      <c r="F183" s="733"/>
      <c r="G183" s="569"/>
      <c r="H183" s="1799" t="s">
        <v>3024</v>
      </c>
      <c r="I183" s="2102">
        <v>42689</v>
      </c>
      <c r="J183" s="582" t="s">
        <v>2977</v>
      </c>
      <c r="K183" s="600" t="s">
        <v>3317</v>
      </c>
      <c r="L183" s="1718" t="s">
        <v>193</v>
      </c>
      <c r="M183" s="1344" t="s">
        <v>2978</v>
      </c>
      <c r="N183" s="1296"/>
      <c r="O183" s="2128">
        <v>74764690</v>
      </c>
      <c r="P183" s="1801">
        <f>N183+O183</f>
        <v>74764690</v>
      </c>
      <c r="Q183" s="2129"/>
      <c r="R183" s="2129"/>
      <c r="S183" s="2129"/>
      <c r="T183" s="2129"/>
      <c r="U183" s="2129"/>
      <c r="V183" s="576">
        <f>P183</f>
        <v>74764690</v>
      </c>
      <c r="W183" s="576" t="s">
        <v>3547</v>
      </c>
      <c r="X183" s="2122">
        <v>42728</v>
      </c>
      <c r="Y183" s="2130">
        <v>42734</v>
      </c>
      <c r="Z183" s="576">
        <f>V183</f>
        <v>74764690</v>
      </c>
      <c r="AA183" s="2123">
        <v>1</v>
      </c>
      <c r="AB183" s="576">
        <f>+G183-P183</f>
        <v>-74764690</v>
      </c>
      <c r="AC183" s="2131"/>
      <c r="AD183" s="1792"/>
      <c r="AE183" s="581"/>
      <c r="AF183" s="581"/>
      <c r="AG183" s="581"/>
      <c r="AH183" s="581"/>
      <c r="AI183" s="2131"/>
      <c r="AJ183" s="2131"/>
      <c r="AK183" s="2131"/>
      <c r="AL183" s="2131"/>
      <c r="AM183" s="2131"/>
      <c r="AN183" s="2131"/>
      <c r="AO183" s="2131"/>
      <c r="AP183" s="2131"/>
      <c r="AQ183" s="2131"/>
      <c r="AR183" s="2131"/>
      <c r="AS183" s="2131"/>
      <c r="AT183" s="2131"/>
      <c r="AU183" s="2131"/>
      <c r="AV183" s="2131"/>
      <c r="AW183" s="2131"/>
      <c r="AX183" s="2131"/>
      <c r="AZ183" s="1431"/>
    </row>
    <row r="184" spans="1:52" s="769" customFormat="1">
      <c r="A184" s="652"/>
      <c r="B184" s="1531"/>
      <c r="C184" s="1055" t="str">
        <f>C182</f>
        <v>PRK.2016.WKT-4.9.53222.277</v>
      </c>
      <c r="D184" s="1532"/>
      <c r="E184" s="655"/>
      <c r="F184" s="655"/>
      <c r="G184" s="656">
        <f>G182</f>
        <v>274026000</v>
      </c>
      <c r="H184" s="864"/>
      <c r="I184" s="761"/>
      <c r="J184" s="657"/>
      <c r="K184" s="1533"/>
      <c r="L184" s="1335"/>
      <c r="M184" s="782"/>
      <c r="N184" s="1534">
        <f>SUM(N182:N183)</f>
        <v>0</v>
      </c>
      <c r="O184" s="1304">
        <f t="shared" ref="O184:V184" si="45">SUM(O182:O183)</f>
        <v>274008240</v>
      </c>
      <c r="P184" s="1304">
        <f t="shared" si="45"/>
        <v>274008240</v>
      </c>
      <c r="Q184" s="1534">
        <f t="shared" si="45"/>
        <v>0</v>
      </c>
      <c r="R184" s="1534">
        <f t="shared" si="45"/>
        <v>0</v>
      </c>
      <c r="S184" s="1534">
        <f t="shared" si="45"/>
        <v>0</v>
      </c>
      <c r="T184" s="1534">
        <f t="shared" si="45"/>
        <v>0</v>
      </c>
      <c r="U184" s="1534">
        <f t="shared" si="45"/>
        <v>0</v>
      </c>
      <c r="V184" s="1304">
        <f t="shared" si="45"/>
        <v>274008240</v>
      </c>
      <c r="W184" s="756"/>
      <c r="X184" s="1425"/>
      <c r="Y184" s="1535"/>
      <c r="Z184" s="1304">
        <f>SUM(Z182:Z183)</f>
        <v>274008240</v>
      </c>
      <c r="AA184" s="1536"/>
      <c r="AB184" s="756">
        <f>+G184-P184</f>
        <v>17760</v>
      </c>
      <c r="AC184" s="1213"/>
      <c r="AD184" s="1448"/>
      <c r="AE184" s="755"/>
      <c r="AF184" s="755"/>
      <c r="AG184" s="755"/>
      <c r="AH184" s="755"/>
      <c r="AI184" s="1213"/>
      <c r="AJ184" s="1213"/>
      <c r="AK184" s="1213"/>
      <c r="AL184" s="1213"/>
      <c r="AM184" s="1213"/>
      <c r="AN184" s="1213"/>
      <c r="AO184" s="1213"/>
      <c r="AP184" s="1213"/>
      <c r="AQ184" s="1213"/>
      <c r="AR184" s="1213"/>
      <c r="AS184" s="1213"/>
      <c r="AT184" s="1213"/>
      <c r="AU184" s="1213"/>
      <c r="AV184" s="1213"/>
      <c r="AW184" s="1213"/>
      <c r="AX184" s="1213"/>
      <c r="AZ184" s="1102"/>
    </row>
    <row r="185" spans="1:52" s="63" customFormat="1" ht="15.75" customHeight="1">
      <c r="A185" s="398"/>
      <c r="B185" s="1158"/>
      <c r="C185" s="180"/>
      <c r="D185" s="399"/>
      <c r="E185" s="262"/>
      <c r="F185" s="262"/>
      <c r="G185" s="26">
        <f>E185+F185</f>
        <v>0</v>
      </c>
      <c r="H185" s="26"/>
      <c r="I185" s="26"/>
      <c r="J185" s="127"/>
      <c r="K185" s="294"/>
      <c r="L185" s="294"/>
      <c r="M185" s="325"/>
      <c r="N185" s="1295"/>
      <c r="O185" s="116"/>
      <c r="P185" s="46"/>
      <c r="Q185" s="117"/>
      <c r="R185" s="117"/>
      <c r="S185" s="117"/>
      <c r="T185" s="117"/>
      <c r="U185" s="117"/>
      <c r="V185" s="46"/>
      <c r="W185" s="144"/>
      <c r="X185" s="1424"/>
      <c r="Y185" s="118"/>
      <c r="Z185" s="46"/>
      <c r="AA185" s="119"/>
      <c r="AB185" s="46"/>
      <c r="AC185" s="117"/>
      <c r="AD185" s="1382"/>
      <c r="AE185" s="38"/>
      <c r="AF185" s="38"/>
      <c r="AG185" s="38"/>
      <c r="AH185" s="38"/>
      <c r="AI185" s="117"/>
      <c r="AJ185" s="400"/>
      <c r="AK185" s="400"/>
      <c r="AL185" s="400"/>
      <c r="AM185" s="400"/>
      <c r="AN185" s="400"/>
      <c r="AO185" s="400"/>
      <c r="AP185" s="400"/>
      <c r="AQ185" s="400"/>
      <c r="AR185" s="400"/>
      <c r="AS185" s="400"/>
      <c r="AT185" s="400"/>
      <c r="AU185" s="400"/>
      <c r="AV185" s="400"/>
      <c r="AW185" s="400"/>
      <c r="AX185" s="401"/>
    </row>
    <row r="186" spans="1:52" s="2541" customFormat="1" ht="15.75" customHeight="1">
      <c r="A186" s="2474"/>
      <c r="B186" s="2517"/>
      <c r="C186" s="2497" t="s">
        <v>743</v>
      </c>
      <c r="D186" s="2498" t="s">
        <v>744</v>
      </c>
      <c r="E186" s="2478"/>
      <c r="F186" s="2478">
        <v>412500000</v>
      </c>
      <c r="G186" s="2478">
        <f>E186+F186</f>
        <v>412500000</v>
      </c>
      <c r="H186" s="2478"/>
      <c r="I186" s="2478"/>
      <c r="J186" s="2504"/>
      <c r="K186" s="2606"/>
      <c r="L186" s="2602"/>
      <c r="M186" s="2507"/>
      <c r="N186" s="2500"/>
      <c r="O186" s="2512">
        <v>414268455</v>
      </c>
      <c r="P186" s="2604">
        <f>N186+O186</f>
        <v>414268455</v>
      </c>
      <c r="Q186" s="2487"/>
      <c r="R186" s="2487"/>
      <c r="S186" s="2487"/>
      <c r="T186" s="2487"/>
      <c r="U186" s="2487"/>
      <c r="V186" s="2487">
        <f>P186</f>
        <v>414268455</v>
      </c>
      <c r="W186" s="2487" t="s">
        <v>3108</v>
      </c>
      <c r="X186" s="2489"/>
      <c r="Y186" s="2489"/>
      <c r="Z186" s="2487">
        <f>V186</f>
        <v>414268455</v>
      </c>
      <c r="AA186" s="2490"/>
      <c r="AB186" s="2487">
        <f>+G186-P186</f>
        <v>-1768455</v>
      </c>
      <c r="AC186" s="2493"/>
      <c r="AD186" s="2492"/>
      <c r="AE186" s="2493"/>
      <c r="AF186" s="2493"/>
      <c r="AG186" s="2493"/>
      <c r="AH186" s="2493"/>
      <c r="AI186" s="2493"/>
      <c r="AJ186" s="2493"/>
      <c r="AK186" s="2493"/>
      <c r="AL186" s="2493"/>
      <c r="AM186" s="2493"/>
      <c r="AN186" s="2493"/>
      <c r="AO186" s="2493"/>
      <c r="AP186" s="2501"/>
      <c r="AQ186" s="2493"/>
      <c r="AR186" s="2493"/>
      <c r="AS186" s="2493"/>
      <c r="AT186" s="2493"/>
      <c r="AU186" s="2493"/>
      <c r="AV186" s="2493"/>
      <c r="AW186" s="2493"/>
      <c r="AX186" s="2493"/>
    </row>
    <row r="187" spans="1:52" s="2496" customFormat="1" ht="15.75" customHeight="1">
      <c r="A187" s="2474"/>
      <c r="B187" s="2517"/>
      <c r="C187" s="2497"/>
      <c r="D187" s="2498"/>
      <c r="E187" s="2478"/>
      <c r="F187" s="2478"/>
      <c r="G187" s="2478">
        <f>E187+F187</f>
        <v>0</v>
      </c>
      <c r="H187" s="2478"/>
      <c r="I187" s="2478"/>
      <c r="J187" s="2504"/>
      <c r="K187" s="2606"/>
      <c r="L187" s="2602"/>
      <c r="M187" s="2507"/>
      <c r="N187" s="2500"/>
      <c r="O187" s="2500"/>
      <c r="P187" s="2604"/>
      <c r="Q187" s="2487"/>
      <c r="R187" s="2487"/>
      <c r="S187" s="2487"/>
      <c r="T187" s="2487"/>
      <c r="U187" s="2487"/>
      <c r="V187" s="2487"/>
      <c r="W187" s="2487"/>
      <c r="X187" s="2489"/>
      <c r="Y187" s="2489"/>
      <c r="Z187" s="2487"/>
      <c r="AA187" s="2490"/>
      <c r="AB187" s="2490"/>
      <c r="AC187" s="2493"/>
      <c r="AD187" s="2492"/>
      <c r="AE187" s="2493"/>
      <c r="AF187" s="2493"/>
      <c r="AG187" s="2493"/>
      <c r="AH187" s="2493"/>
      <c r="AI187" s="2493"/>
      <c r="AJ187" s="2493"/>
      <c r="AK187" s="2493"/>
      <c r="AL187" s="2493"/>
      <c r="AM187" s="2493"/>
      <c r="AN187" s="2493"/>
      <c r="AO187" s="2493"/>
      <c r="AP187" s="2501"/>
      <c r="AQ187" s="2493"/>
      <c r="AR187" s="2493"/>
      <c r="AS187" s="2493"/>
      <c r="AT187" s="2493"/>
      <c r="AU187" s="2493"/>
      <c r="AV187" s="2493"/>
      <c r="AW187" s="2493"/>
      <c r="AX187" s="2493"/>
      <c r="AZ187" s="2502"/>
    </row>
    <row r="188" spans="1:52" s="2496" customFormat="1" ht="47.25">
      <c r="A188" s="2474"/>
      <c r="B188" s="2517"/>
      <c r="C188" s="2497" t="s">
        <v>745</v>
      </c>
      <c r="D188" s="2498" t="s">
        <v>746</v>
      </c>
      <c r="E188" s="2478"/>
      <c r="F188" s="2478">
        <v>250000000</v>
      </c>
      <c r="G188" s="2478">
        <f>E188+F188</f>
        <v>250000000</v>
      </c>
      <c r="H188" s="2614" t="s">
        <v>1485</v>
      </c>
      <c r="I188" s="2600">
        <v>42520</v>
      </c>
      <c r="J188" s="2504" t="s">
        <v>1428</v>
      </c>
      <c r="K188" s="2606" t="s">
        <v>1760</v>
      </c>
      <c r="L188" s="2602" t="s">
        <v>1761</v>
      </c>
      <c r="M188" s="2507" t="s">
        <v>1429</v>
      </c>
      <c r="N188" s="2500"/>
      <c r="O188" s="2603">
        <v>51205000</v>
      </c>
      <c r="P188" s="2604">
        <f t="shared" ref="P188:P200" si="46">N188+O188</f>
        <v>51205000</v>
      </c>
      <c r="Q188" s="2487"/>
      <c r="R188" s="2487"/>
      <c r="S188" s="2487"/>
      <c r="T188" s="2487"/>
      <c r="U188" s="2487"/>
      <c r="V188" s="2487">
        <f t="shared" ref="V188:V197" si="47">P188</f>
        <v>51205000</v>
      </c>
      <c r="W188" s="2487" t="s">
        <v>3555</v>
      </c>
      <c r="X188" s="2489">
        <v>42724</v>
      </c>
      <c r="Y188" s="2489">
        <v>42731</v>
      </c>
      <c r="Z188" s="2487">
        <f t="shared" ref="Z188:Z193" si="48">V188</f>
        <v>51205000</v>
      </c>
      <c r="AA188" s="2615">
        <v>1</v>
      </c>
      <c r="AB188" s="2487">
        <f t="shared" ref="AB188:AB200" si="49">+G188-P188</f>
        <v>198795000</v>
      </c>
      <c r="AC188" s="2493"/>
      <c r="AD188" s="2492">
        <v>1</v>
      </c>
      <c r="AE188" s="2528">
        <f>V188</f>
        <v>51205000</v>
      </c>
      <c r="AF188" s="2493"/>
      <c r="AG188" s="2493"/>
      <c r="AH188" s="2493"/>
      <c r="AI188" s="2493"/>
      <c r="AJ188" s="2493"/>
      <c r="AK188" s="2493"/>
      <c r="AL188" s="2493"/>
      <c r="AM188" s="2493"/>
      <c r="AN188" s="2493"/>
      <c r="AO188" s="2493"/>
      <c r="AP188" s="2501"/>
      <c r="AQ188" s="2493"/>
      <c r="AR188" s="2493"/>
      <c r="AS188" s="2493"/>
      <c r="AT188" s="2493"/>
      <c r="AU188" s="2493"/>
      <c r="AV188" s="2493"/>
      <c r="AW188" s="2493"/>
      <c r="AX188" s="2493"/>
      <c r="AZ188" s="2502"/>
    </row>
    <row r="189" spans="1:52" s="2496" customFormat="1">
      <c r="A189" s="2474"/>
      <c r="B189" s="2609"/>
      <c r="C189" s="2610"/>
      <c r="D189" s="2611"/>
      <c r="E189" s="2533"/>
      <c r="F189" s="2533"/>
      <c r="G189" s="2478"/>
      <c r="H189" s="2614"/>
      <c r="I189" s="2600"/>
      <c r="J189" s="2504" t="s">
        <v>1660</v>
      </c>
      <c r="K189" s="2616"/>
      <c r="L189" s="2607" t="s">
        <v>387</v>
      </c>
      <c r="M189" s="2523" t="s">
        <v>1661</v>
      </c>
      <c r="N189" s="2500"/>
      <c r="O189" s="2612">
        <v>6600000</v>
      </c>
      <c r="P189" s="2604">
        <f t="shared" si="46"/>
        <v>6600000</v>
      </c>
      <c r="Q189" s="2540"/>
      <c r="R189" s="2540"/>
      <c r="S189" s="2540"/>
      <c r="T189" s="2540"/>
      <c r="U189" s="2540"/>
      <c r="V189" s="2617">
        <f t="shared" si="47"/>
        <v>6600000</v>
      </c>
      <c r="W189" s="2487" t="s">
        <v>1972</v>
      </c>
      <c r="X189" s="2489">
        <v>42552</v>
      </c>
      <c r="Y189" s="2618">
        <v>42570</v>
      </c>
      <c r="Z189" s="2487">
        <f t="shared" si="48"/>
        <v>6600000</v>
      </c>
      <c r="AA189" s="2608">
        <v>1</v>
      </c>
      <c r="AB189" s="2487">
        <f t="shared" si="49"/>
        <v>-6600000</v>
      </c>
      <c r="AC189" s="2541"/>
      <c r="AD189" s="2492">
        <v>1</v>
      </c>
      <c r="AE189" s="2493"/>
      <c r="AF189" s="2493"/>
      <c r="AG189" s="2493"/>
      <c r="AH189" s="2493"/>
      <c r="AI189" s="2541"/>
      <c r="AJ189" s="2541"/>
      <c r="AK189" s="2541"/>
      <c r="AL189" s="2541"/>
      <c r="AM189" s="2541"/>
      <c r="AN189" s="2541"/>
      <c r="AO189" s="2541"/>
      <c r="AP189" s="2541"/>
      <c r="AQ189" s="2541"/>
      <c r="AR189" s="2541"/>
      <c r="AS189" s="2541"/>
      <c r="AT189" s="2541"/>
      <c r="AU189" s="2541"/>
      <c r="AV189" s="2541"/>
      <c r="AW189" s="2541"/>
      <c r="AX189" s="2541"/>
      <c r="AZ189" s="2502"/>
    </row>
    <row r="190" spans="1:52" s="2496" customFormat="1">
      <c r="A190" s="2474"/>
      <c r="B190" s="2609"/>
      <c r="C190" s="2610"/>
      <c r="D190" s="2611"/>
      <c r="E190" s="2533"/>
      <c r="F190" s="2533"/>
      <c r="G190" s="2478"/>
      <c r="H190" s="2614"/>
      <c r="I190" s="2600"/>
      <c r="J190" s="2504" t="s">
        <v>2320</v>
      </c>
      <c r="K190" s="2616"/>
      <c r="L190" s="2607" t="s">
        <v>193</v>
      </c>
      <c r="M190" s="2523" t="s">
        <v>2321</v>
      </c>
      <c r="N190" s="2500"/>
      <c r="O190" s="2612">
        <v>8800000</v>
      </c>
      <c r="P190" s="2604">
        <f t="shared" si="46"/>
        <v>8800000</v>
      </c>
      <c r="Q190" s="2540"/>
      <c r="R190" s="2540"/>
      <c r="S190" s="2540"/>
      <c r="T190" s="2540"/>
      <c r="U190" s="2540"/>
      <c r="V190" s="2617">
        <f t="shared" si="47"/>
        <v>8800000</v>
      </c>
      <c r="W190" s="2486" t="s">
        <v>3063</v>
      </c>
      <c r="X190" s="2619">
        <v>42682</v>
      </c>
      <c r="Y190" s="2619">
        <v>42685</v>
      </c>
      <c r="Z190" s="2551">
        <f t="shared" si="48"/>
        <v>8800000</v>
      </c>
      <c r="AA190" s="2620">
        <v>1</v>
      </c>
      <c r="AB190" s="2487">
        <f t="shared" si="49"/>
        <v>-8800000</v>
      </c>
      <c r="AC190" s="2541"/>
      <c r="AD190" s="2492">
        <v>1</v>
      </c>
      <c r="AE190" s="2528">
        <f>V190</f>
        <v>8800000</v>
      </c>
      <c r="AF190" s="2493"/>
      <c r="AG190" s="2493"/>
      <c r="AH190" s="2493"/>
      <c r="AI190" s="2541"/>
      <c r="AJ190" s="2541"/>
      <c r="AK190" s="2541"/>
      <c r="AL190" s="2541"/>
      <c r="AM190" s="2541"/>
      <c r="AN190" s="2541"/>
      <c r="AO190" s="2541"/>
      <c r="AP190" s="2541"/>
      <c r="AQ190" s="2541"/>
      <c r="AR190" s="2541"/>
      <c r="AS190" s="2541"/>
      <c r="AT190" s="2541"/>
      <c r="AU190" s="2541"/>
      <c r="AV190" s="2541"/>
      <c r="AW190" s="2541"/>
      <c r="AX190" s="2541"/>
      <c r="AZ190" s="2502"/>
    </row>
    <row r="191" spans="1:52" s="2496" customFormat="1">
      <c r="A191" s="2474"/>
      <c r="B191" s="2609"/>
      <c r="C191" s="2610"/>
      <c r="D191" s="2611"/>
      <c r="E191" s="2533"/>
      <c r="F191" s="2533"/>
      <c r="G191" s="2478"/>
      <c r="H191" s="2614"/>
      <c r="I191" s="2600"/>
      <c r="J191" s="2504" t="s">
        <v>2695</v>
      </c>
      <c r="K191" s="2616"/>
      <c r="L191" s="2607" t="s">
        <v>786</v>
      </c>
      <c r="M191" s="2523" t="s">
        <v>2694</v>
      </c>
      <c r="N191" s="2500"/>
      <c r="O191" s="2612">
        <v>9240000</v>
      </c>
      <c r="P191" s="2487">
        <f t="shared" si="46"/>
        <v>9240000</v>
      </c>
      <c r="Q191" s="2540"/>
      <c r="R191" s="2540"/>
      <c r="S191" s="2540"/>
      <c r="T191" s="2540"/>
      <c r="U191" s="2540"/>
      <c r="V191" s="2574">
        <f t="shared" si="47"/>
        <v>9240000</v>
      </c>
      <c r="W191" s="2487" t="s">
        <v>3107</v>
      </c>
      <c r="X191" s="2489">
        <v>42684</v>
      </c>
      <c r="Y191" s="2618">
        <v>42696</v>
      </c>
      <c r="Z191" s="2551">
        <f t="shared" si="48"/>
        <v>9240000</v>
      </c>
      <c r="AA191" s="2620">
        <v>1</v>
      </c>
      <c r="AB191" s="2487">
        <f t="shared" si="49"/>
        <v>-9240000</v>
      </c>
      <c r="AC191" s="2541"/>
      <c r="AD191" s="2492"/>
      <c r="AE191" s="2528">
        <f>V191</f>
        <v>9240000</v>
      </c>
      <c r="AF191" s="2493"/>
      <c r="AG191" s="2493"/>
      <c r="AH191" s="2493"/>
      <c r="AI191" s="2541"/>
      <c r="AJ191" s="2541"/>
      <c r="AK191" s="2541"/>
      <c r="AL191" s="2541"/>
      <c r="AM191" s="2541"/>
      <c r="AN191" s="2541"/>
      <c r="AO191" s="2541"/>
      <c r="AP191" s="2541"/>
      <c r="AQ191" s="2541"/>
      <c r="AR191" s="2541"/>
      <c r="AS191" s="2541"/>
      <c r="AT191" s="2541"/>
      <c r="AU191" s="2541"/>
      <c r="AV191" s="2541"/>
      <c r="AW191" s="2541"/>
      <c r="AX191" s="2541"/>
      <c r="AZ191" s="2502"/>
    </row>
    <row r="192" spans="1:52" s="2496" customFormat="1">
      <c r="A192" s="2474"/>
      <c r="B192" s="2609"/>
      <c r="C192" s="2610"/>
      <c r="D192" s="2611"/>
      <c r="E192" s="2533"/>
      <c r="F192" s="2533"/>
      <c r="G192" s="2478"/>
      <c r="H192" s="2614"/>
      <c r="I192" s="2600"/>
      <c r="J192" s="2504" t="s">
        <v>2696</v>
      </c>
      <c r="K192" s="2616"/>
      <c r="L192" s="2607" t="s">
        <v>786</v>
      </c>
      <c r="M192" s="2523" t="s">
        <v>2694</v>
      </c>
      <c r="N192" s="2500"/>
      <c r="O192" s="2612">
        <v>8529840</v>
      </c>
      <c r="P192" s="2487">
        <f t="shared" si="46"/>
        <v>8529840</v>
      </c>
      <c r="Q192" s="2540"/>
      <c r="R192" s="2540"/>
      <c r="S192" s="2540"/>
      <c r="T192" s="2540"/>
      <c r="U192" s="2540"/>
      <c r="V192" s="2574">
        <f t="shared" si="47"/>
        <v>8529840</v>
      </c>
      <c r="W192" s="2487" t="s">
        <v>3107</v>
      </c>
      <c r="X192" s="2489">
        <v>42684</v>
      </c>
      <c r="Y192" s="2618">
        <v>42696</v>
      </c>
      <c r="Z192" s="2551">
        <f t="shared" si="48"/>
        <v>8529840</v>
      </c>
      <c r="AA192" s="2620">
        <v>1</v>
      </c>
      <c r="AB192" s="2487">
        <f t="shared" si="49"/>
        <v>-8529840</v>
      </c>
      <c r="AC192" s="2541"/>
      <c r="AD192" s="2492"/>
      <c r="AE192" s="2528">
        <f>V192</f>
        <v>8529840</v>
      </c>
      <c r="AF192" s="2493"/>
      <c r="AG192" s="2493"/>
      <c r="AH192" s="2493"/>
      <c r="AI192" s="2541"/>
      <c r="AJ192" s="2541"/>
      <c r="AK192" s="2541"/>
      <c r="AL192" s="2541"/>
      <c r="AM192" s="2541"/>
      <c r="AN192" s="2541"/>
      <c r="AO192" s="2541"/>
      <c r="AP192" s="2541"/>
      <c r="AQ192" s="2541"/>
      <c r="AR192" s="2541"/>
      <c r="AS192" s="2541"/>
      <c r="AT192" s="2541"/>
      <c r="AU192" s="2541"/>
      <c r="AV192" s="2541"/>
      <c r="AW192" s="2541"/>
      <c r="AX192" s="2541"/>
      <c r="AZ192" s="2502"/>
    </row>
    <row r="193" spans="1:52" s="2328" customFormat="1" ht="31.5">
      <c r="A193" s="2329"/>
      <c r="B193" s="2330"/>
      <c r="C193" s="2331"/>
      <c r="D193" s="2332"/>
      <c r="E193" s="2333"/>
      <c r="F193" s="2333"/>
      <c r="G193" s="2318"/>
      <c r="H193" s="2319"/>
      <c r="I193" s="2320"/>
      <c r="J193" s="2321" t="s">
        <v>2916</v>
      </c>
      <c r="K193" s="2334" t="s">
        <v>3173</v>
      </c>
      <c r="L193" s="2294" t="s">
        <v>786</v>
      </c>
      <c r="M193" s="2291" t="s">
        <v>2917</v>
      </c>
      <c r="N193" s="2335"/>
      <c r="O193" s="2336">
        <v>9566700</v>
      </c>
      <c r="P193" s="2277">
        <f t="shared" si="46"/>
        <v>9566700</v>
      </c>
      <c r="Q193" s="2337"/>
      <c r="R193" s="2337"/>
      <c r="S193" s="2337"/>
      <c r="T193" s="2337"/>
      <c r="U193" s="2337"/>
      <c r="V193" s="2338">
        <f t="shared" si="47"/>
        <v>9566700</v>
      </c>
      <c r="W193" s="2277" t="s">
        <v>3168</v>
      </c>
      <c r="X193" s="2339">
        <v>42690</v>
      </c>
      <c r="Y193" s="2340">
        <v>42697</v>
      </c>
      <c r="Z193" s="2341">
        <f t="shared" si="48"/>
        <v>9566700</v>
      </c>
      <c r="AA193" s="2342">
        <v>1</v>
      </c>
      <c r="AB193" s="2277">
        <f t="shared" si="49"/>
        <v>-9566700</v>
      </c>
      <c r="AC193" s="2343"/>
      <c r="AD193" s="2279"/>
      <c r="AE193" s="2281">
        <f>V193</f>
        <v>9566700</v>
      </c>
      <c r="AF193" s="2280"/>
      <c r="AG193" s="2280"/>
      <c r="AH193" s="2280"/>
      <c r="AI193" s="2343"/>
      <c r="AJ193" s="2343"/>
      <c r="AK193" s="2343"/>
      <c r="AL193" s="2343"/>
      <c r="AM193" s="2343"/>
      <c r="AN193" s="2343"/>
      <c r="AO193" s="2343"/>
      <c r="AP193" s="2343"/>
      <c r="AQ193" s="2343"/>
      <c r="AR193" s="2343"/>
      <c r="AS193" s="2343"/>
      <c r="AT193" s="2343"/>
      <c r="AU193" s="2343"/>
      <c r="AV193" s="2343"/>
      <c r="AW193" s="2343"/>
      <c r="AX193" s="2343"/>
      <c r="AZ193" s="2344"/>
    </row>
    <row r="194" spans="1:52" s="2403" customFormat="1" ht="47.25">
      <c r="A194" s="2383"/>
      <c r="B194" s="2384"/>
      <c r="C194" s="2385"/>
      <c r="D194" s="2386"/>
      <c r="E194" s="2387"/>
      <c r="F194" s="2387"/>
      <c r="G194" s="2388"/>
      <c r="H194" s="2389" t="s">
        <v>3269</v>
      </c>
      <c r="I194" s="2390">
        <v>42699</v>
      </c>
      <c r="J194" s="2391" t="s">
        <v>3236</v>
      </c>
      <c r="K194" s="2392" t="s">
        <v>3318</v>
      </c>
      <c r="L194" s="2393" t="s">
        <v>2161</v>
      </c>
      <c r="M194" s="2394" t="s">
        <v>3237</v>
      </c>
      <c r="N194" s="2395">
        <v>73260000</v>
      </c>
      <c r="O194" s="2396"/>
      <c r="P194" s="2035">
        <f t="shared" si="46"/>
        <v>73260000</v>
      </c>
      <c r="Q194" s="2397"/>
      <c r="R194" s="2397"/>
      <c r="S194" s="2397"/>
      <c r="T194" s="2397"/>
      <c r="U194" s="2397"/>
      <c r="V194" s="2398">
        <f t="shared" si="47"/>
        <v>73260000</v>
      </c>
      <c r="W194" s="2035" t="s">
        <v>3649</v>
      </c>
      <c r="X194" s="2399">
        <v>42728</v>
      </c>
      <c r="Y194" s="2400">
        <v>42732</v>
      </c>
      <c r="Z194" s="2026">
        <f>V194</f>
        <v>73260000</v>
      </c>
      <c r="AA194" s="2401">
        <v>1</v>
      </c>
      <c r="AB194" s="2035">
        <f t="shared" si="49"/>
        <v>-73260000</v>
      </c>
      <c r="AC194" s="2402"/>
      <c r="AD194" s="2037"/>
      <c r="AE194" s="2040"/>
      <c r="AF194" s="2038"/>
      <c r="AG194" s="2038"/>
      <c r="AH194" s="2038"/>
      <c r="AI194" s="2402"/>
      <c r="AJ194" s="2402"/>
      <c r="AK194" s="2402"/>
      <c r="AL194" s="2402"/>
      <c r="AM194" s="2402"/>
      <c r="AN194" s="2402"/>
      <c r="AO194" s="2402"/>
      <c r="AP194" s="2402"/>
      <c r="AQ194" s="2402"/>
      <c r="AR194" s="2402"/>
      <c r="AS194" s="2402"/>
      <c r="AT194" s="2402"/>
      <c r="AU194" s="2402"/>
      <c r="AV194" s="2402"/>
      <c r="AW194" s="2402"/>
      <c r="AX194" s="2402"/>
      <c r="AZ194" s="2404"/>
    </row>
    <row r="195" spans="1:52" s="1778" customFormat="1" ht="47.25">
      <c r="A195" s="567"/>
      <c r="B195" s="2132"/>
      <c r="C195" s="2126"/>
      <c r="D195" s="2127"/>
      <c r="E195" s="733"/>
      <c r="F195" s="733"/>
      <c r="G195" s="569"/>
      <c r="H195" s="1799" t="s">
        <v>3277</v>
      </c>
      <c r="I195" s="2102">
        <v>42699</v>
      </c>
      <c r="J195" s="582" t="s">
        <v>3238</v>
      </c>
      <c r="K195" s="600" t="s">
        <v>3319</v>
      </c>
      <c r="L195" s="1651" t="s">
        <v>2613</v>
      </c>
      <c r="M195" s="1344" t="s">
        <v>3239</v>
      </c>
      <c r="N195" s="2133">
        <v>44957000</v>
      </c>
      <c r="O195" s="2128"/>
      <c r="P195" s="576">
        <f t="shared" si="46"/>
        <v>44957000</v>
      </c>
      <c r="Q195" s="2129"/>
      <c r="R195" s="2129"/>
      <c r="S195" s="2129"/>
      <c r="T195" s="2129"/>
      <c r="U195" s="2129"/>
      <c r="V195" s="2134">
        <f t="shared" si="47"/>
        <v>44957000</v>
      </c>
      <c r="W195" s="576"/>
      <c r="X195" s="2122"/>
      <c r="Y195" s="2130"/>
      <c r="Z195" s="2135"/>
      <c r="AA195" s="2136"/>
      <c r="AB195" s="576">
        <f t="shared" si="49"/>
        <v>-44957000</v>
      </c>
      <c r="AC195" s="2131"/>
      <c r="AD195" s="1792"/>
      <c r="AE195" s="1793"/>
      <c r="AF195" s="581"/>
      <c r="AG195" s="581"/>
      <c r="AH195" s="581"/>
      <c r="AI195" s="2131"/>
      <c r="AJ195" s="2131"/>
      <c r="AK195" s="2131"/>
      <c r="AL195" s="2131"/>
      <c r="AM195" s="2131"/>
      <c r="AN195" s="2131"/>
      <c r="AO195" s="2131"/>
      <c r="AP195" s="2131"/>
      <c r="AQ195" s="2131"/>
      <c r="AR195" s="2131"/>
      <c r="AS195" s="2131"/>
      <c r="AT195" s="2131"/>
      <c r="AU195" s="2131"/>
      <c r="AV195" s="2131"/>
      <c r="AW195" s="2131"/>
      <c r="AX195" s="2131"/>
      <c r="AZ195" s="1431"/>
    </row>
    <row r="196" spans="1:52" s="1780" customFormat="1">
      <c r="A196" s="1885"/>
      <c r="B196" s="2233"/>
      <c r="C196" s="2234"/>
      <c r="D196" s="2235"/>
      <c r="E196" s="1965"/>
      <c r="F196" s="1965"/>
      <c r="G196" s="1949"/>
      <c r="H196" s="1983"/>
      <c r="I196" s="1984"/>
      <c r="J196" s="1952" t="s">
        <v>3345</v>
      </c>
      <c r="K196" s="2236"/>
      <c r="L196" s="1967" t="s">
        <v>271</v>
      </c>
      <c r="M196" s="2237" t="s">
        <v>3347</v>
      </c>
      <c r="N196" s="2238">
        <v>9570000</v>
      </c>
      <c r="O196" s="2239"/>
      <c r="P196" s="1960">
        <f t="shared" si="46"/>
        <v>9570000</v>
      </c>
      <c r="Q196" s="2240"/>
      <c r="R196" s="2240"/>
      <c r="S196" s="2240"/>
      <c r="T196" s="2240"/>
      <c r="U196" s="2240"/>
      <c r="V196" s="1985">
        <f t="shared" si="47"/>
        <v>9570000</v>
      </c>
      <c r="W196" s="1960" t="s">
        <v>3546</v>
      </c>
      <c r="X196" s="2229">
        <v>42728</v>
      </c>
      <c r="Y196" s="2241">
        <v>42732</v>
      </c>
      <c r="Z196" s="2242">
        <f>V196</f>
        <v>9570000</v>
      </c>
      <c r="AA196" s="1924">
        <v>1</v>
      </c>
      <c r="AB196" s="1960">
        <f t="shared" si="49"/>
        <v>-9570000</v>
      </c>
      <c r="AC196" s="2243"/>
      <c r="AD196" s="1903"/>
      <c r="AE196" s="1971"/>
      <c r="AF196" s="1904"/>
      <c r="AG196" s="1904"/>
      <c r="AH196" s="1904"/>
      <c r="AI196" s="2243"/>
      <c r="AJ196" s="2243"/>
      <c r="AK196" s="2243"/>
      <c r="AL196" s="2243"/>
      <c r="AM196" s="2243"/>
      <c r="AN196" s="2243"/>
      <c r="AO196" s="2243"/>
      <c r="AP196" s="2243"/>
      <c r="AQ196" s="2243"/>
      <c r="AR196" s="2243"/>
      <c r="AS196" s="2243"/>
      <c r="AT196" s="2243"/>
      <c r="AU196" s="2243"/>
      <c r="AV196" s="2243"/>
      <c r="AW196" s="2243"/>
      <c r="AX196" s="2243"/>
      <c r="AZ196" s="1910"/>
    </row>
    <row r="197" spans="1:52" s="1779" customFormat="1">
      <c r="A197" s="1806"/>
      <c r="B197" s="2192"/>
      <c r="C197" s="2244"/>
      <c r="D197" s="2245"/>
      <c r="E197" s="1854"/>
      <c r="F197" s="1854"/>
      <c r="G197" s="1855"/>
      <c r="H197" s="2160"/>
      <c r="I197" s="1872"/>
      <c r="J197" s="1873" t="s">
        <v>3346</v>
      </c>
      <c r="K197" s="2194"/>
      <c r="L197" s="1858" t="s">
        <v>271</v>
      </c>
      <c r="M197" s="2195" t="s">
        <v>3348</v>
      </c>
      <c r="N197" s="2246">
        <v>3190000</v>
      </c>
      <c r="O197" s="2247"/>
      <c r="P197" s="1863">
        <f t="shared" si="46"/>
        <v>3190000</v>
      </c>
      <c r="Q197" s="1848"/>
      <c r="R197" s="1848"/>
      <c r="S197" s="1848"/>
      <c r="T197" s="1848"/>
      <c r="U197" s="1848"/>
      <c r="V197" s="2248">
        <f t="shared" si="47"/>
        <v>3190000</v>
      </c>
      <c r="W197" s="1863" t="s">
        <v>3542</v>
      </c>
      <c r="X197" s="2188">
        <v>42724</v>
      </c>
      <c r="Y197" s="2249">
        <v>42731</v>
      </c>
      <c r="Z197" s="2250">
        <f>V197</f>
        <v>3190000</v>
      </c>
      <c r="AA197" s="1823">
        <v>1</v>
      </c>
      <c r="AB197" s="1863">
        <f t="shared" si="49"/>
        <v>-3190000</v>
      </c>
      <c r="AC197" s="2191"/>
      <c r="AD197" s="1827"/>
      <c r="AE197" s="1839"/>
      <c r="AF197" s="1828"/>
      <c r="AG197" s="1828"/>
      <c r="AH197" s="1828"/>
      <c r="AI197" s="2191"/>
      <c r="AJ197" s="2191"/>
      <c r="AK197" s="2191"/>
      <c r="AL197" s="2191"/>
      <c r="AM197" s="2191"/>
      <c r="AN197" s="2191"/>
      <c r="AO197" s="2191"/>
      <c r="AP197" s="2191"/>
      <c r="AQ197" s="2191"/>
      <c r="AR197" s="2191"/>
      <c r="AS197" s="2191"/>
      <c r="AT197" s="2191"/>
      <c r="AU197" s="2191"/>
      <c r="AV197" s="2191"/>
      <c r="AW197" s="2191"/>
      <c r="AX197" s="2191"/>
      <c r="AZ197" s="1834"/>
    </row>
    <row r="198" spans="1:52" s="2496" customFormat="1">
      <c r="A198" s="2474"/>
      <c r="B198" s="2609"/>
      <c r="C198" s="2610"/>
      <c r="D198" s="2611"/>
      <c r="E198" s="2533"/>
      <c r="F198" s="2533"/>
      <c r="G198" s="2478"/>
      <c r="H198" s="2614"/>
      <c r="I198" s="2600"/>
      <c r="J198" s="2534"/>
      <c r="K198" s="2616" t="s">
        <v>3456</v>
      </c>
      <c r="L198" s="2607" t="s">
        <v>387</v>
      </c>
      <c r="M198" s="2621" t="s">
        <v>3457</v>
      </c>
      <c r="N198" s="2612">
        <v>9570000</v>
      </c>
      <c r="O198" s="2612"/>
      <c r="P198" s="2487">
        <f t="shared" si="46"/>
        <v>9570000</v>
      </c>
      <c r="Q198" s="2540"/>
      <c r="R198" s="2540"/>
      <c r="S198" s="2540"/>
      <c r="T198" s="2540"/>
      <c r="U198" s="2540"/>
      <c r="V198" s="2574">
        <f>P198</f>
        <v>9570000</v>
      </c>
      <c r="W198" s="2574" t="s">
        <v>3455</v>
      </c>
      <c r="X198" s="2622">
        <v>42718</v>
      </c>
      <c r="Y198" s="2622">
        <v>42720</v>
      </c>
      <c r="Z198" s="2623">
        <f>V198</f>
        <v>9570000</v>
      </c>
      <c r="AA198" s="2624">
        <v>1</v>
      </c>
      <c r="AB198" s="2487">
        <f t="shared" si="49"/>
        <v>-9570000</v>
      </c>
      <c r="AC198" s="2541"/>
      <c r="AD198" s="2492"/>
      <c r="AE198" s="2528"/>
      <c r="AF198" s="2493"/>
      <c r="AG198" s="2493"/>
      <c r="AH198" s="2493"/>
      <c r="AI198" s="2541"/>
      <c r="AJ198" s="2541"/>
      <c r="AK198" s="2541"/>
      <c r="AL198" s="2541"/>
      <c r="AM198" s="2541"/>
      <c r="AN198" s="2541"/>
      <c r="AO198" s="2541"/>
      <c r="AP198" s="2541"/>
      <c r="AQ198" s="2541"/>
      <c r="AR198" s="2541"/>
      <c r="AS198" s="2541"/>
      <c r="AT198" s="2541"/>
      <c r="AU198" s="2541"/>
      <c r="AV198" s="2541"/>
      <c r="AW198" s="2541"/>
      <c r="AX198" s="2541"/>
      <c r="AZ198" s="2502"/>
    </row>
    <row r="199" spans="1:52" s="2496" customFormat="1" ht="31.5">
      <c r="A199" s="2474"/>
      <c r="B199" s="2609"/>
      <c r="C199" s="2610"/>
      <c r="D199" s="2611"/>
      <c r="E199" s="2533"/>
      <c r="F199" s="2533"/>
      <c r="G199" s="2478"/>
      <c r="H199" s="2614"/>
      <c r="I199" s="2600"/>
      <c r="J199" s="2534"/>
      <c r="K199" s="2616" t="s">
        <v>3458</v>
      </c>
      <c r="L199" s="2607" t="s">
        <v>387</v>
      </c>
      <c r="M199" s="2621" t="s">
        <v>3459</v>
      </c>
      <c r="N199" s="2612">
        <v>7876000</v>
      </c>
      <c r="O199" s="2612"/>
      <c r="P199" s="2487">
        <f t="shared" si="46"/>
        <v>7876000</v>
      </c>
      <c r="Q199" s="2540"/>
      <c r="R199" s="2540"/>
      <c r="S199" s="2540"/>
      <c r="T199" s="2540"/>
      <c r="U199" s="2540"/>
      <c r="V199" s="2574">
        <f>P199</f>
        <v>7876000</v>
      </c>
      <c r="W199" s="2574" t="s">
        <v>3455</v>
      </c>
      <c r="X199" s="2622">
        <v>42718</v>
      </c>
      <c r="Y199" s="2622">
        <v>42720</v>
      </c>
      <c r="Z199" s="2623">
        <f>V199</f>
        <v>7876000</v>
      </c>
      <c r="AA199" s="2624">
        <v>1</v>
      </c>
      <c r="AB199" s="2487">
        <f t="shared" si="49"/>
        <v>-7876000</v>
      </c>
      <c r="AC199" s="2541"/>
      <c r="AD199" s="2492"/>
      <c r="AE199" s="2528"/>
      <c r="AF199" s="2493"/>
      <c r="AG199" s="2493"/>
      <c r="AH199" s="2493"/>
      <c r="AI199" s="2541"/>
      <c r="AJ199" s="2541"/>
      <c r="AK199" s="2541"/>
      <c r="AL199" s="2541"/>
      <c r="AM199" s="2541"/>
      <c r="AN199" s="2541"/>
      <c r="AO199" s="2541"/>
      <c r="AP199" s="2541"/>
      <c r="AQ199" s="2541"/>
      <c r="AR199" s="2541"/>
      <c r="AS199" s="2541"/>
      <c r="AT199" s="2541"/>
      <c r="AU199" s="2541"/>
      <c r="AV199" s="2541"/>
      <c r="AW199" s="2541"/>
      <c r="AX199" s="2541"/>
      <c r="AZ199" s="2502"/>
    </row>
    <row r="200" spans="1:52" s="2403" customFormat="1">
      <c r="A200" s="2383"/>
      <c r="B200" s="2384"/>
      <c r="C200" s="2385"/>
      <c r="D200" s="2386"/>
      <c r="E200" s="2387"/>
      <c r="F200" s="2387"/>
      <c r="G200" s="2388"/>
      <c r="H200" s="2389"/>
      <c r="I200" s="2390"/>
      <c r="J200" s="2405"/>
      <c r="K200" s="2406" t="s">
        <v>3460</v>
      </c>
      <c r="L200" s="2393" t="s">
        <v>387</v>
      </c>
      <c r="M200" s="2407" t="s">
        <v>3461</v>
      </c>
      <c r="N200" s="2396">
        <v>3085500</v>
      </c>
      <c r="O200" s="2396"/>
      <c r="P200" s="2035">
        <f t="shared" si="46"/>
        <v>3085500</v>
      </c>
      <c r="Q200" s="2397"/>
      <c r="R200" s="2397"/>
      <c r="S200" s="2397"/>
      <c r="T200" s="2397"/>
      <c r="U200" s="2397"/>
      <c r="V200" s="2398">
        <f>P200</f>
        <v>3085500</v>
      </c>
      <c r="W200" s="2398" t="s">
        <v>3455</v>
      </c>
      <c r="X200" s="2408">
        <v>42718</v>
      </c>
      <c r="Y200" s="2408">
        <v>42720</v>
      </c>
      <c r="Z200" s="2409">
        <f>V200</f>
        <v>3085500</v>
      </c>
      <c r="AA200" s="2401">
        <v>1</v>
      </c>
      <c r="AB200" s="2035">
        <f t="shared" si="49"/>
        <v>-3085500</v>
      </c>
      <c r="AC200" s="2402"/>
      <c r="AD200" s="2037"/>
      <c r="AE200" s="2040"/>
      <c r="AF200" s="2038"/>
      <c r="AG200" s="2038"/>
      <c r="AH200" s="2038"/>
      <c r="AI200" s="2402"/>
      <c r="AJ200" s="2402"/>
      <c r="AK200" s="2402"/>
      <c r="AL200" s="2402"/>
      <c r="AM200" s="2402"/>
      <c r="AN200" s="2402"/>
      <c r="AO200" s="2402"/>
      <c r="AP200" s="2402"/>
      <c r="AQ200" s="2402"/>
      <c r="AR200" s="2402"/>
      <c r="AS200" s="2402"/>
      <c r="AT200" s="2402"/>
      <c r="AU200" s="2402"/>
      <c r="AV200" s="2402"/>
      <c r="AW200" s="2402"/>
      <c r="AX200" s="2402"/>
      <c r="AZ200" s="2404"/>
    </row>
    <row r="201" spans="1:52">
      <c r="A201" s="22"/>
      <c r="B201" s="1162"/>
      <c r="C201" s="565"/>
      <c r="D201" s="566"/>
      <c r="E201" s="169"/>
      <c r="F201" s="169"/>
      <c r="G201" s="26"/>
      <c r="H201" s="559"/>
      <c r="I201" s="558"/>
      <c r="J201" s="170"/>
      <c r="K201" s="865"/>
      <c r="L201" s="454"/>
      <c r="M201" s="325"/>
      <c r="N201" s="1295"/>
      <c r="O201" s="1303"/>
      <c r="P201" s="144"/>
      <c r="Q201" s="1262"/>
      <c r="R201" s="1262"/>
      <c r="S201" s="1262"/>
      <c r="T201" s="1262"/>
      <c r="U201" s="1262"/>
      <c r="V201" s="1667"/>
      <c r="W201" s="144"/>
      <c r="X201" s="1424"/>
      <c r="Y201" s="1426"/>
      <c r="Z201" s="295"/>
      <c r="AA201" s="734"/>
      <c r="AB201" s="433"/>
      <c r="AC201" s="1691"/>
      <c r="AD201" s="1382"/>
      <c r="AE201" s="38"/>
      <c r="AF201" s="38"/>
      <c r="AG201" s="38"/>
      <c r="AH201" s="38"/>
      <c r="AI201" s="402"/>
      <c r="AJ201" s="402"/>
      <c r="AK201" s="402"/>
      <c r="AL201" s="402"/>
      <c r="AM201" s="402"/>
      <c r="AN201" s="402"/>
      <c r="AO201" s="402"/>
      <c r="AP201" s="402"/>
      <c r="AQ201" s="402"/>
      <c r="AR201" s="402"/>
      <c r="AS201" s="402"/>
      <c r="AT201" s="402"/>
      <c r="AU201" s="402"/>
      <c r="AV201" s="402"/>
      <c r="AW201" s="402"/>
      <c r="AX201" s="402"/>
      <c r="AZ201" s="40"/>
    </row>
    <row r="202" spans="1:52" s="1000" customFormat="1">
      <c r="A202" s="988"/>
      <c r="B202" s="1023"/>
      <c r="C202" s="1055" t="str">
        <f>C188</f>
        <v>PRK.2016.WKT-4.9.53222.279</v>
      </c>
      <c r="D202" s="1050"/>
      <c r="E202" s="992"/>
      <c r="F202" s="992"/>
      <c r="G202" s="656">
        <f>G188</f>
        <v>250000000</v>
      </c>
      <c r="H202" s="1090"/>
      <c r="I202" s="1091"/>
      <c r="J202" s="1019"/>
      <c r="K202" s="1051"/>
      <c r="L202" s="994"/>
      <c r="M202" s="1353"/>
      <c r="N202" s="1304">
        <f>SUM(N188:N201)</f>
        <v>151508500</v>
      </c>
      <c r="O202" s="1304">
        <f t="shared" ref="O202:V202" si="50">SUM(O188:O201)</f>
        <v>93941540</v>
      </c>
      <c r="P202" s="1304">
        <f t="shared" si="50"/>
        <v>245450040</v>
      </c>
      <c r="Q202" s="1304">
        <f t="shared" si="50"/>
        <v>0</v>
      </c>
      <c r="R202" s="1304">
        <f t="shared" si="50"/>
        <v>0</v>
      </c>
      <c r="S202" s="1304">
        <f t="shared" si="50"/>
        <v>0</v>
      </c>
      <c r="T202" s="1304">
        <f t="shared" si="50"/>
        <v>0</v>
      </c>
      <c r="U202" s="1304">
        <f t="shared" si="50"/>
        <v>0</v>
      </c>
      <c r="V202" s="1304">
        <f t="shared" si="50"/>
        <v>245450040</v>
      </c>
      <c r="W202" s="1364"/>
      <c r="X202" s="1427"/>
      <c r="Y202" s="1428"/>
      <c r="Z202" s="784">
        <f>SUM(Z188:Z201)</f>
        <v>200493040</v>
      </c>
      <c r="AA202" s="1092"/>
      <c r="AB202" s="756">
        <f>+G202-P202</f>
        <v>4549960</v>
      </c>
      <c r="AC202" s="1052"/>
      <c r="AD202" s="1382"/>
      <c r="AE202" s="38"/>
      <c r="AF202" s="38"/>
      <c r="AG202" s="38"/>
      <c r="AH202" s="38"/>
      <c r="AI202" s="1052"/>
      <c r="AJ202" s="1052"/>
      <c r="AK202" s="1052"/>
      <c r="AL202" s="1052"/>
      <c r="AM202" s="1052"/>
      <c r="AN202" s="1052"/>
      <c r="AO202" s="1052"/>
      <c r="AP202" s="1052"/>
      <c r="AQ202" s="1052"/>
      <c r="AR202" s="1052"/>
      <c r="AS202" s="1052"/>
      <c r="AT202" s="1052"/>
      <c r="AU202" s="1052"/>
      <c r="AV202" s="1052"/>
      <c r="AW202" s="1052"/>
      <c r="AX202" s="1052"/>
      <c r="AZ202" s="1054"/>
    </row>
    <row r="203" spans="1:52" s="63" customFormat="1" ht="15.75" customHeight="1">
      <c r="A203" s="398"/>
      <c r="B203" s="1158"/>
      <c r="C203" s="180"/>
      <c r="D203" s="399"/>
      <c r="E203" s="262"/>
      <c r="F203" s="262"/>
      <c r="G203" s="26">
        <f>E203+F203</f>
        <v>0</v>
      </c>
      <c r="H203" s="26"/>
      <c r="I203" s="26"/>
      <c r="J203" s="127"/>
      <c r="K203" s="294"/>
      <c r="L203" s="294"/>
      <c r="M203" s="325"/>
      <c r="N203" s="1295"/>
      <c r="O203" s="116"/>
      <c r="P203" s="46"/>
      <c r="Q203" s="117"/>
      <c r="R203" s="117"/>
      <c r="S203" s="117"/>
      <c r="T203" s="117"/>
      <c r="U203" s="117"/>
      <c r="V203" s="683"/>
      <c r="W203" s="144"/>
      <c r="X203" s="1424"/>
      <c r="Y203" s="118"/>
      <c r="Z203" s="46"/>
      <c r="AA203" s="119"/>
      <c r="AB203" s="46"/>
      <c r="AC203" s="117"/>
      <c r="AD203" s="1382"/>
      <c r="AE203" s="38"/>
      <c r="AF203" s="38"/>
      <c r="AG203" s="38"/>
      <c r="AH203" s="38"/>
      <c r="AI203" s="117"/>
      <c r="AJ203" s="400"/>
      <c r="AK203" s="400"/>
      <c r="AL203" s="400"/>
      <c r="AM203" s="400"/>
      <c r="AN203" s="400"/>
      <c r="AO203" s="400"/>
      <c r="AP203" s="400"/>
      <c r="AQ203" s="400"/>
      <c r="AR203" s="400"/>
      <c r="AS203" s="400"/>
      <c r="AT203" s="400"/>
      <c r="AU203" s="400"/>
      <c r="AV203" s="400"/>
      <c r="AW203" s="400"/>
      <c r="AX203" s="401"/>
    </row>
    <row r="204" spans="1:52" s="2541" customFormat="1" ht="31.5">
      <c r="A204" s="2474"/>
      <c r="B204" s="2517"/>
      <c r="C204" s="2497" t="s">
        <v>747</v>
      </c>
      <c r="D204" s="2498" t="s">
        <v>1538</v>
      </c>
      <c r="E204" s="2478"/>
      <c r="F204" s="2478">
        <v>197954000</v>
      </c>
      <c r="G204" s="2478">
        <f>E204+F204</f>
        <v>197954000</v>
      </c>
      <c r="H204" s="2478"/>
      <c r="I204" s="2478"/>
      <c r="J204" s="2504"/>
      <c r="K204" s="2606"/>
      <c r="L204" s="2602" t="s">
        <v>1787</v>
      </c>
      <c r="M204" s="2507" t="s">
        <v>1475</v>
      </c>
      <c r="N204" s="2500"/>
      <c r="O204" s="2512">
        <v>5587100</v>
      </c>
      <c r="P204" s="2604">
        <f t="shared" ref="P204:P209" si="51">N204+O204</f>
        <v>5587100</v>
      </c>
      <c r="Q204" s="2487"/>
      <c r="R204" s="2487"/>
      <c r="S204" s="2487"/>
      <c r="T204" s="2487"/>
      <c r="U204" s="2487"/>
      <c r="V204" s="2487">
        <f t="shared" ref="V204:V212" si="52">P204</f>
        <v>5587100</v>
      </c>
      <c r="W204" s="2487" t="s">
        <v>1474</v>
      </c>
      <c r="X204" s="2489">
        <v>42509</v>
      </c>
      <c r="Y204" s="2489">
        <v>42517</v>
      </c>
      <c r="Z204" s="2487">
        <f t="shared" ref="Z204:Z213" si="53">V204</f>
        <v>5587100</v>
      </c>
      <c r="AA204" s="2605">
        <v>1</v>
      </c>
      <c r="AB204" s="2487">
        <f t="shared" ref="AB204:AB209" si="54">+G204-P204</f>
        <v>192366900</v>
      </c>
      <c r="AC204" s="2493"/>
      <c r="AD204" s="2492"/>
      <c r="AE204" s="2493"/>
      <c r="AF204" s="2493"/>
      <c r="AG204" s="2493"/>
      <c r="AH204" s="2493"/>
      <c r="AI204" s="2493"/>
      <c r="AJ204" s="2493"/>
      <c r="AK204" s="2493"/>
      <c r="AL204" s="2493"/>
      <c r="AM204" s="2493"/>
      <c r="AN204" s="2493"/>
      <c r="AO204" s="2493"/>
      <c r="AP204" s="2501"/>
      <c r="AQ204" s="2493"/>
      <c r="AR204" s="2493"/>
      <c r="AS204" s="2493"/>
      <c r="AT204" s="2493"/>
      <c r="AU204" s="2493"/>
      <c r="AV204" s="2493"/>
      <c r="AW204" s="2493"/>
      <c r="AX204" s="2493"/>
    </row>
    <row r="205" spans="1:52" s="2502" customFormat="1">
      <c r="A205" s="2474"/>
      <c r="B205" s="2609"/>
      <c r="C205" s="2610"/>
      <c r="D205" s="2611"/>
      <c r="E205" s="2533"/>
      <c r="F205" s="2533"/>
      <c r="G205" s="2478"/>
      <c r="H205" s="2478"/>
      <c r="I205" s="2478"/>
      <c r="J205" s="2534"/>
      <c r="K205" s="2616"/>
      <c r="L205" s="2602" t="s">
        <v>1787</v>
      </c>
      <c r="M205" s="2523" t="s">
        <v>1568</v>
      </c>
      <c r="N205" s="2500"/>
      <c r="O205" s="2625">
        <v>7150000</v>
      </c>
      <c r="P205" s="2487">
        <f t="shared" si="51"/>
        <v>7150000</v>
      </c>
      <c r="Q205" s="2540"/>
      <c r="R205" s="2540"/>
      <c r="S205" s="2540"/>
      <c r="T205" s="2540"/>
      <c r="U205" s="2540"/>
      <c r="V205" s="2487">
        <f t="shared" si="52"/>
        <v>7150000</v>
      </c>
      <c r="W205" s="2487" t="s">
        <v>2025</v>
      </c>
      <c r="X205" s="2489">
        <v>42520</v>
      </c>
      <c r="Y205" s="2618">
        <v>42522</v>
      </c>
      <c r="Z205" s="2487">
        <f t="shared" si="53"/>
        <v>7150000</v>
      </c>
      <c r="AA205" s="2605">
        <v>1</v>
      </c>
      <c r="AB205" s="2487">
        <f t="shared" si="54"/>
        <v>-7150000</v>
      </c>
      <c r="AC205" s="2541"/>
      <c r="AD205" s="2492"/>
      <c r="AE205" s="2493"/>
      <c r="AF205" s="2493"/>
      <c r="AG205" s="2493"/>
      <c r="AH205" s="2493"/>
      <c r="AI205" s="2535"/>
      <c r="AJ205" s="2535"/>
      <c r="AK205" s="2535"/>
      <c r="AL205" s="2535"/>
      <c r="AM205" s="2535"/>
      <c r="AN205" s="2535"/>
      <c r="AO205" s="2535"/>
      <c r="AP205" s="2535"/>
      <c r="AQ205" s="2535"/>
      <c r="AR205" s="2535"/>
      <c r="AS205" s="2535"/>
      <c r="AT205" s="2535"/>
      <c r="AU205" s="2535"/>
      <c r="AV205" s="2535"/>
      <c r="AW205" s="2535"/>
      <c r="AX205" s="2535"/>
    </row>
    <row r="206" spans="1:52" s="2502" customFormat="1">
      <c r="A206" s="2474"/>
      <c r="B206" s="2609"/>
      <c r="C206" s="2610"/>
      <c r="D206" s="2611"/>
      <c r="E206" s="2533"/>
      <c r="F206" s="2533"/>
      <c r="G206" s="2478"/>
      <c r="H206" s="2478"/>
      <c r="I206" s="2478"/>
      <c r="J206" s="2534" t="s">
        <v>1579</v>
      </c>
      <c r="K206" s="2616"/>
      <c r="L206" s="2607" t="s">
        <v>193</v>
      </c>
      <c r="M206" s="2523" t="s">
        <v>1569</v>
      </c>
      <c r="N206" s="2603">
        <v>10648000</v>
      </c>
      <c r="O206" s="2625"/>
      <c r="P206" s="2487">
        <f t="shared" si="51"/>
        <v>10648000</v>
      </c>
      <c r="Q206" s="2540"/>
      <c r="R206" s="2540"/>
      <c r="S206" s="2540"/>
      <c r="T206" s="2540"/>
      <c r="U206" s="2540"/>
      <c r="V206" s="2487">
        <f t="shared" si="52"/>
        <v>10648000</v>
      </c>
      <c r="W206" s="2487" t="s">
        <v>1938</v>
      </c>
      <c r="X206" s="2489">
        <v>42545</v>
      </c>
      <c r="Y206" s="2618">
        <v>42563</v>
      </c>
      <c r="Z206" s="2487">
        <f t="shared" si="53"/>
        <v>10648000</v>
      </c>
      <c r="AA206" s="2605">
        <v>1</v>
      </c>
      <c r="AB206" s="2487">
        <f t="shared" si="54"/>
        <v>-10648000</v>
      </c>
      <c r="AC206" s="2541"/>
      <c r="AD206" s="2492"/>
      <c r="AE206" s="2493"/>
      <c r="AF206" s="2493"/>
      <c r="AG206" s="2493"/>
      <c r="AH206" s="2493"/>
      <c r="AI206" s="2535"/>
      <c r="AJ206" s="2535"/>
      <c r="AK206" s="2535"/>
      <c r="AL206" s="2535"/>
      <c r="AM206" s="2535"/>
      <c r="AN206" s="2535"/>
      <c r="AO206" s="2535"/>
      <c r="AP206" s="2535"/>
      <c r="AQ206" s="2535"/>
      <c r="AR206" s="2535"/>
      <c r="AS206" s="2535"/>
      <c r="AT206" s="2535"/>
      <c r="AU206" s="2535"/>
      <c r="AV206" s="2535"/>
      <c r="AW206" s="2535"/>
      <c r="AX206" s="2535"/>
    </row>
    <row r="207" spans="1:52" s="2502" customFormat="1" ht="47.25">
      <c r="A207" s="2474"/>
      <c r="B207" s="2609"/>
      <c r="C207" s="2610"/>
      <c r="D207" s="2611"/>
      <c r="E207" s="2533"/>
      <c r="F207" s="2533"/>
      <c r="G207" s="2478"/>
      <c r="H207" s="2614" t="s">
        <v>2304</v>
      </c>
      <c r="I207" s="2600">
        <v>42620</v>
      </c>
      <c r="J207" s="2534" t="s">
        <v>2260</v>
      </c>
      <c r="K207" s="2601" t="s">
        <v>2490</v>
      </c>
      <c r="L207" s="2607" t="s">
        <v>446</v>
      </c>
      <c r="M207" s="2523" t="s">
        <v>2261</v>
      </c>
      <c r="N207" s="2603"/>
      <c r="O207" s="2625">
        <v>76722250</v>
      </c>
      <c r="P207" s="2487">
        <f t="shared" si="51"/>
        <v>76722250</v>
      </c>
      <c r="Q207" s="2540"/>
      <c r="R207" s="2540"/>
      <c r="S207" s="2540"/>
      <c r="T207" s="2540"/>
      <c r="U207" s="2540"/>
      <c r="V207" s="2487">
        <f t="shared" si="52"/>
        <v>76722250</v>
      </c>
      <c r="W207" s="2487" t="s">
        <v>3117</v>
      </c>
      <c r="X207" s="2489">
        <v>42689</v>
      </c>
      <c r="Y207" s="2618">
        <v>42691</v>
      </c>
      <c r="Z207" s="2487">
        <f t="shared" si="53"/>
        <v>76722250</v>
      </c>
      <c r="AA207" s="2605">
        <v>1</v>
      </c>
      <c r="AB207" s="2487">
        <f t="shared" si="54"/>
        <v>-76722250</v>
      </c>
      <c r="AC207" s="2541"/>
      <c r="AD207" s="2492">
        <v>0</v>
      </c>
      <c r="AE207" s="2493"/>
      <c r="AF207" s="2599">
        <f>V207</f>
        <v>76722250</v>
      </c>
      <c r="AG207" s="2493"/>
      <c r="AH207" s="2493"/>
      <c r="AI207" s="2535"/>
      <c r="AJ207" s="2535"/>
      <c r="AK207" s="2535"/>
      <c r="AL207" s="2535"/>
      <c r="AM207" s="2535"/>
      <c r="AN207" s="2535"/>
      <c r="AO207" s="2535"/>
      <c r="AP207" s="2535"/>
      <c r="AQ207" s="2535"/>
      <c r="AR207" s="2535"/>
      <c r="AS207" s="2535"/>
      <c r="AT207" s="2535"/>
      <c r="AU207" s="2535"/>
      <c r="AV207" s="2535"/>
      <c r="AW207" s="2535"/>
      <c r="AX207" s="2535"/>
    </row>
    <row r="208" spans="1:52" s="2502" customFormat="1" ht="31.5">
      <c r="A208" s="2474"/>
      <c r="B208" s="2609"/>
      <c r="C208" s="2610"/>
      <c r="D208" s="2611"/>
      <c r="E208" s="2533"/>
      <c r="F208" s="2533"/>
      <c r="G208" s="2478"/>
      <c r="H208" s="2614"/>
      <c r="I208" s="2600"/>
      <c r="J208" s="2534"/>
      <c r="K208" s="2626"/>
      <c r="L208" s="2602" t="s">
        <v>1787</v>
      </c>
      <c r="M208" s="2523" t="s">
        <v>3109</v>
      </c>
      <c r="N208" s="2603"/>
      <c r="O208" s="2625">
        <v>7150000</v>
      </c>
      <c r="P208" s="2487">
        <f t="shared" si="51"/>
        <v>7150000</v>
      </c>
      <c r="Q208" s="2540"/>
      <c r="R208" s="2540"/>
      <c r="S208" s="2540"/>
      <c r="T208" s="2540"/>
      <c r="U208" s="2540"/>
      <c r="V208" s="2487">
        <f t="shared" si="52"/>
        <v>7150000</v>
      </c>
      <c r="W208" s="2487" t="s">
        <v>3107</v>
      </c>
      <c r="X208" s="2489">
        <v>42684</v>
      </c>
      <c r="Y208" s="2618">
        <v>42696</v>
      </c>
      <c r="Z208" s="2551">
        <f t="shared" si="53"/>
        <v>7150000</v>
      </c>
      <c r="AA208" s="2620">
        <v>1</v>
      </c>
      <c r="AB208" s="2487">
        <f t="shared" si="54"/>
        <v>-7150000</v>
      </c>
      <c r="AC208" s="2541"/>
      <c r="AD208" s="2492"/>
      <c r="AE208" s="2493"/>
      <c r="AF208" s="2599"/>
      <c r="AG208" s="2493"/>
      <c r="AH208" s="2493"/>
      <c r="AI208" s="2535"/>
      <c r="AJ208" s="2535"/>
      <c r="AK208" s="2535"/>
      <c r="AL208" s="2535"/>
      <c r="AM208" s="2535"/>
      <c r="AN208" s="2535"/>
      <c r="AO208" s="2535"/>
      <c r="AP208" s="2535"/>
      <c r="AQ208" s="2535"/>
      <c r="AR208" s="2535"/>
      <c r="AS208" s="2535"/>
      <c r="AT208" s="2535"/>
      <c r="AU208" s="2535"/>
      <c r="AV208" s="2535"/>
      <c r="AW208" s="2535"/>
      <c r="AX208" s="2535"/>
    </row>
    <row r="209" spans="1:52" s="2502" customFormat="1">
      <c r="A209" s="2474"/>
      <c r="B209" s="2609"/>
      <c r="C209" s="2610"/>
      <c r="D209" s="2611"/>
      <c r="E209" s="2533"/>
      <c r="F209" s="2533"/>
      <c r="G209" s="2478"/>
      <c r="H209" s="2614"/>
      <c r="I209" s="2600"/>
      <c r="J209" s="2534"/>
      <c r="K209" s="2626"/>
      <c r="L209" s="2602" t="s">
        <v>1787</v>
      </c>
      <c r="M209" s="2523" t="s">
        <v>3110</v>
      </c>
      <c r="N209" s="2603"/>
      <c r="O209" s="2625">
        <v>2200000</v>
      </c>
      <c r="P209" s="2617">
        <f t="shared" si="51"/>
        <v>2200000</v>
      </c>
      <c r="Q209" s="2540"/>
      <c r="R209" s="2540"/>
      <c r="S209" s="2540"/>
      <c r="T209" s="2540"/>
      <c r="U209" s="2540"/>
      <c r="V209" s="2487">
        <f t="shared" si="52"/>
        <v>2200000</v>
      </c>
      <c r="W209" s="2487" t="s">
        <v>3107</v>
      </c>
      <c r="X209" s="2489">
        <v>42684</v>
      </c>
      <c r="Y209" s="2618">
        <v>42696</v>
      </c>
      <c r="Z209" s="2627">
        <f t="shared" si="53"/>
        <v>2200000</v>
      </c>
      <c r="AA209" s="2620">
        <v>1</v>
      </c>
      <c r="AB209" s="2617">
        <f t="shared" si="54"/>
        <v>-2200000</v>
      </c>
      <c r="AC209" s="2541"/>
      <c r="AD209" s="2492"/>
      <c r="AE209" s="2493"/>
      <c r="AF209" s="2599"/>
      <c r="AG209" s="2493"/>
      <c r="AH209" s="2493"/>
      <c r="AI209" s="2535"/>
      <c r="AJ209" s="2535"/>
      <c r="AK209" s="2535"/>
      <c r="AL209" s="2535"/>
      <c r="AM209" s="2535"/>
      <c r="AN209" s="2535"/>
      <c r="AO209" s="2535"/>
      <c r="AP209" s="2535"/>
      <c r="AQ209" s="2535"/>
      <c r="AR209" s="2535"/>
      <c r="AS209" s="2535"/>
      <c r="AT209" s="2535"/>
      <c r="AU209" s="2535"/>
      <c r="AV209" s="2535"/>
      <c r="AW209" s="2535"/>
      <c r="AX209" s="2535"/>
    </row>
    <row r="210" spans="1:52" s="2502" customFormat="1" ht="31.5">
      <c r="A210" s="2474"/>
      <c r="B210" s="2609"/>
      <c r="C210" s="2610"/>
      <c r="D210" s="2611"/>
      <c r="E210" s="2533"/>
      <c r="F210" s="2533"/>
      <c r="G210" s="2478"/>
      <c r="H210" s="2614"/>
      <c r="I210" s="2600"/>
      <c r="J210" s="2534"/>
      <c r="K210" s="2626" t="s">
        <v>3380</v>
      </c>
      <c r="L210" s="2602" t="s">
        <v>1787</v>
      </c>
      <c r="M210" s="2621" t="s">
        <v>3381</v>
      </c>
      <c r="N210" s="2523"/>
      <c r="O210" s="2625">
        <v>2614000</v>
      </c>
      <c r="P210" s="2617">
        <f>N210+O210</f>
        <v>2614000</v>
      </c>
      <c r="Q210" s="2540"/>
      <c r="R210" s="2540"/>
      <c r="S210" s="2540"/>
      <c r="T210" s="2540"/>
      <c r="U210" s="2540"/>
      <c r="V210" s="2487">
        <f t="shared" si="52"/>
        <v>2614000</v>
      </c>
      <c r="W210" s="2487" t="s">
        <v>3386</v>
      </c>
      <c r="X210" s="2489">
        <v>42704</v>
      </c>
      <c r="Y210" s="2618">
        <v>42710</v>
      </c>
      <c r="Z210" s="2627">
        <f t="shared" si="53"/>
        <v>2614000</v>
      </c>
      <c r="AA210" s="2620">
        <v>1</v>
      </c>
      <c r="AB210" s="2617">
        <f>+G210-P210</f>
        <v>-2614000</v>
      </c>
      <c r="AC210" s="2541"/>
      <c r="AD210" s="2492"/>
      <c r="AE210" s="2493"/>
      <c r="AF210" s="2599"/>
      <c r="AG210" s="2493"/>
      <c r="AH210" s="2493"/>
      <c r="AI210" s="2535"/>
      <c r="AJ210" s="2535"/>
      <c r="AK210" s="2535"/>
      <c r="AL210" s="2535"/>
      <c r="AM210" s="2535"/>
      <c r="AN210" s="2535"/>
      <c r="AO210" s="2535"/>
      <c r="AP210" s="2535"/>
      <c r="AQ210" s="2535"/>
      <c r="AR210" s="2535"/>
      <c r="AS210" s="2535"/>
      <c r="AT210" s="2535"/>
      <c r="AU210" s="2535"/>
      <c r="AV210" s="2535"/>
      <c r="AW210" s="2535"/>
      <c r="AX210" s="2535"/>
    </row>
    <row r="211" spans="1:52" s="2502" customFormat="1" ht="31.5">
      <c r="A211" s="2474"/>
      <c r="B211" s="2609"/>
      <c r="C211" s="2610"/>
      <c r="D211" s="2611"/>
      <c r="E211" s="2533"/>
      <c r="F211" s="2533"/>
      <c r="G211" s="2478"/>
      <c r="H211" s="2614"/>
      <c r="I211" s="2600"/>
      <c r="J211" s="2534"/>
      <c r="K211" s="2626" t="s">
        <v>3382</v>
      </c>
      <c r="L211" s="2602" t="s">
        <v>1787</v>
      </c>
      <c r="M211" s="2621" t="s">
        <v>3383</v>
      </c>
      <c r="N211" s="2523"/>
      <c r="O211" s="2625">
        <v>7150000</v>
      </c>
      <c r="P211" s="2617">
        <f>N211+O211</f>
        <v>7150000</v>
      </c>
      <c r="Q211" s="2540"/>
      <c r="R211" s="2540"/>
      <c r="S211" s="2540"/>
      <c r="T211" s="2540"/>
      <c r="U211" s="2540"/>
      <c r="V211" s="2487">
        <f t="shared" si="52"/>
        <v>7150000</v>
      </c>
      <c r="W211" s="2487" t="s">
        <v>3386</v>
      </c>
      <c r="X211" s="2489">
        <v>42704</v>
      </c>
      <c r="Y211" s="2618">
        <v>42710</v>
      </c>
      <c r="Z211" s="2627">
        <f>V211</f>
        <v>7150000</v>
      </c>
      <c r="AA211" s="2620">
        <v>1</v>
      </c>
      <c r="AB211" s="2617">
        <f>+G211-P211</f>
        <v>-7150000</v>
      </c>
      <c r="AC211" s="2541"/>
      <c r="AD211" s="2492"/>
      <c r="AE211" s="2493"/>
      <c r="AF211" s="2599"/>
      <c r="AG211" s="2493"/>
      <c r="AH211" s="2493"/>
      <c r="AI211" s="2535"/>
      <c r="AJ211" s="2535"/>
      <c r="AK211" s="2535"/>
      <c r="AL211" s="2535"/>
      <c r="AM211" s="2535"/>
      <c r="AN211" s="2535"/>
      <c r="AO211" s="2535"/>
      <c r="AP211" s="2535"/>
      <c r="AQ211" s="2535"/>
      <c r="AR211" s="2535"/>
      <c r="AS211" s="2535"/>
      <c r="AT211" s="2535"/>
      <c r="AU211" s="2535"/>
      <c r="AV211" s="2535"/>
      <c r="AW211" s="2535"/>
      <c r="AX211" s="2535"/>
    </row>
    <row r="212" spans="1:52" s="2502" customFormat="1" ht="31.5">
      <c r="A212" s="2474"/>
      <c r="B212" s="2609"/>
      <c r="C212" s="2610"/>
      <c r="D212" s="2611"/>
      <c r="E212" s="2533"/>
      <c r="F212" s="2533"/>
      <c r="G212" s="2478"/>
      <c r="H212" s="2614"/>
      <c r="I212" s="2600"/>
      <c r="J212" s="2534"/>
      <c r="K212" s="2626" t="s">
        <v>3384</v>
      </c>
      <c r="L212" s="2602" t="s">
        <v>1787</v>
      </c>
      <c r="M212" s="2621" t="s">
        <v>3385</v>
      </c>
      <c r="N212" s="2523"/>
      <c r="O212" s="2625">
        <v>3272000</v>
      </c>
      <c r="P212" s="2617">
        <f>N212+O212</f>
        <v>3272000</v>
      </c>
      <c r="Q212" s="2540"/>
      <c r="R212" s="2540"/>
      <c r="S212" s="2540"/>
      <c r="T212" s="2540"/>
      <c r="U212" s="2540"/>
      <c r="V212" s="2487">
        <f t="shared" si="52"/>
        <v>3272000</v>
      </c>
      <c r="W212" s="2487" t="s">
        <v>3386</v>
      </c>
      <c r="X212" s="2489">
        <v>42704</v>
      </c>
      <c r="Y212" s="2618">
        <v>42710</v>
      </c>
      <c r="Z212" s="2627">
        <f>V212</f>
        <v>3272000</v>
      </c>
      <c r="AA212" s="2620">
        <v>1</v>
      </c>
      <c r="AB212" s="2617">
        <f>+G212-P212</f>
        <v>-3272000</v>
      </c>
      <c r="AC212" s="2541"/>
      <c r="AD212" s="2492"/>
      <c r="AE212" s="2493"/>
      <c r="AF212" s="2599"/>
      <c r="AG212" s="2493"/>
      <c r="AH212" s="2493"/>
      <c r="AI212" s="2535"/>
      <c r="AJ212" s="2535"/>
      <c r="AK212" s="2535"/>
      <c r="AL212" s="2535"/>
      <c r="AM212" s="2535"/>
      <c r="AN212" s="2535"/>
      <c r="AO212" s="2535"/>
      <c r="AP212" s="2535"/>
      <c r="AQ212" s="2535"/>
      <c r="AR212" s="2535"/>
      <c r="AS212" s="2535"/>
      <c r="AT212" s="2535"/>
      <c r="AU212" s="2535"/>
      <c r="AV212" s="2535"/>
      <c r="AW212" s="2535"/>
      <c r="AX212" s="2535"/>
    </row>
    <row r="213" spans="1:52" s="40" customFormat="1">
      <c r="A213" s="22"/>
      <c r="B213" s="1162"/>
      <c r="C213" s="565"/>
      <c r="D213" s="566"/>
      <c r="E213" s="169"/>
      <c r="F213" s="169"/>
      <c r="G213" s="26"/>
      <c r="H213" s="26"/>
      <c r="I213" s="26"/>
      <c r="J213" s="170"/>
      <c r="K213" s="865"/>
      <c r="L213" s="454"/>
      <c r="M213" s="325"/>
      <c r="N213" s="1295"/>
      <c r="O213" s="165"/>
      <c r="P213" s="295"/>
      <c r="Q213" s="1262"/>
      <c r="R213" s="1262"/>
      <c r="S213" s="1262"/>
      <c r="T213" s="1262"/>
      <c r="U213" s="1262"/>
      <c r="V213" s="1342"/>
      <c r="W213" s="144"/>
      <c r="X213" s="1424"/>
      <c r="Y213" s="1426"/>
      <c r="Z213" s="144">
        <f t="shared" si="53"/>
        <v>0</v>
      </c>
      <c r="AA213" s="36"/>
      <c r="AB213" s="57"/>
      <c r="AC213" s="402"/>
      <c r="AD213" s="1382"/>
      <c r="AE213" s="38"/>
      <c r="AF213" s="38"/>
      <c r="AG213" s="38"/>
      <c r="AH213" s="38"/>
      <c r="AI213" s="175"/>
      <c r="AJ213" s="175"/>
      <c r="AK213" s="175"/>
      <c r="AL213" s="175"/>
      <c r="AM213" s="175"/>
      <c r="AN213" s="175"/>
      <c r="AO213" s="175"/>
      <c r="AP213" s="175"/>
      <c r="AQ213" s="175"/>
      <c r="AR213" s="175"/>
      <c r="AS213" s="175"/>
      <c r="AT213" s="175"/>
      <c r="AU213" s="175"/>
      <c r="AV213" s="175"/>
      <c r="AW213" s="175"/>
      <c r="AX213" s="175"/>
    </row>
    <row r="214" spans="1:52" s="1054" customFormat="1">
      <c r="A214" s="988"/>
      <c r="B214" s="1023"/>
      <c r="C214" s="1055" t="str">
        <f>C204</f>
        <v>PRK.2016.WKT-4.9.53222.307</v>
      </c>
      <c r="D214" s="1050"/>
      <c r="E214" s="992"/>
      <c r="F214" s="992"/>
      <c r="G214" s="656">
        <f>G204</f>
        <v>197954000</v>
      </c>
      <c r="H214" s="860"/>
      <c r="I214" s="860"/>
      <c r="J214" s="1019"/>
      <c r="K214" s="1051"/>
      <c r="L214" s="994"/>
      <c r="M214" s="1353"/>
      <c r="N214" s="1304">
        <f t="shared" ref="N214:V214" si="55">SUM(N204:N213)</f>
        <v>10648000</v>
      </c>
      <c r="O214" s="1304">
        <f t="shared" si="55"/>
        <v>111845350</v>
      </c>
      <c r="P214" s="1304">
        <f t="shared" si="55"/>
        <v>122493350</v>
      </c>
      <c r="Q214" s="1304">
        <f t="shared" si="55"/>
        <v>0</v>
      </c>
      <c r="R214" s="1304">
        <f t="shared" si="55"/>
        <v>0</v>
      </c>
      <c r="S214" s="1304">
        <f t="shared" si="55"/>
        <v>0</v>
      </c>
      <c r="T214" s="1304">
        <f t="shared" si="55"/>
        <v>0</v>
      </c>
      <c r="U214" s="1304">
        <f t="shared" si="55"/>
        <v>0</v>
      </c>
      <c r="V214" s="1304">
        <f t="shared" si="55"/>
        <v>122493350</v>
      </c>
      <c r="W214" s="1364"/>
      <c r="X214" s="1427"/>
      <c r="Y214" s="1428"/>
      <c r="Z214" s="1304">
        <f>SUM(Z204:Z213)</f>
        <v>122493350</v>
      </c>
      <c r="AA214" s="861"/>
      <c r="AB214" s="756">
        <f>+G214-P214</f>
        <v>75460650</v>
      </c>
      <c r="AC214" s="1052"/>
      <c r="AD214" s="1382"/>
      <c r="AE214" s="38"/>
      <c r="AF214" s="38"/>
      <c r="AG214" s="38"/>
      <c r="AH214" s="38"/>
      <c r="AI214" s="1053"/>
      <c r="AJ214" s="1053"/>
      <c r="AK214" s="1053"/>
      <c r="AL214" s="1053"/>
      <c r="AM214" s="1053"/>
      <c r="AN214" s="1053"/>
      <c r="AO214" s="1053"/>
      <c r="AP214" s="1053"/>
      <c r="AQ214" s="1053"/>
      <c r="AR214" s="1053"/>
      <c r="AS214" s="1053"/>
      <c r="AT214" s="1053"/>
      <c r="AU214" s="1053"/>
      <c r="AV214" s="1053"/>
      <c r="AW214" s="1053"/>
      <c r="AX214" s="1053"/>
    </row>
    <row r="215" spans="1:52" s="63" customFormat="1" ht="15.75" customHeight="1" thickBot="1">
      <c r="A215" s="121"/>
      <c r="B215" s="1157"/>
      <c r="C215" s="123"/>
      <c r="D215" s="124"/>
      <c r="E215" s="125"/>
      <c r="F215" s="125"/>
      <c r="G215" s="26">
        <f>E215+F215</f>
        <v>0</v>
      </c>
      <c r="H215" s="26"/>
      <c r="I215" s="26"/>
      <c r="J215" s="127"/>
      <c r="K215" s="133"/>
      <c r="L215" s="133"/>
      <c r="M215" s="134"/>
      <c r="N215" s="1295"/>
      <c r="O215" s="116"/>
      <c r="P215" s="46"/>
      <c r="Q215" s="117"/>
      <c r="R215" s="117"/>
      <c r="S215" s="117"/>
      <c r="T215" s="117"/>
      <c r="U215" s="117"/>
      <c r="V215" s="683"/>
      <c r="W215" s="144"/>
      <c r="X215" s="1424"/>
      <c r="Y215" s="118"/>
      <c r="Z215" s="46"/>
      <c r="AA215" s="119"/>
      <c r="AB215" s="46"/>
      <c r="AC215" s="117"/>
      <c r="AD215" s="1382"/>
      <c r="AE215" s="38"/>
      <c r="AF215" s="38"/>
      <c r="AG215" s="38"/>
      <c r="AH215" s="38"/>
      <c r="AI215" s="61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2"/>
    </row>
    <row r="216" spans="1:52" s="55" customFormat="1" ht="15.75" customHeight="1" thickBot="1">
      <c r="A216" s="2703" t="s">
        <v>2979</v>
      </c>
      <c r="B216" s="2704"/>
      <c r="C216" s="2704"/>
      <c r="D216" s="2705"/>
      <c r="E216" s="65">
        <f>E174+E178+E182+E186+E188+E204</f>
        <v>0</v>
      </c>
      <c r="F216" s="65">
        <f>F174+F178+F182+F186+F188+F204</f>
        <v>1688514000</v>
      </c>
      <c r="G216" s="65">
        <f>G174+G178+G182+G186+G188+G204</f>
        <v>1688514000</v>
      </c>
      <c r="H216" s="65"/>
      <c r="I216" s="65"/>
      <c r="J216" s="65"/>
      <c r="K216" s="66"/>
      <c r="L216" s="1334"/>
      <c r="M216" s="1345"/>
      <c r="N216" s="65">
        <f t="shared" ref="N216:V216" si="56">N176+N180+N184+N186+N202+N214</f>
        <v>162156500</v>
      </c>
      <c r="O216" s="65">
        <f t="shared" si="56"/>
        <v>1435816940</v>
      </c>
      <c r="P216" s="65">
        <f t="shared" si="56"/>
        <v>1597973440</v>
      </c>
      <c r="Q216" s="65">
        <f t="shared" si="56"/>
        <v>0</v>
      </c>
      <c r="R216" s="65">
        <f t="shared" si="56"/>
        <v>0</v>
      </c>
      <c r="S216" s="65">
        <f t="shared" si="56"/>
        <v>0</v>
      </c>
      <c r="T216" s="65">
        <f t="shared" si="56"/>
        <v>0</v>
      </c>
      <c r="U216" s="65">
        <f t="shared" si="56"/>
        <v>0</v>
      </c>
      <c r="V216" s="65">
        <f t="shared" si="56"/>
        <v>1597973440</v>
      </c>
      <c r="W216" s="1257"/>
      <c r="X216" s="1258"/>
      <c r="Y216" s="1258"/>
      <c r="Z216" s="65">
        <f>Z176+Z180+Z184+Z186+Z202+Z214</f>
        <v>1553016440</v>
      </c>
      <c r="AA216" s="65"/>
      <c r="AB216" s="68">
        <f>+G216-P216</f>
        <v>90540560</v>
      </c>
      <c r="AC216" s="76"/>
      <c r="AD216" s="1382"/>
      <c r="AE216" s="38"/>
      <c r="AF216" s="38"/>
      <c r="AG216" s="38"/>
      <c r="AH216" s="38"/>
      <c r="AI216" s="75"/>
      <c r="AJ216" s="100"/>
      <c r="AK216" s="100"/>
      <c r="AL216" s="74"/>
      <c r="AM216" s="74"/>
      <c r="AN216" s="74"/>
      <c r="AO216" s="74"/>
      <c r="AP216" s="64"/>
      <c r="AQ216" s="101" t="e">
        <f>SUM(#REF!)</f>
        <v>#REF!</v>
      </c>
      <c r="AR216" s="101">
        <f t="shared" ref="AR216:AX216" si="57">SUM(AR185:AR185)</f>
        <v>0</v>
      </c>
      <c r="AS216" s="101">
        <f t="shared" si="57"/>
        <v>0</v>
      </c>
      <c r="AT216" s="101">
        <f t="shared" si="57"/>
        <v>0</v>
      </c>
      <c r="AU216" s="101">
        <f t="shared" si="57"/>
        <v>0</v>
      </c>
      <c r="AV216" s="101">
        <f t="shared" si="57"/>
        <v>0</v>
      </c>
      <c r="AW216" s="101">
        <f t="shared" si="57"/>
        <v>0</v>
      </c>
      <c r="AX216" s="102">
        <f t="shared" si="57"/>
        <v>0</v>
      </c>
      <c r="AZ216" s="56"/>
    </row>
    <row r="217" spans="1:52" ht="15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3"/>
      <c r="K217" s="5"/>
      <c r="L217" s="1318"/>
      <c r="M217" s="1318"/>
      <c r="N217" s="1294"/>
      <c r="O217" s="1294"/>
      <c r="P217" s="1256"/>
      <c r="Q217" s="1339"/>
      <c r="R217" s="1339"/>
      <c r="S217" s="1339"/>
      <c r="T217" s="1339"/>
      <c r="U217" s="1339"/>
      <c r="V217" s="144"/>
      <c r="W217" s="1418"/>
      <c r="X217" s="1419"/>
      <c r="Y217" s="1420"/>
      <c r="Z217" s="1419"/>
      <c r="AA217" s="136"/>
      <c r="AB217" s="97"/>
      <c r="AC217" s="342"/>
      <c r="AD217" s="1382"/>
      <c r="AE217" s="38"/>
      <c r="AF217" s="38"/>
      <c r="AG217" s="38"/>
      <c r="AH217" s="38"/>
      <c r="AI217" s="98"/>
      <c r="AJ217" s="98"/>
      <c r="AK217" s="98"/>
      <c r="AL217" s="98"/>
      <c r="AM217" s="98"/>
      <c r="AN217" s="98"/>
      <c r="AO217" s="98"/>
      <c r="AP217" s="99"/>
      <c r="AQ217" s="78"/>
      <c r="AR217" s="78"/>
      <c r="AS217" s="78"/>
      <c r="AT217" s="78"/>
      <c r="AU217" s="78"/>
      <c r="AV217" s="78"/>
      <c r="AW217" s="78"/>
      <c r="AX217" s="78"/>
    </row>
    <row r="218" spans="1:52" s="2496" customFormat="1" ht="31.5">
      <c r="A218" s="2628">
        <v>6</v>
      </c>
      <c r="B218" s="2517" t="s">
        <v>1198</v>
      </c>
      <c r="C218" s="2497" t="s">
        <v>1200</v>
      </c>
      <c r="D218" s="2498" t="s">
        <v>1220</v>
      </c>
      <c r="E218" s="2478"/>
      <c r="F218" s="2478">
        <v>197450000</v>
      </c>
      <c r="G218" s="2478">
        <f>E218+F218</f>
        <v>197450000</v>
      </c>
      <c r="H218" s="2478"/>
      <c r="I218" s="2478"/>
      <c r="J218" s="2504"/>
      <c r="K218" s="2601" t="s">
        <v>1268</v>
      </c>
      <c r="L218" s="2506" t="s">
        <v>980</v>
      </c>
      <c r="M218" s="2507" t="s">
        <v>1269</v>
      </c>
      <c r="N218" s="2483"/>
      <c r="O218" s="2483">
        <v>197450000</v>
      </c>
      <c r="P218" s="2604">
        <v>197450000</v>
      </c>
      <c r="Q218" s="2486"/>
      <c r="R218" s="2486"/>
      <c r="S218" s="2486"/>
      <c r="T218" s="2486"/>
      <c r="U218" s="2486"/>
      <c r="V218" s="2487">
        <v>197450000</v>
      </c>
      <c r="W218" s="2486" t="s">
        <v>1017</v>
      </c>
      <c r="X218" s="2629">
        <v>42478</v>
      </c>
      <c r="Y218" s="2629">
        <v>42487</v>
      </c>
      <c r="Z218" s="2486">
        <v>197450000</v>
      </c>
      <c r="AA218" s="2605">
        <v>1</v>
      </c>
      <c r="AB218" s="2487">
        <f t="shared" ref="AB218:AB237" si="58">+G218-P218</f>
        <v>0</v>
      </c>
      <c r="AC218" s="2491"/>
      <c r="AD218" s="2492"/>
      <c r="AE218" s="2493"/>
      <c r="AF218" s="2493"/>
      <c r="AG218" s="2493"/>
      <c r="AH218" s="2493"/>
      <c r="AI218" s="2491"/>
      <c r="AJ218" s="2491"/>
      <c r="AK218" s="2491"/>
      <c r="AL218" s="2491"/>
      <c r="AM218" s="2491"/>
      <c r="AN218" s="2491"/>
      <c r="AO218" s="2491"/>
      <c r="AP218" s="2495"/>
      <c r="AQ218" s="2491"/>
      <c r="AR218" s="2491"/>
      <c r="AS218" s="2491"/>
      <c r="AT218" s="2491"/>
      <c r="AU218" s="2491"/>
      <c r="AV218" s="2491"/>
      <c r="AW218" s="2491"/>
      <c r="AX218" s="2491"/>
    </row>
    <row r="219" spans="1:52" s="1779" customFormat="1" ht="31.5">
      <c r="A219" s="1806"/>
      <c r="B219" s="2251" t="s">
        <v>1199</v>
      </c>
      <c r="C219" s="2182" t="s">
        <v>1201</v>
      </c>
      <c r="D219" s="2183" t="s">
        <v>1221</v>
      </c>
      <c r="E219" s="1855">
        <v>8800000</v>
      </c>
      <c r="F219" s="1855"/>
      <c r="G219" s="1855">
        <f>E219+F219</f>
        <v>8800000</v>
      </c>
      <c r="H219" s="1855"/>
      <c r="I219" s="1855"/>
      <c r="J219" s="1873"/>
      <c r="K219" s="2184" t="s">
        <v>1270</v>
      </c>
      <c r="L219" s="1866" t="s">
        <v>979</v>
      </c>
      <c r="M219" s="2162" t="s">
        <v>1221</v>
      </c>
      <c r="N219" s="2185">
        <v>8800000</v>
      </c>
      <c r="O219" s="2185"/>
      <c r="P219" s="2186">
        <v>8800000</v>
      </c>
      <c r="Q219" s="2187"/>
      <c r="R219" s="2187"/>
      <c r="S219" s="2187"/>
      <c r="T219" s="2187"/>
      <c r="U219" s="2187"/>
      <c r="V219" s="2187">
        <v>8800000</v>
      </c>
      <c r="W219" s="1863" t="s">
        <v>1077</v>
      </c>
      <c r="X219" s="2188"/>
      <c r="Y219" s="2188"/>
      <c r="Z219" s="1863">
        <v>8800000</v>
      </c>
      <c r="AA219" s="2189">
        <v>1</v>
      </c>
      <c r="AB219" s="1863">
        <f t="shared" si="58"/>
        <v>0</v>
      </c>
      <c r="AC219" s="1828"/>
      <c r="AD219" s="1827"/>
      <c r="AE219" s="1828"/>
      <c r="AF219" s="1828"/>
      <c r="AG219" s="1828"/>
      <c r="AH219" s="1828"/>
      <c r="AI219" s="1828"/>
      <c r="AJ219" s="1828"/>
      <c r="AK219" s="1828"/>
      <c r="AL219" s="1828"/>
      <c r="AM219" s="1828"/>
      <c r="AN219" s="1828"/>
      <c r="AO219" s="1828"/>
      <c r="AP219" s="2190"/>
      <c r="AQ219" s="1828"/>
      <c r="AR219" s="1828"/>
      <c r="AS219" s="1828"/>
      <c r="AT219" s="1828"/>
      <c r="AU219" s="1828"/>
      <c r="AV219" s="1828"/>
      <c r="AW219" s="1828"/>
      <c r="AX219" s="1828"/>
      <c r="AZ219" s="1834"/>
    </row>
    <row r="220" spans="1:52" s="1779" customFormat="1" ht="31.5">
      <c r="A220" s="1806"/>
      <c r="B220" s="2252">
        <v>42481</v>
      </c>
      <c r="C220" s="2182" t="s">
        <v>1202</v>
      </c>
      <c r="D220" s="2183" t="s">
        <v>1222</v>
      </c>
      <c r="E220" s="1855">
        <v>137105100</v>
      </c>
      <c r="F220" s="1855"/>
      <c r="G220" s="1855">
        <f>E220+F220</f>
        <v>137105100</v>
      </c>
      <c r="H220" s="2160"/>
      <c r="I220" s="1872"/>
      <c r="J220" s="1873"/>
      <c r="K220" s="2184" t="s">
        <v>1271</v>
      </c>
      <c r="L220" s="1866" t="s">
        <v>980</v>
      </c>
      <c r="M220" s="2162" t="s">
        <v>1222</v>
      </c>
      <c r="N220" s="2185">
        <v>137105100</v>
      </c>
      <c r="O220" s="2185"/>
      <c r="P220" s="2186">
        <v>137105100</v>
      </c>
      <c r="Q220" s="2187"/>
      <c r="R220" s="2187"/>
      <c r="S220" s="2187"/>
      <c r="T220" s="2187"/>
      <c r="U220" s="2187"/>
      <c r="V220" s="2187">
        <v>137105100</v>
      </c>
      <c r="W220" s="1863" t="s">
        <v>590</v>
      </c>
      <c r="X220" s="2188"/>
      <c r="Y220" s="2188"/>
      <c r="Z220" s="1863">
        <v>137105100</v>
      </c>
      <c r="AA220" s="2189">
        <v>1</v>
      </c>
      <c r="AB220" s="1863">
        <f t="shared" si="58"/>
        <v>0</v>
      </c>
      <c r="AC220" s="1828"/>
      <c r="AD220" s="1827"/>
      <c r="AE220" s="1828"/>
      <c r="AF220" s="1828"/>
      <c r="AG220" s="1828"/>
      <c r="AH220" s="1828"/>
      <c r="AI220" s="1828"/>
      <c r="AJ220" s="1828"/>
      <c r="AK220" s="1828"/>
      <c r="AL220" s="1828"/>
      <c r="AM220" s="1828"/>
      <c r="AN220" s="1828"/>
      <c r="AO220" s="1828"/>
      <c r="AP220" s="2190"/>
      <c r="AQ220" s="1828"/>
      <c r="AR220" s="1828"/>
      <c r="AS220" s="1828"/>
      <c r="AT220" s="1828"/>
      <c r="AU220" s="1828"/>
      <c r="AV220" s="1828"/>
      <c r="AW220" s="1828"/>
      <c r="AX220" s="1828"/>
      <c r="AZ220" s="1834"/>
    </row>
    <row r="221" spans="1:52" s="2328" customFormat="1" ht="31.5">
      <c r="A221" s="2329"/>
      <c r="B221" s="2345"/>
      <c r="C221" s="2316" t="s">
        <v>1203</v>
      </c>
      <c r="D221" s="2317" t="s">
        <v>1223</v>
      </c>
      <c r="E221" s="2318">
        <v>7230300</v>
      </c>
      <c r="F221" s="2318"/>
      <c r="G221" s="2318">
        <f>E221+F221</f>
        <v>7230300</v>
      </c>
      <c r="H221" s="2318"/>
      <c r="I221" s="2318"/>
      <c r="J221" s="2321" t="s">
        <v>1592</v>
      </c>
      <c r="K221" s="2346" t="s">
        <v>1999</v>
      </c>
      <c r="L221" s="2266" t="s">
        <v>786</v>
      </c>
      <c r="M221" s="2268" t="s">
        <v>1591</v>
      </c>
      <c r="N221" s="2347">
        <v>7227000</v>
      </c>
      <c r="O221" s="2335"/>
      <c r="P221" s="2277">
        <f>N221+O221</f>
        <v>7227000</v>
      </c>
      <c r="Q221" s="2277"/>
      <c r="R221" s="2277"/>
      <c r="S221" s="2277"/>
      <c r="T221" s="2277"/>
      <c r="U221" s="2277"/>
      <c r="V221" s="2277">
        <f>P221</f>
        <v>7227000</v>
      </c>
      <c r="W221" s="2277" t="s">
        <v>1998</v>
      </c>
      <c r="X221" s="2339">
        <v>42579</v>
      </c>
      <c r="Y221" s="2339">
        <v>42580</v>
      </c>
      <c r="Z221" s="2277">
        <f>V221</f>
        <v>7227000</v>
      </c>
      <c r="AA221" s="2306">
        <v>1</v>
      </c>
      <c r="AB221" s="2277">
        <f t="shared" si="58"/>
        <v>3300</v>
      </c>
      <c r="AC221" s="2280"/>
      <c r="AD221" s="2279"/>
      <c r="AE221" s="2280"/>
      <c r="AF221" s="2280"/>
      <c r="AG221" s="2280"/>
      <c r="AH221" s="2280"/>
      <c r="AI221" s="2280"/>
      <c r="AJ221" s="2280"/>
      <c r="AK221" s="2280"/>
      <c r="AL221" s="2280"/>
      <c r="AM221" s="2280"/>
      <c r="AN221" s="2280"/>
      <c r="AO221" s="2280"/>
      <c r="AP221" s="2348"/>
      <c r="AQ221" s="2280"/>
      <c r="AR221" s="2280"/>
      <c r="AS221" s="2280"/>
      <c r="AT221" s="2280"/>
      <c r="AU221" s="2280"/>
      <c r="AV221" s="2280"/>
      <c r="AW221" s="2280"/>
      <c r="AX221" s="2280"/>
      <c r="AZ221" s="2344"/>
    </row>
    <row r="222" spans="1:52" s="2328" customFormat="1" ht="47.25">
      <c r="A222" s="2329"/>
      <c r="B222" s="2345"/>
      <c r="C222" s="2316" t="s">
        <v>1204</v>
      </c>
      <c r="D222" s="2317" t="s">
        <v>1224</v>
      </c>
      <c r="E222" s="2318"/>
      <c r="F222" s="2318">
        <v>34980000</v>
      </c>
      <c r="G222" s="2318">
        <f t="shared" ref="G222:G231" si="59">E222+F222</f>
        <v>34980000</v>
      </c>
      <c r="H222" s="2318"/>
      <c r="I222" s="2318"/>
      <c r="J222" s="2321"/>
      <c r="K222" s="2322" t="s">
        <v>1272</v>
      </c>
      <c r="L222" s="2266" t="s">
        <v>1273</v>
      </c>
      <c r="M222" s="2268" t="s">
        <v>1274</v>
      </c>
      <c r="N222" s="2335"/>
      <c r="O222" s="2349">
        <v>34980000</v>
      </c>
      <c r="P222" s="2350">
        <v>34980000</v>
      </c>
      <c r="Q222" s="2351"/>
      <c r="R222" s="2351"/>
      <c r="S222" s="2351"/>
      <c r="T222" s="2351"/>
      <c r="U222" s="2351"/>
      <c r="V222" s="2351">
        <v>34980000</v>
      </c>
      <c r="W222" s="2277" t="s">
        <v>3166</v>
      </c>
      <c r="X222" s="2339">
        <v>42524</v>
      </c>
      <c r="Y222" s="2339">
        <v>42534</v>
      </c>
      <c r="Z222" s="2277">
        <f t="shared" ref="Z222:Z227" si="60">V222</f>
        <v>34980000</v>
      </c>
      <c r="AA222" s="2306">
        <v>1</v>
      </c>
      <c r="AB222" s="2277">
        <f t="shared" si="58"/>
        <v>0</v>
      </c>
      <c r="AC222" s="2280"/>
      <c r="AD222" s="2279"/>
      <c r="AE222" s="2280"/>
      <c r="AF222" s="2280"/>
      <c r="AG222" s="2280"/>
      <c r="AH222" s="2280"/>
      <c r="AI222" s="2280"/>
      <c r="AJ222" s="2280"/>
      <c r="AK222" s="2280"/>
      <c r="AL222" s="2280"/>
      <c r="AM222" s="2280"/>
      <c r="AN222" s="2280"/>
      <c r="AO222" s="2280"/>
      <c r="AP222" s="2348"/>
      <c r="AQ222" s="2280"/>
      <c r="AR222" s="2280"/>
      <c r="AS222" s="2280"/>
      <c r="AT222" s="2280"/>
      <c r="AU222" s="2280"/>
      <c r="AV222" s="2280"/>
      <c r="AW222" s="2280"/>
      <c r="AX222" s="2280"/>
      <c r="AZ222" s="2344"/>
    </row>
    <row r="223" spans="1:52" s="2359" customFormat="1" ht="47.25">
      <c r="A223" s="2352"/>
      <c r="B223" s="2283"/>
      <c r="C223" s="2316" t="s">
        <v>1205</v>
      </c>
      <c r="D223" s="2317" t="s">
        <v>1225</v>
      </c>
      <c r="E223" s="2286"/>
      <c r="F223" s="2286">
        <v>22176000</v>
      </c>
      <c r="G223" s="2318">
        <f t="shared" si="59"/>
        <v>22176000</v>
      </c>
      <c r="H223" s="2318"/>
      <c r="I223" s="2318"/>
      <c r="J223" s="2353"/>
      <c r="K223" s="2294" t="s">
        <v>1275</v>
      </c>
      <c r="L223" s="2296" t="s">
        <v>193</v>
      </c>
      <c r="M223" s="2291" t="s">
        <v>1276</v>
      </c>
      <c r="N223" s="2335"/>
      <c r="O223" s="2354">
        <v>20938500</v>
      </c>
      <c r="P223" s="2354">
        <v>20938500</v>
      </c>
      <c r="Q223" s="2355"/>
      <c r="R223" s="2355"/>
      <c r="S223" s="2355"/>
      <c r="T223" s="2355"/>
      <c r="U223" s="2355"/>
      <c r="V223" s="2354">
        <v>20938500</v>
      </c>
      <c r="W223" s="2277" t="s">
        <v>1938</v>
      </c>
      <c r="X223" s="2339">
        <v>42545</v>
      </c>
      <c r="Y223" s="2356">
        <v>42563</v>
      </c>
      <c r="Z223" s="2277">
        <f t="shared" si="60"/>
        <v>20938500</v>
      </c>
      <c r="AA223" s="2306">
        <v>1</v>
      </c>
      <c r="AB223" s="2277">
        <f t="shared" si="58"/>
        <v>1237500</v>
      </c>
      <c r="AC223" s="2355"/>
      <c r="AD223" s="2279"/>
      <c r="AE223" s="2280"/>
      <c r="AF223" s="2280"/>
      <c r="AG223" s="2280"/>
      <c r="AH223" s="2280"/>
      <c r="AI223" s="2355"/>
      <c r="AJ223" s="2357"/>
      <c r="AK223" s="2357"/>
      <c r="AL223" s="2357"/>
      <c r="AM223" s="2357"/>
      <c r="AN223" s="2357"/>
      <c r="AO223" s="2357"/>
      <c r="AP223" s="2357"/>
      <c r="AQ223" s="2357"/>
      <c r="AR223" s="2357"/>
      <c r="AS223" s="2357"/>
      <c r="AT223" s="2357"/>
      <c r="AU223" s="2357"/>
      <c r="AV223" s="2357"/>
      <c r="AW223" s="2357"/>
      <c r="AX223" s="2358"/>
    </row>
    <row r="224" spans="1:52" s="2343" customFormat="1" ht="47.25">
      <c r="A224" s="2329"/>
      <c r="B224" s="2345"/>
      <c r="C224" s="2316" t="s">
        <v>1206</v>
      </c>
      <c r="D224" s="2317" t="s">
        <v>1226</v>
      </c>
      <c r="E224" s="2318"/>
      <c r="F224" s="2318">
        <v>24200000</v>
      </c>
      <c r="G224" s="2318">
        <f t="shared" si="59"/>
        <v>24200000</v>
      </c>
      <c r="H224" s="2318"/>
      <c r="I224" s="2318"/>
      <c r="J224" s="2321"/>
      <c r="K224" s="2322" t="s">
        <v>1278</v>
      </c>
      <c r="L224" s="2296" t="s">
        <v>193</v>
      </c>
      <c r="M224" s="2268" t="s">
        <v>1279</v>
      </c>
      <c r="N224" s="2349"/>
      <c r="O224" s="2349">
        <v>22000000</v>
      </c>
      <c r="P224" s="2349">
        <v>22000000</v>
      </c>
      <c r="Q224" s="2351"/>
      <c r="R224" s="2351"/>
      <c r="S224" s="2351"/>
      <c r="T224" s="2351"/>
      <c r="U224" s="2351"/>
      <c r="V224" s="2349">
        <v>22000000</v>
      </c>
      <c r="W224" s="2277" t="s">
        <v>1938</v>
      </c>
      <c r="X224" s="2339">
        <v>42545</v>
      </c>
      <c r="Y224" s="2356">
        <v>42563</v>
      </c>
      <c r="Z224" s="2277">
        <f t="shared" si="60"/>
        <v>22000000</v>
      </c>
      <c r="AA224" s="2306">
        <v>1</v>
      </c>
      <c r="AB224" s="2277">
        <f t="shared" si="58"/>
        <v>2200000</v>
      </c>
      <c r="AC224" s="2280"/>
      <c r="AD224" s="2279"/>
      <c r="AE224" s="2280"/>
      <c r="AF224" s="2280"/>
      <c r="AG224" s="2280"/>
      <c r="AH224" s="2280"/>
      <c r="AI224" s="2280"/>
      <c r="AJ224" s="2280"/>
      <c r="AK224" s="2280"/>
      <c r="AL224" s="2280"/>
      <c r="AM224" s="2280"/>
      <c r="AN224" s="2280"/>
      <c r="AO224" s="2280"/>
      <c r="AP224" s="2348"/>
      <c r="AQ224" s="2280"/>
      <c r="AR224" s="2280"/>
      <c r="AS224" s="2280"/>
      <c r="AT224" s="2280"/>
      <c r="AU224" s="2280"/>
      <c r="AV224" s="2280"/>
      <c r="AW224" s="2280"/>
      <c r="AX224" s="2280"/>
    </row>
    <row r="225" spans="1:52" s="2328" customFormat="1" ht="31.5">
      <c r="A225" s="2329"/>
      <c r="B225" s="2345"/>
      <c r="C225" s="2316" t="s">
        <v>1207</v>
      </c>
      <c r="D225" s="2317" t="s">
        <v>1227</v>
      </c>
      <c r="E225" s="2318">
        <v>43994500</v>
      </c>
      <c r="F225" s="2318"/>
      <c r="G225" s="2318">
        <f t="shared" si="59"/>
        <v>43994500</v>
      </c>
      <c r="H225" s="2318"/>
      <c r="I225" s="2318"/>
      <c r="J225" s="2321"/>
      <c r="K225" s="2322" t="s">
        <v>1277</v>
      </c>
      <c r="L225" s="2266" t="s">
        <v>265</v>
      </c>
      <c r="M225" s="2268" t="s">
        <v>1227</v>
      </c>
      <c r="N225" s="2349">
        <v>43994500</v>
      </c>
      <c r="O225" s="2349"/>
      <c r="P225" s="2350">
        <v>43994500</v>
      </c>
      <c r="Q225" s="2351"/>
      <c r="R225" s="2351"/>
      <c r="S225" s="2351"/>
      <c r="T225" s="2351"/>
      <c r="U225" s="2351"/>
      <c r="V225" s="2351">
        <v>43994500</v>
      </c>
      <c r="W225" s="2351" t="s">
        <v>590</v>
      </c>
      <c r="X225" s="2339"/>
      <c r="Y225" s="2339"/>
      <c r="Z225" s="2277">
        <f t="shared" si="60"/>
        <v>43994500</v>
      </c>
      <c r="AA225" s="2306">
        <v>1</v>
      </c>
      <c r="AB225" s="2277">
        <f t="shared" si="58"/>
        <v>0</v>
      </c>
      <c r="AC225" s="2280"/>
      <c r="AD225" s="2279"/>
      <c r="AE225" s="2280"/>
      <c r="AF225" s="2280"/>
      <c r="AG225" s="2280"/>
      <c r="AH225" s="2280"/>
      <c r="AI225" s="2280"/>
      <c r="AJ225" s="2280"/>
      <c r="AK225" s="2280"/>
      <c r="AL225" s="2280"/>
      <c r="AM225" s="2280"/>
      <c r="AN225" s="2280"/>
      <c r="AO225" s="2280"/>
      <c r="AP225" s="2348"/>
      <c r="AQ225" s="2280"/>
      <c r="AR225" s="2280"/>
      <c r="AS225" s="2280"/>
      <c r="AT225" s="2280"/>
      <c r="AU225" s="2280"/>
      <c r="AV225" s="2280"/>
      <c r="AW225" s="2280"/>
      <c r="AX225" s="2280"/>
      <c r="AZ225" s="2344"/>
    </row>
    <row r="226" spans="1:52" s="2454" customFormat="1">
      <c r="A226" s="2460"/>
      <c r="B226" s="2440"/>
      <c r="C226" s="2441" t="s">
        <v>1208</v>
      </c>
      <c r="D226" s="2442" t="s">
        <v>1228</v>
      </c>
      <c r="E226" s="2443">
        <v>282150000</v>
      </c>
      <c r="F226" s="2443"/>
      <c r="G226" s="2443">
        <f t="shared" si="59"/>
        <v>282150000</v>
      </c>
      <c r="H226" s="2443"/>
      <c r="I226" s="2443"/>
      <c r="J226" s="2446"/>
      <c r="K226" s="2630" t="s">
        <v>1280</v>
      </c>
      <c r="L226" s="2456" t="s">
        <v>1281</v>
      </c>
      <c r="M226" s="2434" t="s">
        <v>1228</v>
      </c>
      <c r="N226" s="2462">
        <v>282150000</v>
      </c>
      <c r="O226" s="2462"/>
      <c r="P226" s="2631">
        <v>282150000</v>
      </c>
      <c r="Q226" s="2463"/>
      <c r="R226" s="2463"/>
      <c r="S226" s="2463"/>
      <c r="T226" s="2463"/>
      <c r="U226" s="2463"/>
      <c r="V226" s="2463">
        <v>282150000</v>
      </c>
      <c r="W226" s="2063" t="s">
        <v>1311</v>
      </c>
      <c r="X226" s="2469">
        <v>42488</v>
      </c>
      <c r="Y226" s="2469">
        <v>42499</v>
      </c>
      <c r="Z226" s="2063">
        <f t="shared" si="60"/>
        <v>282150000</v>
      </c>
      <c r="AA226" s="2472">
        <v>1</v>
      </c>
      <c r="AB226" s="2063">
        <f t="shared" si="58"/>
        <v>0</v>
      </c>
      <c r="AC226" s="2066"/>
      <c r="AD226" s="2065"/>
      <c r="AE226" s="2066"/>
      <c r="AF226" s="2066"/>
      <c r="AG226" s="2066"/>
      <c r="AH226" s="2066"/>
      <c r="AI226" s="2066"/>
      <c r="AJ226" s="2066"/>
      <c r="AK226" s="2066"/>
      <c r="AL226" s="2066"/>
      <c r="AM226" s="2066"/>
      <c r="AN226" s="2066"/>
      <c r="AO226" s="2066"/>
      <c r="AP226" s="2465"/>
      <c r="AQ226" s="2066"/>
      <c r="AR226" s="2066"/>
      <c r="AS226" s="2066"/>
      <c r="AT226" s="2066"/>
      <c r="AU226" s="2066"/>
      <c r="AV226" s="2066"/>
      <c r="AW226" s="2066"/>
      <c r="AX226" s="2066"/>
      <c r="AZ226" s="2466"/>
    </row>
    <row r="227" spans="1:52" s="2180" customFormat="1" ht="31.5">
      <c r="A227" s="2173"/>
      <c r="B227" s="2140"/>
      <c r="C227" s="578" t="s">
        <v>1209</v>
      </c>
      <c r="D227" s="2174" t="s">
        <v>1229</v>
      </c>
      <c r="E227" s="591">
        <v>7425000</v>
      </c>
      <c r="F227" s="591"/>
      <c r="G227" s="569">
        <f t="shared" si="59"/>
        <v>7425000</v>
      </c>
      <c r="H227" s="569"/>
      <c r="I227" s="569"/>
      <c r="J227" s="2175"/>
      <c r="K227" s="613"/>
      <c r="L227" s="613"/>
      <c r="M227" s="1344"/>
      <c r="N227" s="1296"/>
      <c r="O227" s="2176">
        <v>7425000</v>
      </c>
      <c r="P227" s="603">
        <v>7425000</v>
      </c>
      <c r="Q227" s="2177"/>
      <c r="R227" s="2177"/>
      <c r="S227" s="2177"/>
      <c r="T227" s="2177"/>
      <c r="U227" s="2177"/>
      <c r="V227" s="603">
        <v>7425000</v>
      </c>
      <c r="W227" s="576" t="s">
        <v>1077</v>
      </c>
      <c r="X227" s="2122">
        <v>42444</v>
      </c>
      <c r="Y227" s="2122">
        <v>42452</v>
      </c>
      <c r="Z227" s="576">
        <f t="shared" si="60"/>
        <v>7425000</v>
      </c>
      <c r="AA227" s="2110">
        <v>1</v>
      </c>
      <c r="AB227" s="576">
        <f t="shared" si="58"/>
        <v>0</v>
      </c>
      <c r="AC227" s="2177"/>
      <c r="AD227" s="1792"/>
      <c r="AE227" s="581"/>
      <c r="AF227" s="581"/>
      <c r="AG227" s="581"/>
      <c r="AH227" s="581"/>
      <c r="AI227" s="2177"/>
      <c r="AJ227" s="2178"/>
      <c r="AK227" s="2178"/>
      <c r="AL227" s="2178"/>
      <c r="AM227" s="2178"/>
      <c r="AN227" s="2178"/>
      <c r="AO227" s="2178"/>
      <c r="AP227" s="2178"/>
      <c r="AQ227" s="2178"/>
      <c r="AR227" s="2178"/>
      <c r="AS227" s="2178"/>
      <c r="AT227" s="2178"/>
      <c r="AU227" s="2178"/>
      <c r="AV227" s="2178"/>
      <c r="AW227" s="2178"/>
      <c r="AX227" s="2179"/>
    </row>
    <row r="228" spans="1:52" s="2191" customFormat="1" ht="31.5">
      <c r="A228" s="1806"/>
      <c r="B228" s="2181"/>
      <c r="C228" s="2182" t="s">
        <v>1210</v>
      </c>
      <c r="D228" s="2183" t="s">
        <v>1230</v>
      </c>
      <c r="E228" s="1855">
        <v>68354000</v>
      </c>
      <c r="F228" s="1855"/>
      <c r="G228" s="1855">
        <f t="shared" si="59"/>
        <v>68354000</v>
      </c>
      <c r="H228" s="1855"/>
      <c r="I228" s="1855"/>
      <c r="J228" s="1873"/>
      <c r="K228" s="2184" t="s">
        <v>1282</v>
      </c>
      <c r="L228" s="1866" t="s">
        <v>979</v>
      </c>
      <c r="M228" s="2162" t="s">
        <v>1283</v>
      </c>
      <c r="N228" s="2185"/>
      <c r="O228" s="2185">
        <v>68354000</v>
      </c>
      <c r="P228" s="2186">
        <v>68354000</v>
      </c>
      <c r="Q228" s="2187"/>
      <c r="R228" s="2187"/>
      <c r="S228" s="2187"/>
      <c r="T228" s="2187"/>
      <c r="U228" s="2187"/>
      <c r="V228" s="2187">
        <v>68354000</v>
      </c>
      <c r="W228" s="1863" t="s">
        <v>1038</v>
      </c>
      <c r="X228" s="2188"/>
      <c r="Y228" s="2188">
        <v>42410</v>
      </c>
      <c r="Z228" s="1863">
        <v>68354000</v>
      </c>
      <c r="AA228" s="2189">
        <v>1</v>
      </c>
      <c r="AB228" s="1863">
        <f t="shared" si="58"/>
        <v>0</v>
      </c>
      <c r="AC228" s="1828"/>
      <c r="AD228" s="1827"/>
      <c r="AE228" s="1828"/>
      <c r="AF228" s="1828"/>
      <c r="AG228" s="1828"/>
      <c r="AH228" s="1828"/>
      <c r="AI228" s="1828"/>
      <c r="AJ228" s="1828"/>
      <c r="AK228" s="1828"/>
      <c r="AL228" s="1828"/>
      <c r="AM228" s="1828"/>
      <c r="AN228" s="1828"/>
      <c r="AO228" s="1828"/>
      <c r="AP228" s="2190"/>
      <c r="AQ228" s="1828"/>
      <c r="AR228" s="1828"/>
      <c r="AS228" s="1828"/>
      <c r="AT228" s="1828"/>
      <c r="AU228" s="1828"/>
      <c r="AV228" s="1828"/>
      <c r="AW228" s="1828"/>
      <c r="AX228" s="1828"/>
    </row>
    <row r="229" spans="1:52" s="1779" customFormat="1" ht="31.5">
      <c r="A229" s="1806"/>
      <c r="B229" s="2181"/>
      <c r="C229" s="2182" t="s">
        <v>1211</v>
      </c>
      <c r="D229" s="2183" t="s">
        <v>1231</v>
      </c>
      <c r="E229" s="1855">
        <v>53097000</v>
      </c>
      <c r="F229" s="1855"/>
      <c r="G229" s="1855">
        <f t="shared" si="59"/>
        <v>53097000</v>
      </c>
      <c r="H229" s="1855"/>
      <c r="I229" s="1855"/>
      <c r="J229" s="1873"/>
      <c r="K229" s="2184" t="s">
        <v>1284</v>
      </c>
      <c r="L229" s="1866" t="s">
        <v>979</v>
      </c>
      <c r="M229" s="2162" t="s">
        <v>1285</v>
      </c>
      <c r="N229" s="2185"/>
      <c r="O229" s="2185">
        <v>53097000</v>
      </c>
      <c r="P229" s="2186">
        <v>53097000</v>
      </c>
      <c r="Q229" s="2187"/>
      <c r="R229" s="2187"/>
      <c r="S229" s="2187"/>
      <c r="T229" s="2187"/>
      <c r="U229" s="2187"/>
      <c r="V229" s="2187">
        <v>53097000</v>
      </c>
      <c r="W229" s="2187" t="s">
        <v>1038</v>
      </c>
      <c r="X229" s="2187"/>
      <c r="Y229" s="2188">
        <v>42410</v>
      </c>
      <c r="Z229" s="2187">
        <v>53097000</v>
      </c>
      <c r="AA229" s="2189">
        <v>1</v>
      </c>
      <c r="AB229" s="1863">
        <f t="shared" si="58"/>
        <v>0</v>
      </c>
      <c r="AC229" s="1828"/>
      <c r="AD229" s="1827"/>
      <c r="AE229" s="1828"/>
      <c r="AF229" s="1828"/>
      <c r="AG229" s="1828"/>
      <c r="AH229" s="1828"/>
      <c r="AI229" s="1828"/>
      <c r="AJ229" s="1828"/>
      <c r="AK229" s="1828"/>
      <c r="AL229" s="1828"/>
      <c r="AM229" s="1828"/>
      <c r="AN229" s="1828"/>
      <c r="AO229" s="1828"/>
      <c r="AP229" s="2190"/>
      <c r="AQ229" s="1828"/>
      <c r="AR229" s="1828"/>
      <c r="AS229" s="1828"/>
      <c r="AT229" s="1828"/>
      <c r="AU229" s="1828"/>
      <c r="AV229" s="1828"/>
      <c r="AW229" s="1828"/>
      <c r="AX229" s="1828"/>
      <c r="AZ229" s="1834"/>
    </row>
    <row r="230" spans="1:52" s="1779" customFormat="1" ht="31.5">
      <c r="A230" s="1806"/>
      <c r="B230" s="2181"/>
      <c r="C230" s="2182" t="s">
        <v>1212</v>
      </c>
      <c r="D230" s="2183" t="s">
        <v>1232</v>
      </c>
      <c r="E230" s="1855">
        <v>45969000</v>
      </c>
      <c r="F230" s="1855"/>
      <c r="G230" s="1855">
        <f t="shared" si="59"/>
        <v>45969000</v>
      </c>
      <c r="H230" s="1855"/>
      <c r="I230" s="1855"/>
      <c r="J230" s="1873"/>
      <c r="K230" s="2184" t="s">
        <v>1286</v>
      </c>
      <c r="L230" s="1866" t="s">
        <v>979</v>
      </c>
      <c r="M230" s="2162" t="s">
        <v>1287</v>
      </c>
      <c r="N230" s="2185"/>
      <c r="O230" s="2185">
        <v>45969000</v>
      </c>
      <c r="P230" s="1861">
        <v>45969000</v>
      </c>
      <c r="Q230" s="1863"/>
      <c r="R230" s="1863"/>
      <c r="S230" s="1863"/>
      <c r="T230" s="1863"/>
      <c r="U230" s="1863"/>
      <c r="V230" s="1863">
        <v>45969000</v>
      </c>
      <c r="W230" s="1863" t="s">
        <v>1038</v>
      </c>
      <c r="X230" s="2188"/>
      <c r="Y230" s="2188">
        <v>42410</v>
      </c>
      <c r="Z230" s="1863">
        <v>45969000</v>
      </c>
      <c r="AA230" s="2189">
        <v>1</v>
      </c>
      <c r="AB230" s="1863">
        <f t="shared" si="58"/>
        <v>0</v>
      </c>
      <c r="AC230" s="1828"/>
      <c r="AD230" s="1827"/>
      <c r="AE230" s="1828"/>
      <c r="AF230" s="1828"/>
      <c r="AG230" s="1828"/>
      <c r="AH230" s="1828"/>
      <c r="AI230" s="1828"/>
      <c r="AJ230" s="1828"/>
      <c r="AK230" s="1828"/>
      <c r="AL230" s="1828"/>
      <c r="AM230" s="1828"/>
      <c r="AN230" s="1828"/>
      <c r="AO230" s="1828"/>
      <c r="AP230" s="2190"/>
      <c r="AQ230" s="1828"/>
      <c r="AR230" s="1828"/>
      <c r="AS230" s="1828"/>
      <c r="AT230" s="1828"/>
      <c r="AU230" s="1828"/>
      <c r="AV230" s="1828"/>
      <c r="AW230" s="1828"/>
      <c r="AX230" s="1828"/>
      <c r="AZ230" s="1834"/>
    </row>
    <row r="231" spans="1:52" s="1779" customFormat="1" ht="31.5">
      <c r="A231" s="1806"/>
      <c r="B231" s="2192"/>
      <c r="C231" s="2182" t="s">
        <v>1213</v>
      </c>
      <c r="D231" s="2183" t="s">
        <v>1233</v>
      </c>
      <c r="E231" s="1854">
        <v>63382000</v>
      </c>
      <c r="F231" s="1854"/>
      <c r="G231" s="1855">
        <f t="shared" si="59"/>
        <v>63382000</v>
      </c>
      <c r="H231" s="1855"/>
      <c r="I231" s="1855"/>
      <c r="J231" s="2193"/>
      <c r="K231" s="2194" t="s">
        <v>1288</v>
      </c>
      <c r="L231" s="1858" t="s">
        <v>979</v>
      </c>
      <c r="M231" s="2195" t="s">
        <v>1289</v>
      </c>
      <c r="N231" s="2196"/>
      <c r="O231" s="2185">
        <v>63382000</v>
      </c>
      <c r="P231" s="1822">
        <v>63382000</v>
      </c>
      <c r="Q231" s="1848"/>
      <c r="R231" s="1848"/>
      <c r="S231" s="1848"/>
      <c r="T231" s="1848"/>
      <c r="U231" s="1848"/>
      <c r="V231" s="1822">
        <v>63382000</v>
      </c>
      <c r="W231" s="1863" t="s">
        <v>1038</v>
      </c>
      <c r="X231" s="2188"/>
      <c r="Y231" s="2188">
        <v>42410</v>
      </c>
      <c r="Z231" s="1822">
        <v>63382000</v>
      </c>
      <c r="AA231" s="2189">
        <v>1</v>
      </c>
      <c r="AB231" s="1863">
        <f t="shared" si="58"/>
        <v>0</v>
      </c>
      <c r="AC231" s="2191"/>
      <c r="AD231" s="1827"/>
      <c r="AE231" s="1828"/>
      <c r="AF231" s="1828"/>
      <c r="AG231" s="1828"/>
      <c r="AH231" s="1828"/>
      <c r="AI231" s="2191"/>
      <c r="AJ231" s="2191"/>
      <c r="AK231" s="2191"/>
      <c r="AL231" s="2191"/>
      <c r="AM231" s="2191"/>
      <c r="AN231" s="2191"/>
      <c r="AO231" s="2191"/>
      <c r="AP231" s="2191"/>
      <c r="AQ231" s="2191"/>
      <c r="AR231" s="2191"/>
      <c r="AS231" s="2191"/>
      <c r="AT231" s="2191"/>
      <c r="AU231" s="2191"/>
      <c r="AV231" s="2191"/>
      <c r="AW231" s="2191"/>
      <c r="AX231" s="2191"/>
      <c r="AZ231" s="1834"/>
    </row>
    <row r="232" spans="1:52" s="2359" customFormat="1" ht="15.75" customHeight="1">
      <c r="A232" s="2352"/>
      <c r="B232" s="2283"/>
      <c r="C232" s="2316" t="s">
        <v>1214</v>
      </c>
      <c r="D232" s="2360" t="s">
        <v>1234</v>
      </c>
      <c r="E232" s="2286">
        <v>253000000</v>
      </c>
      <c r="F232" s="2286"/>
      <c r="G232" s="2318">
        <f t="shared" ref="G232:G237" si="61">E232+F232</f>
        <v>253000000</v>
      </c>
      <c r="H232" s="2318"/>
      <c r="I232" s="2318"/>
      <c r="J232" s="2353"/>
      <c r="K232" s="2296" t="s">
        <v>1290</v>
      </c>
      <c r="L232" s="2296" t="s">
        <v>265</v>
      </c>
      <c r="M232" s="2291" t="s">
        <v>1291</v>
      </c>
      <c r="N232" s="2349">
        <v>253000000</v>
      </c>
      <c r="O232" s="2354"/>
      <c r="P232" s="2361">
        <v>253000000</v>
      </c>
      <c r="Q232" s="2362"/>
      <c r="R232" s="2362"/>
      <c r="S232" s="2362"/>
      <c r="T232" s="2362"/>
      <c r="U232" s="2362"/>
      <c r="V232" s="2361">
        <v>253000000</v>
      </c>
      <c r="W232" s="2351" t="s">
        <v>564</v>
      </c>
      <c r="X232" s="2351"/>
      <c r="Y232" s="2339">
        <v>42410</v>
      </c>
      <c r="Z232" s="2361">
        <v>253000000</v>
      </c>
      <c r="AA232" s="2306">
        <v>1</v>
      </c>
      <c r="AB232" s="2277">
        <f t="shared" si="58"/>
        <v>0</v>
      </c>
      <c r="AC232" s="2355"/>
      <c r="AD232" s="2279"/>
      <c r="AE232" s="2280"/>
      <c r="AF232" s="2280"/>
      <c r="AG232" s="2280"/>
      <c r="AH232" s="2280"/>
      <c r="AI232" s="2355"/>
      <c r="AJ232" s="2357"/>
      <c r="AK232" s="2357"/>
      <c r="AL232" s="2357"/>
      <c r="AM232" s="2357"/>
      <c r="AN232" s="2357"/>
      <c r="AO232" s="2357"/>
      <c r="AP232" s="2357"/>
      <c r="AQ232" s="2357"/>
      <c r="AR232" s="2357"/>
      <c r="AS232" s="2357"/>
      <c r="AT232" s="2357"/>
      <c r="AU232" s="2357"/>
      <c r="AV232" s="2357"/>
      <c r="AW232" s="2357"/>
      <c r="AX232" s="2358"/>
    </row>
    <row r="233" spans="1:52" s="2359" customFormat="1" ht="31.5">
      <c r="A233" s="2352"/>
      <c r="B233" s="2283"/>
      <c r="C233" s="2316" t="s">
        <v>1215</v>
      </c>
      <c r="D233" s="2360" t="s">
        <v>1235</v>
      </c>
      <c r="E233" s="2286">
        <v>12100000</v>
      </c>
      <c r="F233" s="2286"/>
      <c r="G233" s="2318">
        <f t="shared" si="61"/>
        <v>12100000</v>
      </c>
      <c r="H233" s="2318"/>
      <c r="I233" s="2318"/>
      <c r="J233" s="2363"/>
      <c r="K233" s="2294" t="s">
        <v>1292</v>
      </c>
      <c r="L233" s="2296" t="s">
        <v>786</v>
      </c>
      <c r="M233" s="2291" t="s">
        <v>1235</v>
      </c>
      <c r="N233" s="2349">
        <v>12100000</v>
      </c>
      <c r="O233" s="2335"/>
      <c r="P233" s="2302">
        <v>12100000</v>
      </c>
      <c r="Q233" s="2337"/>
      <c r="R233" s="2337"/>
      <c r="S233" s="2337"/>
      <c r="T233" s="2337"/>
      <c r="U233" s="2337"/>
      <c r="V233" s="2302">
        <v>12100000</v>
      </c>
      <c r="W233" s="2277" t="s">
        <v>968</v>
      </c>
      <c r="X233" s="2339"/>
      <c r="Y233" s="2339">
        <v>42474</v>
      </c>
      <c r="Z233" s="2302">
        <v>12100000</v>
      </c>
      <c r="AA233" s="2306">
        <v>1</v>
      </c>
      <c r="AB233" s="2277">
        <f t="shared" si="58"/>
        <v>0</v>
      </c>
      <c r="AC233" s="2337"/>
      <c r="AD233" s="2279"/>
      <c r="AE233" s="2280"/>
      <c r="AF233" s="2280"/>
      <c r="AG233" s="2280"/>
      <c r="AH233" s="2280"/>
      <c r="AI233" s="2337"/>
      <c r="AJ233" s="2364"/>
      <c r="AK233" s="2364"/>
      <c r="AL233" s="2364"/>
      <c r="AM233" s="2364"/>
      <c r="AN233" s="2364"/>
      <c r="AO233" s="2364"/>
      <c r="AP233" s="2364"/>
      <c r="AQ233" s="2364"/>
      <c r="AR233" s="2364"/>
      <c r="AS233" s="2364"/>
      <c r="AT233" s="2364"/>
      <c r="AU233" s="2364"/>
      <c r="AV233" s="2364"/>
      <c r="AW233" s="2364"/>
      <c r="AX233" s="2364"/>
    </row>
    <row r="234" spans="1:52" s="2131" customFormat="1" ht="31.5">
      <c r="A234" s="567"/>
      <c r="B234" s="1156"/>
      <c r="C234" s="578" t="s">
        <v>1216</v>
      </c>
      <c r="D234" s="579" t="s">
        <v>1236</v>
      </c>
      <c r="E234" s="569"/>
      <c r="F234" s="569">
        <v>19597116</v>
      </c>
      <c r="G234" s="569">
        <f t="shared" si="61"/>
        <v>19597116</v>
      </c>
      <c r="H234" s="569"/>
      <c r="I234" s="569"/>
      <c r="J234" s="582"/>
      <c r="K234" s="600" t="s">
        <v>1293</v>
      </c>
      <c r="L234" s="1718" t="s">
        <v>1294</v>
      </c>
      <c r="M234" s="1343" t="s">
        <v>1295</v>
      </c>
      <c r="N234" s="1298"/>
      <c r="O234" s="1298">
        <v>19597116</v>
      </c>
      <c r="P234" s="1801">
        <v>19597116</v>
      </c>
      <c r="Q234" s="576"/>
      <c r="R234" s="576"/>
      <c r="S234" s="576"/>
      <c r="T234" s="576"/>
      <c r="U234" s="576"/>
      <c r="V234" s="576">
        <v>19597116</v>
      </c>
      <c r="W234" s="576" t="s">
        <v>1474</v>
      </c>
      <c r="X234" s="2122">
        <v>42509</v>
      </c>
      <c r="Y234" s="2122">
        <v>42517</v>
      </c>
      <c r="Z234" s="576">
        <f>V233</f>
        <v>12100000</v>
      </c>
      <c r="AA234" s="2110">
        <v>1</v>
      </c>
      <c r="AB234" s="576">
        <f t="shared" si="58"/>
        <v>0</v>
      </c>
      <c r="AC234" s="581"/>
      <c r="AD234" s="1792"/>
      <c r="AE234" s="581"/>
      <c r="AF234" s="581"/>
      <c r="AG234" s="581"/>
      <c r="AH234" s="581"/>
      <c r="AI234" s="581"/>
      <c r="AJ234" s="581"/>
      <c r="AK234" s="581"/>
      <c r="AL234" s="581"/>
      <c r="AM234" s="581"/>
      <c r="AN234" s="581"/>
      <c r="AO234" s="581"/>
      <c r="AP234" s="2124"/>
      <c r="AQ234" s="581"/>
      <c r="AR234" s="581"/>
      <c r="AS234" s="581"/>
      <c r="AT234" s="581"/>
      <c r="AU234" s="581"/>
      <c r="AV234" s="581"/>
      <c r="AW234" s="581"/>
      <c r="AX234" s="581"/>
    </row>
    <row r="235" spans="1:52" s="1431" customFormat="1" ht="31.5">
      <c r="A235" s="567"/>
      <c r="B235" s="1156"/>
      <c r="C235" s="578" t="s">
        <v>1217</v>
      </c>
      <c r="D235" s="579" t="s">
        <v>1237</v>
      </c>
      <c r="E235" s="569"/>
      <c r="F235" s="569">
        <v>37399314</v>
      </c>
      <c r="G235" s="569">
        <f t="shared" si="61"/>
        <v>37399314</v>
      </c>
      <c r="H235" s="569"/>
      <c r="I235" s="569"/>
      <c r="J235" s="582"/>
      <c r="K235" s="600" t="s">
        <v>1296</v>
      </c>
      <c r="L235" s="1718" t="s">
        <v>1298</v>
      </c>
      <c r="M235" s="1343" t="s">
        <v>1297</v>
      </c>
      <c r="N235" s="1298"/>
      <c r="O235" s="1298">
        <v>37250154</v>
      </c>
      <c r="P235" s="1801">
        <f>N235+O235</f>
        <v>37250154</v>
      </c>
      <c r="Q235" s="576"/>
      <c r="R235" s="576"/>
      <c r="S235" s="576"/>
      <c r="T235" s="576"/>
      <c r="U235" s="576"/>
      <c r="V235" s="576">
        <f>P235</f>
        <v>37250154</v>
      </c>
      <c r="W235" s="576" t="s">
        <v>1343</v>
      </c>
      <c r="X235" s="2122">
        <v>42503</v>
      </c>
      <c r="Y235" s="2122">
        <v>42517</v>
      </c>
      <c r="Z235" s="576">
        <f>V234</f>
        <v>19597116</v>
      </c>
      <c r="AA235" s="2110">
        <v>1</v>
      </c>
      <c r="AB235" s="576">
        <f t="shared" si="58"/>
        <v>149160</v>
      </c>
      <c r="AC235" s="581"/>
      <c r="AD235" s="1792"/>
      <c r="AE235" s="581"/>
      <c r="AF235" s="581"/>
      <c r="AG235" s="581"/>
      <c r="AH235" s="581"/>
      <c r="AI235" s="581"/>
      <c r="AJ235" s="581"/>
      <c r="AK235" s="581"/>
      <c r="AL235" s="581"/>
      <c r="AM235" s="581"/>
      <c r="AN235" s="581"/>
      <c r="AO235" s="581"/>
      <c r="AP235" s="2124"/>
      <c r="AQ235" s="581"/>
      <c r="AR235" s="581"/>
      <c r="AS235" s="581"/>
      <c r="AT235" s="581"/>
      <c r="AU235" s="581"/>
      <c r="AV235" s="581"/>
      <c r="AW235" s="581"/>
      <c r="AX235" s="581"/>
    </row>
    <row r="236" spans="1:52" s="1780" customFormat="1" ht="31.5">
      <c r="A236" s="1885"/>
      <c r="B236" s="2253"/>
      <c r="C236" s="2224" t="s">
        <v>1218</v>
      </c>
      <c r="D236" s="2225" t="s">
        <v>1238</v>
      </c>
      <c r="E236" s="1949">
        <v>85602000</v>
      </c>
      <c r="F236" s="1949"/>
      <c r="G236" s="1949">
        <f t="shared" si="61"/>
        <v>85602000</v>
      </c>
      <c r="H236" s="1949"/>
      <c r="I236" s="1949"/>
      <c r="J236" s="1952"/>
      <c r="K236" s="2226" t="s">
        <v>1299</v>
      </c>
      <c r="L236" s="1954" t="s">
        <v>979</v>
      </c>
      <c r="M236" s="2155" t="s">
        <v>1300</v>
      </c>
      <c r="N236" s="2254">
        <v>85602000</v>
      </c>
      <c r="O236" s="2254"/>
      <c r="P236" s="1958">
        <v>85602000</v>
      </c>
      <c r="Q236" s="1960"/>
      <c r="R236" s="1960"/>
      <c r="S236" s="1960"/>
      <c r="T236" s="1960"/>
      <c r="U236" s="1960"/>
      <c r="V236" s="1960">
        <v>85602000</v>
      </c>
      <c r="W236" s="1960" t="s">
        <v>1054</v>
      </c>
      <c r="X236" s="2229"/>
      <c r="Y236" s="2229">
        <v>42433</v>
      </c>
      <c r="Z236" s="1960">
        <v>85602000</v>
      </c>
      <c r="AA236" s="2255">
        <v>1</v>
      </c>
      <c r="AB236" s="1960">
        <f t="shared" si="58"/>
        <v>0</v>
      </c>
      <c r="AC236" s="1904"/>
      <c r="AD236" s="1903"/>
      <c r="AE236" s="1904"/>
      <c r="AF236" s="1904"/>
      <c r="AG236" s="1904"/>
      <c r="AH236" s="1904"/>
      <c r="AI236" s="1904"/>
      <c r="AJ236" s="1904"/>
      <c r="AK236" s="1904"/>
      <c r="AL236" s="1904"/>
      <c r="AM236" s="1904"/>
      <c r="AN236" s="1904"/>
      <c r="AO236" s="1904"/>
      <c r="AP236" s="2231"/>
      <c r="AQ236" s="1904"/>
      <c r="AR236" s="1904"/>
      <c r="AS236" s="1904"/>
      <c r="AT236" s="1904"/>
      <c r="AU236" s="1904"/>
      <c r="AV236" s="1904"/>
      <c r="AW236" s="1904"/>
      <c r="AX236" s="1904"/>
      <c r="AZ236" s="1910"/>
    </row>
    <row r="237" spans="1:52" s="1778" customFormat="1" ht="32.25" thickBot="1">
      <c r="A237" s="567"/>
      <c r="B237" s="1156"/>
      <c r="C237" s="578" t="s">
        <v>1219</v>
      </c>
      <c r="D237" s="579" t="s">
        <v>1239</v>
      </c>
      <c r="E237" s="569">
        <v>65835000</v>
      </c>
      <c r="F237" s="569"/>
      <c r="G237" s="569">
        <f t="shared" si="61"/>
        <v>65835000</v>
      </c>
      <c r="H237" s="569"/>
      <c r="I237" s="569"/>
      <c r="J237" s="582"/>
      <c r="K237" s="600" t="s">
        <v>1301</v>
      </c>
      <c r="L237" s="1718" t="s">
        <v>1303</v>
      </c>
      <c r="M237" s="1343" t="s">
        <v>1302</v>
      </c>
      <c r="N237" s="1298">
        <v>65835000</v>
      </c>
      <c r="O237" s="1298"/>
      <c r="P237" s="1801">
        <v>65835000</v>
      </c>
      <c r="Q237" s="576"/>
      <c r="R237" s="576"/>
      <c r="S237" s="576"/>
      <c r="T237" s="576"/>
      <c r="U237" s="576"/>
      <c r="V237" s="576">
        <v>65835000</v>
      </c>
      <c r="W237" s="576" t="s">
        <v>1017</v>
      </c>
      <c r="X237" s="2122">
        <v>42478</v>
      </c>
      <c r="Y237" s="2122">
        <v>42487</v>
      </c>
      <c r="Z237" s="576">
        <v>65835000</v>
      </c>
      <c r="AA237" s="2110">
        <v>1</v>
      </c>
      <c r="AB237" s="576">
        <f t="shared" si="58"/>
        <v>0</v>
      </c>
      <c r="AC237" s="581"/>
      <c r="AD237" s="1792"/>
      <c r="AE237" s="581"/>
      <c r="AF237" s="581"/>
      <c r="AG237" s="581"/>
      <c r="AH237" s="581"/>
      <c r="AI237" s="581"/>
      <c r="AJ237" s="581"/>
      <c r="AK237" s="581"/>
      <c r="AL237" s="581"/>
      <c r="AM237" s="581"/>
      <c r="AN237" s="581"/>
      <c r="AO237" s="581"/>
      <c r="AP237" s="2124"/>
      <c r="AQ237" s="581"/>
      <c r="AR237" s="581"/>
      <c r="AS237" s="581"/>
      <c r="AT237" s="581"/>
      <c r="AU237" s="581"/>
      <c r="AV237" s="581"/>
      <c r="AW237" s="581"/>
      <c r="AX237" s="581"/>
      <c r="AZ237" s="1431"/>
    </row>
    <row r="238" spans="1:52" s="55" customFormat="1" ht="15.75" customHeight="1" thickBot="1">
      <c r="A238" s="2703" t="str">
        <f>B218</f>
        <v>006.DIST/AO/BRU/2016/M</v>
      </c>
      <c r="B238" s="2704"/>
      <c r="C238" s="2704"/>
      <c r="D238" s="2705"/>
      <c r="E238" s="65">
        <f>SUM(E218:E237)</f>
        <v>1134043900</v>
      </c>
      <c r="F238" s="65">
        <f>SUM(F218:F237)</f>
        <v>335802430</v>
      </c>
      <c r="G238" s="65">
        <f>SUM(G218:G237)</f>
        <v>1469846330</v>
      </c>
      <c r="H238" s="65"/>
      <c r="I238" s="65"/>
      <c r="J238" s="65"/>
      <c r="K238" s="66"/>
      <c r="L238" s="1334"/>
      <c r="M238" s="1345"/>
      <c r="N238" s="65">
        <f t="shared" ref="N238:V238" si="62">SUM(N218:N237)</f>
        <v>895813600</v>
      </c>
      <c r="O238" s="65">
        <f t="shared" si="62"/>
        <v>570442770</v>
      </c>
      <c r="P238" s="65">
        <f t="shared" si="62"/>
        <v>1466256370</v>
      </c>
      <c r="Q238" s="65">
        <f t="shared" si="62"/>
        <v>0</v>
      </c>
      <c r="R238" s="65">
        <f t="shared" si="62"/>
        <v>0</v>
      </c>
      <c r="S238" s="65">
        <f t="shared" si="62"/>
        <v>0</v>
      </c>
      <c r="T238" s="65">
        <f t="shared" si="62"/>
        <v>0</v>
      </c>
      <c r="U238" s="65">
        <f t="shared" si="62"/>
        <v>0</v>
      </c>
      <c r="V238" s="65">
        <f t="shared" si="62"/>
        <v>1466256370</v>
      </c>
      <c r="W238" s="1257"/>
      <c r="X238" s="1258"/>
      <c r="Y238" s="1258"/>
      <c r="Z238" s="65">
        <f>SUM(Z218:Z237)</f>
        <v>1441106216</v>
      </c>
      <c r="AA238" s="65"/>
      <c r="AB238" s="65">
        <f>SUM(AB218:AB237)</f>
        <v>3589960</v>
      </c>
      <c r="AC238" s="76"/>
      <c r="AD238" s="1382"/>
      <c r="AE238" s="38"/>
      <c r="AF238" s="38"/>
      <c r="AG238" s="38"/>
      <c r="AH238" s="38"/>
      <c r="AI238" s="75"/>
      <c r="AJ238" s="100"/>
      <c r="AK238" s="100"/>
      <c r="AL238" s="74"/>
      <c r="AM238" s="74"/>
      <c r="AN238" s="74"/>
      <c r="AO238" s="74"/>
      <c r="AP238" s="64"/>
      <c r="AQ238" s="101" t="e">
        <f>SUM(#REF!)</f>
        <v>#REF!</v>
      </c>
      <c r="AR238" s="101">
        <f t="shared" ref="AR238:AX238" si="63">SUM(AR223:AR223)</f>
        <v>0</v>
      </c>
      <c r="AS238" s="101">
        <f t="shared" si="63"/>
        <v>0</v>
      </c>
      <c r="AT238" s="101">
        <f t="shared" si="63"/>
        <v>0</v>
      </c>
      <c r="AU238" s="101">
        <f t="shared" si="63"/>
        <v>0</v>
      </c>
      <c r="AV238" s="101">
        <f t="shared" si="63"/>
        <v>0</v>
      </c>
      <c r="AW238" s="101">
        <f t="shared" si="63"/>
        <v>0</v>
      </c>
      <c r="AX238" s="102">
        <f t="shared" si="63"/>
        <v>0</v>
      </c>
      <c r="AZ238" s="56"/>
    </row>
    <row r="239" spans="1:52" s="538" customFormat="1" ht="15.75" customHeight="1">
      <c r="A239" s="561"/>
      <c r="B239" s="1037"/>
      <c r="C239" s="1037"/>
      <c r="D239" s="1038"/>
      <c r="E239" s="264"/>
      <c r="F239" s="264"/>
      <c r="G239" s="264"/>
      <c r="H239" s="264"/>
      <c r="I239" s="264"/>
      <c r="J239" s="1039"/>
      <c r="K239" s="1040"/>
      <c r="L239" s="1337"/>
      <c r="M239" s="1354"/>
      <c r="N239" s="510"/>
      <c r="O239" s="510"/>
      <c r="P239" s="510"/>
      <c r="Q239" s="510"/>
      <c r="R239" s="510"/>
      <c r="S239" s="510"/>
      <c r="T239" s="510"/>
      <c r="U239" s="510"/>
      <c r="V239" s="510"/>
      <c r="W239" s="349"/>
      <c r="X239" s="1412"/>
      <c r="Y239" s="1412"/>
      <c r="Z239" s="510"/>
      <c r="AA239" s="510"/>
      <c r="AB239" s="510"/>
      <c r="AC239" s="352"/>
      <c r="AD239" s="1382"/>
      <c r="AE239" s="38"/>
      <c r="AF239" s="38"/>
      <c r="AG239" s="38"/>
      <c r="AH239" s="38"/>
      <c r="AI239" s="75"/>
      <c r="AJ239" s="100"/>
      <c r="AK239" s="100"/>
      <c r="AL239" s="74"/>
      <c r="AM239" s="74"/>
      <c r="AN239" s="74"/>
      <c r="AO239" s="74"/>
      <c r="AP239" s="64"/>
      <c r="AQ239" s="510"/>
      <c r="AR239" s="510"/>
      <c r="AS239" s="510"/>
      <c r="AT239" s="510"/>
      <c r="AU239" s="510"/>
      <c r="AV239" s="510"/>
      <c r="AW239" s="510"/>
      <c r="AX239" s="1041"/>
      <c r="AZ239" s="100"/>
    </row>
    <row r="240" spans="1:52" s="2496" customFormat="1" ht="31.5">
      <c r="A240" s="2628">
        <v>7</v>
      </c>
      <c r="B240" s="2517" t="s">
        <v>1450</v>
      </c>
      <c r="C240" s="2497" t="s">
        <v>1452</v>
      </c>
      <c r="D240" s="2498" t="s">
        <v>1453</v>
      </c>
      <c r="E240" s="2478"/>
      <c r="F240" s="2478">
        <v>129840000</v>
      </c>
      <c r="G240" s="2478">
        <f>E240+F240</f>
        <v>129840000</v>
      </c>
      <c r="H240" s="2478"/>
      <c r="I240" s="2478"/>
      <c r="J240" s="2504"/>
      <c r="K240" s="2632" t="s">
        <v>2853</v>
      </c>
      <c r="L240" s="2581"/>
      <c r="M240" s="2633" t="s">
        <v>1951</v>
      </c>
      <c r="N240" s="2582">
        <v>0</v>
      </c>
      <c r="O240" s="2582">
        <v>86560000</v>
      </c>
      <c r="P240" s="2604">
        <f t="shared" ref="P240:P245" si="64">N240+O240</f>
        <v>86560000</v>
      </c>
      <c r="Q240" s="2486"/>
      <c r="R240" s="2486"/>
      <c r="S240" s="2486"/>
      <c r="T240" s="2486"/>
      <c r="U240" s="2486"/>
      <c r="V240" s="2487">
        <f t="shared" ref="V240:V245" si="65">P240</f>
        <v>86560000</v>
      </c>
      <c r="W240" s="2488" t="s">
        <v>1950</v>
      </c>
      <c r="X240" s="2634">
        <v>42549</v>
      </c>
      <c r="Y240" s="2634">
        <v>42543</v>
      </c>
      <c r="Z240" s="2488">
        <f t="shared" ref="Z240:Z245" si="66">V240</f>
        <v>86560000</v>
      </c>
      <c r="AA240" s="2605">
        <v>1</v>
      </c>
      <c r="AB240" s="2487">
        <f t="shared" ref="AB240:AB245" si="67">+G240-P240</f>
        <v>43280000</v>
      </c>
      <c r="AC240" s="2491"/>
      <c r="AD240" s="2492"/>
      <c r="AE240" s="2493"/>
      <c r="AF240" s="2493"/>
      <c r="AG240" s="2493"/>
      <c r="AH240" s="2493"/>
      <c r="AI240" s="2491"/>
      <c r="AJ240" s="2491"/>
      <c r="AK240" s="2491"/>
      <c r="AL240" s="2491"/>
      <c r="AM240" s="2491"/>
      <c r="AN240" s="2491"/>
      <c r="AO240" s="2491"/>
      <c r="AP240" s="2495"/>
      <c r="AQ240" s="2491"/>
      <c r="AR240" s="2491"/>
      <c r="AS240" s="2491"/>
      <c r="AT240" s="2491"/>
      <c r="AU240" s="2491"/>
      <c r="AV240" s="2491"/>
      <c r="AW240" s="2491"/>
      <c r="AX240" s="2491"/>
    </row>
    <row r="241" spans="1:52" s="2496" customFormat="1" ht="31.5">
      <c r="A241" s="2474"/>
      <c r="B241" s="2475" t="s">
        <v>1451</v>
      </c>
      <c r="C241" s="2497"/>
      <c r="D241" s="2498"/>
      <c r="E241" s="2478"/>
      <c r="F241" s="2478"/>
      <c r="G241" s="2478">
        <f>E241+F241</f>
        <v>0</v>
      </c>
      <c r="H241" s="2478"/>
      <c r="I241" s="2478"/>
      <c r="J241" s="2504"/>
      <c r="K241" s="2498" t="s">
        <v>2851</v>
      </c>
      <c r="L241" s="2602"/>
      <c r="M241" s="2477" t="s">
        <v>2852</v>
      </c>
      <c r="N241" s="2512"/>
      <c r="O241" s="2512">
        <v>8815000</v>
      </c>
      <c r="P241" s="2604">
        <f t="shared" si="64"/>
        <v>8815000</v>
      </c>
      <c r="Q241" s="2486"/>
      <c r="R241" s="2486"/>
      <c r="S241" s="2486"/>
      <c r="T241" s="2486"/>
      <c r="U241" s="2486"/>
      <c r="V241" s="2487">
        <f t="shared" si="65"/>
        <v>8815000</v>
      </c>
      <c r="W241" s="2487" t="s">
        <v>2816</v>
      </c>
      <c r="X241" s="2489">
        <v>42663</v>
      </c>
      <c r="Y241" s="2489">
        <v>42668</v>
      </c>
      <c r="Z241" s="2488">
        <f t="shared" si="66"/>
        <v>8815000</v>
      </c>
      <c r="AA241" s="2605">
        <v>1</v>
      </c>
      <c r="AB241" s="2487">
        <f t="shared" si="67"/>
        <v>-8815000</v>
      </c>
      <c r="AC241" s="2493"/>
      <c r="AD241" s="2492"/>
      <c r="AE241" s="2493"/>
      <c r="AF241" s="2493"/>
      <c r="AG241" s="2493"/>
      <c r="AH241" s="2493"/>
      <c r="AI241" s="2493"/>
      <c r="AJ241" s="2493"/>
      <c r="AK241" s="2493"/>
      <c r="AL241" s="2493"/>
      <c r="AM241" s="2493"/>
      <c r="AN241" s="2493"/>
      <c r="AO241" s="2493"/>
      <c r="AP241" s="2501"/>
      <c r="AQ241" s="2493"/>
      <c r="AR241" s="2493"/>
      <c r="AS241" s="2493"/>
      <c r="AT241" s="2493"/>
      <c r="AU241" s="2493"/>
      <c r="AV241" s="2493"/>
      <c r="AW241" s="2493"/>
      <c r="AX241" s="2493"/>
      <c r="AZ241" s="2502"/>
    </row>
    <row r="242" spans="1:52" s="2496" customFormat="1" ht="31.5">
      <c r="A242" s="2474"/>
      <c r="B242" s="2503">
        <v>42508</v>
      </c>
      <c r="C242" s="2497"/>
      <c r="D242" s="2498"/>
      <c r="E242" s="2478"/>
      <c r="F242" s="2478"/>
      <c r="G242" s="2478">
        <f>E242+F242</f>
        <v>0</v>
      </c>
      <c r="H242" s="2614"/>
      <c r="I242" s="2600"/>
      <c r="J242" s="2504"/>
      <c r="K242" s="2606" t="s">
        <v>3387</v>
      </c>
      <c r="L242" s="2602"/>
      <c r="M242" s="2507" t="s">
        <v>3388</v>
      </c>
      <c r="N242" s="2512"/>
      <c r="O242" s="2512">
        <v>7670000</v>
      </c>
      <c r="P242" s="2604">
        <f t="shared" si="64"/>
        <v>7670000</v>
      </c>
      <c r="Q242" s="2486"/>
      <c r="R242" s="2486"/>
      <c r="S242" s="2486"/>
      <c r="T242" s="2486"/>
      <c r="U242" s="2486"/>
      <c r="V242" s="2487">
        <f t="shared" si="65"/>
        <v>7670000</v>
      </c>
      <c r="W242" s="2487" t="s">
        <v>3386</v>
      </c>
      <c r="X242" s="2489">
        <v>42704</v>
      </c>
      <c r="Y242" s="2618">
        <v>42710</v>
      </c>
      <c r="Z242" s="2627">
        <f t="shared" si="66"/>
        <v>7670000</v>
      </c>
      <c r="AA242" s="2620">
        <v>1</v>
      </c>
      <c r="AB242" s="2487">
        <f t="shared" si="67"/>
        <v>-7670000</v>
      </c>
      <c r="AC242" s="2493"/>
      <c r="AD242" s="2492"/>
      <c r="AE242" s="2493"/>
      <c r="AF242" s="2493"/>
      <c r="AG242" s="2493"/>
      <c r="AH242" s="2493"/>
      <c r="AI242" s="2493"/>
      <c r="AJ242" s="2493"/>
      <c r="AK242" s="2493"/>
      <c r="AL242" s="2493"/>
      <c r="AM242" s="2493"/>
      <c r="AN242" s="2493"/>
      <c r="AO242" s="2493"/>
      <c r="AP242" s="2501"/>
      <c r="AQ242" s="2493"/>
      <c r="AR242" s="2493"/>
      <c r="AS242" s="2493"/>
      <c r="AT242" s="2493"/>
      <c r="AU242" s="2493"/>
      <c r="AV242" s="2493"/>
      <c r="AW242" s="2493"/>
      <c r="AX242" s="2493"/>
      <c r="AZ242" s="2502"/>
    </row>
    <row r="243" spans="1:52" s="2496" customFormat="1" ht="31.5">
      <c r="A243" s="2474"/>
      <c r="B243" s="2503"/>
      <c r="C243" s="2497"/>
      <c r="D243" s="2498"/>
      <c r="E243" s="2478"/>
      <c r="F243" s="2478"/>
      <c r="G243" s="2478"/>
      <c r="H243" s="2614"/>
      <c r="I243" s="2600"/>
      <c r="J243" s="2504" t="s">
        <v>3489</v>
      </c>
      <c r="K243" s="2606" t="s">
        <v>3500</v>
      </c>
      <c r="L243" s="2602" t="s">
        <v>786</v>
      </c>
      <c r="M243" s="2507" t="s">
        <v>3490</v>
      </c>
      <c r="N243" s="2512">
        <v>9147600</v>
      </c>
      <c r="O243" s="2512"/>
      <c r="P243" s="2604">
        <f t="shared" si="64"/>
        <v>9147600</v>
      </c>
      <c r="Q243" s="2486"/>
      <c r="R243" s="2486"/>
      <c r="S243" s="2486"/>
      <c r="T243" s="2486"/>
      <c r="U243" s="2486"/>
      <c r="V243" s="2487">
        <f t="shared" si="65"/>
        <v>9147600</v>
      </c>
      <c r="W243" s="2487" t="s">
        <v>3546</v>
      </c>
      <c r="X243" s="2489">
        <v>42728</v>
      </c>
      <c r="Y243" s="2489">
        <v>42732</v>
      </c>
      <c r="Z243" s="2627">
        <f t="shared" si="66"/>
        <v>9147600</v>
      </c>
      <c r="AA243" s="2620">
        <v>1</v>
      </c>
      <c r="AB243" s="2487">
        <f t="shared" si="67"/>
        <v>-9147600</v>
      </c>
      <c r="AC243" s="2493"/>
      <c r="AD243" s="2492"/>
      <c r="AE243" s="2493"/>
      <c r="AF243" s="2493"/>
      <c r="AG243" s="2493"/>
      <c r="AH243" s="2493"/>
      <c r="AI243" s="2493"/>
      <c r="AJ243" s="2493"/>
      <c r="AK243" s="2493"/>
      <c r="AL243" s="2493"/>
      <c r="AM243" s="2493"/>
      <c r="AN243" s="2493"/>
      <c r="AO243" s="2493"/>
      <c r="AP243" s="2501"/>
      <c r="AQ243" s="2493"/>
      <c r="AR243" s="2493"/>
      <c r="AS243" s="2493"/>
      <c r="AT243" s="2493"/>
      <c r="AU243" s="2493"/>
      <c r="AV243" s="2493"/>
      <c r="AW243" s="2493"/>
      <c r="AX243" s="2493"/>
      <c r="AZ243" s="2502"/>
    </row>
    <row r="244" spans="1:52" s="2496" customFormat="1" ht="31.5">
      <c r="A244" s="2474"/>
      <c r="B244" s="2503"/>
      <c r="C244" s="2497"/>
      <c r="D244" s="2498"/>
      <c r="E244" s="2478"/>
      <c r="F244" s="2478"/>
      <c r="G244" s="2478"/>
      <c r="H244" s="2614"/>
      <c r="I244" s="2600"/>
      <c r="J244" s="2504" t="s">
        <v>3491</v>
      </c>
      <c r="K244" s="2606" t="s">
        <v>3499</v>
      </c>
      <c r="L244" s="2602" t="s">
        <v>786</v>
      </c>
      <c r="M244" s="2507" t="s">
        <v>3492</v>
      </c>
      <c r="N244" s="2512">
        <v>9801000</v>
      </c>
      <c r="O244" s="2512"/>
      <c r="P244" s="2604">
        <f t="shared" si="64"/>
        <v>9801000</v>
      </c>
      <c r="Q244" s="2635"/>
      <c r="R244" s="2635"/>
      <c r="S244" s="2635"/>
      <c r="T244" s="2635"/>
      <c r="U244" s="2635"/>
      <c r="V244" s="2487">
        <f t="shared" si="65"/>
        <v>9801000</v>
      </c>
      <c r="W244" s="2487" t="s">
        <v>3546</v>
      </c>
      <c r="X244" s="2489">
        <v>42728</v>
      </c>
      <c r="Y244" s="2489">
        <v>42732</v>
      </c>
      <c r="Z244" s="2627">
        <f t="shared" si="66"/>
        <v>9801000</v>
      </c>
      <c r="AA244" s="2620">
        <v>1</v>
      </c>
      <c r="AB244" s="2487">
        <f t="shared" si="67"/>
        <v>-9801000</v>
      </c>
      <c r="AC244" s="2493"/>
      <c r="AD244" s="2492"/>
      <c r="AE244" s="2493"/>
      <c r="AF244" s="2493"/>
      <c r="AG244" s="2493"/>
      <c r="AH244" s="2493"/>
      <c r="AI244" s="2493"/>
      <c r="AJ244" s="2493"/>
      <c r="AK244" s="2493"/>
      <c r="AL244" s="2493"/>
      <c r="AM244" s="2493"/>
      <c r="AN244" s="2493"/>
      <c r="AO244" s="2493"/>
      <c r="AP244" s="2501"/>
      <c r="AQ244" s="2493"/>
      <c r="AR244" s="2493"/>
      <c r="AS244" s="2493"/>
      <c r="AT244" s="2493"/>
      <c r="AU244" s="2493"/>
      <c r="AV244" s="2493"/>
      <c r="AW244" s="2493"/>
      <c r="AX244" s="2493"/>
      <c r="AZ244" s="2502"/>
    </row>
    <row r="245" spans="1:52" s="2496" customFormat="1" ht="31.5">
      <c r="A245" s="2474"/>
      <c r="B245" s="2503"/>
      <c r="C245" s="2497"/>
      <c r="D245" s="2498"/>
      <c r="E245" s="2478"/>
      <c r="F245" s="2478"/>
      <c r="G245" s="2478"/>
      <c r="H245" s="2614"/>
      <c r="I245" s="2600"/>
      <c r="J245" s="2504"/>
      <c r="K245" s="2606" t="s">
        <v>3614</v>
      </c>
      <c r="L245" s="2602"/>
      <c r="M245" s="2507" t="s">
        <v>3615</v>
      </c>
      <c r="N245" s="2512">
        <v>6960000</v>
      </c>
      <c r="O245" s="2512"/>
      <c r="P245" s="2604">
        <f t="shared" si="64"/>
        <v>6960000</v>
      </c>
      <c r="Q245" s="2635"/>
      <c r="R245" s="2635"/>
      <c r="S245" s="2635"/>
      <c r="T245" s="2635"/>
      <c r="U245" s="2635"/>
      <c r="V245" s="2487">
        <f t="shared" si="65"/>
        <v>6960000</v>
      </c>
      <c r="W245" s="2487" t="s">
        <v>3546</v>
      </c>
      <c r="X245" s="2489">
        <v>42728</v>
      </c>
      <c r="Y245" s="2489">
        <v>42732</v>
      </c>
      <c r="Z245" s="2627">
        <f t="shared" si="66"/>
        <v>6960000</v>
      </c>
      <c r="AA245" s="2620">
        <v>1</v>
      </c>
      <c r="AB245" s="2487">
        <f t="shared" si="67"/>
        <v>-6960000</v>
      </c>
      <c r="AC245" s="2493"/>
      <c r="AD245" s="2492"/>
      <c r="AE245" s="2493"/>
      <c r="AF245" s="2493"/>
      <c r="AG245" s="2493"/>
      <c r="AH245" s="2493"/>
      <c r="AI245" s="2493"/>
      <c r="AJ245" s="2493"/>
      <c r="AK245" s="2493"/>
      <c r="AL245" s="2493"/>
      <c r="AM245" s="2493"/>
      <c r="AN245" s="2493"/>
      <c r="AO245" s="2493"/>
      <c r="AP245" s="2501"/>
      <c r="AQ245" s="2493"/>
      <c r="AR245" s="2493"/>
      <c r="AS245" s="2493"/>
      <c r="AT245" s="2493"/>
      <c r="AU245" s="2493"/>
      <c r="AV245" s="2493"/>
      <c r="AW245" s="2493"/>
      <c r="AX245" s="2493"/>
      <c r="AZ245" s="2502"/>
    </row>
    <row r="246" spans="1:52" ht="16.5" thickBot="1">
      <c r="A246" s="22"/>
      <c r="B246" s="1161"/>
      <c r="C246" s="24"/>
      <c r="D246" s="25"/>
      <c r="E246" s="26"/>
      <c r="F246" s="26"/>
      <c r="G246" s="26"/>
      <c r="H246" s="26"/>
      <c r="I246" s="26"/>
      <c r="J246" s="126"/>
      <c r="K246" s="34"/>
      <c r="L246" s="248"/>
      <c r="M246" s="72"/>
      <c r="N246" s="1295"/>
      <c r="O246" s="1295"/>
      <c r="P246" s="139"/>
      <c r="Q246" s="144"/>
      <c r="R246" s="144"/>
      <c r="S246" s="144"/>
      <c r="T246" s="144"/>
      <c r="U246" s="144"/>
      <c r="V246" s="144"/>
      <c r="W246" s="144"/>
      <c r="X246" s="1424"/>
      <c r="Y246" s="1424"/>
      <c r="Z246" s="144"/>
      <c r="AA246" s="36"/>
      <c r="AB246" s="433"/>
      <c r="AC246" s="38"/>
      <c r="AD246" s="1382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9"/>
      <c r="AQ246" s="38"/>
      <c r="AR246" s="38"/>
      <c r="AS246" s="38"/>
      <c r="AT246" s="38"/>
      <c r="AU246" s="38"/>
      <c r="AV246" s="38"/>
      <c r="AW246" s="38"/>
      <c r="AX246" s="38"/>
      <c r="AZ246" s="40"/>
    </row>
    <row r="247" spans="1:52" s="55" customFormat="1" ht="15.75" customHeight="1" thickBot="1">
      <c r="A247" s="2703" t="str">
        <f>B240</f>
        <v>007.DIST/AO/BRU/2016/M</v>
      </c>
      <c r="B247" s="2704"/>
      <c r="C247" s="2704"/>
      <c r="D247" s="2705"/>
      <c r="E247" s="65">
        <f>SUM(E240:E246)</f>
        <v>0</v>
      </c>
      <c r="F247" s="65">
        <f>SUM(F240:F246)</f>
        <v>129840000</v>
      </c>
      <c r="G247" s="65">
        <f>SUM(G240:G246)</f>
        <v>129840000</v>
      </c>
      <c r="H247" s="65"/>
      <c r="I247" s="65"/>
      <c r="J247" s="65"/>
      <c r="K247" s="66"/>
      <c r="L247" s="1334"/>
      <c r="M247" s="1345"/>
      <c r="N247" s="65">
        <f t="shared" ref="N247:V247" si="68">SUM(N240:N246)</f>
        <v>25908600</v>
      </c>
      <c r="O247" s="65">
        <f t="shared" si="68"/>
        <v>103045000</v>
      </c>
      <c r="P247" s="65">
        <f t="shared" si="68"/>
        <v>128953600</v>
      </c>
      <c r="Q247" s="65">
        <f t="shared" si="68"/>
        <v>0</v>
      </c>
      <c r="R247" s="65">
        <f t="shared" si="68"/>
        <v>0</v>
      </c>
      <c r="S247" s="65">
        <f t="shared" si="68"/>
        <v>0</v>
      </c>
      <c r="T247" s="65">
        <f t="shared" si="68"/>
        <v>0</v>
      </c>
      <c r="U247" s="65">
        <f t="shared" si="68"/>
        <v>0</v>
      </c>
      <c r="V247" s="65">
        <f t="shared" si="68"/>
        <v>128953600</v>
      </c>
      <c r="W247" s="1257"/>
      <c r="X247" s="1258"/>
      <c r="Y247" s="1258"/>
      <c r="Z247" s="65">
        <f>SUM(Z240:Z246)</f>
        <v>128953600</v>
      </c>
      <c r="AA247" s="65"/>
      <c r="AB247" s="65">
        <f>SUM(AB240:AB246)</f>
        <v>886400</v>
      </c>
      <c r="AC247" s="76"/>
      <c r="AD247" s="1382"/>
      <c r="AE247" s="38"/>
      <c r="AF247" s="38"/>
      <c r="AG247" s="38"/>
      <c r="AH247" s="38"/>
      <c r="AI247" s="75"/>
      <c r="AJ247" s="100"/>
      <c r="AK247" s="100"/>
      <c r="AL247" s="74"/>
      <c r="AM247" s="74"/>
      <c r="AN247" s="74"/>
      <c r="AO247" s="74"/>
      <c r="AP247" s="64"/>
      <c r="AQ247" s="101" t="e">
        <f>SUM(#REF!)</f>
        <v>#REF!</v>
      </c>
      <c r="AR247" s="101" t="e">
        <f>SUM(#REF!)</f>
        <v>#REF!</v>
      </c>
      <c r="AS247" s="101" t="e">
        <f>SUM(#REF!)</f>
        <v>#REF!</v>
      </c>
      <c r="AT247" s="101" t="e">
        <f>SUM(#REF!)</f>
        <v>#REF!</v>
      </c>
      <c r="AU247" s="101" t="e">
        <f>SUM(#REF!)</f>
        <v>#REF!</v>
      </c>
      <c r="AV247" s="101" t="e">
        <f>SUM(#REF!)</f>
        <v>#REF!</v>
      </c>
      <c r="AW247" s="101" t="e">
        <f>SUM(#REF!)</f>
        <v>#REF!</v>
      </c>
      <c r="AX247" s="102" t="e">
        <f>SUM(#REF!)</f>
        <v>#REF!</v>
      </c>
      <c r="AZ247" s="56"/>
    </row>
    <row r="248" spans="1:52" s="538" customFormat="1" ht="15.75" customHeight="1">
      <c r="A248" s="561"/>
      <c r="B248" s="1037"/>
      <c r="C248" s="1037"/>
      <c r="D248" s="1038"/>
      <c r="E248" s="264"/>
      <c r="F248" s="264"/>
      <c r="G248" s="264"/>
      <c r="H248" s="264"/>
      <c r="I248" s="264"/>
      <c r="J248" s="1039"/>
      <c r="K248" s="1040"/>
      <c r="L248" s="1337"/>
      <c r="M248" s="1354"/>
      <c r="N248" s="510"/>
      <c r="O248" s="510"/>
      <c r="P248" s="510"/>
      <c r="Q248" s="510"/>
      <c r="R248" s="510"/>
      <c r="S248" s="510"/>
      <c r="T248" s="510"/>
      <c r="U248" s="510"/>
      <c r="V248" s="510"/>
      <c r="W248" s="349"/>
      <c r="X248" s="1412"/>
      <c r="Y248" s="1412"/>
      <c r="Z248" s="510"/>
      <c r="AA248" s="510"/>
      <c r="AB248" s="510"/>
      <c r="AC248" s="352"/>
      <c r="AD248" s="1382"/>
      <c r="AE248" s="38"/>
      <c r="AF248" s="38"/>
      <c r="AG248" s="38"/>
      <c r="AH248" s="38"/>
      <c r="AI248" s="75"/>
      <c r="AJ248" s="100"/>
      <c r="AK248" s="100"/>
      <c r="AL248" s="74"/>
      <c r="AM248" s="74"/>
      <c r="AN248" s="74"/>
      <c r="AO248" s="74"/>
      <c r="AP248" s="64"/>
      <c r="AQ248" s="510"/>
      <c r="AR248" s="510"/>
      <c r="AS248" s="510"/>
      <c r="AT248" s="510"/>
      <c r="AU248" s="510"/>
      <c r="AV248" s="510"/>
      <c r="AW248" s="510"/>
      <c r="AX248" s="1041"/>
      <c r="AZ248" s="100"/>
    </row>
    <row r="249" spans="1:52" s="2328" customFormat="1" ht="47.25">
      <c r="A249" s="2315">
        <v>8</v>
      </c>
      <c r="B249" s="2345" t="s">
        <v>1454</v>
      </c>
      <c r="C249" s="2316" t="s">
        <v>1456</v>
      </c>
      <c r="D249" s="2317" t="s">
        <v>1457</v>
      </c>
      <c r="E249" s="2318"/>
      <c r="F249" s="2318">
        <v>177705660</v>
      </c>
      <c r="G249" s="2318">
        <f>E249+F249</f>
        <v>177705660</v>
      </c>
      <c r="H249" s="2365" t="s">
        <v>1857</v>
      </c>
      <c r="I249" s="2320">
        <v>42552</v>
      </c>
      <c r="J249" s="2321" t="s">
        <v>1733</v>
      </c>
      <c r="K249" s="2301" t="s">
        <v>1975</v>
      </c>
      <c r="L249" s="2266" t="s">
        <v>1749</v>
      </c>
      <c r="M249" s="2268" t="s">
        <v>1734</v>
      </c>
      <c r="N249" s="2269">
        <v>77000000</v>
      </c>
      <c r="O249" s="2269"/>
      <c r="P249" s="2271">
        <f>N249+O249</f>
        <v>77000000</v>
      </c>
      <c r="Q249" s="2323"/>
      <c r="R249" s="2323"/>
      <c r="S249" s="2323"/>
      <c r="T249" s="2323"/>
      <c r="U249" s="2323"/>
      <c r="V249" s="2277">
        <f>P249</f>
        <v>77000000</v>
      </c>
      <c r="W249" s="2277" t="s">
        <v>3045</v>
      </c>
      <c r="X249" s="2339">
        <v>42671</v>
      </c>
      <c r="Y249" s="2339">
        <v>42676</v>
      </c>
      <c r="Z249" s="2277">
        <f>V249</f>
        <v>77000000</v>
      </c>
      <c r="AA249" s="2366">
        <v>1</v>
      </c>
      <c r="AB249" s="2277">
        <f>+G249-P249</f>
        <v>100705660</v>
      </c>
      <c r="AC249" s="2326"/>
      <c r="AD249" s="2279"/>
      <c r="AE249" s="2280"/>
      <c r="AF249" s="2280"/>
      <c r="AG249" s="2280"/>
      <c r="AH249" s="2280"/>
      <c r="AI249" s="2326"/>
      <c r="AJ249" s="2326"/>
      <c r="AK249" s="2326"/>
      <c r="AL249" s="2326"/>
      <c r="AM249" s="2326"/>
      <c r="AN249" s="2326"/>
      <c r="AO249" s="2326"/>
      <c r="AP249" s="2327"/>
      <c r="AQ249" s="2326"/>
      <c r="AR249" s="2326"/>
      <c r="AS249" s="2326"/>
      <c r="AT249" s="2326"/>
      <c r="AU249" s="2326"/>
      <c r="AV249" s="2326"/>
      <c r="AW249" s="2326"/>
      <c r="AX249" s="2326"/>
    </row>
    <row r="250" spans="1:52" s="2328" customFormat="1" ht="31.5">
      <c r="A250" s="2329"/>
      <c r="B250" s="2367" t="s">
        <v>1455</v>
      </c>
      <c r="C250" s="2316"/>
      <c r="D250" s="2317"/>
      <c r="E250" s="2318"/>
      <c r="F250" s="2318"/>
      <c r="G250" s="2318">
        <f>E250+F250</f>
        <v>0</v>
      </c>
      <c r="H250" s="2318"/>
      <c r="I250" s="2318"/>
      <c r="J250" s="2321" t="s">
        <v>2581</v>
      </c>
      <c r="K250" s="2322" t="s">
        <v>3161</v>
      </c>
      <c r="L250" s="2266" t="s">
        <v>3160</v>
      </c>
      <c r="M250" s="2268" t="s">
        <v>2582</v>
      </c>
      <c r="N250" s="2349">
        <v>8800000</v>
      </c>
      <c r="O250" s="2349"/>
      <c r="P250" s="2271">
        <f>N250+O250</f>
        <v>8800000</v>
      </c>
      <c r="Q250" s="2351"/>
      <c r="R250" s="2351"/>
      <c r="S250" s="2351"/>
      <c r="T250" s="2351"/>
      <c r="U250" s="2351"/>
      <c r="V250" s="2351">
        <f>P250</f>
        <v>8800000</v>
      </c>
      <c r="W250" s="2277" t="s">
        <v>3386</v>
      </c>
      <c r="X250" s="2339">
        <v>42704</v>
      </c>
      <c r="Y250" s="2340">
        <v>42710</v>
      </c>
      <c r="Z250" s="2368">
        <f>V250</f>
        <v>8800000</v>
      </c>
      <c r="AA250" s="2369">
        <v>1</v>
      </c>
      <c r="AB250" s="2277">
        <f>+G250-P250</f>
        <v>-8800000</v>
      </c>
      <c r="AC250" s="2280"/>
      <c r="AD250" s="2279"/>
      <c r="AE250" s="2280"/>
      <c r="AF250" s="2280"/>
      <c r="AG250" s="2280"/>
      <c r="AH250" s="2280"/>
      <c r="AI250" s="2280"/>
      <c r="AJ250" s="2280"/>
      <c r="AK250" s="2280"/>
      <c r="AL250" s="2280"/>
      <c r="AM250" s="2280"/>
      <c r="AN250" s="2280"/>
      <c r="AO250" s="2280"/>
      <c r="AP250" s="2348"/>
      <c r="AQ250" s="2280"/>
      <c r="AR250" s="2280"/>
      <c r="AS250" s="2280"/>
      <c r="AT250" s="2280"/>
      <c r="AU250" s="2280"/>
      <c r="AV250" s="2280"/>
      <c r="AW250" s="2280"/>
      <c r="AX250" s="2280"/>
      <c r="AZ250" s="2344"/>
    </row>
    <row r="251" spans="1:52" s="2328" customFormat="1" ht="47.25">
      <c r="A251" s="2329"/>
      <c r="B251" s="2370">
        <v>42508</v>
      </c>
      <c r="C251" s="2316"/>
      <c r="D251" s="2317"/>
      <c r="E251" s="2318"/>
      <c r="F251" s="2318"/>
      <c r="G251" s="2318">
        <f>E251+F251</f>
        <v>0</v>
      </c>
      <c r="H251" s="2319" t="s">
        <v>2918</v>
      </c>
      <c r="I251" s="2320">
        <v>42634</v>
      </c>
      <c r="J251" s="2321"/>
      <c r="K251" s="2322" t="s">
        <v>2919</v>
      </c>
      <c r="L251" s="2266" t="s">
        <v>2921</v>
      </c>
      <c r="M251" s="2268" t="s">
        <v>2920</v>
      </c>
      <c r="N251" s="2349">
        <v>61103460</v>
      </c>
      <c r="O251" s="2349"/>
      <c r="P251" s="2271">
        <f>N251+O251</f>
        <v>61103460</v>
      </c>
      <c r="Q251" s="2351"/>
      <c r="R251" s="2351"/>
      <c r="S251" s="2351"/>
      <c r="T251" s="2351"/>
      <c r="U251" s="2351"/>
      <c r="V251" s="2351">
        <f>P251</f>
        <v>61103460</v>
      </c>
      <c r="W251" s="2277"/>
      <c r="X251" s="2339"/>
      <c r="Y251" s="2339"/>
      <c r="Z251" s="2277">
        <v>61103460</v>
      </c>
      <c r="AA251" s="2306"/>
      <c r="AB251" s="2277">
        <f>+G251-P251</f>
        <v>-61103460</v>
      </c>
      <c r="AC251" s="2280"/>
      <c r="AD251" s="2279"/>
      <c r="AE251" s="2280"/>
      <c r="AF251" s="2280"/>
      <c r="AG251" s="2280"/>
      <c r="AH251" s="2280"/>
      <c r="AI251" s="2280"/>
      <c r="AJ251" s="2280"/>
      <c r="AK251" s="2280"/>
      <c r="AL251" s="2280"/>
      <c r="AM251" s="2280"/>
      <c r="AN251" s="2280"/>
      <c r="AO251" s="2280"/>
      <c r="AP251" s="2348"/>
      <c r="AQ251" s="2280"/>
      <c r="AR251" s="2280"/>
      <c r="AS251" s="2280"/>
      <c r="AT251" s="2280"/>
      <c r="AU251" s="2280"/>
      <c r="AV251" s="2280"/>
      <c r="AW251" s="2280"/>
      <c r="AX251" s="2280"/>
      <c r="AZ251" s="2344"/>
    </row>
    <row r="252" spans="1:52" s="2328" customFormat="1" ht="48" thickBot="1">
      <c r="A252" s="2329"/>
      <c r="B252" s="2345"/>
      <c r="C252" s="2316"/>
      <c r="D252" s="2317"/>
      <c r="E252" s="2318"/>
      <c r="F252" s="2318"/>
      <c r="G252" s="2318"/>
      <c r="H252" s="2365" t="s">
        <v>3193</v>
      </c>
      <c r="I252" s="2320">
        <v>42677</v>
      </c>
      <c r="J252" s="2321" t="s">
        <v>2922</v>
      </c>
      <c r="K252" s="2301" t="s">
        <v>3320</v>
      </c>
      <c r="L252" s="2266" t="s">
        <v>1749</v>
      </c>
      <c r="M252" s="2268" t="s">
        <v>1734</v>
      </c>
      <c r="N252" s="2347">
        <v>30800000</v>
      </c>
      <c r="O252" s="2335"/>
      <c r="P252" s="2271">
        <f>N252+O252</f>
        <v>30800000</v>
      </c>
      <c r="Q252" s="2277"/>
      <c r="R252" s="2277"/>
      <c r="S252" s="2277"/>
      <c r="T252" s="2277"/>
      <c r="U252" s="2277"/>
      <c r="V252" s="2351">
        <f>P252</f>
        <v>30800000</v>
      </c>
      <c r="W252" s="2277" t="s">
        <v>3540</v>
      </c>
      <c r="X252" s="2339">
        <v>42719</v>
      </c>
      <c r="Y252" s="2339">
        <v>42724</v>
      </c>
      <c r="Z252" s="2368">
        <f>V252</f>
        <v>30800000</v>
      </c>
      <c r="AA252" s="2369">
        <v>1</v>
      </c>
      <c r="AB252" s="2277">
        <f>+G252-P252</f>
        <v>-30800000</v>
      </c>
      <c r="AC252" s="2280"/>
      <c r="AD252" s="2279"/>
      <c r="AE252" s="2280"/>
      <c r="AF252" s="2280"/>
      <c r="AG252" s="2280"/>
      <c r="AH252" s="2280"/>
      <c r="AI252" s="2280"/>
      <c r="AJ252" s="2280"/>
      <c r="AK252" s="2280"/>
      <c r="AL252" s="2280"/>
      <c r="AM252" s="2280"/>
      <c r="AN252" s="2280"/>
      <c r="AO252" s="2280"/>
      <c r="AP252" s="2348"/>
      <c r="AQ252" s="2280"/>
      <c r="AR252" s="2280"/>
      <c r="AS252" s="2280"/>
      <c r="AT252" s="2280"/>
      <c r="AU252" s="2280"/>
      <c r="AV252" s="2280"/>
      <c r="AW252" s="2280"/>
      <c r="AX252" s="2280"/>
      <c r="AZ252" s="2344"/>
    </row>
    <row r="253" spans="1:52" s="55" customFormat="1" ht="15.75" customHeight="1" thickBot="1">
      <c r="A253" s="2703" t="str">
        <f>B249</f>
        <v>008.DIST/AO/BRU/2016/M</v>
      </c>
      <c r="B253" s="2704"/>
      <c r="C253" s="2704"/>
      <c r="D253" s="2705"/>
      <c r="E253" s="65">
        <f>SUM(E249:E252)</f>
        <v>0</v>
      </c>
      <c r="F253" s="65">
        <f>SUM(F249:F252)</f>
        <v>177705660</v>
      </c>
      <c r="G253" s="65">
        <f>SUM(G249:G252)</f>
        <v>177705660</v>
      </c>
      <c r="H253" s="65"/>
      <c r="I253" s="65"/>
      <c r="J253" s="65"/>
      <c r="K253" s="66"/>
      <c r="L253" s="1334"/>
      <c r="M253" s="1345"/>
      <c r="N253" s="65">
        <f t="shared" ref="N253:V253" si="69">SUM(N249:N252)</f>
        <v>177703460</v>
      </c>
      <c r="O253" s="65">
        <f t="shared" si="69"/>
        <v>0</v>
      </c>
      <c r="P253" s="65">
        <f t="shared" si="69"/>
        <v>177703460</v>
      </c>
      <c r="Q253" s="65">
        <f t="shared" si="69"/>
        <v>0</v>
      </c>
      <c r="R253" s="65">
        <f t="shared" si="69"/>
        <v>0</v>
      </c>
      <c r="S253" s="65">
        <f t="shared" si="69"/>
        <v>0</v>
      </c>
      <c r="T253" s="65">
        <f t="shared" si="69"/>
        <v>0</v>
      </c>
      <c r="U253" s="65">
        <f t="shared" si="69"/>
        <v>0</v>
      </c>
      <c r="V253" s="65">
        <f t="shared" si="69"/>
        <v>177703460</v>
      </c>
      <c r="W253" s="1257"/>
      <c r="X253" s="1258"/>
      <c r="Y253" s="1258"/>
      <c r="Z253" s="65">
        <f>SUM(Z249:Z252)</f>
        <v>177703460</v>
      </c>
      <c r="AA253" s="65"/>
      <c r="AB253" s="65">
        <f>SUM(AB249:AB252)</f>
        <v>2200</v>
      </c>
      <c r="AC253" s="76"/>
      <c r="AD253" s="1382"/>
      <c r="AE253" s="38"/>
      <c r="AF253" s="38"/>
      <c r="AG253" s="38"/>
      <c r="AH253" s="38"/>
      <c r="AI253" s="75"/>
      <c r="AJ253" s="100"/>
      <c r="AK253" s="100"/>
      <c r="AL253" s="74"/>
      <c r="AM253" s="74"/>
      <c r="AN253" s="74"/>
      <c r="AO253" s="74"/>
      <c r="AP253" s="64"/>
      <c r="AQ253" s="101" t="e">
        <f>SUM(#REF!)</f>
        <v>#REF!</v>
      </c>
      <c r="AR253" s="101" t="e">
        <f>SUM(#REF!)</f>
        <v>#REF!</v>
      </c>
      <c r="AS253" s="101" t="e">
        <f>SUM(#REF!)</f>
        <v>#REF!</v>
      </c>
      <c r="AT253" s="101" t="e">
        <f>SUM(#REF!)</f>
        <v>#REF!</v>
      </c>
      <c r="AU253" s="101" t="e">
        <f>SUM(#REF!)</f>
        <v>#REF!</v>
      </c>
      <c r="AV253" s="101" t="e">
        <f>SUM(#REF!)</f>
        <v>#REF!</v>
      </c>
      <c r="AW253" s="101" t="e">
        <f>SUM(#REF!)</f>
        <v>#REF!</v>
      </c>
      <c r="AX253" s="102" t="e">
        <f>SUM(#REF!)</f>
        <v>#REF!</v>
      </c>
      <c r="AZ253" s="56"/>
    </row>
    <row r="254" spans="1:52" s="2454" customFormat="1" ht="47.25">
      <c r="A254" s="2439">
        <v>9</v>
      </c>
      <c r="B254" s="2440" t="s">
        <v>1407</v>
      </c>
      <c r="C254" s="2441" t="s">
        <v>1405</v>
      </c>
      <c r="D254" s="2442" t="s">
        <v>1409</v>
      </c>
      <c r="E254" s="2443"/>
      <c r="F254" s="2443">
        <v>234936000</v>
      </c>
      <c r="G254" s="2443">
        <f>E254+F254</f>
        <v>234936000</v>
      </c>
      <c r="H254" s="2444" t="s">
        <v>1490</v>
      </c>
      <c r="I254" s="2445">
        <v>42517</v>
      </c>
      <c r="J254" s="2446" t="s">
        <v>1412</v>
      </c>
      <c r="K254" s="2055" t="s">
        <v>2631</v>
      </c>
      <c r="L254" s="2433" t="s">
        <v>2632</v>
      </c>
      <c r="M254" s="2434" t="s">
        <v>1413</v>
      </c>
      <c r="N254" s="2447"/>
      <c r="O254" s="2447">
        <v>97020000</v>
      </c>
      <c r="P254" s="2448">
        <f>N254+O254</f>
        <v>97020000</v>
      </c>
      <c r="Q254" s="2449"/>
      <c r="R254" s="2449"/>
      <c r="S254" s="2449"/>
      <c r="T254" s="2449"/>
      <c r="U254" s="2449"/>
      <c r="V254" s="2063">
        <f>P254</f>
        <v>97020000</v>
      </c>
      <c r="W254" s="2428" t="s">
        <v>3649</v>
      </c>
      <c r="X254" s="2450">
        <v>42728</v>
      </c>
      <c r="Y254" s="2450">
        <v>42732</v>
      </c>
      <c r="Z254" s="2428">
        <f>V254</f>
        <v>97020000</v>
      </c>
      <c r="AA254" s="2451">
        <v>1</v>
      </c>
      <c r="AB254" s="2063">
        <f t="shared" ref="AB254:AB268" si="70">+G254-P254</f>
        <v>137916000</v>
      </c>
      <c r="AC254" s="2452"/>
      <c r="AD254" s="2065"/>
      <c r="AE254" s="2066"/>
      <c r="AF254" s="2067">
        <f>V254</f>
        <v>97020000</v>
      </c>
      <c r="AG254" s="2066"/>
      <c r="AH254" s="2066"/>
      <c r="AI254" s="2452"/>
      <c r="AJ254" s="2452"/>
      <c r="AK254" s="2452"/>
      <c r="AL254" s="2452"/>
      <c r="AM254" s="2452"/>
      <c r="AN254" s="2452"/>
      <c r="AO254" s="2452"/>
      <c r="AP254" s="2453"/>
      <c r="AQ254" s="2452"/>
      <c r="AR254" s="2452"/>
      <c r="AS254" s="2452"/>
      <c r="AT254" s="2452"/>
      <c r="AU254" s="2452"/>
      <c r="AV254" s="2452"/>
      <c r="AW254" s="2452"/>
      <c r="AX254" s="2452"/>
    </row>
    <row r="255" spans="1:52" s="2454" customFormat="1" ht="47.25">
      <c r="A255" s="2439"/>
      <c r="B255" s="2455" t="s">
        <v>1408</v>
      </c>
      <c r="C255" s="2441"/>
      <c r="D255" s="2442"/>
      <c r="E255" s="2443"/>
      <c r="F255" s="2443"/>
      <c r="G255" s="2443"/>
      <c r="H255" s="2444" t="s">
        <v>1548</v>
      </c>
      <c r="I255" s="2445">
        <v>42529</v>
      </c>
      <c r="J255" s="2446" t="s">
        <v>1536</v>
      </c>
      <c r="K255" s="2055" t="s">
        <v>1770</v>
      </c>
      <c r="L255" s="2456" t="s">
        <v>2633</v>
      </c>
      <c r="M255" s="2434" t="s">
        <v>1537</v>
      </c>
      <c r="N255" s="2447">
        <v>38824500</v>
      </c>
      <c r="O255" s="2447"/>
      <c r="P255" s="2448">
        <f>N255+O255</f>
        <v>38824500</v>
      </c>
      <c r="Q255" s="2449"/>
      <c r="R255" s="2449"/>
      <c r="S255" s="2449"/>
      <c r="T255" s="2449"/>
      <c r="U255" s="2449"/>
      <c r="V255" s="2063">
        <f>P255</f>
        <v>38824500</v>
      </c>
      <c r="W255" s="2428" t="s">
        <v>3060</v>
      </c>
      <c r="X255" s="2450">
        <v>42678</v>
      </c>
      <c r="Y255" s="2450">
        <v>42684</v>
      </c>
      <c r="Z255" s="2428">
        <f>V255</f>
        <v>38824500</v>
      </c>
      <c r="AA255" s="2451">
        <v>1</v>
      </c>
      <c r="AB255" s="2063">
        <f t="shared" si="70"/>
        <v>-38824500</v>
      </c>
      <c r="AC255" s="2452"/>
      <c r="AD255" s="2065"/>
      <c r="AE255" s="2066"/>
      <c r="AF255" s="2067">
        <f>V255</f>
        <v>38824500</v>
      </c>
      <c r="AG255" s="2066"/>
      <c r="AH255" s="2066"/>
      <c r="AI255" s="2452"/>
      <c r="AJ255" s="2452"/>
      <c r="AK255" s="2452"/>
      <c r="AL255" s="2452"/>
      <c r="AM255" s="2452"/>
      <c r="AN255" s="2452"/>
      <c r="AO255" s="2452"/>
      <c r="AP255" s="2453"/>
      <c r="AQ255" s="2452"/>
      <c r="AR255" s="2452"/>
      <c r="AS255" s="2452"/>
      <c r="AT255" s="2452"/>
      <c r="AU255" s="2452"/>
      <c r="AV255" s="2452"/>
      <c r="AW255" s="2452"/>
      <c r="AX255" s="2452"/>
    </row>
    <row r="256" spans="1:52" s="2454" customFormat="1" ht="47.25">
      <c r="A256" s="2439"/>
      <c r="B256" s="2457">
        <v>42506</v>
      </c>
      <c r="C256" s="2441"/>
      <c r="D256" s="2442"/>
      <c r="E256" s="2443"/>
      <c r="F256" s="2443"/>
      <c r="G256" s="2443"/>
      <c r="H256" s="2444" t="s">
        <v>1667</v>
      </c>
      <c r="I256" s="2445">
        <v>42545</v>
      </c>
      <c r="J256" s="2446" t="s">
        <v>1653</v>
      </c>
      <c r="K256" s="2055" t="s">
        <v>2634</v>
      </c>
      <c r="L256" s="2456" t="s">
        <v>1371</v>
      </c>
      <c r="M256" s="2434" t="s">
        <v>1654</v>
      </c>
      <c r="N256" s="2447">
        <v>96965000</v>
      </c>
      <c r="O256" s="2447"/>
      <c r="P256" s="2448">
        <f>N256+O256</f>
        <v>96965000</v>
      </c>
      <c r="Q256" s="2449"/>
      <c r="R256" s="2449"/>
      <c r="S256" s="2449"/>
      <c r="T256" s="2449"/>
      <c r="U256" s="2449"/>
      <c r="V256" s="2063">
        <f>P256</f>
        <v>96965000</v>
      </c>
      <c r="W256" s="2458" t="s">
        <v>3446</v>
      </c>
      <c r="X256" s="2459">
        <v>42718</v>
      </c>
      <c r="Y256" s="2459">
        <v>42720</v>
      </c>
      <c r="Z256" s="2428">
        <f>V256</f>
        <v>96965000</v>
      </c>
      <c r="AA256" s="2451">
        <v>1</v>
      </c>
      <c r="AB256" s="2063">
        <f t="shared" si="70"/>
        <v>-96965000</v>
      </c>
      <c r="AC256" s="2452"/>
      <c r="AD256" s="2065"/>
      <c r="AE256" s="2066"/>
      <c r="AF256" s="2067">
        <f>V256</f>
        <v>96965000</v>
      </c>
      <c r="AG256" s="2066"/>
      <c r="AH256" s="2066"/>
      <c r="AI256" s="2452"/>
      <c r="AJ256" s="2452"/>
      <c r="AK256" s="2452"/>
      <c r="AL256" s="2452"/>
      <c r="AM256" s="2452"/>
      <c r="AN256" s="2452"/>
      <c r="AO256" s="2452"/>
      <c r="AP256" s="2453"/>
      <c r="AQ256" s="2452"/>
      <c r="AR256" s="2452"/>
      <c r="AS256" s="2452"/>
      <c r="AT256" s="2452"/>
      <c r="AU256" s="2452"/>
      <c r="AV256" s="2452"/>
      <c r="AW256" s="2452"/>
      <c r="AX256" s="2452"/>
    </row>
    <row r="257" spans="1:52" s="769" customFormat="1">
      <c r="A257" s="652"/>
      <c r="B257" s="862"/>
      <c r="C257" s="863" t="str">
        <f>C254</f>
        <v>PRK.2016.WKT-1.9.53222.6</v>
      </c>
      <c r="D257" s="760"/>
      <c r="E257" s="656"/>
      <c r="F257" s="656"/>
      <c r="G257" s="656">
        <f>G254</f>
        <v>234936000</v>
      </c>
      <c r="H257" s="1046"/>
      <c r="I257" s="1047"/>
      <c r="J257" s="762"/>
      <c r="K257" s="775"/>
      <c r="L257" s="1332"/>
      <c r="M257" s="776"/>
      <c r="N257" s="783">
        <f t="shared" ref="N257:V257" si="71">SUM(N254:N256)</f>
        <v>135789500</v>
      </c>
      <c r="O257" s="783">
        <f t="shared" si="71"/>
        <v>97020000</v>
      </c>
      <c r="P257" s="783">
        <f t="shared" si="71"/>
        <v>232809500</v>
      </c>
      <c r="Q257" s="783">
        <f t="shared" si="71"/>
        <v>0</v>
      </c>
      <c r="R257" s="783">
        <f t="shared" si="71"/>
        <v>0</v>
      </c>
      <c r="S257" s="783">
        <f t="shared" si="71"/>
        <v>0</v>
      </c>
      <c r="T257" s="783">
        <f t="shared" si="71"/>
        <v>0</v>
      </c>
      <c r="U257" s="783">
        <f t="shared" si="71"/>
        <v>0</v>
      </c>
      <c r="V257" s="783">
        <f t="shared" si="71"/>
        <v>232809500</v>
      </c>
      <c r="W257" s="1372"/>
      <c r="X257" s="1423"/>
      <c r="Y257" s="1423"/>
      <c r="Z257" s="783">
        <f>SUM(Z254:Z256)</f>
        <v>232809500</v>
      </c>
      <c r="AA257" s="1048"/>
      <c r="AB257" s="756">
        <f t="shared" si="70"/>
        <v>2126500</v>
      </c>
      <c r="AC257" s="767"/>
      <c r="AD257" s="1382"/>
      <c r="AE257" s="38"/>
      <c r="AF257" s="967"/>
      <c r="AG257" s="38"/>
      <c r="AH257" s="38"/>
      <c r="AI257" s="767"/>
      <c r="AJ257" s="767"/>
      <c r="AK257" s="767"/>
      <c r="AL257" s="767"/>
      <c r="AM257" s="767"/>
      <c r="AN257" s="767"/>
      <c r="AO257" s="767"/>
      <c r="AP257" s="768"/>
      <c r="AQ257" s="767"/>
      <c r="AR257" s="767"/>
      <c r="AS257" s="767"/>
      <c r="AT257" s="767"/>
      <c r="AU257" s="767"/>
      <c r="AV257" s="767"/>
      <c r="AW257" s="767"/>
      <c r="AX257" s="767"/>
    </row>
    <row r="258" spans="1:52" s="2454" customFormat="1" ht="47.25">
      <c r="A258" s="2460"/>
      <c r="B258" s="2461"/>
      <c r="C258" s="2441" t="s">
        <v>1728</v>
      </c>
      <c r="D258" s="2442" t="s">
        <v>1410</v>
      </c>
      <c r="E258" s="2443"/>
      <c r="F258" s="2443">
        <v>665318000</v>
      </c>
      <c r="G258" s="2443">
        <f>E258+F258</f>
        <v>665318000</v>
      </c>
      <c r="H258" s="2444" t="s">
        <v>1729</v>
      </c>
      <c r="I258" s="2445">
        <v>42549</v>
      </c>
      <c r="J258" s="2446" t="s">
        <v>1730</v>
      </c>
      <c r="K258" s="2456" t="s">
        <v>2513</v>
      </c>
      <c r="L258" s="2456" t="s">
        <v>1371</v>
      </c>
      <c r="M258" s="2434" t="s">
        <v>1731</v>
      </c>
      <c r="N258" s="2462">
        <v>163276493</v>
      </c>
      <c r="O258" s="2462"/>
      <c r="P258" s="2448">
        <f>N258+O258</f>
        <v>163276493</v>
      </c>
      <c r="Q258" s="2463"/>
      <c r="R258" s="2463"/>
      <c r="S258" s="2463"/>
      <c r="T258" s="2463"/>
      <c r="U258" s="2463"/>
      <c r="V258" s="2463">
        <f>P258</f>
        <v>163276493</v>
      </c>
      <c r="W258" s="2435" t="s">
        <v>3200</v>
      </c>
      <c r="X258" s="2464">
        <v>42698</v>
      </c>
      <c r="Y258" s="2464">
        <v>42704</v>
      </c>
      <c r="Z258" s="2435">
        <f>V258</f>
        <v>163276493</v>
      </c>
      <c r="AA258" s="2451">
        <v>1</v>
      </c>
      <c r="AB258" s="2063">
        <f t="shared" si="70"/>
        <v>502041507</v>
      </c>
      <c r="AC258" s="2066"/>
      <c r="AD258" s="2065"/>
      <c r="AE258" s="2066"/>
      <c r="AF258" s="2067">
        <f>V258</f>
        <v>163276493</v>
      </c>
      <c r="AG258" s="2066"/>
      <c r="AH258" s="2066"/>
      <c r="AI258" s="2066"/>
      <c r="AJ258" s="2066"/>
      <c r="AK258" s="2066"/>
      <c r="AL258" s="2066"/>
      <c r="AM258" s="2066"/>
      <c r="AN258" s="2066"/>
      <c r="AO258" s="2066"/>
      <c r="AP258" s="2465"/>
      <c r="AQ258" s="2066"/>
      <c r="AR258" s="2066"/>
      <c r="AS258" s="2066"/>
      <c r="AT258" s="2066"/>
      <c r="AU258" s="2066"/>
      <c r="AV258" s="2066"/>
      <c r="AW258" s="2066"/>
      <c r="AX258" s="2066"/>
      <c r="AZ258" s="2466"/>
    </row>
    <row r="259" spans="1:52" s="2454" customFormat="1" ht="47.25">
      <c r="A259" s="2460"/>
      <c r="B259" s="2467"/>
      <c r="C259" s="2441"/>
      <c r="D259" s="2442"/>
      <c r="E259" s="2443"/>
      <c r="F259" s="2443"/>
      <c r="G259" s="2443"/>
      <c r="H259" s="2444" t="s">
        <v>1935</v>
      </c>
      <c r="I259" s="2445">
        <v>42579</v>
      </c>
      <c r="J259" s="2446" t="s">
        <v>1817</v>
      </c>
      <c r="K259" s="2456" t="s">
        <v>2635</v>
      </c>
      <c r="L259" s="2456" t="s">
        <v>1380</v>
      </c>
      <c r="M259" s="2434" t="s">
        <v>1816</v>
      </c>
      <c r="N259" s="2462">
        <v>165998993</v>
      </c>
      <c r="O259" s="2462"/>
      <c r="P259" s="2448">
        <f>N259+O259</f>
        <v>165998993</v>
      </c>
      <c r="Q259" s="2463"/>
      <c r="R259" s="2463"/>
      <c r="S259" s="2463"/>
      <c r="T259" s="2463"/>
      <c r="U259" s="2463"/>
      <c r="V259" s="2463">
        <f>P259</f>
        <v>165998993</v>
      </c>
      <c r="W259" s="2059" t="s">
        <v>3200</v>
      </c>
      <c r="X259" s="2060">
        <v>42698</v>
      </c>
      <c r="Y259" s="2060">
        <v>42704</v>
      </c>
      <c r="Z259" s="2069">
        <f>V259</f>
        <v>165998993</v>
      </c>
      <c r="AA259" s="2437">
        <v>1</v>
      </c>
      <c r="AB259" s="2063">
        <f t="shared" si="70"/>
        <v>-165998993</v>
      </c>
      <c r="AC259" s="2066"/>
      <c r="AD259" s="2065"/>
      <c r="AE259" s="2066"/>
      <c r="AF259" s="2067">
        <f>V259</f>
        <v>165998993</v>
      </c>
      <c r="AG259" s="2066"/>
      <c r="AH259" s="2066"/>
      <c r="AI259" s="2066"/>
      <c r="AJ259" s="2066"/>
      <c r="AK259" s="2066"/>
      <c r="AL259" s="2066"/>
      <c r="AM259" s="2066"/>
      <c r="AN259" s="2066"/>
      <c r="AO259" s="2066"/>
      <c r="AP259" s="2465"/>
      <c r="AQ259" s="2066"/>
      <c r="AR259" s="2066"/>
      <c r="AS259" s="2066"/>
      <c r="AT259" s="2066"/>
      <c r="AU259" s="2066"/>
      <c r="AV259" s="2066"/>
      <c r="AW259" s="2066"/>
      <c r="AX259" s="2066"/>
      <c r="AZ259" s="2466"/>
    </row>
    <row r="260" spans="1:52" s="2454" customFormat="1" ht="47.25">
      <c r="A260" s="2460"/>
      <c r="B260" s="2467"/>
      <c r="C260" s="2441"/>
      <c r="D260" s="2442"/>
      <c r="E260" s="2443"/>
      <c r="F260" s="2443"/>
      <c r="G260" s="2443"/>
      <c r="H260" s="2444" t="s">
        <v>1856</v>
      </c>
      <c r="I260" s="2445">
        <v>42552</v>
      </c>
      <c r="J260" s="2446" t="s">
        <v>1820</v>
      </c>
      <c r="K260" s="2456" t="s">
        <v>2636</v>
      </c>
      <c r="L260" s="2456" t="s">
        <v>2633</v>
      </c>
      <c r="M260" s="2434" t="s">
        <v>1818</v>
      </c>
      <c r="N260" s="2462">
        <v>165998993</v>
      </c>
      <c r="O260" s="2462"/>
      <c r="P260" s="2448">
        <f>N260+O260</f>
        <v>165998993</v>
      </c>
      <c r="Q260" s="2463"/>
      <c r="R260" s="2463"/>
      <c r="S260" s="2463"/>
      <c r="T260" s="2463"/>
      <c r="U260" s="2463"/>
      <c r="V260" s="2463">
        <f>P260</f>
        <v>165998993</v>
      </c>
      <c r="W260" s="2059" t="s">
        <v>3200</v>
      </c>
      <c r="X260" s="2060">
        <v>42698</v>
      </c>
      <c r="Y260" s="2060">
        <v>42704</v>
      </c>
      <c r="Z260" s="2069">
        <f>V260</f>
        <v>165998993</v>
      </c>
      <c r="AA260" s="2437">
        <v>1</v>
      </c>
      <c r="AB260" s="2063">
        <f t="shared" si="70"/>
        <v>-165998993</v>
      </c>
      <c r="AC260" s="2066"/>
      <c r="AD260" s="2065"/>
      <c r="AE260" s="2066"/>
      <c r="AF260" s="2067">
        <f>V260</f>
        <v>165998993</v>
      </c>
      <c r="AG260" s="2066"/>
      <c r="AH260" s="2066"/>
      <c r="AI260" s="2066"/>
      <c r="AJ260" s="2066"/>
      <c r="AK260" s="2066"/>
      <c r="AL260" s="2066"/>
      <c r="AM260" s="2066"/>
      <c r="AN260" s="2066"/>
      <c r="AO260" s="2066"/>
      <c r="AP260" s="2465"/>
      <c r="AQ260" s="2066"/>
      <c r="AR260" s="2066"/>
      <c r="AS260" s="2066"/>
      <c r="AT260" s="2066"/>
      <c r="AU260" s="2066"/>
      <c r="AV260" s="2066"/>
      <c r="AW260" s="2066"/>
      <c r="AX260" s="2066"/>
      <c r="AZ260" s="2466"/>
    </row>
    <row r="261" spans="1:52" s="2454" customFormat="1" ht="47.25">
      <c r="A261" s="2460"/>
      <c r="B261" s="2467"/>
      <c r="C261" s="2441"/>
      <c r="D261" s="2442"/>
      <c r="E261" s="2443"/>
      <c r="F261" s="2443"/>
      <c r="G261" s="2443"/>
      <c r="H261" s="2444" t="s">
        <v>2111</v>
      </c>
      <c r="I261" s="2468">
        <v>42607</v>
      </c>
      <c r="J261" s="2446" t="s">
        <v>1819</v>
      </c>
      <c r="K261" s="2456" t="s">
        <v>2512</v>
      </c>
      <c r="L261" s="2456" t="s">
        <v>2502</v>
      </c>
      <c r="M261" s="2434" t="s">
        <v>2096</v>
      </c>
      <c r="N261" s="2462">
        <v>163276493</v>
      </c>
      <c r="O261" s="2462"/>
      <c r="P261" s="2448">
        <f>N261+O261</f>
        <v>163276493</v>
      </c>
      <c r="Q261" s="2463"/>
      <c r="R261" s="2463"/>
      <c r="S261" s="2463"/>
      <c r="T261" s="2463"/>
      <c r="U261" s="2463"/>
      <c r="V261" s="2463">
        <f>P261</f>
        <v>163276493</v>
      </c>
      <c r="W261" s="2435" t="s">
        <v>3199</v>
      </c>
      <c r="X261" s="2464">
        <v>42698</v>
      </c>
      <c r="Y261" s="2469"/>
      <c r="Z261" s="2069">
        <f>V261</f>
        <v>163276493</v>
      </c>
      <c r="AA261" s="2437">
        <v>1</v>
      </c>
      <c r="AB261" s="2063">
        <f t="shared" si="70"/>
        <v>-163276493</v>
      </c>
      <c r="AC261" s="2066"/>
      <c r="AD261" s="2065"/>
      <c r="AE261" s="2066"/>
      <c r="AF261" s="2067">
        <f>V261</f>
        <v>163276493</v>
      </c>
      <c r="AG261" s="2066"/>
      <c r="AH261" s="2066"/>
      <c r="AI261" s="2066"/>
      <c r="AJ261" s="2066"/>
      <c r="AK261" s="2066"/>
      <c r="AL261" s="2066"/>
      <c r="AM261" s="2066"/>
      <c r="AN261" s="2066"/>
      <c r="AO261" s="2066"/>
      <c r="AP261" s="2465"/>
      <c r="AQ261" s="2066"/>
      <c r="AR261" s="2066"/>
      <c r="AS261" s="2066"/>
      <c r="AT261" s="2066"/>
      <c r="AU261" s="2066"/>
      <c r="AV261" s="2066"/>
      <c r="AW261" s="2066"/>
      <c r="AX261" s="2066"/>
      <c r="AZ261" s="2466"/>
    </row>
    <row r="262" spans="1:52" s="2454" customFormat="1">
      <c r="A262" s="2460"/>
      <c r="B262" s="2467"/>
      <c r="C262" s="2441"/>
      <c r="D262" s="2442"/>
      <c r="E262" s="2443"/>
      <c r="F262" s="2443"/>
      <c r="G262" s="2443"/>
      <c r="H262" s="2444"/>
      <c r="I262" s="2468"/>
      <c r="J262" s="2446" t="s">
        <v>3472</v>
      </c>
      <c r="K262" s="2456"/>
      <c r="L262" s="2456" t="s">
        <v>3473</v>
      </c>
      <c r="M262" s="2434" t="s">
        <v>3474</v>
      </c>
      <c r="N262" s="2462"/>
      <c r="O262" s="2462">
        <v>6600000</v>
      </c>
      <c r="P262" s="2448">
        <f>N262+O262</f>
        <v>6600000</v>
      </c>
      <c r="Q262" s="2463"/>
      <c r="R262" s="2463"/>
      <c r="S262" s="2463"/>
      <c r="T262" s="2463"/>
      <c r="U262" s="2463"/>
      <c r="V262" s="2463">
        <f>P262</f>
        <v>6600000</v>
      </c>
      <c r="W262" s="2435" t="s">
        <v>587</v>
      </c>
      <c r="X262" s="2464">
        <v>42731</v>
      </c>
      <c r="Y262" s="2469">
        <v>42734</v>
      </c>
      <c r="Z262" s="2069">
        <f>V262</f>
        <v>6600000</v>
      </c>
      <c r="AA262" s="2437">
        <v>1</v>
      </c>
      <c r="AB262" s="2063">
        <f t="shared" si="70"/>
        <v>-6600000</v>
      </c>
      <c r="AC262" s="2066"/>
      <c r="AD262" s="2065"/>
      <c r="AE262" s="2066"/>
      <c r="AF262" s="2067"/>
      <c r="AG262" s="2066"/>
      <c r="AH262" s="2066"/>
      <c r="AI262" s="2066"/>
      <c r="AJ262" s="2066"/>
      <c r="AK262" s="2066"/>
      <c r="AL262" s="2066"/>
      <c r="AM262" s="2066"/>
      <c r="AN262" s="2066"/>
      <c r="AO262" s="2066"/>
      <c r="AP262" s="2465"/>
      <c r="AQ262" s="2066"/>
      <c r="AR262" s="2066"/>
      <c r="AS262" s="2066"/>
      <c r="AT262" s="2066"/>
      <c r="AU262" s="2066"/>
      <c r="AV262" s="2066"/>
      <c r="AW262" s="2066"/>
      <c r="AX262" s="2066"/>
      <c r="AZ262" s="2466"/>
    </row>
    <row r="263" spans="1:52">
      <c r="A263" s="22"/>
      <c r="B263" s="1166"/>
      <c r="C263" s="24"/>
      <c r="D263" s="25"/>
      <c r="E263" s="26"/>
      <c r="F263" s="26"/>
      <c r="G263" s="26"/>
      <c r="H263" s="380"/>
      <c r="I263" s="1194"/>
      <c r="J263" s="126"/>
      <c r="K263" s="248"/>
      <c r="L263" s="248"/>
      <c r="M263" s="72"/>
      <c r="N263" s="192"/>
      <c r="O263" s="192"/>
      <c r="P263" s="144"/>
      <c r="Q263" s="496"/>
      <c r="R263" s="496"/>
      <c r="S263" s="496"/>
      <c r="T263" s="496"/>
      <c r="U263" s="496"/>
      <c r="V263" s="496"/>
      <c r="W263" s="1637"/>
      <c r="X263" s="1638"/>
      <c r="Y263" s="1424"/>
      <c r="Z263" s="1082"/>
      <c r="AA263" s="1717"/>
      <c r="AB263" s="433"/>
      <c r="AC263" s="38"/>
      <c r="AD263" s="1382"/>
      <c r="AE263" s="38"/>
      <c r="AF263" s="967"/>
      <c r="AG263" s="38"/>
      <c r="AH263" s="38"/>
      <c r="AI263" s="38"/>
      <c r="AJ263" s="38"/>
      <c r="AK263" s="38"/>
      <c r="AL263" s="38"/>
      <c r="AM263" s="38"/>
      <c r="AN263" s="38"/>
      <c r="AO263" s="38"/>
      <c r="AP263" s="39"/>
      <c r="AQ263" s="38"/>
      <c r="AR263" s="38"/>
      <c r="AS263" s="38"/>
      <c r="AT263" s="38"/>
      <c r="AU263" s="38"/>
      <c r="AV263" s="38"/>
      <c r="AW263" s="38"/>
      <c r="AX263" s="38"/>
      <c r="AZ263" s="40"/>
    </row>
    <row r="264" spans="1:52">
      <c r="A264" s="652"/>
      <c r="B264" s="1102"/>
      <c r="C264" s="863" t="str">
        <f>C258</f>
        <v>PRK.2016.WKT-4.9.53211.9</v>
      </c>
      <c r="D264" s="760"/>
      <c r="E264" s="656"/>
      <c r="F264" s="656"/>
      <c r="G264" s="656">
        <f>G258</f>
        <v>665318000</v>
      </c>
      <c r="H264" s="1046"/>
      <c r="I264" s="1047"/>
      <c r="J264" s="762"/>
      <c r="K264" s="1103"/>
      <c r="L264" s="1336"/>
      <c r="M264" s="776"/>
      <c r="N264" s="1306">
        <f>SUM(N258:N263)</f>
        <v>658550972</v>
      </c>
      <c r="O264" s="1306">
        <f t="shared" ref="O264:V264" si="72">SUM(O258:O263)</f>
        <v>6600000</v>
      </c>
      <c r="P264" s="1306">
        <f t="shared" si="72"/>
        <v>665150972</v>
      </c>
      <c r="Q264" s="1306">
        <f t="shared" si="72"/>
        <v>0</v>
      </c>
      <c r="R264" s="1306">
        <f t="shared" si="72"/>
        <v>0</v>
      </c>
      <c r="S264" s="1306">
        <f t="shared" si="72"/>
        <v>0</v>
      </c>
      <c r="T264" s="1306">
        <f t="shared" si="72"/>
        <v>0</v>
      </c>
      <c r="U264" s="1306">
        <f t="shared" si="72"/>
        <v>0</v>
      </c>
      <c r="V264" s="1306">
        <f t="shared" si="72"/>
        <v>665150972</v>
      </c>
      <c r="W264" s="756"/>
      <c r="X264" s="1425"/>
      <c r="Y264" s="1425"/>
      <c r="Z264" s="1306">
        <f>SUM(Z258:Z263)</f>
        <v>665150972</v>
      </c>
      <c r="AA264" s="1048"/>
      <c r="AB264" s="756">
        <f t="shared" si="70"/>
        <v>167028</v>
      </c>
      <c r="AC264" s="755"/>
      <c r="AD264" s="1382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9"/>
      <c r="AQ264" s="38"/>
      <c r="AR264" s="38"/>
      <c r="AS264" s="38"/>
      <c r="AT264" s="38"/>
      <c r="AU264" s="38"/>
      <c r="AV264" s="38"/>
      <c r="AW264" s="38"/>
      <c r="AX264" s="38"/>
      <c r="AZ264" s="40"/>
    </row>
    <row r="265" spans="1:52">
      <c r="A265" s="22"/>
      <c r="B265" s="1166"/>
      <c r="C265" s="24"/>
      <c r="D265" s="25"/>
      <c r="E265" s="26"/>
      <c r="F265" s="26"/>
      <c r="G265" s="26"/>
      <c r="H265" s="26"/>
      <c r="I265" s="26"/>
      <c r="J265" s="126"/>
      <c r="K265" s="34"/>
      <c r="L265" s="248"/>
      <c r="M265" s="72"/>
      <c r="N265" s="192"/>
      <c r="O265" s="192"/>
      <c r="P265" s="909"/>
      <c r="Q265" s="496"/>
      <c r="R265" s="496"/>
      <c r="S265" s="496"/>
      <c r="T265" s="496"/>
      <c r="U265" s="496"/>
      <c r="V265" s="496"/>
      <c r="W265" s="144"/>
      <c r="X265" s="1424"/>
      <c r="Y265" s="1424"/>
      <c r="Z265" s="144"/>
      <c r="AA265" s="910"/>
      <c r="AB265" s="433"/>
      <c r="AC265" s="38"/>
      <c r="AD265" s="1382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9"/>
      <c r="AQ265" s="38"/>
      <c r="AR265" s="38"/>
      <c r="AS265" s="38"/>
      <c r="AT265" s="38"/>
      <c r="AU265" s="38"/>
      <c r="AV265" s="38"/>
      <c r="AW265" s="38"/>
      <c r="AX265" s="38"/>
      <c r="AZ265" s="40"/>
    </row>
    <row r="266" spans="1:52" s="2454" customFormat="1" ht="47.25">
      <c r="A266" s="2460"/>
      <c r="B266" s="2470"/>
      <c r="C266" s="2441" t="s">
        <v>1406</v>
      </c>
      <c r="D266" s="2442" t="s">
        <v>1411</v>
      </c>
      <c r="E266" s="2443"/>
      <c r="F266" s="2443">
        <v>60000000</v>
      </c>
      <c r="G266" s="2443">
        <f>E266+F266</f>
        <v>60000000</v>
      </c>
      <c r="H266" s="2444" t="s">
        <v>2850</v>
      </c>
      <c r="I266" s="2471">
        <v>42668</v>
      </c>
      <c r="J266" s="2446" t="s">
        <v>2760</v>
      </c>
      <c r="K266" s="2055" t="s">
        <v>3321</v>
      </c>
      <c r="L266" s="2456" t="s">
        <v>1371</v>
      </c>
      <c r="M266" s="2434" t="s">
        <v>2761</v>
      </c>
      <c r="N266" s="2462">
        <v>55816596</v>
      </c>
      <c r="O266" s="2462"/>
      <c r="P266" s="2448">
        <f>N266+O266</f>
        <v>55816596</v>
      </c>
      <c r="Q266" s="2463"/>
      <c r="R266" s="2463"/>
      <c r="S266" s="2463"/>
      <c r="T266" s="2463"/>
      <c r="U266" s="2463"/>
      <c r="V266" s="2463">
        <f>P266</f>
        <v>55816596</v>
      </c>
      <c r="W266" s="2063" t="s">
        <v>3543</v>
      </c>
      <c r="X266" s="2469">
        <v>42725</v>
      </c>
      <c r="Y266" s="2469">
        <v>42731</v>
      </c>
      <c r="Z266" s="2063">
        <f>V266</f>
        <v>55816596</v>
      </c>
      <c r="AA266" s="2472">
        <v>1</v>
      </c>
      <c r="AB266" s="2063">
        <f t="shared" si="70"/>
        <v>4183404</v>
      </c>
      <c r="AC266" s="2066"/>
      <c r="AD266" s="2065"/>
      <c r="AE266" s="2066"/>
      <c r="AF266" s="2066"/>
      <c r="AG266" s="2066"/>
      <c r="AH266" s="2066"/>
      <c r="AI266" s="2066"/>
      <c r="AJ266" s="2066"/>
      <c r="AK266" s="2066"/>
      <c r="AL266" s="2066"/>
      <c r="AM266" s="2066"/>
      <c r="AN266" s="2066"/>
      <c r="AO266" s="2066"/>
      <c r="AP266" s="2465"/>
      <c r="AQ266" s="2066"/>
      <c r="AR266" s="2066"/>
      <c r="AS266" s="2066"/>
      <c r="AT266" s="2066"/>
      <c r="AU266" s="2066"/>
      <c r="AV266" s="2066"/>
      <c r="AW266" s="2066"/>
      <c r="AX266" s="2066"/>
      <c r="AZ266" s="2466"/>
    </row>
    <row r="267" spans="1:52" s="2454" customFormat="1" ht="31.5">
      <c r="A267" s="2460"/>
      <c r="B267" s="2470"/>
      <c r="C267" s="2441"/>
      <c r="D267" s="2442"/>
      <c r="E267" s="2443"/>
      <c r="F267" s="2443"/>
      <c r="G267" s="2443"/>
      <c r="H267" s="2444"/>
      <c r="I267" s="2471"/>
      <c r="J267" s="2446" t="s">
        <v>3475</v>
      </c>
      <c r="K267" s="2055"/>
      <c r="L267" s="2456" t="s">
        <v>387</v>
      </c>
      <c r="M267" s="2434" t="s">
        <v>3476</v>
      </c>
      <c r="N267" s="2462">
        <v>4053500</v>
      </c>
      <c r="O267" s="2462"/>
      <c r="P267" s="2448">
        <f>N267+O267</f>
        <v>4053500</v>
      </c>
      <c r="Q267" s="2463"/>
      <c r="R267" s="2463"/>
      <c r="S267" s="2463"/>
      <c r="T267" s="2463"/>
      <c r="U267" s="2463"/>
      <c r="V267" s="2463">
        <f>P267</f>
        <v>4053500</v>
      </c>
      <c r="W267" s="2063" t="s">
        <v>3546</v>
      </c>
      <c r="X267" s="2469">
        <v>42728</v>
      </c>
      <c r="Y267" s="2469">
        <v>42732</v>
      </c>
      <c r="Z267" s="2063">
        <f>V267</f>
        <v>4053500</v>
      </c>
      <c r="AA267" s="2472">
        <v>1</v>
      </c>
      <c r="AB267" s="2063">
        <f t="shared" si="70"/>
        <v>-4053500</v>
      </c>
      <c r="AC267" s="2066"/>
      <c r="AD267" s="2065"/>
      <c r="AE267" s="2066"/>
      <c r="AF267" s="2066"/>
      <c r="AG267" s="2066"/>
      <c r="AH267" s="2066"/>
      <c r="AI267" s="2066"/>
      <c r="AJ267" s="2066"/>
      <c r="AK267" s="2066"/>
      <c r="AL267" s="2066"/>
      <c r="AM267" s="2066"/>
      <c r="AN267" s="2066"/>
      <c r="AO267" s="2066"/>
      <c r="AP267" s="2465"/>
      <c r="AQ267" s="2066"/>
      <c r="AR267" s="2066"/>
      <c r="AS267" s="2066"/>
      <c r="AT267" s="2066"/>
      <c r="AU267" s="2066"/>
      <c r="AV267" s="2066"/>
      <c r="AW267" s="2066"/>
      <c r="AX267" s="2066"/>
      <c r="AZ267" s="2466"/>
    </row>
    <row r="268" spans="1:52" s="769" customFormat="1">
      <c r="A268" s="652"/>
      <c r="C268" s="863"/>
      <c r="D268" s="760"/>
      <c r="E268" s="656"/>
      <c r="F268" s="656"/>
      <c r="G268" s="656">
        <f>G266</f>
        <v>60000000</v>
      </c>
      <c r="H268" s="1046"/>
      <c r="I268" s="761"/>
      <c r="J268" s="762"/>
      <c r="K268" s="775"/>
      <c r="L268" s="1336"/>
      <c r="M268" s="776"/>
      <c r="N268" s="1306">
        <f>SUM(N266:N267)</f>
        <v>59870096</v>
      </c>
      <c r="O268" s="1306">
        <f t="shared" ref="O268:V268" si="73">SUM(O266:O267)</f>
        <v>0</v>
      </c>
      <c r="P268" s="1306">
        <f t="shared" si="73"/>
        <v>59870096</v>
      </c>
      <c r="Q268" s="1306">
        <f t="shared" si="73"/>
        <v>0</v>
      </c>
      <c r="R268" s="1306">
        <f t="shared" si="73"/>
        <v>0</v>
      </c>
      <c r="S268" s="1306">
        <f t="shared" si="73"/>
        <v>0</v>
      </c>
      <c r="T268" s="1306">
        <f t="shared" si="73"/>
        <v>0</v>
      </c>
      <c r="U268" s="1306">
        <f t="shared" si="73"/>
        <v>0</v>
      </c>
      <c r="V268" s="1306">
        <f t="shared" si="73"/>
        <v>59870096</v>
      </c>
      <c r="W268" s="756"/>
      <c r="X268" s="1425"/>
      <c r="Y268" s="1425"/>
      <c r="Z268" s="1306">
        <f>SUM(Z266:Z267)</f>
        <v>59870096</v>
      </c>
      <c r="AA268" s="1048"/>
      <c r="AB268" s="756">
        <f t="shared" si="70"/>
        <v>129904</v>
      </c>
      <c r="AC268" s="755"/>
      <c r="AD268" s="1448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1137"/>
      <c r="AQ268" s="755"/>
      <c r="AR268" s="755"/>
      <c r="AS268" s="755"/>
      <c r="AT268" s="755"/>
      <c r="AU268" s="755"/>
      <c r="AV268" s="755"/>
      <c r="AW268" s="755"/>
      <c r="AX268" s="755"/>
      <c r="AZ268" s="1102"/>
    </row>
    <row r="269" spans="1:52" ht="16.5" thickBot="1">
      <c r="A269" s="22"/>
      <c r="B269" s="1161"/>
      <c r="C269" s="24"/>
      <c r="D269" s="25"/>
      <c r="E269" s="26"/>
      <c r="F269" s="26"/>
      <c r="G269" s="26"/>
      <c r="H269" s="26"/>
      <c r="I269" s="26"/>
      <c r="J269" s="126"/>
      <c r="K269" s="34"/>
      <c r="L269" s="248"/>
      <c r="M269" s="72"/>
      <c r="N269" s="1295"/>
      <c r="O269" s="1295"/>
      <c r="P269" s="139"/>
      <c r="Q269" s="144"/>
      <c r="R269" s="144"/>
      <c r="S269" s="144"/>
      <c r="T269" s="144"/>
      <c r="U269" s="144"/>
      <c r="V269" s="144"/>
      <c r="W269" s="144"/>
      <c r="X269" s="1424"/>
      <c r="Y269" s="1424"/>
      <c r="Z269" s="144"/>
      <c r="AA269" s="36"/>
      <c r="AB269" s="433"/>
      <c r="AC269" s="38"/>
      <c r="AD269" s="1382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9"/>
      <c r="AQ269" s="38"/>
      <c r="AR269" s="38"/>
      <c r="AS269" s="38"/>
      <c r="AT269" s="38"/>
      <c r="AU269" s="38"/>
      <c r="AV269" s="38"/>
      <c r="AW269" s="38"/>
      <c r="AX269" s="38"/>
      <c r="AZ269" s="40"/>
    </row>
    <row r="270" spans="1:52" s="55" customFormat="1" ht="15.75" customHeight="1" thickBot="1">
      <c r="A270" s="2703" t="str">
        <f>B254</f>
        <v>009.DIST/AO/BRU/2016/M</v>
      </c>
      <c r="B270" s="2704"/>
      <c r="C270" s="2704"/>
      <c r="D270" s="2705"/>
      <c r="E270" s="65">
        <f>SUM(E254:E269)</f>
        <v>0</v>
      </c>
      <c r="F270" s="65">
        <f>SUM(F254:F269)</f>
        <v>960254000</v>
      </c>
      <c r="G270" s="65">
        <f>SUM(G257+G264+G266)</f>
        <v>960254000</v>
      </c>
      <c r="H270" s="65"/>
      <c r="I270" s="65"/>
      <c r="J270" s="65"/>
      <c r="K270" s="66"/>
      <c r="L270" s="1334"/>
      <c r="M270" s="1345"/>
      <c r="N270" s="65">
        <f>SUM(N257+N264+N268)</f>
        <v>854210568</v>
      </c>
      <c r="O270" s="65">
        <f t="shared" ref="O270:V270" si="74">SUM(O257+O264+O268)</f>
        <v>103620000</v>
      </c>
      <c r="P270" s="65">
        <f t="shared" si="74"/>
        <v>957830568</v>
      </c>
      <c r="Q270" s="65">
        <f t="shared" si="74"/>
        <v>0</v>
      </c>
      <c r="R270" s="65">
        <f t="shared" si="74"/>
        <v>0</v>
      </c>
      <c r="S270" s="65">
        <f t="shared" si="74"/>
        <v>0</v>
      </c>
      <c r="T270" s="65">
        <f t="shared" si="74"/>
        <v>0</v>
      </c>
      <c r="U270" s="65">
        <f t="shared" si="74"/>
        <v>0</v>
      </c>
      <c r="V270" s="65">
        <f t="shared" si="74"/>
        <v>957830568</v>
      </c>
      <c r="W270" s="1257"/>
      <c r="X270" s="1258"/>
      <c r="Y270" s="1258"/>
      <c r="Z270" s="65">
        <f>SUM(Z257+Z264+Z268)</f>
        <v>957830568</v>
      </c>
      <c r="AA270" s="65"/>
      <c r="AB270" s="65">
        <f>SUM(AB257+AB264+AB268)</f>
        <v>2423432</v>
      </c>
      <c r="AC270" s="76"/>
      <c r="AD270" s="1382"/>
      <c r="AE270" s="38"/>
      <c r="AF270" s="38"/>
      <c r="AG270" s="38"/>
      <c r="AH270" s="38"/>
      <c r="AI270" s="75"/>
      <c r="AJ270" s="100"/>
      <c r="AK270" s="100"/>
      <c r="AL270" s="74"/>
      <c r="AM270" s="74"/>
      <c r="AN270" s="74"/>
      <c r="AO270" s="74"/>
      <c r="AP270" s="64"/>
      <c r="AQ270" s="101" t="e">
        <f>SUM(#REF!)</f>
        <v>#REF!</v>
      </c>
      <c r="AR270" s="101" t="e">
        <f>SUM(#REF!)</f>
        <v>#REF!</v>
      </c>
      <c r="AS270" s="101" t="e">
        <f>SUM(#REF!)</f>
        <v>#REF!</v>
      </c>
      <c r="AT270" s="101" t="e">
        <f>SUM(#REF!)</f>
        <v>#REF!</v>
      </c>
      <c r="AU270" s="101" t="e">
        <f>SUM(#REF!)</f>
        <v>#REF!</v>
      </c>
      <c r="AV270" s="101" t="e">
        <f>SUM(#REF!)</f>
        <v>#REF!</v>
      </c>
      <c r="AW270" s="101" t="e">
        <f>SUM(#REF!)</f>
        <v>#REF!</v>
      </c>
      <c r="AX270" s="102" t="e">
        <f>SUM(#REF!)</f>
        <v>#REF!</v>
      </c>
      <c r="AZ270" s="56"/>
    </row>
    <row r="271" spans="1:52" s="538" customFormat="1" ht="15.75" customHeight="1">
      <c r="A271" s="561"/>
      <c r="B271" s="1037"/>
      <c r="C271" s="1037"/>
      <c r="D271" s="1038"/>
      <c r="E271" s="264"/>
      <c r="F271" s="264"/>
      <c r="G271" s="264"/>
      <c r="H271" s="264"/>
      <c r="I271" s="264"/>
      <c r="J271" s="1039"/>
      <c r="K271" s="1040"/>
      <c r="L271" s="1337"/>
      <c r="M271" s="1354"/>
      <c r="N271" s="510"/>
      <c r="O271" s="510"/>
      <c r="P271" s="510"/>
      <c r="Q271" s="510"/>
      <c r="R271" s="510"/>
      <c r="S271" s="510"/>
      <c r="T271" s="510"/>
      <c r="U271" s="510"/>
      <c r="V271" s="510"/>
      <c r="W271" s="349"/>
      <c r="X271" s="1412"/>
      <c r="Y271" s="1412"/>
      <c r="Z271" s="510"/>
      <c r="AA271" s="510"/>
      <c r="AB271" s="510"/>
      <c r="AC271" s="352"/>
      <c r="AD271" s="1382"/>
      <c r="AE271" s="38"/>
      <c r="AF271" s="38"/>
      <c r="AG271" s="38"/>
      <c r="AH271" s="38"/>
      <c r="AI271" s="75"/>
      <c r="AJ271" s="100"/>
      <c r="AK271" s="100"/>
      <c r="AL271" s="74"/>
      <c r="AM271" s="74"/>
      <c r="AN271" s="74"/>
      <c r="AO271" s="74"/>
      <c r="AP271" s="64"/>
      <c r="AQ271" s="510"/>
      <c r="AR271" s="510"/>
      <c r="AS271" s="510"/>
      <c r="AT271" s="510"/>
      <c r="AU271" s="510"/>
      <c r="AV271" s="510"/>
      <c r="AW271" s="510"/>
      <c r="AX271" s="1041"/>
      <c r="AZ271" s="100"/>
    </row>
    <row r="272" spans="1:52" s="1778" customFormat="1" ht="47.25">
      <c r="A272" s="2117">
        <v>10</v>
      </c>
      <c r="B272" s="1156" t="s">
        <v>1839</v>
      </c>
      <c r="C272" s="578" t="s">
        <v>1841</v>
      </c>
      <c r="D272" s="579" t="s">
        <v>1842</v>
      </c>
      <c r="E272" s="569">
        <v>333346000</v>
      </c>
      <c r="F272" s="569">
        <v>0</v>
      </c>
      <c r="G272" s="569">
        <f>E272+F272</f>
        <v>333346000</v>
      </c>
      <c r="H272" s="1804" t="s">
        <v>1912</v>
      </c>
      <c r="I272" s="2102">
        <v>42571</v>
      </c>
      <c r="J272" s="582" t="s">
        <v>1896</v>
      </c>
      <c r="K272" s="595" t="s">
        <v>2164</v>
      </c>
      <c r="L272" s="609" t="s">
        <v>2161</v>
      </c>
      <c r="M272" s="1343" t="s">
        <v>1897</v>
      </c>
      <c r="N272" s="1297">
        <v>80530313</v>
      </c>
      <c r="O272" s="1297"/>
      <c r="P272" s="1801">
        <f>N272+O272</f>
        <v>80530313</v>
      </c>
      <c r="Q272" s="2104"/>
      <c r="R272" s="2104"/>
      <c r="S272" s="2104"/>
      <c r="T272" s="2104"/>
      <c r="U272" s="2104"/>
      <c r="V272" s="576">
        <f>P272</f>
        <v>80530313</v>
      </c>
      <c r="W272" s="585" t="s">
        <v>3070</v>
      </c>
      <c r="X272" s="2137">
        <v>42682</v>
      </c>
      <c r="Y272" s="2137">
        <v>42685</v>
      </c>
      <c r="Z272" s="585">
        <f>V272</f>
        <v>80530313</v>
      </c>
      <c r="AA272" s="2110">
        <v>1</v>
      </c>
      <c r="AB272" s="576">
        <f>+G272-P272</f>
        <v>252815687</v>
      </c>
      <c r="AC272" s="577"/>
      <c r="AD272" s="1792">
        <v>1</v>
      </c>
      <c r="AE272" s="581"/>
      <c r="AF272" s="2019">
        <f>V272</f>
        <v>80530313</v>
      </c>
      <c r="AG272" s="581"/>
      <c r="AH272" s="581"/>
      <c r="AI272" s="577"/>
      <c r="AJ272" s="577"/>
      <c r="AK272" s="577"/>
      <c r="AL272" s="577"/>
      <c r="AM272" s="577"/>
      <c r="AN272" s="577"/>
      <c r="AO272" s="577"/>
      <c r="AP272" s="1802"/>
      <c r="AQ272" s="577"/>
      <c r="AR272" s="577"/>
      <c r="AS272" s="577"/>
      <c r="AT272" s="577"/>
      <c r="AU272" s="577"/>
      <c r="AV272" s="577"/>
      <c r="AW272" s="577"/>
      <c r="AX272" s="577"/>
    </row>
    <row r="273" spans="1:52" s="2496" customFormat="1" ht="47.25">
      <c r="A273" s="2474"/>
      <c r="B273" s="2475" t="s">
        <v>1840</v>
      </c>
      <c r="C273" s="2497"/>
      <c r="D273" s="2498"/>
      <c r="E273" s="2478"/>
      <c r="F273" s="2478"/>
      <c r="G273" s="2478">
        <f>E273+F273</f>
        <v>0</v>
      </c>
      <c r="H273" s="2636" t="s">
        <v>1913</v>
      </c>
      <c r="I273" s="2600">
        <v>42571</v>
      </c>
      <c r="J273" s="2504" t="s">
        <v>1898</v>
      </c>
      <c r="K273" s="2602" t="s">
        <v>2534</v>
      </c>
      <c r="L273" s="2602" t="s">
        <v>1371</v>
      </c>
      <c r="M273" s="2507" t="s">
        <v>1899</v>
      </c>
      <c r="N273" s="2512">
        <v>247673800</v>
      </c>
      <c r="O273" s="2512"/>
      <c r="P273" s="2604">
        <f>N273+O273</f>
        <v>247673800</v>
      </c>
      <c r="Q273" s="2635"/>
      <c r="R273" s="2635"/>
      <c r="S273" s="2635"/>
      <c r="T273" s="2635"/>
      <c r="U273" s="2635"/>
      <c r="V273" s="2487">
        <f>P273</f>
        <v>247673800</v>
      </c>
      <c r="W273" s="2508" t="s">
        <v>3390</v>
      </c>
      <c r="X273" s="2637">
        <v>42709</v>
      </c>
      <c r="Y273" s="2637">
        <v>42713</v>
      </c>
      <c r="Z273" s="2508">
        <f>V273</f>
        <v>247673800</v>
      </c>
      <c r="AA273" s="2605">
        <v>1</v>
      </c>
      <c r="AB273" s="2487">
        <f>+G273-P273</f>
        <v>-247673800</v>
      </c>
      <c r="AC273" s="2493"/>
      <c r="AD273" s="2492">
        <v>0.8</v>
      </c>
      <c r="AE273" s="2493"/>
      <c r="AF273" s="2599">
        <f>V273</f>
        <v>247673800</v>
      </c>
      <c r="AG273" s="2493"/>
      <c r="AH273" s="2493"/>
      <c r="AI273" s="2493"/>
      <c r="AJ273" s="2493"/>
      <c r="AK273" s="2493"/>
      <c r="AL273" s="2493"/>
      <c r="AM273" s="2493"/>
      <c r="AN273" s="2493"/>
      <c r="AO273" s="2493"/>
      <c r="AP273" s="2501"/>
      <c r="AQ273" s="2493"/>
      <c r="AR273" s="2493"/>
      <c r="AS273" s="2493"/>
      <c r="AT273" s="2493"/>
      <c r="AU273" s="2493"/>
      <c r="AV273" s="2493"/>
      <c r="AW273" s="2493"/>
      <c r="AX273" s="2493"/>
      <c r="AZ273" s="2502"/>
    </row>
    <row r="274" spans="1:52" s="2496" customFormat="1">
      <c r="A274" s="2474"/>
      <c r="B274" s="2503">
        <v>42550</v>
      </c>
      <c r="C274" s="2497"/>
      <c r="D274" s="2498"/>
      <c r="E274" s="2478"/>
      <c r="F274" s="2478"/>
      <c r="G274" s="2478">
        <f>E274+F274</f>
        <v>0</v>
      </c>
      <c r="H274" s="2614"/>
      <c r="I274" s="2600"/>
      <c r="J274" s="2504"/>
      <c r="K274" s="2606"/>
      <c r="L274" s="2602"/>
      <c r="M274" s="2507"/>
      <c r="N274" s="2512"/>
      <c r="O274" s="2512"/>
      <c r="P274" s="2638"/>
      <c r="Q274" s="2635"/>
      <c r="R274" s="2635"/>
      <c r="S274" s="2635"/>
      <c r="T274" s="2635"/>
      <c r="U274" s="2635"/>
      <c r="V274" s="2635"/>
      <c r="W274" s="2487"/>
      <c r="X274" s="2489"/>
      <c r="Y274" s="2489"/>
      <c r="Z274" s="2487"/>
      <c r="AA274" s="2605"/>
      <c r="AB274" s="2487">
        <f>+G274-P274</f>
        <v>0</v>
      </c>
      <c r="AC274" s="2493"/>
      <c r="AD274" s="2492"/>
      <c r="AE274" s="2493"/>
      <c r="AF274" s="2493"/>
      <c r="AG274" s="2493"/>
      <c r="AH274" s="2493"/>
      <c r="AI274" s="2493"/>
      <c r="AJ274" s="2493"/>
      <c r="AK274" s="2493"/>
      <c r="AL274" s="2493"/>
      <c r="AM274" s="2493"/>
      <c r="AN274" s="2493"/>
      <c r="AO274" s="2493"/>
      <c r="AP274" s="2501"/>
      <c r="AQ274" s="2493"/>
      <c r="AR274" s="2493"/>
      <c r="AS274" s="2493"/>
      <c r="AT274" s="2493"/>
      <c r="AU274" s="2493"/>
      <c r="AV274" s="2493"/>
      <c r="AW274" s="2493"/>
      <c r="AX274" s="2493"/>
      <c r="AZ274" s="2502"/>
    </row>
    <row r="275" spans="1:52" ht="16.5" thickBot="1">
      <c r="A275" s="22"/>
      <c r="B275" s="1161"/>
      <c r="C275" s="24"/>
      <c r="D275" s="25"/>
      <c r="E275" s="26"/>
      <c r="F275" s="26"/>
      <c r="G275" s="26"/>
      <c r="H275" s="26"/>
      <c r="I275" s="26"/>
      <c r="J275" s="126"/>
      <c r="K275" s="34"/>
      <c r="L275" s="248"/>
      <c r="M275" s="72"/>
      <c r="N275" s="1295"/>
      <c r="O275" s="1295"/>
      <c r="P275" s="139"/>
      <c r="Q275" s="144"/>
      <c r="R275" s="144"/>
      <c r="S275" s="144"/>
      <c r="T275" s="144"/>
      <c r="U275" s="144"/>
      <c r="V275" s="144"/>
      <c r="W275" s="144"/>
      <c r="X275" s="1424"/>
      <c r="Y275" s="1424"/>
      <c r="Z275" s="144"/>
      <c r="AA275" s="36"/>
      <c r="AB275" s="433"/>
      <c r="AC275" s="38"/>
      <c r="AD275" s="1382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9"/>
      <c r="AQ275" s="38"/>
      <c r="AR275" s="38"/>
      <c r="AS275" s="38"/>
      <c r="AT275" s="38"/>
      <c r="AU275" s="38"/>
      <c r="AV275" s="38"/>
      <c r="AW275" s="38"/>
      <c r="AX275" s="38"/>
      <c r="AZ275" s="40"/>
    </row>
    <row r="276" spans="1:52" s="55" customFormat="1" ht="15.75" customHeight="1" thickBot="1">
      <c r="A276" s="2703" t="str">
        <f>B272</f>
        <v>010.DIST/AO/BRU/2016/M</v>
      </c>
      <c r="B276" s="2704"/>
      <c r="C276" s="2704"/>
      <c r="D276" s="2705"/>
      <c r="E276" s="65">
        <f>SUM(E272:E275)</f>
        <v>333346000</v>
      </c>
      <c r="F276" s="65">
        <f>SUM(F272:F275)</f>
        <v>0</v>
      </c>
      <c r="G276" s="65">
        <f>SUM(G272:G275)</f>
        <v>333346000</v>
      </c>
      <c r="H276" s="65"/>
      <c r="I276" s="65"/>
      <c r="J276" s="65"/>
      <c r="K276" s="66"/>
      <c r="L276" s="1334"/>
      <c r="M276" s="1345"/>
      <c r="N276" s="65">
        <f t="shared" ref="N276:V276" si="75">SUM(N272:N275)</f>
        <v>328204113</v>
      </c>
      <c r="O276" s="65">
        <f t="shared" si="75"/>
        <v>0</v>
      </c>
      <c r="P276" s="65">
        <f t="shared" si="75"/>
        <v>328204113</v>
      </c>
      <c r="Q276" s="65">
        <f t="shared" si="75"/>
        <v>0</v>
      </c>
      <c r="R276" s="65">
        <f t="shared" si="75"/>
        <v>0</v>
      </c>
      <c r="S276" s="65">
        <f t="shared" si="75"/>
        <v>0</v>
      </c>
      <c r="T276" s="65">
        <f t="shared" si="75"/>
        <v>0</v>
      </c>
      <c r="U276" s="65">
        <f t="shared" si="75"/>
        <v>0</v>
      </c>
      <c r="V276" s="65">
        <f t="shared" si="75"/>
        <v>328204113</v>
      </c>
      <c r="W276" s="1257"/>
      <c r="X276" s="1258"/>
      <c r="Y276" s="1258"/>
      <c r="Z276" s="65">
        <f>SUM(Z272:Z275)</f>
        <v>328204113</v>
      </c>
      <c r="AA276" s="65"/>
      <c r="AB276" s="65">
        <f>SUM(AB272:AB275)</f>
        <v>5141887</v>
      </c>
      <c r="AC276" s="76"/>
      <c r="AD276" s="1382"/>
      <c r="AE276" s="38"/>
      <c r="AF276" s="38"/>
      <c r="AG276" s="38"/>
      <c r="AH276" s="38"/>
      <c r="AI276" s="75"/>
      <c r="AJ276" s="100"/>
      <c r="AK276" s="100"/>
      <c r="AL276" s="74"/>
      <c r="AM276" s="74"/>
      <c r="AN276" s="74"/>
      <c r="AO276" s="74"/>
      <c r="AP276" s="64"/>
      <c r="AQ276" s="101" t="e">
        <f>SUM(#REF!)</f>
        <v>#REF!</v>
      </c>
      <c r="AR276" s="101" t="e">
        <f>SUM(#REF!)</f>
        <v>#REF!</v>
      </c>
      <c r="AS276" s="101" t="e">
        <f>SUM(#REF!)</f>
        <v>#REF!</v>
      </c>
      <c r="AT276" s="101" t="e">
        <f>SUM(#REF!)</f>
        <v>#REF!</v>
      </c>
      <c r="AU276" s="101" t="e">
        <f>SUM(#REF!)</f>
        <v>#REF!</v>
      </c>
      <c r="AV276" s="101" t="e">
        <f>SUM(#REF!)</f>
        <v>#REF!</v>
      </c>
      <c r="AW276" s="101" t="e">
        <f>SUM(#REF!)</f>
        <v>#REF!</v>
      </c>
      <c r="AX276" s="102" t="e">
        <f>SUM(#REF!)</f>
        <v>#REF!</v>
      </c>
      <c r="AZ276" s="56"/>
    </row>
    <row r="277" spans="1:52" s="538" customFormat="1" ht="15.75" customHeight="1">
      <c r="A277" s="561"/>
      <c r="B277" s="1037"/>
      <c r="C277" s="1037"/>
      <c r="D277" s="1038"/>
      <c r="E277" s="264"/>
      <c r="F277" s="264"/>
      <c r="G277" s="264"/>
      <c r="H277" s="264"/>
      <c r="I277" s="264"/>
      <c r="J277" s="1039"/>
      <c r="K277" s="1040"/>
      <c r="L277" s="1337"/>
      <c r="M277" s="1354"/>
      <c r="N277" s="510"/>
      <c r="O277" s="510"/>
      <c r="P277" s="510"/>
      <c r="Q277" s="510"/>
      <c r="R277" s="510"/>
      <c r="S277" s="510"/>
      <c r="T277" s="510"/>
      <c r="U277" s="510"/>
      <c r="V277" s="510"/>
      <c r="W277" s="349"/>
      <c r="X277" s="1412"/>
      <c r="Y277" s="1412"/>
      <c r="Z277" s="510"/>
      <c r="AA277" s="510"/>
      <c r="AB277" s="510"/>
      <c r="AC277" s="352"/>
      <c r="AD277" s="1382"/>
      <c r="AE277" s="38"/>
      <c r="AF277" s="38"/>
      <c r="AG277" s="38"/>
      <c r="AH277" s="38"/>
      <c r="AI277" s="75"/>
      <c r="AJ277" s="100"/>
      <c r="AK277" s="100"/>
      <c r="AL277" s="74"/>
      <c r="AM277" s="74"/>
      <c r="AN277" s="74"/>
      <c r="AO277" s="74"/>
      <c r="AP277" s="64"/>
      <c r="AQ277" s="510"/>
      <c r="AR277" s="510"/>
      <c r="AS277" s="510"/>
      <c r="AT277" s="510"/>
      <c r="AU277" s="510"/>
      <c r="AV277" s="510"/>
      <c r="AW277" s="510"/>
      <c r="AX277" s="1041"/>
      <c r="AZ277" s="100"/>
    </row>
    <row r="278" spans="1:52" s="2403" customFormat="1" ht="47.25">
      <c r="A278" s="2410">
        <v>11</v>
      </c>
      <c r="B278" s="2411" t="s">
        <v>3263</v>
      </c>
      <c r="C278" s="2412" t="s">
        <v>3265</v>
      </c>
      <c r="D278" s="2413" t="s">
        <v>3266</v>
      </c>
      <c r="E278" s="2388">
        <v>0</v>
      </c>
      <c r="F278" s="2388">
        <v>250000000</v>
      </c>
      <c r="G278" s="2388">
        <f>E278+F278</f>
        <v>250000000</v>
      </c>
      <c r="H278" s="2414" t="s">
        <v>3282</v>
      </c>
      <c r="I278" s="2390">
        <v>42699</v>
      </c>
      <c r="J278" s="2391" t="s">
        <v>3283</v>
      </c>
      <c r="K278" s="2030" t="s">
        <v>3501</v>
      </c>
      <c r="L278" s="2415" t="s">
        <v>3502</v>
      </c>
      <c r="M278" s="2416" t="s">
        <v>3284</v>
      </c>
      <c r="N278" s="2417">
        <v>0</v>
      </c>
      <c r="O278" s="2417">
        <v>231550000</v>
      </c>
      <c r="P278" s="2418">
        <f>N278+O278</f>
        <v>231550000</v>
      </c>
      <c r="Q278" s="2419"/>
      <c r="R278" s="2419"/>
      <c r="S278" s="2419"/>
      <c r="T278" s="2419"/>
      <c r="U278" s="2419"/>
      <c r="V278" s="2035">
        <f>P278</f>
        <v>231550000</v>
      </c>
      <c r="W278" s="2420" t="s">
        <v>3740</v>
      </c>
      <c r="X278" s="2421">
        <v>42732</v>
      </c>
      <c r="Y278" s="2421">
        <v>42734</v>
      </c>
      <c r="Z278" s="2420">
        <f>V278</f>
        <v>231550000</v>
      </c>
      <c r="AA278" s="2422">
        <v>1</v>
      </c>
      <c r="AB278" s="2035">
        <f>+G278-P278</f>
        <v>18450000</v>
      </c>
      <c r="AC278" s="2423"/>
      <c r="AD278" s="2037">
        <v>1</v>
      </c>
      <c r="AE278" s="2038"/>
      <c r="AF278" s="2039">
        <f>V278</f>
        <v>231550000</v>
      </c>
      <c r="AG278" s="2038"/>
      <c r="AH278" s="2038"/>
      <c r="AI278" s="2423"/>
      <c r="AJ278" s="2423"/>
      <c r="AK278" s="2423"/>
      <c r="AL278" s="2423"/>
      <c r="AM278" s="2423"/>
      <c r="AN278" s="2423"/>
      <c r="AO278" s="2423"/>
      <c r="AP278" s="2424"/>
      <c r="AQ278" s="2423"/>
      <c r="AR278" s="2423"/>
      <c r="AS278" s="2423"/>
      <c r="AT278" s="2423"/>
      <c r="AU278" s="2423"/>
      <c r="AV278" s="2423"/>
      <c r="AW278" s="2423"/>
      <c r="AX278" s="2423"/>
    </row>
    <row r="279" spans="1:52">
      <c r="A279" s="22"/>
      <c r="B279" s="1165" t="s">
        <v>3264</v>
      </c>
      <c r="C279" s="24"/>
      <c r="D279" s="25"/>
      <c r="E279" s="26"/>
      <c r="F279" s="26"/>
      <c r="G279" s="26">
        <f>E279+F279</f>
        <v>0</v>
      </c>
      <c r="H279" s="380"/>
      <c r="I279" s="558"/>
      <c r="J279" s="126"/>
      <c r="K279" s="248"/>
      <c r="L279" s="248"/>
      <c r="M279" s="72"/>
      <c r="N279" s="192">
        <v>0</v>
      </c>
      <c r="O279" s="192"/>
      <c r="P279" s="139">
        <f>N279+O279</f>
        <v>0</v>
      </c>
      <c r="Q279" s="496"/>
      <c r="R279" s="496"/>
      <c r="S279" s="496"/>
      <c r="T279" s="496"/>
      <c r="U279" s="496"/>
      <c r="V279" s="144">
        <f>P279</f>
        <v>0</v>
      </c>
      <c r="W279" s="144"/>
      <c r="X279" s="1424"/>
      <c r="Y279" s="1424"/>
      <c r="Z279" s="144"/>
      <c r="AA279" s="910"/>
      <c r="AB279" s="433">
        <f>+G279-P279</f>
        <v>0</v>
      </c>
      <c r="AC279" s="38"/>
      <c r="AD279" s="1382">
        <v>0.8</v>
      </c>
      <c r="AE279" s="38"/>
      <c r="AF279" s="967">
        <f>V279</f>
        <v>0</v>
      </c>
      <c r="AG279" s="38"/>
      <c r="AH279" s="38"/>
      <c r="AI279" s="38"/>
      <c r="AJ279" s="38"/>
      <c r="AK279" s="38"/>
      <c r="AL279" s="38"/>
      <c r="AM279" s="38"/>
      <c r="AN279" s="38"/>
      <c r="AO279" s="38"/>
      <c r="AP279" s="39"/>
      <c r="AQ279" s="38"/>
      <c r="AR279" s="38"/>
      <c r="AS279" s="38"/>
      <c r="AT279" s="38"/>
      <c r="AU279" s="38"/>
      <c r="AV279" s="38"/>
      <c r="AW279" s="38"/>
      <c r="AX279" s="38"/>
      <c r="AZ279" s="40"/>
    </row>
    <row r="280" spans="1:52" s="2496" customFormat="1">
      <c r="A280" s="2474"/>
      <c r="B280" s="2503">
        <v>42703</v>
      </c>
      <c r="C280" s="2497" t="s">
        <v>3267</v>
      </c>
      <c r="D280" s="2498" t="s">
        <v>3268</v>
      </c>
      <c r="E280" s="2478"/>
      <c r="F280" s="2478">
        <v>300000000</v>
      </c>
      <c r="G280" s="2478">
        <f>E280+F280</f>
        <v>300000000</v>
      </c>
      <c r="H280" s="2614"/>
      <c r="I280" s="2600"/>
      <c r="J280" s="2504"/>
      <c r="K280" s="2606"/>
      <c r="L280" s="2602"/>
      <c r="M280" s="2507"/>
      <c r="N280" s="2512"/>
      <c r="O280" s="2512"/>
      <c r="P280" s="2638"/>
      <c r="Q280" s="2635"/>
      <c r="R280" s="2635"/>
      <c r="S280" s="2635"/>
      <c r="T280" s="2635"/>
      <c r="U280" s="2635"/>
      <c r="V280" s="2635"/>
      <c r="W280" s="2487"/>
      <c r="X280" s="2489"/>
      <c r="Y280" s="2489"/>
      <c r="Z280" s="2487"/>
      <c r="AA280" s="2605"/>
      <c r="AB280" s="2487">
        <f>+G280-P280</f>
        <v>300000000</v>
      </c>
      <c r="AC280" s="2493"/>
      <c r="AD280" s="2492"/>
      <c r="AE280" s="2493"/>
      <c r="AF280" s="2493"/>
      <c r="AG280" s="2493"/>
      <c r="AH280" s="2493"/>
      <c r="AI280" s="2493"/>
      <c r="AJ280" s="2493"/>
      <c r="AK280" s="2493"/>
      <c r="AL280" s="2493"/>
      <c r="AM280" s="2493"/>
      <c r="AN280" s="2493"/>
      <c r="AO280" s="2493"/>
      <c r="AP280" s="2501"/>
      <c r="AQ280" s="2493"/>
      <c r="AR280" s="2493"/>
      <c r="AS280" s="2493"/>
      <c r="AT280" s="2493"/>
      <c r="AU280" s="2493"/>
      <c r="AV280" s="2493"/>
      <c r="AW280" s="2493"/>
      <c r="AX280" s="2493"/>
      <c r="AZ280" s="2502"/>
    </row>
    <row r="281" spans="1:52" ht="16.5" thickBot="1">
      <c r="A281" s="22"/>
      <c r="B281" s="1161"/>
      <c r="C281" s="24"/>
      <c r="D281" s="25"/>
      <c r="E281" s="26"/>
      <c r="F281" s="26"/>
      <c r="G281" s="26"/>
      <c r="H281" s="26"/>
      <c r="I281" s="26"/>
      <c r="J281" s="126"/>
      <c r="K281" s="34"/>
      <c r="L281" s="248"/>
      <c r="M281" s="72"/>
      <c r="N281" s="1295"/>
      <c r="O281" s="1295"/>
      <c r="P281" s="139"/>
      <c r="Q281" s="144"/>
      <c r="R281" s="144"/>
      <c r="S281" s="144"/>
      <c r="T281" s="144"/>
      <c r="U281" s="144"/>
      <c r="V281" s="144"/>
      <c r="W281" s="144"/>
      <c r="X281" s="1424"/>
      <c r="Y281" s="1424"/>
      <c r="Z281" s="144"/>
      <c r="AA281" s="36"/>
      <c r="AB281" s="433"/>
      <c r="AC281" s="38"/>
      <c r="AD281" s="1382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9"/>
      <c r="AQ281" s="38"/>
      <c r="AR281" s="38"/>
      <c r="AS281" s="38"/>
      <c r="AT281" s="38"/>
      <c r="AU281" s="38"/>
      <c r="AV281" s="38"/>
      <c r="AW281" s="38"/>
      <c r="AX281" s="38"/>
      <c r="AZ281" s="40"/>
    </row>
    <row r="282" spans="1:52" s="55" customFormat="1" ht="15.75" customHeight="1" thickBot="1">
      <c r="A282" s="2703" t="str">
        <f>B278</f>
        <v>011.DIST/AO/BRU/2016/M</v>
      </c>
      <c r="B282" s="2704"/>
      <c r="C282" s="2704"/>
      <c r="D282" s="2705"/>
      <c r="E282" s="65">
        <f>SUM(E278:E281)</f>
        <v>0</v>
      </c>
      <c r="F282" s="65">
        <f>SUM(F278:F281)</f>
        <v>550000000</v>
      </c>
      <c r="G282" s="65">
        <f>SUM(G278:G281)</f>
        <v>550000000</v>
      </c>
      <c r="H282" s="65"/>
      <c r="I282" s="65"/>
      <c r="J282" s="65"/>
      <c r="K282" s="66"/>
      <c r="L282" s="1334"/>
      <c r="M282" s="1345"/>
      <c r="N282" s="65">
        <f t="shared" ref="N282:V282" si="76">SUM(N278:N281)</f>
        <v>0</v>
      </c>
      <c r="O282" s="65">
        <f t="shared" si="76"/>
        <v>231550000</v>
      </c>
      <c r="P282" s="65">
        <f t="shared" si="76"/>
        <v>231550000</v>
      </c>
      <c r="Q282" s="65">
        <f t="shared" si="76"/>
        <v>0</v>
      </c>
      <c r="R282" s="65">
        <f t="shared" si="76"/>
        <v>0</v>
      </c>
      <c r="S282" s="65">
        <f t="shared" si="76"/>
        <v>0</v>
      </c>
      <c r="T282" s="65">
        <f t="shared" si="76"/>
        <v>0</v>
      </c>
      <c r="U282" s="65">
        <f t="shared" si="76"/>
        <v>0</v>
      </c>
      <c r="V282" s="65">
        <f t="shared" si="76"/>
        <v>231550000</v>
      </c>
      <c r="W282" s="1257"/>
      <c r="X282" s="1258"/>
      <c r="Y282" s="1258"/>
      <c r="Z282" s="65">
        <f>SUM(Z278:Z281)</f>
        <v>231550000</v>
      </c>
      <c r="AA282" s="65"/>
      <c r="AB282" s="65">
        <f>SUM(AB278:AB281)</f>
        <v>318450000</v>
      </c>
      <c r="AC282" s="76"/>
      <c r="AD282" s="1382"/>
      <c r="AE282" s="38"/>
      <c r="AF282" s="38"/>
      <c r="AG282" s="38"/>
      <c r="AH282" s="38"/>
      <c r="AI282" s="75"/>
      <c r="AJ282" s="100"/>
      <c r="AK282" s="100"/>
      <c r="AL282" s="74"/>
      <c r="AM282" s="74"/>
      <c r="AN282" s="74"/>
      <c r="AO282" s="74"/>
      <c r="AP282" s="64"/>
      <c r="AQ282" s="101" t="e">
        <f>SUM(#REF!)</f>
        <v>#REF!</v>
      </c>
      <c r="AR282" s="101" t="e">
        <f>SUM(#REF!)</f>
        <v>#REF!</v>
      </c>
      <c r="AS282" s="101" t="e">
        <f>SUM(#REF!)</f>
        <v>#REF!</v>
      </c>
      <c r="AT282" s="101" t="e">
        <f>SUM(#REF!)</f>
        <v>#REF!</v>
      </c>
      <c r="AU282" s="101" t="e">
        <f>SUM(#REF!)</f>
        <v>#REF!</v>
      </c>
      <c r="AV282" s="101" t="e">
        <f>SUM(#REF!)</f>
        <v>#REF!</v>
      </c>
      <c r="AW282" s="101" t="e">
        <f>SUM(#REF!)</f>
        <v>#REF!</v>
      </c>
      <c r="AX282" s="102" t="e">
        <f>SUM(#REF!)</f>
        <v>#REF!</v>
      </c>
      <c r="AZ282" s="56"/>
    </row>
    <row r="283" spans="1:52" ht="15.75" customHeight="1" thickBot="1">
      <c r="A283" s="2735" t="s">
        <v>44</v>
      </c>
      <c r="B283" s="2736"/>
      <c r="C283" s="2736"/>
      <c r="D283" s="2737"/>
      <c r="E283" s="84">
        <f>E30+E129+E150+E172+E216+E238+E247+E253+E270+E276+E282</f>
        <v>3093997400</v>
      </c>
      <c r="F283" s="84">
        <f>F30+F129+F150+F172+F216+F238+F247+F253+F270+F276+F282</f>
        <v>18037961706</v>
      </c>
      <c r="G283" s="84">
        <f>G30+G129+G150+G172+G216+G238+G247+G253+G270+G276+G282</f>
        <v>23171060990</v>
      </c>
      <c r="H283" s="84"/>
      <c r="I283" s="84"/>
      <c r="J283" s="84"/>
      <c r="K283" s="84"/>
      <c r="L283" s="1269"/>
      <c r="M283" s="1269"/>
      <c r="N283" s="1269">
        <f t="shared" ref="N283:V283" si="77">N30+N129+N150+N172+N216+N238+N247+N253+N270+N276+N282</f>
        <v>5356432187</v>
      </c>
      <c r="O283" s="1269">
        <f t="shared" si="77"/>
        <v>17084999778.730721</v>
      </c>
      <c r="P283" s="1269">
        <f t="shared" si="77"/>
        <v>22441431965.730721</v>
      </c>
      <c r="Q283" s="1269">
        <f t="shared" si="77"/>
        <v>691349337</v>
      </c>
      <c r="R283" s="1269">
        <f t="shared" si="77"/>
        <v>691349337</v>
      </c>
      <c r="S283" s="1269">
        <f t="shared" si="77"/>
        <v>691349337</v>
      </c>
      <c r="T283" s="1269">
        <f t="shared" si="77"/>
        <v>691349337</v>
      </c>
      <c r="U283" s="1269">
        <f t="shared" si="77"/>
        <v>691349337</v>
      </c>
      <c r="V283" s="1269">
        <f t="shared" si="77"/>
        <v>22441431965.730721</v>
      </c>
      <c r="W283" s="1269"/>
      <c r="X283" s="1269"/>
      <c r="Y283" s="1269"/>
      <c r="Z283" s="1269">
        <f>Z30+Z129+Z150+Z172+Z216+Z238+Z247+Z253+Z270+Z276+Z282</f>
        <v>20637901562.730721</v>
      </c>
      <c r="AA283" s="84"/>
      <c r="AB283" s="1269">
        <f>AB30+AB129+AB150+AB172+AB216+AB238+AB247+AB253+AB270+AB276+AB282</f>
        <v>735629024.26927996</v>
      </c>
      <c r="AC283" s="84"/>
      <c r="AD283" s="1395"/>
      <c r="AE283" s="696"/>
      <c r="AF283" s="696"/>
      <c r="AG283" s="696"/>
      <c r="AH283" s="696"/>
      <c r="AI283" s="85"/>
      <c r="AJ283" s="85"/>
      <c r="AK283" s="85"/>
      <c r="AL283" s="85"/>
      <c r="AM283" s="85"/>
      <c r="AN283" s="85"/>
      <c r="AO283" s="85"/>
      <c r="AP283" s="86"/>
      <c r="AQ283" s="84" t="e">
        <f>#REF!+#REF!+#REF!+#REF!</f>
        <v>#REF!</v>
      </c>
      <c r="AR283" s="84" t="e">
        <f>#REF!+#REF!+#REF!+#REF!</f>
        <v>#REF!</v>
      </c>
      <c r="AS283" s="84" t="e">
        <f>#REF!+#REF!+#REF!+#REF!</f>
        <v>#REF!</v>
      </c>
      <c r="AT283" s="84" t="e">
        <f>#REF!+#REF!+#REF!+#REF!</f>
        <v>#REF!</v>
      </c>
      <c r="AU283" s="84" t="e">
        <f>#REF!+#REF!+#REF!+#REF!</f>
        <v>#REF!</v>
      </c>
      <c r="AV283" s="84" t="e">
        <f>#REF!+#REF!+#REF!+#REF!</f>
        <v>#REF!</v>
      </c>
      <c r="AW283" s="84" t="e">
        <f>#REF!+#REF!+#REF!+#REF!</f>
        <v>#REF!</v>
      </c>
      <c r="AX283" s="87" t="e">
        <f>#REF!+#REF!+#REF!+#REF!</f>
        <v>#REF!</v>
      </c>
    </row>
    <row r="284" spans="1:52" ht="15.75" customHeight="1">
      <c r="B284" s="1167"/>
      <c r="N284" s="1307"/>
      <c r="O284" s="1307"/>
      <c r="P284" s="1308"/>
      <c r="Q284" s="1308"/>
      <c r="R284" s="1308"/>
      <c r="S284" s="1308"/>
      <c r="T284" s="1308"/>
      <c r="U284" s="1308"/>
      <c r="V284" s="1308"/>
      <c r="W284" s="1271">
        <f>W285-X285</f>
        <v>0</v>
      </c>
      <c r="X284" s="1270"/>
      <c r="Y284" s="1270"/>
      <c r="Z284" s="1271"/>
      <c r="AA284" s="79"/>
      <c r="AB284" s="79"/>
    </row>
    <row r="285" spans="1:52" ht="15.75" customHeight="1">
      <c r="B285" s="1167" t="s">
        <v>1351</v>
      </c>
      <c r="E285" s="79"/>
      <c r="F285" s="79"/>
      <c r="G285" s="79">
        <f>G283-G238</f>
        <v>21701214660</v>
      </c>
      <c r="H285" s="79"/>
      <c r="I285" s="79"/>
      <c r="J285" s="79"/>
      <c r="N285" s="1271">
        <f t="shared" ref="N285:V285" si="78">N283-N238</f>
        <v>4460618587</v>
      </c>
      <c r="O285" s="1271">
        <f t="shared" si="78"/>
        <v>16514557008.730721</v>
      </c>
      <c r="P285" s="1271">
        <f t="shared" si="78"/>
        <v>20975175595.730721</v>
      </c>
      <c r="Q285" s="1271">
        <f t="shared" si="78"/>
        <v>691349337</v>
      </c>
      <c r="R285" s="1271">
        <f t="shared" si="78"/>
        <v>691349337</v>
      </c>
      <c r="S285" s="1271">
        <f t="shared" si="78"/>
        <v>691349337</v>
      </c>
      <c r="T285" s="1271">
        <f t="shared" si="78"/>
        <v>691349337</v>
      </c>
      <c r="U285" s="1271">
        <f t="shared" si="78"/>
        <v>691349337</v>
      </c>
      <c r="V285" s="1271">
        <f t="shared" si="78"/>
        <v>20975175595.730721</v>
      </c>
      <c r="W285" s="1271">
        <f>P285-V285</f>
        <v>0</v>
      </c>
      <c r="X285" s="1271">
        <f>W285</f>
        <v>0</v>
      </c>
      <c r="Z285" s="1271">
        <f>Z283-Z238</f>
        <v>19196795346.730721</v>
      </c>
      <c r="AB285" s="79"/>
      <c r="AC285" s="88"/>
    </row>
    <row r="286" spans="1:52" ht="15.75" customHeight="1">
      <c r="B286" s="280" t="s">
        <v>1352</v>
      </c>
      <c r="G286" s="79">
        <f>G238</f>
        <v>1469846330</v>
      </c>
      <c r="N286" s="1271">
        <f t="shared" ref="N286:V286" si="79">N238</f>
        <v>895813600</v>
      </c>
      <c r="O286" s="1271">
        <f t="shared" si="79"/>
        <v>570442770</v>
      </c>
      <c r="P286" s="1271">
        <f t="shared" si="79"/>
        <v>1466256370</v>
      </c>
      <c r="Q286" s="1271">
        <f t="shared" si="79"/>
        <v>0</v>
      </c>
      <c r="R286" s="1271">
        <f t="shared" si="79"/>
        <v>0</v>
      </c>
      <c r="S286" s="1271">
        <f t="shared" si="79"/>
        <v>0</v>
      </c>
      <c r="T286" s="1271">
        <f t="shared" si="79"/>
        <v>0</v>
      </c>
      <c r="U286" s="1271">
        <f t="shared" si="79"/>
        <v>0</v>
      </c>
      <c r="V286" s="1271">
        <f t="shared" si="79"/>
        <v>1466256370</v>
      </c>
      <c r="W286" s="1271">
        <f>P286-V286</f>
        <v>0</v>
      </c>
      <c r="Z286" s="1271">
        <f>Z238</f>
        <v>1441106216</v>
      </c>
      <c r="AA286" s="2" t="s">
        <v>874</v>
      </c>
    </row>
    <row r="287" spans="1:52" ht="15.75" customHeight="1">
      <c r="D287" s="2138"/>
      <c r="E287" s="79">
        <f>E60+E56+E72+E73+SUM(E76:E84)+SUM(E90:E94)+E98+SUM(E100:E108)+E110+E115+E116+E131+E133+SUM(E152:E157)+E182+E183+E195+E227+E234+E235+E237+E272</f>
        <v>656786000</v>
      </c>
      <c r="F287" s="79">
        <f>F60+F56+F72+F73+SUM(F76:F84)+SUM(F90:F94)+F98+SUM(F100:F108)+F110+F115+F116+F131+F133+SUM(F152:F157)+F182+F183+F195+F227+F234+F235+F237+F272</f>
        <v>1520771260</v>
      </c>
      <c r="G287" s="79">
        <f>G60+G56+G72+G73+SUM(G76:G84)+SUM(G90:G94)+G98+SUM(G100:G108)+G110+G115+G116+G131+G133+SUM(G152:G157)+G182+G183+G195+G227+G234+G235+G237+G272</f>
        <v>2297386260</v>
      </c>
      <c r="M287" s="1356"/>
      <c r="N287" s="79">
        <f>N60+N56+N72+N73+SUM(N76:N84)+SUM(N90:N94)+N98+SUM(N100:N108)+N110+N115+N116+N131+N133+SUM(N152:N157)+N182+N183+N195+N227+N234+N235+N237+N272</f>
        <v>1462209917</v>
      </c>
      <c r="O287" s="79">
        <f>O60+O56+O72+O73+SUM(O76:O84)+SUM(O90:O94)+O98+SUM(O100:O108)+O110+O115+O116+O131+O133+SUM(O152:O157)+O182+O183+O195+O227+O234+O235+O237+O272</f>
        <v>657432299</v>
      </c>
      <c r="P287" s="79">
        <f>P60+P56+P72+P73+SUM(P76:P84)+SUM(P90:P94)+P98+SUM(P100:P108)+P110+P115+P116+P131+P133+SUM(P152:P157)+P182+P183+P195+P227+P234+P235+P237+P272</f>
        <v>2119642216</v>
      </c>
      <c r="X287" s="2639">
        <f>(N287/P287)*Z287</f>
        <v>1398176142.8406734</v>
      </c>
      <c r="Y287" s="2639">
        <f>O287/P287*Z287</f>
        <v>628641719.15932667</v>
      </c>
      <c r="Z287" s="79">
        <f>Z60+Z56+Z72+Z73+SUM(Z76:Z84)+SUM(Z90:Z94)+Z98+SUM(Z100:Z108)+Z110+Z115+Z116+Z131+Z133+SUM(Z152:Z157)+Z182+Z183+Z195+Z227+Z234+Z235+Z237+Z272</f>
        <v>2026817862</v>
      </c>
    </row>
    <row r="288" spans="1:52" ht="15.75" customHeight="1">
      <c r="D288" s="2139"/>
      <c r="E288" s="79">
        <f>E85+E86+E109+E111+E134+E135+E197+E219+E220+E228+E229+E230+E231</f>
        <v>376707100</v>
      </c>
      <c r="F288" s="79">
        <f>F85+F86+F109+F111+F134+F135+F197+F219+F220+F228+F229+F230+F231</f>
        <v>0</v>
      </c>
      <c r="G288" s="79">
        <f>G85+G86+G109+G111+G134+G135+G197+G219+G220+G228+G229+G230+G231</f>
        <v>376707100</v>
      </c>
      <c r="N288" s="79">
        <f>N85+N86+N109+N111+N134+N135+N197+N219+N220+N228+N229+N230+N231</f>
        <v>171419567</v>
      </c>
      <c r="O288" s="79">
        <f>O85+O86+O109+O111+O134+O135+O197+O219+O220+O228+O229+O230+O231</f>
        <v>378730880</v>
      </c>
      <c r="P288" s="79">
        <f>P85+P86+P109+P111+P134+P135+P197+P219+P220+P228+P229+P230+P231</f>
        <v>550150447</v>
      </c>
      <c r="X288" s="2639">
        <f t="shared" ref="X288:X293" si="80">(N288/P288)*Z288</f>
        <v>171419567.00000003</v>
      </c>
      <c r="Y288" s="2639">
        <f t="shared" ref="Y288:Y293" si="81">O288/P288*Z288</f>
        <v>378730880</v>
      </c>
      <c r="Z288" s="79">
        <f>Z85+Z86+Z109+Z111+Z134+Z135+Z197+Z219+Z220+Z228+Z229+Z230+Z231</f>
        <v>550150447</v>
      </c>
      <c r="AB288" s="79">
        <f>AB283-'REKAP SKKO HAR '!H13</f>
        <v>6000000.0000004768</v>
      </c>
    </row>
    <row r="289" spans="3:26" ht="15.75" customHeight="1">
      <c r="C289" s="89">
        <f>43</f>
        <v>43</v>
      </c>
      <c r="D289" s="2197"/>
      <c r="E289" s="79">
        <f>E89+E114+E178+E179+E196+E236</f>
        <v>85602000</v>
      </c>
      <c r="F289" s="79">
        <f>F89+F114+F178+F179+F196+F236</f>
        <v>128700000</v>
      </c>
      <c r="G289" s="79">
        <f>G89+G114+G178+G179+G196+G236</f>
        <v>214302000</v>
      </c>
      <c r="N289" s="79">
        <f>N89+N114+N178+N179+N196+N236</f>
        <v>153001457</v>
      </c>
      <c r="O289" s="79">
        <f>O89+O114+O178+O179+O196+O236</f>
        <v>53679120</v>
      </c>
      <c r="P289" s="79">
        <f>P89+P114+P178+P179+P196+P236</f>
        <v>206680577</v>
      </c>
      <c r="X289" s="2639">
        <f t="shared" si="80"/>
        <v>153001457</v>
      </c>
      <c r="Y289" s="2639">
        <f t="shared" si="81"/>
        <v>53679120</v>
      </c>
      <c r="Z289" s="79">
        <f>Z89+Z114+Z178+Z179+Z196+Z236</f>
        <v>206680577</v>
      </c>
    </row>
    <row r="290" spans="3:26" ht="15.75" customHeight="1">
      <c r="C290" s="89">
        <f>13*2</f>
        <v>26</v>
      </c>
      <c r="D290" s="2256"/>
      <c r="E290" s="79">
        <f>E71+SUM(E119:E125)+E132+E138+E139+SUM(E142:E146)+E174+E175+E193+SUM(E221:E225)+E232+E233+SUM(E249:E252)</f>
        <v>1136124800</v>
      </c>
      <c r="F290" s="79">
        <f>F71+SUM(F119:F125)+F132+F138+F139+SUM(F142:F146)+F174+F175+F193+SUM(F221:F225)+F232+F233+SUM(F249:F252)</f>
        <v>1187215660</v>
      </c>
      <c r="G290" s="79">
        <f>G71+SUM(G119:G125)+G132+G138+G139+SUM(G142:G146)+G174+G175+G193+SUM(G221:G225)+G232+G233+SUM(G249:G252)</f>
        <v>2323340460</v>
      </c>
      <c r="N290" s="79">
        <f>N71+SUM(N119:N125)+N132+N138+N139+SUM(N142:N146)+N174+N175+N193+SUM(N221:N225)+N232+N233+SUM(N249:N252)</f>
        <v>1753769050</v>
      </c>
      <c r="O290" s="79">
        <f>O71+SUM(O119:O125)+O132+O138+O139+SUM(O142:O146)+O174+O175+O193+SUM(O221:O225)+O232+O233+SUM(O249:O252)</f>
        <v>862894835</v>
      </c>
      <c r="P290" s="79">
        <f>P71+SUM(P119:P125)+P132+P138+P139+SUM(P142:P146)+P174+P175+P193+SUM(P221:P225)+P232+P233+SUM(P249:P252)</f>
        <v>2616663885</v>
      </c>
      <c r="X290" s="2639">
        <f t="shared" si="80"/>
        <v>1702710523.1943974</v>
      </c>
      <c r="Y290" s="2639">
        <f t="shared" si="81"/>
        <v>837772861.80560279</v>
      </c>
      <c r="Z290" s="79">
        <f>Z71+SUM(Z119:Z125)+Z132+Z138+Z139+SUM(Z142:Z146)+Z174+Z175+Z193+SUM(Z221:Z225)+Z232+Z233+SUM(Z249:Z252)</f>
        <v>2540483385</v>
      </c>
    </row>
    <row r="291" spans="3:26" ht="15.75" customHeight="1">
      <c r="D291" s="2371"/>
      <c r="E291" s="79">
        <f>SUM(E62:E66)+E194+E200+E278</f>
        <v>0</v>
      </c>
      <c r="F291" s="79">
        <f>SUM(F62:F66)+F194+F200+F278</f>
        <v>686843000</v>
      </c>
      <c r="G291" s="79">
        <f>SUM(G62:G66)+G194+G200+G278</f>
        <v>686843000</v>
      </c>
      <c r="N291" s="79">
        <f>SUM(N62:N66)+N194+N200+N278</f>
        <v>225160628</v>
      </c>
      <c r="O291" s="79">
        <f>SUM(O62:O66)+O194+O200+O278</f>
        <v>514536000</v>
      </c>
      <c r="P291" s="79">
        <f>SUM(P62:P66)+P194+P200+P278</f>
        <v>739696628</v>
      </c>
      <c r="X291" s="2639">
        <f t="shared" si="80"/>
        <v>222988724.22144121</v>
      </c>
      <c r="Y291" s="2639">
        <f t="shared" si="81"/>
        <v>509572775.77855873</v>
      </c>
      <c r="Z291" s="79">
        <f>SUM(Z62:Z66)+Z194+Z200+Z278</f>
        <v>732561500</v>
      </c>
    </row>
    <row r="292" spans="3:26" ht="15.75" customHeight="1">
      <c r="D292" s="2425"/>
      <c r="E292" s="79">
        <f>E70+E87+E99+E226+E254+E255+E256+E258+E259+E260+E261+E262+E266+E267</f>
        <v>696723500</v>
      </c>
      <c r="F292" s="79">
        <f>F70+F87+F99+F226+F254+F255+F256+F258+F259+F260+F261+F262+F266+F267</f>
        <v>960254000</v>
      </c>
      <c r="G292" s="79">
        <f>G70+G87+G99+G226+G254+G255+G256+G258+G259+G260+G261+G262+G266+G267</f>
        <v>1656977500</v>
      </c>
      <c r="N292" s="79">
        <f>N70+N87+N99+N226+N254+N255+N256+N258+N259+N260+N261+N262+N266+N267</f>
        <v>1169723568</v>
      </c>
      <c r="O292" s="79">
        <f>O70+O87+O99+O226+O254+O255+O256+O258+O259+O260+O261+O262+O266+O267</f>
        <v>103620000</v>
      </c>
      <c r="P292" s="79">
        <f>P70+P87+P99+P226+P254+P255+P256+P258+P259+P260+P261+P262+P266+P267</f>
        <v>1273343568</v>
      </c>
      <c r="X292" s="2639">
        <f t="shared" si="80"/>
        <v>1169723568</v>
      </c>
      <c r="Y292" s="2639">
        <f t="shared" si="81"/>
        <v>103620000</v>
      </c>
      <c r="Z292" s="79">
        <f>Z70+Z87+Z99+Z226+Z254+Z255+Z256+Z258+Z259+Z260+Z261+Z262+Z266+Z267</f>
        <v>1273343568</v>
      </c>
    </row>
    <row r="293" spans="3:26" ht="15.75" customHeight="1">
      <c r="D293" s="2473"/>
      <c r="E293" s="79">
        <f>E283-SUM(E287:E292)</f>
        <v>142054000</v>
      </c>
      <c r="F293" s="79">
        <f>F283-SUM(F287:F292)</f>
        <v>13554177786</v>
      </c>
      <c r="G293" s="79">
        <f>G283-SUM(G287:G292)</f>
        <v>15615504670</v>
      </c>
      <c r="N293" s="79">
        <f>N283-SUM(N287:N292)</f>
        <v>421148000</v>
      </c>
      <c r="O293" s="79">
        <f>O283-SUM(O287:O292)</f>
        <v>14514106644.730721</v>
      </c>
      <c r="P293" s="79">
        <f>P283-SUM(P287:P292)</f>
        <v>14935254644.730721</v>
      </c>
      <c r="X293" s="2639">
        <f t="shared" si="80"/>
        <v>375258442.88654876</v>
      </c>
      <c r="Y293" s="2639">
        <f t="shared" si="81"/>
        <v>12932605780.844172</v>
      </c>
      <c r="Z293" s="79">
        <f>Z283-SUM(Z287:Z292)</f>
        <v>13307864223.730721</v>
      </c>
    </row>
  </sheetData>
  <mergeCells count="54">
    <mergeCell ref="AQ8:AX8"/>
    <mergeCell ref="AI8:AP8"/>
    <mergeCell ref="AH8:AH10"/>
    <mergeCell ref="AE8:AG9"/>
    <mergeCell ref="AQ9:AT9"/>
    <mergeCell ref="AU9:AX9"/>
    <mergeCell ref="AI10:AL10"/>
    <mergeCell ref="AM10:AP10"/>
    <mergeCell ref="X9:X10"/>
    <mergeCell ref="Z9:Z10"/>
    <mergeCell ref="AD8:AD10"/>
    <mergeCell ref="AC8:AC10"/>
    <mergeCell ref="A283:D283"/>
    <mergeCell ref="T9:U9"/>
    <mergeCell ref="W9:W10"/>
    <mergeCell ref="B174:B178"/>
    <mergeCell ref="B180:B182"/>
    <mergeCell ref="A172:D172"/>
    <mergeCell ref="A276:D276"/>
    <mergeCell ref="B32:B34"/>
    <mergeCell ref="B137:B139"/>
    <mergeCell ref="A282:D282"/>
    <mergeCell ref="W11:Z11"/>
    <mergeCell ref="V8:V10"/>
    <mergeCell ref="B40:B42"/>
    <mergeCell ref="N9:P9"/>
    <mergeCell ref="J9:J10"/>
    <mergeCell ref="A270:D270"/>
    <mergeCell ref="A238:D238"/>
    <mergeCell ref="C9:C10"/>
    <mergeCell ref="A150:D150"/>
    <mergeCell ref="B152:B154"/>
    <mergeCell ref="A129:D129"/>
    <mergeCell ref="A30:D30"/>
    <mergeCell ref="B16:B18"/>
    <mergeCell ref="A253:D253"/>
    <mergeCell ref="A216:D216"/>
    <mergeCell ref="B131:B133"/>
    <mergeCell ref="A247:D247"/>
    <mergeCell ref="D9:D10"/>
    <mergeCell ref="B9:B10"/>
    <mergeCell ref="B156:B159"/>
    <mergeCell ref="B36:B38"/>
    <mergeCell ref="A5:AH5"/>
    <mergeCell ref="A6:N6"/>
    <mergeCell ref="A8:A10"/>
    <mergeCell ref="H8:I9"/>
    <mergeCell ref="J8:U8"/>
    <mergeCell ref="B8:G8"/>
    <mergeCell ref="Q9:S9"/>
    <mergeCell ref="Y8:AA8"/>
    <mergeCell ref="W8:X8"/>
    <mergeCell ref="Y9:Y10"/>
    <mergeCell ref="E9:G9"/>
  </mergeCells>
  <printOptions horizontalCentered="1"/>
  <pageMargins left="0.25" right="0.25" top="0.5" bottom="0.5" header="0.3" footer="0.3"/>
  <pageSetup paperSize="9" scale="38" orientation="landscape" r:id="rId1"/>
  <colBreaks count="1" manualBreakCount="1">
    <brk id="16" max="120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AJ358"/>
  <sheetViews>
    <sheetView topLeftCell="N1" zoomScale="70" zoomScaleNormal="70" workbookViewId="0">
      <pane ySplit="10" topLeftCell="A347" activePane="bottomLeft" state="frozen"/>
      <selection pane="bottomLeft" activeCell="X358" sqref="X358"/>
    </sheetView>
  </sheetViews>
  <sheetFormatPr defaultColWidth="32.42578125" defaultRowHeight="15.75"/>
  <cols>
    <col min="1" max="1" width="4.85546875" style="2" customWidth="1"/>
    <col min="2" max="2" width="31.7109375" style="2" customWidth="1"/>
    <col min="3" max="3" width="32.5703125" style="89" customWidth="1"/>
    <col min="4" max="4" width="48.42578125" style="89" customWidth="1"/>
    <col min="5" max="5" width="18.140625" style="2" bestFit="1" customWidth="1"/>
    <col min="6" max="7" width="18.28515625" style="2" bestFit="1" customWidth="1"/>
    <col min="8" max="8" width="22.140625" style="2" customWidth="1"/>
    <col min="9" max="9" width="18" style="2" customWidth="1"/>
    <col min="10" max="10" width="28.7109375" style="278" bestFit="1" customWidth="1"/>
    <col min="11" max="11" width="32.42578125" style="2" customWidth="1"/>
    <col min="12" max="12" width="20.7109375" style="2" customWidth="1"/>
    <col min="13" max="13" width="73.28515625" style="89" customWidth="1"/>
    <col min="14" max="14" width="18.140625" style="2" customWidth="1"/>
    <col min="15" max="16" width="19.7109375" style="2" customWidth="1"/>
    <col min="17" max="21" width="19.7109375" style="2" hidden="1" customWidth="1"/>
    <col min="22" max="22" width="19.7109375" style="280" customWidth="1"/>
    <col min="23" max="23" width="32.140625" style="2" customWidth="1"/>
    <col min="24" max="24" width="20.140625" style="2" customWidth="1"/>
    <col min="25" max="25" width="20" style="91" bestFit="1" customWidth="1"/>
    <col min="26" max="26" width="18.28515625" style="280" customWidth="1"/>
    <col min="27" max="27" width="10.140625" style="2" bestFit="1" customWidth="1"/>
    <col min="28" max="28" width="18.5703125" style="2" customWidth="1"/>
    <col min="29" max="29" width="22.5703125" style="2" customWidth="1"/>
    <col min="30" max="16384" width="32.42578125" style="2"/>
  </cols>
  <sheetData>
    <row r="1" spans="1:3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69"/>
      <c r="K1" s="1"/>
      <c r="L1" s="1"/>
      <c r="M1" s="1"/>
      <c r="N1" s="1"/>
      <c r="O1" s="1"/>
    </row>
    <row r="2" spans="1:36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269"/>
      <c r="K2" s="1"/>
      <c r="L2" s="1"/>
      <c r="M2" s="1"/>
      <c r="N2" s="1"/>
      <c r="O2" s="1"/>
    </row>
    <row r="3" spans="1:36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269"/>
      <c r="K3" s="1"/>
      <c r="L3" s="1"/>
      <c r="M3" s="1"/>
      <c r="N3" s="1"/>
      <c r="O3" s="1"/>
    </row>
    <row r="4" spans="1:36" ht="15.75" customHeight="1">
      <c r="A4" s="1"/>
      <c r="B4" s="1"/>
      <c r="C4" s="1"/>
      <c r="D4" s="1"/>
      <c r="E4" s="1"/>
      <c r="F4" s="1"/>
      <c r="G4" s="1"/>
      <c r="H4" s="1"/>
      <c r="I4" s="1"/>
      <c r="J4" s="269"/>
      <c r="K4" s="1"/>
      <c r="L4" s="1"/>
      <c r="M4" s="1"/>
      <c r="N4" s="1"/>
      <c r="O4" s="1"/>
    </row>
    <row r="5" spans="1:36" ht="15.75" customHeight="1">
      <c r="A5" s="2656" t="s">
        <v>507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  <c r="AB5" s="2656"/>
      <c r="AC5" s="2656"/>
    </row>
    <row r="6" spans="1:36" ht="15.75" customHeight="1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  <c r="N6" s="2657"/>
      <c r="O6" s="152"/>
    </row>
    <row r="7" spans="1:36" ht="15.75" customHeight="1" thickBot="1">
      <c r="A7" s="1"/>
      <c r="B7" s="1"/>
      <c r="C7" s="1"/>
      <c r="D7" s="1"/>
      <c r="E7" s="1"/>
      <c r="F7" s="1"/>
      <c r="G7" s="1"/>
      <c r="H7" s="1"/>
      <c r="I7" s="1"/>
      <c r="J7" s="269"/>
      <c r="K7" s="1"/>
      <c r="L7" s="1"/>
      <c r="M7" s="1"/>
      <c r="N7" s="1"/>
      <c r="O7" s="1"/>
    </row>
    <row r="8" spans="1:36" ht="15.75" customHeight="1" thickBot="1">
      <c r="A8" s="2658" t="s">
        <v>3</v>
      </c>
      <c r="B8" s="2661" t="s">
        <v>4</v>
      </c>
      <c r="C8" s="2662"/>
      <c r="D8" s="2662"/>
      <c r="E8" s="2662"/>
      <c r="F8" s="2662"/>
      <c r="G8" s="2663"/>
      <c r="H8" s="2664" t="s">
        <v>5</v>
      </c>
      <c r="I8" s="2665"/>
      <c r="J8" s="2661" t="s">
        <v>6</v>
      </c>
      <c r="K8" s="2662"/>
      <c r="L8" s="2662"/>
      <c r="M8" s="2662"/>
      <c r="N8" s="2662"/>
      <c r="O8" s="2662"/>
      <c r="P8" s="2662"/>
      <c r="Q8" s="2662"/>
      <c r="R8" s="2662"/>
      <c r="S8" s="2662"/>
      <c r="T8" s="2662"/>
      <c r="U8" s="2663"/>
      <c r="V8" s="2671" t="s">
        <v>7</v>
      </c>
      <c r="W8" s="2673" t="s">
        <v>8</v>
      </c>
      <c r="X8" s="2673"/>
      <c r="Y8" s="2668" t="s">
        <v>9</v>
      </c>
      <c r="Z8" s="2669"/>
      <c r="AA8" s="2670"/>
      <c r="AB8" s="4" t="s">
        <v>10</v>
      </c>
      <c r="AC8" s="2674" t="s">
        <v>11</v>
      </c>
      <c r="AD8" s="2690" t="s">
        <v>2571</v>
      </c>
      <c r="AE8" s="2710" t="s">
        <v>2572</v>
      </c>
      <c r="AF8" s="2698"/>
      <c r="AG8" s="2686" t="s">
        <v>2573</v>
      </c>
      <c r="AH8" s="2687"/>
      <c r="AI8" s="2687"/>
      <c r="AJ8" s="2690" t="s">
        <v>2578</v>
      </c>
    </row>
    <row r="9" spans="1:36" ht="15.75" customHeight="1" thickBot="1">
      <c r="A9" s="2659"/>
      <c r="B9" s="2658" t="s">
        <v>48</v>
      </c>
      <c r="C9" s="2671" t="s">
        <v>46</v>
      </c>
      <c r="D9" s="2658" t="s">
        <v>14</v>
      </c>
      <c r="E9" s="2706" t="s">
        <v>15</v>
      </c>
      <c r="F9" s="2721"/>
      <c r="G9" s="2722"/>
      <c r="H9" s="2666"/>
      <c r="I9" s="2667"/>
      <c r="J9" s="2763" t="s">
        <v>16</v>
      </c>
      <c r="K9" s="5"/>
      <c r="L9" s="5"/>
      <c r="M9" s="5"/>
      <c r="N9" s="2706" t="s">
        <v>17</v>
      </c>
      <c r="O9" s="2707"/>
      <c r="P9" s="2708"/>
      <c r="Q9" s="2680" t="s">
        <v>18</v>
      </c>
      <c r="R9" s="2681"/>
      <c r="S9" s="2709"/>
      <c r="T9" s="2680" t="s">
        <v>19</v>
      </c>
      <c r="U9" s="2681"/>
      <c r="V9" s="2682"/>
      <c r="W9" s="2690" t="s">
        <v>20</v>
      </c>
      <c r="X9" s="2674" t="s">
        <v>21</v>
      </c>
      <c r="Y9" s="2756" t="s">
        <v>22</v>
      </c>
      <c r="Z9" s="2698" t="s">
        <v>15</v>
      </c>
      <c r="AA9" s="150" t="s">
        <v>23</v>
      </c>
      <c r="AB9" s="7"/>
      <c r="AC9" s="2675"/>
      <c r="AD9" s="2691"/>
      <c r="AE9" s="2711"/>
      <c r="AF9" s="2712"/>
      <c r="AG9" s="2688"/>
      <c r="AH9" s="2689"/>
      <c r="AI9" s="2689"/>
      <c r="AJ9" s="2691"/>
    </row>
    <row r="10" spans="1:36" ht="15.75" customHeight="1" thickBot="1">
      <c r="A10" s="2660"/>
      <c r="B10" s="2660"/>
      <c r="C10" s="2672"/>
      <c r="D10" s="2660"/>
      <c r="E10" s="11" t="s">
        <v>30</v>
      </c>
      <c r="F10" s="11" t="s">
        <v>31</v>
      </c>
      <c r="G10" s="11" t="s">
        <v>32</v>
      </c>
      <c r="H10" s="10" t="s">
        <v>26</v>
      </c>
      <c r="I10" s="10" t="s">
        <v>27</v>
      </c>
      <c r="J10" s="2764"/>
      <c r="K10" s="10" t="s">
        <v>49</v>
      </c>
      <c r="L10" s="10" t="s">
        <v>29</v>
      </c>
      <c r="M10" s="10" t="s">
        <v>28</v>
      </c>
      <c r="N10" s="11" t="s">
        <v>30</v>
      </c>
      <c r="O10" s="11" t="s">
        <v>31</v>
      </c>
      <c r="P10" s="12" t="s">
        <v>32</v>
      </c>
      <c r="Q10" s="12" t="s">
        <v>33</v>
      </c>
      <c r="R10" s="12" t="s">
        <v>30</v>
      </c>
      <c r="S10" s="12" t="s">
        <v>31</v>
      </c>
      <c r="T10" s="12" t="s">
        <v>33</v>
      </c>
      <c r="U10" s="13" t="s">
        <v>34</v>
      </c>
      <c r="V10" s="2672"/>
      <c r="W10" s="2692"/>
      <c r="X10" s="2676"/>
      <c r="Y10" s="2757"/>
      <c r="Z10" s="2699"/>
      <c r="AA10" s="151" t="s">
        <v>35</v>
      </c>
      <c r="AB10" s="12" t="s">
        <v>36</v>
      </c>
      <c r="AC10" s="2676"/>
      <c r="AD10" s="2692"/>
      <c r="AE10" s="16" t="s">
        <v>3</v>
      </c>
      <c r="AF10" s="16" t="s">
        <v>2574</v>
      </c>
      <c r="AG10" s="16" t="s">
        <v>2575</v>
      </c>
      <c r="AH10" s="16" t="s">
        <v>2576</v>
      </c>
      <c r="AI10" s="16" t="s">
        <v>2577</v>
      </c>
      <c r="AJ10" s="2692"/>
    </row>
    <row r="11" spans="1:36" ht="15.75" customHeight="1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/>
      <c r="J11" s="270"/>
      <c r="K11" s="10">
        <v>5</v>
      </c>
      <c r="L11" s="10"/>
      <c r="M11" s="10">
        <v>6</v>
      </c>
      <c r="N11" s="10">
        <v>8</v>
      </c>
      <c r="O11" s="10"/>
      <c r="P11" s="16">
        <v>9</v>
      </c>
      <c r="Q11" s="148"/>
      <c r="R11" s="148"/>
      <c r="S11" s="148"/>
      <c r="T11" s="148"/>
      <c r="U11" s="148"/>
      <c r="V11" s="251"/>
      <c r="W11" s="2758">
        <v>10</v>
      </c>
      <c r="X11" s="2759"/>
      <c r="Y11" s="2759"/>
      <c r="Z11" s="2760"/>
      <c r="AA11" s="149"/>
      <c r="AB11" s="16">
        <v>10</v>
      </c>
      <c r="AC11" s="16">
        <v>11</v>
      </c>
      <c r="AD11" s="16"/>
      <c r="AE11" s="19"/>
      <c r="AF11" s="19"/>
      <c r="AG11" s="19"/>
      <c r="AH11" s="19"/>
      <c r="AI11" s="19"/>
      <c r="AJ11" s="16"/>
    </row>
    <row r="12" spans="1:36" ht="15.75" customHeight="1">
      <c r="A12" s="95"/>
      <c r="B12" s="95"/>
      <c r="C12" s="95"/>
      <c r="D12" s="95"/>
      <c r="E12" s="95"/>
      <c r="F12" s="95"/>
      <c r="G12" s="95"/>
      <c r="H12" s="95"/>
      <c r="I12" s="95"/>
      <c r="J12" s="271"/>
      <c r="K12" s="5"/>
      <c r="L12" s="5"/>
      <c r="M12" s="5"/>
      <c r="N12" s="96"/>
      <c r="O12" s="96"/>
      <c r="P12" s="97"/>
      <c r="Q12" s="9"/>
      <c r="R12" s="9"/>
      <c r="S12" s="9"/>
      <c r="T12" s="9"/>
      <c r="U12" s="9"/>
      <c r="V12" s="136"/>
      <c r="W12" s="242"/>
      <c r="X12" s="243"/>
      <c r="Y12" s="304"/>
      <c r="Z12" s="136"/>
      <c r="AA12" s="97"/>
      <c r="AB12" s="97"/>
      <c r="AC12" s="7"/>
      <c r="AD12" s="97"/>
      <c r="AE12" s="98"/>
      <c r="AF12" s="98"/>
      <c r="AG12" s="98"/>
      <c r="AH12" s="98"/>
      <c r="AI12" s="98"/>
      <c r="AJ12" s="97"/>
    </row>
    <row r="13" spans="1:36" ht="47.25">
      <c r="A13" s="408">
        <v>1</v>
      </c>
      <c r="B13" s="153" t="s">
        <v>72</v>
      </c>
      <c r="C13" s="154" t="s">
        <v>73</v>
      </c>
      <c r="D13" s="25" t="s">
        <v>74</v>
      </c>
      <c r="E13" s="26"/>
      <c r="F13" s="26">
        <v>5533344000</v>
      </c>
      <c r="G13" s="26">
        <f>E13+F13</f>
        <v>5533344000</v>
      </c>
      <c r="H13" s="26"/>
      <c r="I13" s="26"/>
      <c r="J13" s="272"/>
      <c r="K13" s="583" t="s">
        <v>793</v>
      </c>
      <c r="L13" s="595" t="s">
        <v>794</v>
      </c>
      <c r="M13" s="584" t="s">
        <v>884</v>
      </c>
      <c r="N13" s="570"/>
      <c r="O13" s="570">
        <v>307733075.76000005</v>
      </c>
      <c r="P13" s="596">
        <f t="shared" ref="P13:P18" si="0">N13+O13</f>
        <v>307733075.76000005</v>
      </c>
      <c r="Q13" s="572"/>
      <c r="R13" s="572"/>
      <c r="S13" s="572"/>
      <c r="T13" s="572"/>
      <c r="U13" s="572"/>
      <c r="V13" s="597">
        <f t="shared" ref="V13:V18" si="1">P13</f>
        <v>307733075.76000005</v>
      </c>
      <c r="W13" s="572" t="s">
        <v>559</v>
      </c>
      <c r="X13" s="598"/>
      <c r="Y13" s="598">
        <v>42398</v>
      </c>
      <c r="Z13" s="599">
        <f t="shared" ref="Z13:Z18" si="2">V13</f>
        <v>307733075.76000005</v>
      </c>
      <c r="AA13" s="612">
        <v>1</v>
      </c>
      <c r="AB13" s="576">
        <f>+G13-P13</f>
        <v>5225610924.2399998</v>
      </c>
      <c r="AC13" s="577" t="s">
        <v>934</v>
      </c>
      <c r="AD13" s="32"/>
      <c r="AE13" s="32"/>
      <c r="AF13" s="32"/>
      <c r="AG13" s="32"/>
      <c r="AH13" s="32"/>
      <c r="AI13" s="32"/>
      <c r="AJ13" s="32"/>
    </row>
    <row r="14" spans="1:36" ht="31.5">
      <c r="A14" s="22"/>
      <c r="B14" s="153" t="s">
        <v>928</v>
      </c>
      <c r="C14" s="24"/>
      <c r="D14" s="25"/>
      <c r="E14" s="26"/>
      <c r="F14" s="26"/>
      <c r="G14" s="26"/>
      <c r="H14" s="26"/>
      <c r="I14" s="26"/>
      <c r="J14" s="272"/>
      <c r="K14" s="600" t="s">
        <v>846</v>
      </c>
      <c r="L14" s="595" t="s">
        <v>794</v>
      </c>
      <c r="M14" s="601" t="s">
        <v>885</v>
      </c>
      <c r="N14" s="580"/>
      <c r="O14" s="589">
        <v>292056198.44323999</v>
      </c>
      <c r="P14" s="596">
        <f t="shared" si="0"/>
        <v>292056198.44323999</v>
      </c>
      <c r="Q14" s="573"/>
      <c r="R14" s="573"/>
      <c r="S14" s="573"/>
      <c r="T14" s="573"/>
      <c r="U14" s="573"/>
      <c r="V14" s="597">
        <f t="shared" si="1"/>
        <v>292056198.44323999</v>
      </c>
      <c r="W14" s="572" t="s">
        <v>559</v>
      </c>
      <c r="X14" s="598"/>
      <c r="Y14" s="598">
        <v>42398</v>
      </c>
      <c r="Z14" s="599">
        <f t="shared" si="2"/>
        <v>292056198.44323999</v>
      </c>
      <c r="AA14" s="612">
        <v>1</v>
      </c>
      <c r="AB14" s="603">
        <f t="shared" ref="AB14:AB23" si="3">+E14-P14</f>
        <v>-292056198.44323999</v>
      </c>
      <c r="AC14" s="577" t="s">
        <v>934</v>
      </c>
      <c r="AD14" s="32"/>
      <c r="AE14" s="32"/>
      <c r="AF14" s="32"/>
      <c r="AG14" s="32"/>
      <c r="AH14" s="32"/>
      <c r="AI14" s="32"/>
      <c r="AJ14" s="32"/>
    </row>
    <row r="15" spans="1:36" ht="47.25">
      <c r="A15" s="22"/>
      <c r="B15" s="564">
        <v>42410</v>
      </c>
      <c r="C15" s="24"/>
      <c r="D15" s="25"/>
      <c r="E15" s="26"/>
      <c r="F15" s="26"/>
      <c r="G15" s="26"/>
      <c r="H15" s="26"/>
      <c r="I15" s="26"/>
      <c r="J15" s="272"/>
      <c r="K15" s="583" t="s">
        <v>793</v>
      </c>
      <c r="L15" s="595" t="s">
        <v>794</v>
      </c>
      <c r="M15" s="584" t="s">
        <v>886</v>
      </c>
      <c r="N15" s="570"/>
      <c r="O15" s="570">
        <v>307733075.76000005</v>
      </c>
      <c r="P15" s="596">
        <f t="shared" si="0"/>
        <v>307733075.76000005</v>
      </c>
      <c r="Q15" s="572"/>
      <c r="R15" s="572"/>
      <c r="S15" s="572"/>
      <c r="T15" s="572"/>
      <c r="U15" s="572"/>
      <c r="V15" s="597">
        <f t="shared" si="1"/>
        <v>307733075.76000005</v>
      </c>
      <c r="W15" s="573" t="s">
        <v>564</v>
      </c>
      <c r="X15" s="575"/>
      <c r="Y15" s="602">
        <v>42424</v>
      </c>
      <c r="Z15" s="599">
        <f t="shared" si="2"/>
        <v>307733075.76000005</v>
      </c>
      <c r="AA15" s="612">
        <v>1</v>
      </c>
      <c r="AB15" s="603">
        <f t="shared" si="3"/>
        <v>-307733075.76000005</v>
      </c>
      <c r="AC15" s="577" t="s">
        <v>934</v>
      </c>
      <c r="AD15" s="32"/>
      <c r="AE15" s="32"/>
      <c r="AF15" s="32"/>
      <c r="AG15" s="32"/>
      <c r="AH15" s="32"/>
      <c r="AI15" s="32"/>
      <c r="AJ15" s="32"/>
    </row>
    <row r="16" spans="1:36" ht="31.5">
      <c r="A16" s="22"/>
      <c r="B16" s="23"/>
      <c r="C16" s="24"/>
      <c r="D16" s="25"/>
      <c r="E16" s="26"/>
      <c r="F16" s="26"/>
      <c r="G16" s="26"/>
      <c r="H16" s="26"/>
      <c r="I16" s="26"/>
      <c r="J16" s="272"/>
      <c r="K16" s="600" t="s">
        <v>846</v>
      </c>
      <c r="L16" s="595" t="s">
        <v>794</v>
      </c>
      <c r="M16" s="601" t="s">
        <v>887</v>
      </c>
      <c r="N16" s="580"/>
      <c r="O16" s="589">
        <v>292056198.44323999</v>
      </c>
      <c r="P16" s="596">
        <f t="shared" si="0"/>
        <v>292056198.44323999</v>
      </c>
      <c r="Q16" s="573"/>
      <c r="R16" s="573"/>
      <c r="S16" s="573"/>
      <c r="T16" s="573"/>
      <c r="U16" s="573"/>
      <c r="V16" s="597">
        <f t="shared" si="1"/>
        <v>292056198.44323999</v>
      </c>
      <c r="W16" s="573" t="s">
        <v>564</v>
      </c>
      <c r="X16" s="575"/>
      <c r="Y16" s="602">
        <v>42424</v>
      </c>
      <c r="Z16" s="599">
        <f t="shared" si="2"/>
        <v>292056198.44323999</v>
      </c>
      <c r="AA16" s="612">
        <v>1</v>
      </c>
      <c r="AB16" s="603">
        <f t="shared" si="3"/>
        <v>-292056198.44323999</v>
      </c>
      <c r="AC16" s="577" t="s">
        <v>934</v>
      </c>
      <c r="AD16" s="32"/>
      <c r="AE16" s="32"/>
      <c r="AF16" s="32"/>
      <c r="AG16" s="32"/>
      <c r="AH16" s="32"/>
      <c r="AI16" s="32"/>
      <c r="AJ16" s="32"/>
    </row>
    <row r="17" spans="1:36" ht="47.25">
      <c r="A17" s="22"/>
      <c r="B17" s="41"/>
      <c r="C17" s="42"/>
      <c r="D17" s="43"/>
      <c r="E17" s="26"/>
      <c r="F17" s="26"/>
      <c r="G17" s="26"/>
      <c r="H17" s="26"/>
      <c r="I17" s="26"/>
      <c r="J17" s="272"/>
      <c r="K17" s="583" t="s">
        <v>793</v>
      </c>
      <c r="L17" s="595" t="s">
        <v>794</v>
      </c>
      <c r="M17" s="584" t="s">
        <v>792</v>
      </c>
      <c r="N17" s="570"/>
      <c r="O17" s="570">
        <v>364174183.99999982</v>
      </c>
      <c r="P17" s="596">
        <f t="shared" si="0"/>
        <v>364174183.99999982</v>
      </c>
      <c r="Q17" s="572"/>
      <c r="R17" s="572"/>
      <c r="S17" s="572"/>
      <c r="T17" s="572"/>
      <c r="U17" s="572"/>
      <c r="V17" s="597">
        <f t="shared" si="1"/>
        <v>364174183.99999982</v>
      </c>
      <c r="W17" s="573" t="s">
        <v>590</v>
      </c>
      <c r="X17" s="575"/>
      <c r="Y17" s="602">
        <v>42460</v>
      </c>
      <c r="Z17" s="599">
        <f t="shared" si="2"/>
        <v>364174183.99999982</v>
      </c>
      <c r="AA17" s="612">
        <v>1</v>
      </c>
      <c r="AB17" s="603">
        <f t="shared" si="3"/>
        <v>-364174183.99999982</v>
      </c>
      <c r="AC17" s="577" t="s">
        <v>934</v>
      </c>
      <c r="AD17" s="32"/>
      <c r="AE17" s="32"/>
      <c r="AF17" s="32"/>
      <c r="AG17" s="32"/>
      <c r="AH17" s="32"/>
      <c r="AI17" s="32"/>
      <c r="AJ17" s="32"/>
    </row>
    <row r="18" spans="1:36" s="63" customFormat="1" ht="31.5">
      <c r="A18" s="398"/>
      <c r="B18" s="290"/>
      <c r="C18" s="180"/>
      <c r="D18" s="399"/>
      <c r="E18" s="262"/>
      <c r="F18" s="262"/>
      <c r="G18" s="169"/>
      <c r="H18" s="115"/>
      <c r="I18" s="115"/>
      <c r="J18" s="273"/>
      <c r="K18" s="713" t="s">
        <v>846</v>
      </c>
      <c r="L18" s="714" t="s">
        <v>794</v>
      </c>
      <c r="M18" s="715" t="s">
        <v>845</v>
      </c>
      <c r="N18" s="590"/>
      <c r="O18" s="570">
        <v>326654245.35523987</v>
      </c>
      <c r="P18" s="614">
        <f t="shared" si="0"/>
        <v>326654245.35523987</v>
      </c>
      <c r="Q18" s="616"/>
      <c r="R18" s="616"/>
      <c r="S18" s="616"/>
      <c r="T18" s="616"/>
      <c r="U18" s="616"/>
      <c r="V18" s="716">
        <f t="shared" si="1"/>
        <v>326654245.35523987</v>
      </c>
      <c r="W18" s="604" t="s">
        <v>844</v>
      </c>
      <c r="X18" s="605">
        <v>42461</v>
      </c>
      <c r="Y18" s="606">
        <v>42468</v>
      </c>
      <c r="Z18" s="607">
        <f t="shared" si="2"/>
        <v>326654245.35523987</v>
      </c>
      <c r="AA18" s="717">
        <v>1</v>
      </c>
      <c r="AB18" s="603">
        <f t="shared" si="3"/>
        <v>-326654245.35523987</v>
      </c>
      <c r="AC18" s="577" t="s">
        <v>934</v>
      </c>
      <c r="AD18" s="767"/>
      <c r="AE18" s="767"/>
      <c r="AF18" s="767"/>
      <c r="AG18" s="767"/>
      <c r="AH18" s="767"/>
      <c r="AI18" s="767"/>
      <c r="AJ18" s="767"/>
    </row>
    <row r="19" spans="1:36" s="63" customFormat="1" ht="47.25">
      <c r="A19" s="260"/>
      <c r="B19" s="50"/>
      <c r="C19" s="163"/>
      <c r="D19" s="718"/>
      <c r="E19" s="51"/>
      <c r="F19" s="51"/>
      <c r="G19" s="26"/>
      <c r="H19" s="51"/>
      <c r="I19" s="51"/>
      <c r="J19" s="719"/>
      <c r="K19" s="583" t="s">
        <v>793</v>
      </c>
      <c r="L19" s="595" t="s">
        <v>794</v>
      </c>
      <c r="M19" s="584" t="s">
        <v>965</v>
      </c>
      <c r="N19" s="636"/>
      <c r="O19" s="636">
        <v>364174183.99999982</v>
      </c>
      <c r="P19" s="574">
        <f t="shared" ref="P19:P27" si="4">N19+O19</f>
        <v>364174183.99999982</v>
      </c>
      <c r="Q19" s="574"/>
      <c r="R19" s="574"/>
      <c r="S19" s="574"/>
      <c r="T19" s="574"/>
      <c r="U19" s="574"/>
      <c r="V19" s="720">
        <f>P19</f>
        <v>364174183.99999982</v>
      </c>
      <c r="W19" s="721" t="s">
        <v>964</v>
      </c>
      <c r="X19" s="722"/>
      <c r="Y19" s="587">
        <v>42474</v>
      </c>
      <c r="Z19" s="723">
        <f t="shared" ref="Z19:Z27" si="5">V19</f>
        <v>364174183.99999982</v>
      </c>
      <c r="AA19" s="717">
        <v>1</v>
      </c>
      <c r="AB19" s="603">
        <f t="shared" si="3"/>
        <v>-364174183.99999982</v>
      </c>
      <c r="AC19" s="577" t="s">
        <v>934</v>
      </c>
      <c r="AD19" s="32"/>
      <c r="AE19" s="32"/>
      <c r="AF19" s="32"/>
      <c r="AG19" s="32"/>
      <c r="AH19" s="32"/>
      <c r="AI19" s="32"/>
      <c r="AJ19" s="32"/>
    </row>
    <row r="20" spans="1:36" s="63" customFormat="1" ht="31.5">
      <c r="A20" s="260"/>
      <c r="B20" s="50"/>
      <c r="C20" s="163"/>
      <c r="D20" s="718"/>
      <c r="E20" s="51"/>
      <c r="F20" s="51"/>
      <c r="G20" s="26"/>
      <c r="H20" s="51"/>
      <c r="I20" s="51"/>
      <c r="J20" s="719"/>
      <c r="K20" s="600" t="s">
        <v>846</v>
      </c>
      <c r="L20" s="595" t="s">
        <v>794</v>
      </c>
      <c r="M20" s="601" t="s">
        <v>966</v>
      </c>
      <c r="N20" s="724"/>
      <c r="O20" s="636">
        <v>326654245.35523987</v>
      </c>
      <c r="P20" s="574">
        <f t="shared" si="4"/>
        <v>326654245.35523987</v>
      </c>
      <c r="Q20" s="574"/>
      <c r="R20" s="574"/>
      <c r="S20" s="574"/>
      <c r="T20" s="574"/>
      <c r="U20" s="574"/>
      <c r="V20" s="720">
        <f>P20</f>
        <v>326654245.35523987</v>
      </c>
      <c r="W20" s="721" t="s">
        <v>964</v>
      </c>
      <c r="X20" s="722"/>
      <c r="Y20" s="587">
        <v>42474</v>
      </c>
      <c r="Z20" s="723">
        <f t="shared" si="5"/>
        <v>326654245.35523987</v>
      </c>
      <c r="AA20" s="717">
        <v>1</v>
      </c>
      <c r="AB20" s="603">
        <f t="shared" si="3"/>
        <v>-326654245.35523987</v>
      </c>
      <c r="AC20" s="577" t="s">
        <v>934</v>
      </c>
      <c r="AD20" s="32"/>
      <c r="AE20" s="32"/>
      <c r="AF20" s="32"/>
      <c r="AG20" s="32"/>
      <c r="AH20" s="32"/>
      <c r="AI20" s="32"/>
      <c r="AJ20" s="32"/>
    </row>
    <row r="21" spans="1:36" s="63" customFormat="1" ht="47.25">
      <c r="A21" s="260"/>
      <c r="B21" s="50"/>
      <c r="C21" s="163"/>
      <c r="D21" s="718"/>
      <c r="E21" s="51"/>
      <c r="F21" s="51"/>
      <c r="G21" s="26"/>
      <c r="H21" s="381" t="s">
        <v>1505</v>
      </c>
      <c r="I21" s="73">
        <v>42520</v>
      </c>
      <c r="J21" s="719" t="s">
        <v>985</v>
      </c>
      <c r="K21" s="600"/>
      <c r="L21" s="595"/>
      <c r="M21" s="601" t="s">
        <v>986</v>
      </c>
      <c r="N21" s="724"/>
      <c r="O21" s="636">
        <v>0</v>
      </c>
      <c r="P21" s="574">
        <f t="shared" si="4"/>
        <v>0</v>
      </c>
      <c r="Q21" s="574"/>
      <c r="R21" s="574"/>
      <c r="S21" s="574"/>
      <c r="T21" s="574"/>
      <c r="U21" s="574"/>
      <c r="V21" s="720"/>
      <c r="W21" s="721"/>
      <c r="X21" s="722"/>
      <c r="Y21" s="587"/>
      <c r="Z21" s="723">
        <f t="shared" si="5"/>
        <v>0</v>
      </c>
      <c r="AA21" s="612"/>
      <c r="AB21" s="721"/>
      <c r="AC21" s="688"/>
      <c r="AD21" s="32"/>
      <c r="AE21" s="32"/>
      <c r="AF21" s="32"/>
      <c r="AG21" s="32"/>
      <c r="AH21" s="32"/>
      <c r="AI21" s="32"/>
      <c r="AJ21" s="32"/>
    </row>
    <row r="22" spans="1:36" s="63" customFormat="1" ht="47.25">
      <c r="A22" s="398"/>
      <c r="B22" s="290"/>
      <c r="C22" s="180"/>
      <c r="D22" s="399"/>
      <c r="E22" s="262"/>
      <c r="F22" s="262"/>
      <c r="G22" s="169"/>
      <c r="H22" s="262"/>
      <c r="I22" s="262"/>
      <c r="J22" s="740"/>
      <c r="K22" s="583" t="s">
        <v>793</v>
      </c>
      <c r="L22" s="595" t="s">
        <v>794</v>
      </c>
      <c r="M22" s="584" t="s">
        <v>1267</v>
      </c>
      <c r="N22" s="741"/>
      <c r="O22" s="611">
        <v>353912164.32000047</v>
      </c>
      <c r="P22" s="574">
        <f t="shared" si="4"/>
        <v>353912164.32000047</v>
      </c>
      <c r="Q22" s="574"/>
      <c r="R22" s="574"/>
      <c r="S22" s="574"/>
      <c r="T22" s="574"/>
      <c r="U22" s="574"/>
      <c r="V22" s="720">
        <f t="shared" ref="V22:V27" si="6">P22</f>
        <v>353912164.32000047</v>
      </c>
      <c r="W22" s="603" t="s">
        <v>1117</v>
      </c>
      <c r="X22" s="742">
        <v>42485</v>
      </c>
      <c r="Y22" s="618">
        <v>42493</v>
      </c>
      <c r="Z22" s="607">
        <f t="shared" si="5"/>
        <v>353912164.32000047</v>
      </c>
      <c r="AA22" s="717">
        <v>1</v>
      </c>
      <c r="AB22" s="603">
        <f t="shared" si="3"/>
        <v>-353912164.32000047</v>
      </c>
      <c r="AC22" s="688"/>
      <c r="AD22" s="32"/>
      <c r="AE22" s="32"/>
      <c r="AF22" s="32"/>
      <c r="AG22" s="32"/>
      <c r="AH22" s="32"/>
      <c r="AI22" s="32"/>
      <c r="AJ22" s="32"/>
    </row>
    <row r="23" spans="1:36" s="63" customFormat="1" ht="31.5">
      <c r="A23" s="398"/>
      <c r="B23" s="290"/>
      <c r="C23" s="180"/>
      <c r="D23" s="399"/>
      <c r="E23" s="262"/>
      <c r="F23" s="262"/>
      <c r="G23" s="169"/>
      <c r="H23" s="262"/>
      <c r="I23" s="262"/>
      <c r="J23" s="740"/>
      <c r="K23" s="600" t="s">
        <v>846</v>
      </c>
      <c r="L23" s="595" t="s">
        <v>794</v>
      </c>
      <c r="M23" s="601" t="s">
        <v>1265</v>
      </c>
      <c r="N23" s="741"/>
      <c r="O23" s="611">
        <v>315121563.05123973</v>
      </c>
      <c r="P23" s="574">
        <f t="shared" si="4"/>
        <v>315121563.05123973</v>
      </c>
      <c r="Q23" s="574"/>
      <c r="R23" s="574"/>
      <c r="S23" s="574"/>
      <c r="T23" s="574"/>
      <c r="U23" s="574"/>
      <c r="V23" s="720">
        <f t="shared" si="6"/>
        <v>315121563.05123973</v>
      </c>
      <c r="W23" s="603" t="s">
        <v>1117</v>
      </c>
      <c r="X23" s="742">
        <v>42485</v>
      </c>
      <c r="Y23" s="618">
        <v>42493</v>
      </c>
      <c r="Z23" s="607">
        <f t="shared" si="5"/>
        <v>315121563.05123973</v>
      </c>
      <c r="AA23" s="717">
        <v>1</v>
      </c>
      <c r="AB23" s="603">
        <f t="shared" si="3"/>
        <v>-315121563.05123973</v>
      </c>
      <c r="AC23" s="688"/>
      <c r="AD23" s="767"/>
      <c r="AE23" s="767"/>
      <c r="AF23" s="767"/>
      <c r="AG23" s="767"/>
      <c r="AH23" s="767"/>
      <c r="AI23" s="767"/>
      <c r="AJ23" s="767"/>
    </row>
    <row r="24" spans="1:36" s="63" customFormat="1" ht="47.25">
      <c r="A24" s="398"/>
      <c r="B24" s="290"/>
      <c r="C24" s="180"/>
      <c r="D24" s="399"/>
      <c r="E24" s="262"/>
      <c r="F24" s="262"/>
      <c r="G24" s="169"/>
      <c r="H24" s="262"/>
      <c r="I24" s="262"/>
      <c r="J24" s="740"/>
      <c r="K24" s="583" t="s">
        <v>793</v>
      </c>
      <c r="L24" s="595" t="s">
        <v>794</v>
      </c>
      <c r="M24" s="584" t="s">
        <v>1714</v>
      </c>
      <c r="N24" s="741"/>
      <c r="O24" s="611">
        <v>353912164.32000047</v>
      </c>
      <c r="P24" s="574">
        <f t="shared" si="4"/>
        <v>353912164.32000047</v>
      </c>
      <c r="Q24" s="574"/>
      <c r="R24" s="574"/>
      <c r="S24" s="574"/>
      <c r="T24" s="574"/>
      <c r="U24" s="574"/>
      <c r="V24" s="720">
        <f t="shared" si="6"/>
        <v>353912164.32000047</v>
      </c>
      <c r="W24" s="603" t="s">
        <v>1701</v>
      </c>
      <c r="X24" s="638">
        <v>42522</v>
      </c>
      <c r="Y24" s="638">
        <v>42528</v>
      </c>
      <c r="Z24" s="607">
        <f t="shared" si="5"/>
        <v>353912164.32000047</v>
      </c>
      <c r="AA24" s="717">
        <v>1</v>
      </c>
      <c r="AB24" s="603">
        <f t="shared" ref="AB24:AB30" si="7">+E24-P24</f>
        <v>-353912164.32000047</v>
      </c>
      <c r="AC24" s="688"/>
      <c r="AD24" s="32"/>
      <c r="AE24" s="32"/>
      <c r="AF24" s="32"/>
      <c r="AG24" s="32"/>
      <c r="AH24" s="32"/>
      <c r="AI24" s="32"/>
      <c r="AJ24" s="32"/>
    </row>
    <row r="25" spans="1:36" s="63" customFormat="1" ht="31.5">
      <c r="A25" s="398"/>
      <c r="B25" s="290"/>
      <c r="C25" s="180"/>
      <c r="D25" s="399"/>
      <c r="E25" s="262"/>
      <c r="F25" s="262"/>
      <c r="G25" s="169"/>
      <c r="H25" s="262"/>
      <c r="I25" s="262"/>
      <c r="J25" s="740"/>
      <c r="K25" s="600" t="s">
        <v>846</v>
      </c>
      <c r="L25" s="595" t="s">
        <v>794</v>
      </c>
      <c r="M25" s="601" t="s">
        <v>1700</v>
      </c>
      <c r="N25" s="741"/>
      <c r="O25" s="611">
        <v>315121563.05123973</v>
      </c>
      <c r="P25" s="574">
        <f t="shared" si="4"/>
        <v>315121563.05123973</v>
      </c>
      <c r="Q25" s="574"/>
      <c r="R25" s="574"/>
      <c r="S25" s="574"/>
      <c r="T25" s="574"/>
      <c r="U25" s="574"/>
      <c r="V25" s="720">
        <f t="shared" si="6"/>
        <v>315121563.05123973</v>
      </c>
      <c r="W25" s="603" t="s">
        <v>1701</v>
      </c>
      <c r="X25" s="638">
        <v>42522</v>
      </c>
      <c r="Y25" s="638">
        <v>42528</v>
      </c>
      <c r="Z25" s="607">
        <f t="shared" si="5"/>
        <v>315121563.05123973</v>
      </c>
      <c r="AA25" s="717">
        <v>1</v>
      </c>
      <c r="AB25" s="603">
        <f t="shared" si="7"/>
        <v>-315121563.05123973</v>
      </c>
      <c r="AC25" s="688"/>
      <c r="AD25" s="32"/>
      <c r="AE25" s="32"/>
      <c r="AF25" s="32"/>
      <c r="AG25" s="32"/>
      <c r="AH25" s="32"/>
      <c r="AI25" s="32"/>
      <c r="AJ25" s="32"/>
    </row>
    <row r="26" spans="1:36" s="63" customFormat="1" ht="47.25">
      <c r="A26" s="398"/>
      <c r="B26" s="290"/>
      <c r="C26" s="180"/>
      <c r="D26" s="399"/>
      <c r="E26" s="262"/>
      <c r="F26" s="262"/>
      <c r="G26" s="169"/>
      <c r="H26" s="262"/>
      <c r="I26" s="262"/>
      <c r="J26" s="740"/>
      <c r="K26" s="583" t="s">
        <v>793</v>
      </c>
      <c r="L26" s="595" t="s">
        <v>794</v>
      </c>
      <c r="M26" s="584" t="s">
        <v>1715</v>
      </c>
      <c r="N26" s="741"/>
      <c r="O26" s="611">
        <v>374919622</v>
      </c>
      <c r="P26" s="574">
        <f t="shared" si="4"/>
        <v>374919622</v>
      </c>
      <c r="Q26" s="574"/>
      <c r="R26" s="574"/>
      <c r="S26" s="574"/>
      <c r="T26" s="574"/>
      <c r="U26" s="574"/>
      <c r="V26" s="720">
        <f t="shared" si="6"/>
        <v>374919622</v>
      </c>
      <c r="W26" s="603" t="s">
        <v>1698</v>
      </c>
      <c r="X26" s="638">
        <v>42534</v>
      </c>
      <c r="Y26" s="638">
        <v>42549</v>
      </c>
      <c r="Z26" s="607">
        <f t="shared" si="5"/>
        <v>374919622</v>
      </c>
      <c r="AA26" s="717">
        <v>1</v>
      </c>
      <c r="AB26" s="603">
        <f t="shared" si="7"/>
        <v>-374919622</v>
      </c>
      <c r="AC26" s="688"/>
      <c r="AD26" s="32"/>
      <c r="AE26" s="32"/>
      <c r="AF26" s="32"/>
      <c r="AG26" s="32"/>
      <c r="AH26" s="32"/>
      <c r="AI26" s="32"/>
      <c r="AJ26" s="32"/>
    </row>
    <row r="27" spans="1:36" s="63" customFormat="1" ht="32.25" thickBot="1">
      <c r="A27" s="398"/>
      <c r="B27" s="290"/>
      <c r="C27" s="180"/>
      <c r="D27" s="399"/>
      <c r="E27" s="262"/>
      <c r="F27" s="262"/>
      <c r="G27" s="169"/>
      <c r="H27" s="262"/>
      <c r="I27" s="262"/>
      <c r="J27" s="740"/>
      <c r="K27" s="600" t="s">
        <v>846</v>
      </c>
      <c r="L27" s="595" t="s">
        <v>794</v>
      </c>
      <c r="M27" s="601" t="s">
        <v>1716</v>
      </c>
      <c r="N27" s="741"/>
      <c r="O27" s="726">
        <v>318661266</v>
      </c>
      <c r="P27" s="574">
        <f t="shared" si="4"/>
        <v>318661266</v>
      </c>
      <c r="Q27" s="574"/>
      <c r="R27" s="574"/>
      <c r="S27" s="574"/>
      <c r="T27" s="574"/>
      <c r="U27" s="574"/>
      <c r="V27" s="720">
        <f t="shared" si="6"/>
        <v>318661266</v>
      </c>
      <c r="W27" s="603" t="s">
        <v>1698</v>
      </c>
      <c r="X27" s="638">
        <v>42534</v>
      </c>
      <c r="Y27" s="638">
        <v>42549</v>
      </c>
      <c r="Z27" s="607">
        <f t="shared" si="5"/>
        <v>318661266</v>
      </c>
      <c r="AA27" s="717">
        <v>1</v>
      </c>
      <c r="AB27" s="603">
        <f t="shared" si="7"/>
        <v>-318661266</v>
      </c>
      <c r="AC27" s="688"/>
      <c r="AD27" s="32"/>
      <c r="AE27" s="32"/>
      <c r="AF27" s="32"/>
      <c r="AG27" s="32"/>
      <c r="AH27" s="32"/>
      <c r="AI27" s="32"/>
      <c r="AJ27" s="32"/>
    </row>
    <row r="28" spans="1:36" s="63" customFormat="1" ht="47.25">
      <c r="A28" s="398"/>
      <c r="B28" s="290"/>
      <c r="C28" s="180"/>
      <c r="D28" s="399"/>
      <c r="E28" s="262"/>
      <c r="F28" s="262"/>
      <c r="G28" s="169"/>
      <c r="H28" s="262"/>
      <c r="I28" s="262"/>
      <c r="J28" s="719"/>
      <c r="K28" s="583" t="s">
        <v>793</v>
      </c>
      <c r="L28" s="595" t="s">
        <v>794</v>
      </c>
      <c r="M28" s="584" t="s">
        <v>2225</v>
      </c>
      <c r="N28" s="741"/>
      <c r="O28" s="611">
        <v>374919622</v>
      </c>
      <c r="P28" s="574">
        <f>N28+O28</f>
        <v>374919622</v>
      </c>
      <c r="Q28" s="574"/>
      <c r="R28" s="574"/>
      <c r="S28" s="574"/>
      <c r="T28" s="574"/>
      <c r="U28" s="574"/>
      <c r="V28" s="720">
        <f>P28</f>
        <v>374919622</v>
      </c>
      <c r="W28" s="603" t="s">
        <v>1992</v>
      </c>
      <c r="X28" s="638">
        <v>42573</v>
      </c>
      <c r="Y28" s="638">
        <v>42579</v>
      </c>
      <c r="Z28" s="607">
        <f>V28</f>
        <v>374919622</v>
      </c>
      <c r="AA28" s="717">
        <v>1</v>
      </c>
      <c r="AB28" s="603">
        <f t="shared" si="7"/>
        <v>-374919622</v>
      </c>
      <c r="AC28" s="688"/>
      <c r="AD28" s="32"/>
      <c r="AE28" s="32"/>
      <c r="AF28" s="32"/>
      <c r="AG28" s="32"/>
      <c r="AH28" s="32"/>
      <c r="AI28" s="32"/>
      <c r="AJ28" s="32"/>
    </row>
    <row r="29" spans="1:36" s="63" customFormat="1" ht="32.25" thickBot="1">
      <c r="A29" s="121"/>
      <c r="B29" s="122"/>
      <c r="C29" s="123"/>
      <c r="D29" s="124"/>
      <c r="E29" s="125"/>
      <c r="F29" s="125"/>
      <c r="G29" s="695"/>
      <c r="H29" s="125"/>
      <c r="I29" s="125"/>
      <c r="J29" s="725"/>
      <c r="K29" s="713" t="s">
        <v>846</v>
      </c>
      <c r="L29" s="714" t="s">
        <v>794</v>
      </c>
      <c r="M29" s="715" t="s">
        <v>2224</v>
      </c>
      <c r="N29" s="741"/>
      <c r="O29" s="611">
        <v>318661266</v>
      </c>
      <c r="P29" s="619">
        <f>N29+O29</f>
        <v>318661266</v>
      </c>
      <c r="Q29" s="619"/>
      <c r="R29" s="619"/>
      <c r="S29" s="619"/>
      <c r="T29" s="619"/>
      <c r="U29" s="619"/>
      <c r="V29" s="1740">
        <f>P29</f>
        <v>318661266</v>
      </c>
      <c r="W29" s="603" t="s">
        <v>1992</v>
      </c>
      <c r="X29" s="638">
        <v>42573</v>
      </c>
      <c r="Y29" s="638">
        <v>42579</v>
      </c>
      <c r="Z29" s="607">
        <f>V29</f>
        <v>318661266</v>
      </c>
      <c r="AA29" s="717">
        <v>1</v>
      </c>
      <c r="AB29" s="603">
        <f t="shared" si="7"/>
        <v>-318661266</v>
      </c>
      <c r="AC29" s="688"/>
      <c r="AD29" s="32"/>
      <c r="AE29" s="32"/>
      <c r="AF29" s="32"/>
      <c r="AG29" s="32"/>
      <c r="AH29" s="32"/>
      <c r="AI29" s="32"/>
      <c r="AJ29" s="32"/>
    </row>
    <row r="30" spans="1:36" s="63" customFormat="1" ht="48" thickBot="1">
      <c r="A30" s="866"/>
      <c r="B30" s="1736"/>
      <c r="C30" s="867"/>
      <c r="D30" s="868"/>
      <c r="E30" s="869"/>
      <c r="F30" s="869"/>
      <c r="G30" s="703"/>
      <c r="H30" s="381" t="s">
        <v>1505</v>
      </c>
      <c r="I30" s="73">
        <v>42520</v>
      </c>
      <c r="J30" s="719" t="s">
        <v>985</v>
      </c>
      <c r="K30" s="1758" t="s">
        <v>3550</v>
      </c>
      <c r="L30" s="454" t="s">
        <v>794</v>
      </c>
      <c r="M30" s="1749" t="s">
        <v>986</v>
      </c>
      <c r="N30" s="1750"/>
      <c r="O30" s="1751">
        <v>0</v>
      </c>
      <c r="P30" s="1752">
        <f>N30+O30</f>
        <v>0</v>
      </c>
      <c r="Q30" s="1752"/>
      <c r="R30" s="1752"/>
      <c r="S30" s="1752"/>
      <c r="T30" s="1752"/>
      <c r="U30" s="1752"/>
      <c r="V30" s="1753">
        <f>P30</f>
        <v>0</v>
      </c>
      <c r="W30" s="61"/>
      <c r="X30" s="1754"/>
      <c r="Y30" s="1754"/>
      <c r="Z30" s="1755"/>
      <c r="AA30" s="1756"/>
      <c r="AB30" s="61">
        <f t="shared" si="7"/>
        <v>0</v>
      </c>
      <c r="AC30" s="1757"/>
      <c r="AD30" s="383"/>
      <c r="AE30" s="32"/>
      <c r="AF30" s="32"/>
      <c r="AG30" s="32"/>
      <c r="AH30" s="32"/>
      <c r="AI30" s="32"/>
      <c r="AJ30" s="32"/>
    </row>
    <row r="31" spans="1:36" s="63" customFormat="1" ht="16.5" thickBot="1">
      <c r="A31" s="866"/>
      <c r="B31" s="1736"/>
      <c r="C31" s="867"/>
      <c r="D31" s="868"/>
      <c r="E31" s="869"/>
      <c r="F31" s="869"/>
      <c r="G31" s="703"/>
      <c r="H31" s="869"/>
      <c r="I31" s="869"/>
      <c r="J31" s="1737"/>
      <c r="K31" s="1747"/>
      <c r="L31" s="1748"/>
      <c r="M31" s="1749"/>
      <c r="N31" s="1750"/>
      <c r="O31" s="1751"/>
      <c r="P31" s="1752"/>
      <c r="Q31" s="1752"/>
      <c r="R31" s="1752"/>
      <c r="S31" s="1752"/>
      <c r="T31" s="1752"/>
      <c r="U31" s="1752"/>
      <c r="V31" s="1753"/>
      <c r="W31" s="61"/>
      <c r="X31" s="1754"/>
      <c r="Y31" s="1754"/>
      <c r="Z31" s="1755"/>
      <c r="AA31" s="1756"/>
      <c r="AB31" s="61"/>
      <c r="AC31" s="1757"/>
      <c r="AD31" s="383"/>
      <c r="AE31" s="32"/>
      <c r="AF31" s="32"/>
      <c r="AG31" s="32"/>
      <c r="AH31" s="32"/>
      <c r="AI31" s="32"/>
      <c r="AJ31" s="32"/>
    </row>
    <row r="32" spans="1:36" s="63" customFormat="1" ht="16.5" thickBot="1">
      <c r="A32" s="866"/>
      <c r="B32" s="1736"/>
      <c r="C32" s="867"/>
      <c r="D32" s="868"/>
      <c r="E32" s="869"/>
      <c r="F32" s="869"/>
      <c r="G32" s="703"/>
      <c r="H32" s="869"/>
      <c r="I32" s="869"/>
      <c r="J32" s="1737"/>
      <c r="K32" s="1747"/>
      <c r="L32" s="1748"/>
      <c r="M32" s="1749"/>
      <c r="N32" s="1750"/>
      <c r="O32" s="1751"/>
      <c r="P32" s="1752"/>
      <c r="Q32" s="1752"/>
      <c r="R32" s="1752"/>
      <c r="S32" s="1752"/>
      <c r="T32" s="1752"/>
      <c r="U32" s="1752"/>
      <c r="V32" s="1753"/>
      <c r="W32" s="61"/>
      <c r="X32" s="1754"/>
      <c r="Y32" s="1754"/>
      <c r="Z32" s="1755"/>
      <c r="AA32" s="1756"/>
      <c r="AB32" s="61"/>
      <c r="AC32" s="1757"/>
      <c r="AD32" s="383"/>
      <c r="AE32" s="32"/>
      <c r="AF32" s="32"/>
      <c r="AG32" s="32"/>
      <c r="AH32" s="32"/>
      <c r="AI32" s="32"/>
      <c r="AJ32" s="32"/>
    </row>
    <row r="33" spans="1:36" s="55" customFormat="1" ht="15.75" customHeight="1" thickBot="1">
      <c r="A33" s="2703" t="s">
        <v>72</v>
      </c>
      <c r="B33" s="2704"/>
      <c r="C33" s="2704"/>
      <c r="D33" s="2705"/>
      <c r="E33" s="65">
        <f>SUM(E13:E18)</f>
        <v>0</v>
      </c>
      <c r="F33" s="65">
        <f>SUM(F13:F18)</f>
        <v>5533344000</v>
      </c>
      <c r="G33" s="241">
        <f t="shared" ref="G33:G38" si="8">E33+F33</f>
        <v>5533344000</v>
      </c>
      <c r="H33" s="65"/>
      <c r="I33" s="65"/>
      <c r="J33" s="274"/>
      <c r="K33" s="1738"/>
      <c r="L33" s="1739"/>
      <c r="M33" s="156"/>
      <c r="N33" s="1741">
        <f>SUM(N18:N18)</f>
        <v>0</v>
      </c>
      <c r="O33" s="1741">
        <f>SUM(O13:O30)</f>
        <v>5306464637.8594408</v>
      </c>
      <c r="P33" s="1741">
        <f>SUM(P13:P30)</f>
        <v>5306464637.8594408</v>
      </c>
      <c r="Q33" s="1741">
        <f>SUM(Q13:Q29)</f>
        <v>0</v>
      </c>
      <c r="R33" s="1741">
        <f>SUM(R13:R29)</f>
        <v>0</v>
      </c>
      <c r="S33" s="1741">
        <f>SUM(S13:S29)</f>
        <v>0</v>
      </c>
      <c r="T33" s="1741">
        <f>SUM(T13:T29)</f>
        <v>0</v>
      </c>
      <c r="U33" s="1741">
        <f>SUM(U13:U29)</f>
        <v>0</v>
      </c>
      <c r="V33" s="1741">
        <f>SUM(V13:V30)</f>
        <v>5306464637.8594408</v>
      </c>
      <c r="W33" s="1742"/>
      <c r="X33" s="1743"/>
      <c r="Y33" s="1744"/>
      <c r="Z33" s="1741">
        <f>SUM(Z13:Z30)</f>
        <v>5306464637.8594408</v>
      </c>
      <c r="AA33" s="1745"/>
      <c r="AB33" s="1741">
        <f>SUM(AB13:AB30)</f>
        <v>226879362.14055872</v>
      </c>
      <c r="AC33" s="1746"/>
      <c r="AD33" s="32"/>
      <c r="AE33" s="32"/>
      <c r="AF33" s="32"/>
      <c r="AG33" s="32"/>
      <c r="AH33" s="32"/>
      <c r="AI33" s="32"/>
      <c r="AJ33" s="32"/>
    </row>
    <row r="34" spans="1:36" s="54" customFormat="1" ht="15.75" customHeight="1">
      <c r="A34" s="80"/>
      <c r="B34" s="80"/>
      <c r="C34" s="80"/>
      <c r="D34" s="80"/>
      <c r="E34" s="110"/>
      <c r="F34" s="110"/>
      <c r="G34" s="240"/>
      <c r="H34" s="110"/>
      <c r="I34" s="110"/>
      <c r="J34" s="275"/>
      <c r="K34" s="111"/>
      <c r="L34" s="111"/>
      <c r="M34" s="112"/>
      <c r="N34" s="110"/>
      <c r="O34" s="110"/>
      <c r="P34" s="110"/>
      <c r="Q34" s="110"/>
      <c r="R34" s="110"/>
      <c r="S34" s="110"/>
      <c r="T34" s="110"/>
      <c r="U34" s="110"/>
      <c r="V34" s="103"/>
      <c r="W34" s="135"/>
      <c r="X34" s="114"/>
      <c r="Y34" s="306"/>
      <c r="Z34" s="110"/>
      <c r="AA34" s="110"/>
      <c r="AB34" s="110"/>
      <c r="AC34" s="113"/>
      <c r="AD34" s="32"/>
      <c r="AE34" s="32"/>
      <c r="AF34" s="32"/>
      <c r="AG34" s="32"/>
      <c r="AH34" s="32"/>
      <c r="AI34" s="32"/>
      <c r="AJ34" s="32"/>
    </row>
    <row r="35" spans="1:36" s="54" customFormat="1" ht="47.25">
      <c r="A35" s="81">
        <v>2</v>
      </c>
      <c r="B35" s="50" t="s">
        <v>75</v>
      </c>
      <c r="C35" s="50" t="s">
        <v>76</v>
      </c>
      <c r="D35" s="72" t="s">
        <v>281</v>
      </c>
      <c r="E35" s="51">
        <v>1409100000</v>
      </c>
      <c r="F35" s="51"/>
      <c r="G35" s="155">
        <f>E35+F35</f>
        <v>1409100000</v>
      </c>
      <c r="H35" s="103"/>
      <c r="I35" s="103"/>
      <c r="J35" s="276" t="s">
        <v>279</v>
      </c>
      <c r="K35" s="248" t="s">
        <v>280</v>
      </c>
      <c r="L35" s="250" t="s">
        <v>282</v>
      </c>
      <c r="M35" s="72" t="s">
        <v>281</v>
      </c>
      <c r="N35" s="51">
        <v>1409100000</v>
      </c>
      <c r="O35" s="51"/>
      <c r="P35" s="51">
        <v>1409100000</v>
      </c>
      <c r="Q35" s="51"/>
      <c r="R35" s="51"/>
      <c r="S35" s="51"/>
      <c r="T35" s="51"/>
      <c r="U35" s="51"/>
      <c r="V35" s="281">
        <v>1409100000</v>
      </c>
      <c r="W35" s="140" t="s">
        <v>509</v>
      </c>
      <c r="X35" s="141"/>
      <c r="Y35" s="307">
        <v>42429</v>
      </c>
      <c r="Z35" s="103">
        <v>1409100000</v>
      </c>
      <c r="AA35" s="288">
        <v>1</v>
      </c>
      <c r="AB35" s="52">
        <f t="shared" ref="AB35:AB43" si="9">+G35-P35</f>
        <v>0</v>
      </c>
      <c r="AC35" s="106"/>
      <c r="AD35" s="32"/>
      <c r="AE35" s="32"/>
      <c r="AF35" s="32"/>
      <c r="AG35" s="32"/>
      <c r="AH35" s="32"/>
      <c r="AI35" s="32"/>
      <c r="AJ35" s="32"/>
    </row>
    <row r="36" spans="1:36" s="54" customFormat="1" ht="47.25">
      <c r="A36" s="81"/>
      <c r="B36" s="153" t="s">
        <v>929</v>
      </c>
      <c r="C36" s="50" t="s">
        <v>77</v>
      </c>
      <c r="D36" s="130" t="s">
        <v>78</v>
      </c>
      <c r="E36" s="51">
        <v>259600000</v>
      </c>
      <c r="F36" s="51"/>
      <c r="G36" s="155">
        <f t="shared" si="8"/>
        <v>259600000</v>
      </c>
      <c r="H36" s="103"/>
      <c r="I36" s="103"/>
      <c r="J36" s="276" t="s">
        <v>283</v>
      </c>
      <c r="K36" s="77" t="s">
        <v>284</v>
      </c>
      <c r="L36" s="249" t="s">
        <v>285</v>
      </c>
      <c r="M36" s="130" t="s">
        <v>78</v>
      </c>
      <c r="N36" s="51">
        <v>259600000</v>
      </c>
      <c r="O36" s="51"/>
      <c r="P36" s="155">
        <v>259600000</v>
      </c>
      <c r="Q36" s="103"/>
      <c r="R36" s="103"/>
      <c r="S36" s="103"/>
      <c r="T36" s="103"/>
      <c r="U36" s="103"/>
      <c r="V36" s="281">
        <v>259600000</v>
      </c>
      <c r="W36" s="140" t="s">
        <v>2563</v>
      </c>
      <c r="X36" s="141">
        <v>42579</v>
      </c>
      <c r="Y36" s="307">
        <v>42585</v>
      </c>
      <c r="Z36" s="103">
        <f>V36</f>
        <v>259600000</v>
      </c>
      <c r="AA36" s="288">
        <v>1</v>
      </c>
      <c r="AB36" s="52">
        <f t="shared" si="9"/>
        <v>0</v>
      </c>
      <c r="AC36" s="106"/>
      <c r="AD36" s="38"/>
      <c r="AE36" s="38"/>
      <c r="AF36" s="38"/>
      <c r="AG36" s="38"/>
      <c r="AH36" s="38"/>
      <c r="AI36" s="38"/>
      <c r="AJ36" s="38"/>
    </row>
    <row r="37" spans="1:36" s="54" customFormat="1" ht="47.25">
      <c r="A37" s="81"/>
      <c r="B37" s="564">
        <v>42422</v>
      </c>
      <c r="C37" s="50" t="s">
        <v>79</v>
      </c>
      <c r="D37" s="72" t="s">
        <v>289</v>
      </c>
      <c r="E37" s="51">
        <v>45045000</v>
      </c>
      <c r="F37" s="51"/>
      <c r="G37" s="155">
        <f t="shared" si="8"/>
        <v>45045000</v>
      </c>
      <c r="H37" s="103"/>
      <c r="I37" s="103"/>
      <c r="J37" s="276" t="s">
        <v>286</v>
      </c>
      <c r="K37" s="77" t="s">
        <v>287</v>
      </c>
      <c r="L37" s="250" t="s">
        <v>288</v>
      </c>
      <c r="M37" s="72" t="s">
        <v>289</v>
      </c>
      <c r="N37" s="51">
        <v>45045000</v>
      </c>
      <c r="O37" s="51"/>
      <c r="P37" s="155">
        <v>45045000</v>
      </c>
      <c r="Q37" s="103"/>
      <c r="R37" s="103"/>
      <c r="S37" s="103"/>
      <c r="T37" s="103"/>
      <c r="U37" s="103"/>
      <c r="V37" s="103">
        <v>45045000</v>
      </c>
      <c r="W37" s="140" t="s">
        <v>564</v>
      </c>
      <c r="X37" s="141"/>
      <c r="Y37" s="307">
        <v>42424</v>
      </c>
      <c r="Z37" s="103">
        <v>45045000</v>
      </c>
      <c r="AA37" s="288">
        <v>1</v>
      </c>
      <c r="AB37" s="52">
        <f t="shared" si="9"/>
        <v>0</v>
      </c>
      <c r="AC37" s="106"/>
      <c r="AD37" s="1443"/>
      <c r="AE37" s="75"/>
      <c r="AF37" s="100"/>
      <c r="AG37" s="100"/>
      <c r="AH37" s="74"/>
      <c r="AI37" s="74"/>
      <c r="AJ37" s="1443"/>
    </row>
    <row r="38" spans="1:36" s="54" customFormat="1" ht="40.5" customHeight="1" thickBot="1">
      <c r="A38" s="81"/>
      <c r="B38" s="50"/>
      <c r="C38" s="50" t="s">
        <v>80</v>
      </c>
      <c r="D38" s="72" t="s">
        <v>293</v>
      </c>
      <c r="E38" s="51">
        <v>26554000</v>
      </c>
      <c r="F38" s="51"/>
      <c r="G38" s="155">
        <f t="shared" si="8"/>
        <v>26554000</v>
      </c>
      <c r="H38" s="147"/>
      <c r="I38" s="73"/>
      <c r="J38" s="277" t="s">
        <v>290</v>
      </c>
      <c r="K38" s="248" t="s">
        <v>291</v>
      </c>
      <c r="L38" s="250" t="s">
        <v>292</v>
      </c>
      <c r="M38" s="72" t="s">
        <v>293</v>
      </c>
      <c r="N38" s="51">
        <v>26554000</v>
      </c>
      <c r="O38" s="51"/>
      <c r="P38" s="155">
        <v>26554000</v>
      </c>
      <c r="Q38" s="103"/>
      <c r="R38" s="103"/>
      <c r="S38" s="103"/>
      <c r="T38" s="103"/>
      <c r="U38" s="103"/>
      <c r="V38" s="103">
        <v>26554000</v>
      </c>
      <c r="W38" s="140" t="s">
        <v>557</v>
      </c>
      <c r="X38" s="141"/>
      <c r="Y38" s="307">
        <v>42428</v>
      </c>
      <c r="Z38" s="103">
        <v>26554000</v>
      </c>
      <c r="AA38" s="288">
        <v>1</v>
      </c>
      <c r="AB38" s="52">
        <f t="shared" si="9"/>
        <v>0</v>
      </c>
      <c r="AC38" s="142"/>
      <c r="AD38" s="84"/>
      <c r="AE38" s="85"/>
      <c r="AF38" s="85"/>
      <c r="AG38" s="85"/>
      <c r="AH38" s="85"/>
      <c r="AI38" s="85"/>
      <c r="AJ38" s="84"/>
    </row>
    <row r="39" spans="1:36" s="54" customFormat="1" ht="40.5" customHeight="1">
      <c r="A39" s="81"/>
      <c r="B39" s="50"/>
      <c r="C39" s="50" t="s">
        <v>81</v>
      </c>
      <c r="D39" s="72" t="s">
        <v>82</v>
      </c>
      <c r="E39" s="51">
        <v>14355000</v>
      </c>
      <c r="F39" s="51"/>
      <c r="G39" s="155">
        <f t="shared" ref="G39:G74" si="10">E39+F39</f>
        <v>14355000</v>
      </c>
      <c r="H39" s="147"/>
      <c r="I39" s="73"/>
      <c r="J39" s="277" t="s">
        <v>294</v>
      </c>
      <c r="K39" s="248" t="s">
        <v>295</v>
      </c>
      <c r="L39" s="250" t="s">
        <v>288</v>
      </c>
      <c r="M39" s="72" t="s">
        <v>82</v>
      </c>
      <c r="N39" s="51">
        <v>14355000</v>
      </c>
      <c r="O39" s="51"/>
      <c r="P39" s="155">
        <v>14355000</v>
      </c>
      <c r="Q39" s="103"/>
      <c r="R39" s="103"/>
      <c r="S39" s="103"/>
      <c r="T39" s="103"/>
      <c r="U39" s="103"/>
      <c r="V39" s="103">
        <v>14355000</v>
      </c>
      <c r="W39" s="140" t="s">
        <v>563</v>
      </c>
      <c r="X39" s="141"/>
      <c r="Y39" s="307">
        <v>42429</v>
      </c>
      <c r="Z39" s="103">
        <v>14355000</v>
      </c>
      <c r="AA39" s="288">
        <v>1</v>
      </c>
      <c r="AB39" s="52">
        <f t="shared" si="9"/>
        <v>0</v>
      </c>
      <c r="AC39" s="142"/>
      <c r="AD39" s="1445"/>
      <c r="AE39" s="1445"/>
      <c r="AF39" s="1445"/>
      <c r="AG39" s="1445"/>
      <c r="AH39" s="1445"/>
      <c r="AI39" s="1445"/>
      <c r="AJ39" s="1445"/>
    </row>
    <row r="40" spans="1:36" s="54" customFormat="1" ht="48" customHeight="1">
      <c r="A40" s="81"/>
      <c r="B40" s="50"/>
      <c r="C40" s="50" t="s">
        <v>83</v>
      </c>
      <c r="D40" s="163" t="s">
        <v>299</v>
      </c>
      <c r="E40" s="51">
        <v>6332828</v>
      </c>
      <c r="F40" s="51"/>
      <c r="G40" s="155">
        <f t="shared" si="10"/>
        <v>6332828</v>
      </c>
      <c r="H40" s="147"/>
      <c r="I40" s="73"/>
      <c r="J40" s="254" t="s">
        <v>296</v>
      </c>
      <c r="K40" s="206" t="s">
        <v>297</v>
      </c>
      <c r="L40" s="207" t="s">
        <v>298</v>
      </c>
      <c r="M40" s="163" t="s">
        <v>299</v>
      </c>
      <c r="N40" s="51">
        <v>6332828</v>
      </c>
      <c r="O40" s="51"/>
      <c r="P40" s="155">
        <v>6332828</v>
      </c>
      <c r="Q40" s="260"/>
      <c r="R40" s="260"/>
      <c r="S40" s="260"/>
      <c r="T40" s="260"/>
      <c r="U40" s="260"/>
      <c r="V40" s="142">
        <v>6332828</v>
      </c>
      <c r="W40" s="140" t="s">
        <v>577</v>
      </c>
      <c r="X40" s="141"/>
      <c r="Y40" s="307">
        <v>42433</v>
      </c>
      <c r="Z40" s="103">
        <v>6332828</v>
      </c>
      <c r="AA40" s="288">
        <v>1</v>
      </c>
      <c r="AB40" s="52">
        <f t="shared" si="9"/>
        <v>0</v>
      </c>
      <c r="AC40" s="142"/>
      <c r="AD40" s="1404"/>
      <c r="AE40" s="38"/>
      <c r="AF40" s="38"/>
      <c r="AG40" s="38"/>
      <c r="AH40" s="38"/>
      <c r="AI40" s="38"/>
      <c r="AJ40" s="1404"/>
    </row>
    <row r="41" spans="1:36" s="54" customFormat="1" ht="40.5" customHeight="1">
      <c r="A41" s="81"/>
      <c r="B41" s="50"/>
      <c r="C41" s="50" t="s">
        <v>84</v>
      </c>
      <c r="D41" s="163" t="s">
        <v>302</v>
      </c>
      <c r="E41" s="51">
        <v>15468475</v>
      </c>
      <c r="F41" s="51"/>
      <c r="G41" s="155">
        <f t="shared" si="10"/>
        <v>15468475</v>
      </c>
      <c r="H41" s="147"/>
      <c r="I41" s="73"/>
      <c r="J41" s="248" t="s">
        <v>300</v>
      </c>
      <c r="K41" s="205" t="s">
        <v>301</v>
      </c>
      <c r="L41" s="207" t="s">
        <v>292</v>
      </c>
      <c r="M41" s="163" t="s">
        <v>302</v>
      </c>
      <c r="N41" s="51">
        <v>15468475</v>
      </c>
      <c r="O41" s="51"/>
      <c r="P41" s="155">
        <v>15468475</v>
      </c>
      <c r="Q41" s="260"/>
      <c r="R41" s="260"/>
      <c r="S41" s="260"/>
      <c r="T41" s="260"/>
      <c r="U41" s="260"/>
      <c r="V41" s="142">
        <v>15468475</v>
      </c>
      <c r="W41" s="140" t="s">
        <v>555</v>
      </c>
      <c r="X41" s="141"/>
      <c r="Y41" s="307">
        <v>42397</v>
      </c>
      <c r="Z41" s="103">
        <v>15468475</v>
      </c>
      <c r="AA41" s="288">
        <v>1</v>
      </c>
      <c r="AB41" s="52">
        <f t="shared" si="9"/>
        <v>0</v>
      </c>
      <c r="AC41" s="142"/>
      <c r="AD41" s="38"/>
      <c r="AE41" s="38"/>
      <c r="AF41" s="38"/>
      <c r="AG41" s="38"/>
      <c r="AH41" s="38"/>
      <c r="AI41" s="38"/>
      <c r="AJ41" s="38"/>
    </row>
    <row r="42" spans="1:36" s="54" customFormat="1" ht="47.25">
      <c r="A42" s="81"/>
      <c r="B42" s="50"/>
      <c r="C42" s="50" t="s">
        <v>85</v>
      </c>
      <c r="D42" s="213" t="s">
        <v>305</v>
      </c>
      <c r="E42" s="51">
        <v>30800000</v>
      </c>
      <c r="F42" s="51"/>
      <c r="G42" s="155">
        <f t="shared" si="10"/>
        <v>30800000</v>
      </c>
      <c r="H42" s="147"/>
      <c r="I42" s="73"/>
      <c r="J42" s="248" t="s">
        <v>303</v>
      </c>
      <c r="K42" s="205" t="s">
        <v>304</v>
      </c>
      <c r="L42" s="207" t="s">
        <v>288</v>
      </c>
      <c r="M42" s="163" t="s">
        <v>305</v>
      </c>
      <c r="N42" s="51">
        <v>30800000</v>
      </c>
      <c r="O42" s="51"/>
      <c r="P42" s="155">
        <v>30800000</v>
      </c>
      <c r="Q42" s="260"/>
      <c r="R42" s="260"/>
      <c r="S42" s="260"/>
      <c r="T42" s="260"/>
      <c r="U42" s="260"/>
      <c r="V42" s="142">
        <v>30800000</v>
      </c>
      <c r="W42" s="140" t="s">
        <v>557</v>
      </c>
      <c r="X42" s="141"/>
      <c r="Y42" s="307">
        <v>42429</v>
      </c>
      <c r="Z42" s="103">
        <v>30800000</v>
      </c>
      <c r="AA42" s="288">
        <v>1</v>
      </c>
      <c r="AB42" s="52">
        <f t="shared" si="9"/>
        <v>0</v>
      </c>
      <c r="AC42" s="142"/>
      <c r="AD42" s="38"/>
      <c r="AE42" s="38"/>
      <c r="AF42" s="38"/>
      <c r="AG42" s="38"/>
      <c r="AH42" s="38"/>
      <c r="AI42" s="38"/>
      <c r="AJ42" s="38"/>
    </row>
    <row r="43" spans="1:36" s="54" customFormat="1" ht="40.5" customHeight="1">
      <c r="A43" s="81"/>
      <c r="B43" s="50"/>
      <c r="C43" s="50" t="s">
        <v>86</v>
      </c>
      <c r="D43" s="163" t="s">
        <v>308</v>
      </c>
      <c r="E43" s="51">
        <v>17820000</v>
      </c>
      <c r="F43" s="51"/>
      <c r="G43" s="155">
        <f t="shared" si="10"/>
        <v>17820000</v>
      </c>
      <c r="H43" s="147"/>
      <c r="I43" s="73"/>
      <c r="J43" s="248" t="s">
        <v>306</v>
      </c>
      <c r="K43" s="205" t="s">
        <v>307</v>
      </c>
      <c r="L43" s="207" t="s">
        <v>309</v>
      </c>
      <c r="M43" s="163" t="s">
        <v>308</v>
      </c>
      <c r="N43" s="51">
        <v>17820000</v>
      </c>
      <c r="O43" s="51"/>
      <c r="P43" s="155">
        <v>17820000</v>
      </c>
      <c r="Q43" s="260"/>
      <c r="R43" s="260"/>
      <c r="S43" s="260"/>
      <c r="T43" s="260"/>
      <c r="U43" s="260"/>
      <c r="V43" s="142">
        <v>17820000</v>
      </c>
      <c r="W43" s="140" t="s">
        <v>578</v>
      </c>
      <c r="X43" s="141"/>
      <c r="Y43" s="307"/>
      <c r="Z43" s="103">
        <v>17820000</v>
      </c>
      <c r="AA43" s="288">
        <v>1</v>
      </c>
      <c r="AB43" s="52">
        <f t="shared" si="9"/>
        <v>0</v>
      </c>
      <c r="AC43" s="142"/>
      <c r="AD43" s="38"/>
      <c r="AE43" s="38"/>
      <c r="AF43" s="38"/>
      <c r="AG43" s="38"/>
      <c r="AH43" s="38"/>
      <c r="AI43" s="38"/>
      <c r="AJ43" s="38"/>
    </row>
    <row r="44" spans="1:36" s="54" customFormat="1" ht="47.25">
      <c r="A44" s="81"/>
      <c r="B44" s="50"/>
      <c r="C44" s="50" t="s">
        <v>87</v>
      </c>
      <c r="D44" s="163" t="s">
        <v>312</v>
      </c>
      <c r="E44" s="103"/>
      <c r="F44" s="51">
        <v>22357720</v>
      </c>
      <c r="G44" s="155">
        <f t="shared" si="10"/>
        <v>22357720</v>
      </c>
      <c r="H44" s="147"/>
      <c r="I44" s="73"/>
      <c r="J44" s="248" t="s">
        <v>310</v>
      </c>
      <c r="K44" s="260" t="s">
        <v>311</v>
      </c>
      <c r="L44" s="207" t="s">
        <v>313</v>
      </c>
      <c r="M44" s="163" t="s">
        <v>312</v>
      </c>
      <c r="N44" s="103"/>
      <c r="O44" s="51">
        <v>22357720</v>
      </c>
      <c r="P44" s="155">
        <v>22357720</v>
      </c>
      <c r="Q44" s="260"/>
      <c r="R44" s="260"/>
      <c r="S44" s="260"/>
      <c r="T44" s="260"/>
      <c r="U44" s="260"/>
      <c r="V44" s="285">
        <v>22357720</v>
      </c>
      <c r="W44" s="140" t="s">
        <v>706</v>
      </c>
      <c r="X44" s="141"/>
      <c r="Y44" s="307">
        <v>42381</v>
      </c>
      <c r="Z44" s="103">
        <v>22357720</v>
      </c>
      <c r="AA44" s="288">
        <v>1</v>
      </c>
      <c r="AB44" s="52">
        <f>+G44-V44</f>
        <v>0</v>
      </c>
      <c r="AC44" s="142"/>
      <c r="AD44" s="38"/>
      <c r="AE44" s="38"/>
      <c r="AF44" s="38"/>
      <c r="AG44" s="38"/>
      <c r="AH44" s="38"/>
      <c r="AI44" s="38"/>
      <c r="AJ44" s="38"/>
    </row>
    <row r="45" spans="1:36" s="54" customFormat="1" ht="31.5">
      <c r="A45" s="81"/>
      <c r="B45" s="50"/>
      <c r="C45" s="50" t="s">
        <v>88</v>
      </c>
      <c r="D45" s="163" t="s">
        <v>316</v>
      </c>
      <c r="E45" s="103"/>
      <c r="F45" s="51">
        <v>152900000</v>
      </c>
      <c r="G45" s="155">
        <f t="shared" si="10"/>
        <v>152900000</v>
      </c>
      <c r="H45" s="147"/>
      <c r="I45" s="73"/>
      <c r="J45" s="248" t="s">
        <v>314</v>
      </c>
      <c r="K45" s="205" t="s">
        <v>315</v>
      </c>
      <c r="L45" s="207" t="s">
        <v>292</v>
      </c>
      <c r="M45" s="163" t="s">
        <v>316</v>
      </c>
      <c r="N45" s="103"/>
      <c r="O45" s="51">
        <v>152900000</v>
      </c>
      <c r="P45" s="155">
        <v>152900000</v>
      </c>
      <c r="Q45" s="260"/>
      <c r="R45" s="260"/>
      <c r="S45" s="260"/>
      <c r="T45" s="260"/>
      <c r="U45" s="260"/>
      <c r="V45" s="142">
        <v>152900000</v>
      </c>
      <c r="W45" s="140" t="s">
        <v>511</v>
      </c>
      <c r="X45" s="141"/>
      <c r="Y45" s="307"/>
      <c r="Z45" s="103">
        <v>152900000</v>
      </c>
      <c r="AA45" s="288">
        <v>1</v>
      </c>
      <c r="AB45" s="52">
        <f>+G45-P45</f>
        <v>0</v>
      </c>
      <c r="AC45" s="142"/>
      <c r="AD45" s="38"/>
      <c r="AE45" s="38"/>
      <c r="AF45" s="38"/>
      <c r="AG45" s="38"/>
      <c r="AH45" s="38"/>
      <c r="AI45" s="38"/>
      <c r="AJ45" s="38"/>
    </row>
    <row r="46" spans="1:36" s="54" customFormat="1" ht="31.5">
      <c r="A46" s="81"/>
      <c r="B46" s="50"/>
      <c r="C46" s="50" t="s">
        <v>89</v>
      </c>
      <c r="D46" s="213" t="s">
        <v>319</v>
      </c>
      <c r="E46" s="103"/>
      <c r="F46" s="51">
        <v>125400000</v>
      </c>
      <c r="G46" s="155">
        <f t="shared" si="10"/>
        <v>125400000</v>
      </c>
      <c r="H46" s="147"/>
      <c r="I46" s="73"/>
      <c r="J46" s="248" t="s">
        <v>317</v>
      </c>
      <c r="K46" s="205" t="s">
        <v>318</v>
      </c>
      <c r="L46" s="207" t="s">
        <v>292</v>
      </c>
      <c r="M46" s="163" t="s">
        <v>319</v>
      </c>
      <c r="N46" s="103"/>
      <c r="O46" s="51">
        <v>125400000</v>
      </c>
      <c r="P46" s="155">
        <v>125400000</v>
      </c>
      <c r="Q46" s="260"/>
      <c r="R46" s="260"/>
      <c r="S46" s="260"/>
      <c r="T46" s="260"/>
      <c r="U46" s="260"/>
      <c r="V46" s="142">
        <v>125400000</v>
      </c>
      <c r="W46" s="140" t="s">
        <v>511</v>
      </c>
      <c r="X46" s="141"/>
      <c r="Y46" s="307"/>
      <c r="Z46" s="103">
        <v>125400000</v>
      </c>
      <c r="AA46" s="288">
        <v>1</v>
      </c>
      <c r="AB46" s="52">
        <f>+G46-P46</f>
        <v>0</v>
      </c>
      <c r="AC46" s="142"/>
      <c r="AD46" s="38"/>
      <c r="AE46" s="38"/>
      <c r="AF46" s="38"/>
      <c r="AG46" s="38"/>
      <c r="AH46" s="38"/>
      <c r="AI46" s="38"/>
      <c r="AJ46" s="38"/>
    </row>
    <row r="47" spans="1:36" s="54" customFormat="1" ht="31.5">
      <c r="A47" s="81"/>
      <c r="B47" s="50"/>
      <c r="C47" s="50" t="s">
        <v>90</v>
      </c>
      <c r="D47" s="163" t="s">
        <v>321</v>
      </c>
      <c r="E47" s="51">
        <v>122608090</v>
      </c>
      <c r="F47" s="51"/>
      <c r="G47" s="155">
        <f t="shared" si="10"/>
        <v>122608090</v>
      </c>
      <c r="H47" s="147"/>
      <c r="I47" s="73"/>
      <c r="J47" s="248" t="s">
        <v>320</v>
      </c>
      <c r="K47" s="260" t="s">
        <v>584</v>
      </c>
      <c r="L47" s="207" t="s">
        <v>292</v>
      </c>
      <c r="M47" s="163" t="s">
        <v>321</v>
      </c>
      <c r="N47" s="51">
        <v>121608300</v>
      </c>
      <c r="O47" s="51"/>
      <c r="P47" s="155">
        <v>121608300</v>
      </c>
      <c r="Q47" s="260"/>
      <c r="R47" s="260"/>
      <c r="S47" s="260"/>
      <c r="T47" s="260"/>
      <c r="U47" s="260"/>
      <c r="V47" s="142">
        <v>121608300</v>
      </c>
      <c r="W47" s="140" t="s">
        <v>511</v>
      </c>
      <c r="X47" s="141"/>
      <c r="Y47" s="307"/>
      <c r="Z47" s="103">
        <v>121608300</v>
      </c>
      <c r="AA47" s="288">
        <v>1</v>
      </c>
      <c r="AB47" s="52">
        <f>+G47-P47</f>
        <v>999790</v>
      </c>
      <c r="AC47" s="142"/>
      <c r="AD47" s="38"/>
      <c r="AE47" s="38"/>
      <c r="AF47" s="38"/>
      <c r="AG47" s="38"/>
      <c r="AH47" s="38"/>
      <c r="AI47" s="38"/>
      <c r="AJ47" s="38"/>
    </row>
    <row r="48" spans="1:36" s="54" customFormat="1" ht="31.5">
      <c r="A48" s="81"/>
      <c r="B48" s="50"/>
      <c r="C48" s="50" t="s">
        <v>91</v>
      </c>
      <c r="D48" s="163" t="s">
        <v>324</v>
      </c>
      <c r="E48" s="103"/>
      <c r="F48" s="51">
        <v>55660000</v>
      </c>
      <c r="G48" s="155">
        <f t="shared" si="10"/>
        <v>55660000</v>
      </c>
      <c r="H48" s="147"/>
      <c r="I48" s="73"/>
      <c r="J48" s="248" t="s">
        <v>322</v>
      </c>
      <c r="K48" s="260" t="s">
        <v>323</v>
      </c>
      <c r="L48" s="207" t="s">
        <v>292</v>
      </c>
      <c r="M48" s="163" t="s">
        <v>324</v>
      </c>
      <c r="N48" s="103"/>
      <c r="O48" s="51">
        <v>55660000</v>
      </c>
      <c r="P48" s="155">
        <v>55660000</v>
      </c>
      <c r="Q48" s="260"/>
      <c r="R48" s="260"/>
      <c r="S48" s="260"/>
      <c r="T48" s="260"/>
      <c r="U48" s="260"/>
      <c r="V48" s="178">
        <v>55660000</v>
      </c>
      <c r="W48" s="140" t="s">
        <v>511</v>
      </c>
      <c r="X48" s="141"/>
      <c r="Y48" s="307">
        <v>42429</v>
      </c>
      <c r="Z48" s="103">
        <v>55660000</v>
      </c>
      <c r="AA48" s="288">
        <v>1</v>
      </c>
      <c r="AB48" s="52">
        <f>+G48-P48</f>
        <v>0</v>
      </c>
      <c r="AC48" s="142"/>
      <c r="AD48" s="38"/>
      <c r="AE48" s="38"/>
      <c r="AF48" s="38"/>
      <c r="AG48" s="38"/>
      <c r="AH48" s="38"/>
      <c r="AI48" s="38"/>
      <c r="AJ48" s="38"/>
    </row>
    <row r="49" spans="1:36" s="54" customFormat="1" ht="31.5">
      <c r="A49" s="81"/>
      <c r="B49" s="50"/>
      <c r="C49" s="50" t="s">
        <v>92</v>
      </c>
      <c r="D49" s="163" t="s">
        <v>93</v>
      </c>
      <c r="E49" s="103"/>
      <c r="F49" s="51">
        <v>20093920</v>
      </c>
      <c r="G49" s="155">
        <f t="shared" si="10"/>
        <v>20093920</v>
      </c>
      <c r="H49" s="147"/>
      <c r="I49" s="73"/>
      <c r="J49" s="248" t="s">
        <v>325</v>
      </c>
      <c r="K49" s="260" t="s">
        <v>326</v>
      </c>
      <c r="L49" s="207" t="s">
        <v>327</v>
      </c>
      <c r="M49" s="163" t="s">
        <v>93</v>
      </c>
      <c r="N49" s="103"/>
      <c r="O49" s="51">
        <v>20093920</v>
      </c>
      <c r="P49" s="155">
        <v>20093920</v>
      </c>
      <c r="Q49" s="260"/>
      <c r="R49" s="260"/>
      <c r="S49" s="260"/>
      <c r="T49" s="260"/>
      <c r="U49" s="260"/>
      <c r="V49" s="285">
        <v>20093920</v>
      </c>
      <c r="W49" s="140" t="s">
        <v>706</v>
      </c>
      <c r="X49" s="141"/>
      <c r="Y49" s="307">
        <v>42381</v>
      </c>
      <c r="Z49" s="103">
        <v>20093920</v>
      </c>
      <c r="AA49" s="288">
        <v>1</v>
      </c>
      <c r="AB49" s="52">
        <f>+G49-V49</f>
        <v>0</v>
      </c>
      <c r="AC49" s="142"/>
      <c r="AD49" s="38"/>
      <c r="AE49" s="38"/>
      <c r="AF49" s="38"/>
      <c r="AG49" s="38"/>
      <c r="AH49" s="38"/>
      <c r="AI49" s="38"/>
      <c r="AJ49" s="38"/>
    </row>
    <row r="50" spans="1:36" s="54" customFormat="1" ht="31.5">
      <c r="A50" s="81"/>
      <c r="B50" s="50"/>
      <c r="C50" s="1144" t="s">
        <v>94</v>
      </c>
      <c r="D50" s="163" t="s">
        <v>95</v>
      </c>
      <c r="E50" s="103"/>
      <c r="F50" s="51">
        <v>15236100</v>
      </c>
      <c r="G50" s="155">
        <f t="shared" si="10"/>
        <v>15236100</v>
      </c>
      <c r="H50" s="147"/>
      <c r="I50" s="73"/>
      <c r="J50" s="248" t="s">
        <v>328</v>
      </c>
      <c r="K50" s="205" t="s">
        <v>329</v>
      </c>
      <c r="L50" s="207" t="s">
        <v>330</v>
      </c>
      <c r="M50" s="163" t="s">
        <v>95</v>
      </c>
      <c r="N50" s="103"/>
      <c r="O50" s="51">
        <v>15236100</v>
      </c>
      <c r="P50" s="155">
        <v>15236100</v>
      </c>
      <c r="Q50" s="260"/>
      <c r="R50" s="260"/>
      <c r="S50" s="260"/>
      <c r="T50" s="260"/>
      <c r="U50" s="260"/>
      <c r="V50" s="142">
        <v>15236100</v>
      </c>
      <c r="W50" s="140" t="s">
        <v>706</v>
      </c>
      <c r="X50" s="141"/>
      <c r="Y50" s="307">
        <v>42381</v>
      </c>
      <c r="Z50" s="103">
        <v>15236100</v>
      </c>
      <c r="AA50" s="288">
        <v>1</v>
      </c>
      <c r="AB50" s="52">
        <f t="shared" ref="AB50:AB91" si="11">+G50-P50</f>
        <v>0</v>
      </c>
      <c r="AC50" s="142"/>
      <c r="AD50" s="38"/>
      <c r="AE50" s="38"/>
      <c r="AF50" s="38"/>
      <c r="AG50" s="38"/>
      <c r="AH50" s="38"/>
      <c r="AI50" s="38"/>
      <c r="AJ50" s="38"/>
    </row>
    <row r="51" spans="1:36" s="54" customFormat="1" ht="47.25">
      <c r="A51" s="81"/>
      <c r="B51" s="50"/>
      <c r="C51" s="50" t="s">
        <v>96</v>
      </c>
      <c r="D51" s="213" t="s">
        <v>332</v>
      </c>
      <c r="E51" s="51">
        <v>92705250</v>
      </c>
      <c r="F51" s="51"/>
      <c r="G51" s="155">
        <f t="shared" si="10"/>
        <v>92705250</v>
      </c>
      <c r="H51" s="147"/>
      <c r="I51" s="73"/>
      <c r="J51" s="248" t="s">
        <v>331</v>
      </c>
      <c r="K51" s="260" t="s">
        <v>707</v>
      </c>
      <c r="L51" s="207" t="s">
        <v>333</v>
      </c>
      <c r="M51" s="163" t="s">
        <v>332</v>
      </c>
      <c r="N51" s="51">
        <v>75020000</v>
      </c>
      <c r="O51" s="51"/>
      <c r="P51" s="155">
        <v>75020000</v>
      </c>
      <c r="Q51" s="260"/>
      <c r="R51" s="260"/>
      <c r="S51" s="260"/>
      <c r="T51" s="260"/>
      <c r="U51" s="260"/>
      <c r="V51" s="142">
        <v>75020000</v>
      </c>
      <c r="W51" s="140" t="s">
        <v>509</v>
      </c>
      <c r="X51" s="141"/>
      <c r="Y51" s="307">
        <v>42429</v>
      </c>
      <c r="Z51" s="103">
        <v>75020000</v>
      </c>
      <c r="AA51" s="288">
        <v>1</v>
      </c>
      <c r="AB51" s="52">
        <f t="shared" si="11"/>
        <v>17685250</v>
      </c>
      <c r="AC51" s="142"/>
      <c r="AD51" s="38"/>
      <c r="AE51" s="38"/>
      <c r="AF51" s="38"/>
      <c r="AG51" s="38"/>
      <c r="AH51" s="38"/>
      <c r="AI51" s="38"/>
      <c r="AJ51" s="38"/>
    </row>
    <row r="52" spans="1:36" s="54" customFormat="1" ht="31.5">
      <c r="A52" s="81"/>
      <c r="B52" s="50"/>
      <c r="C52" s="50"/>
      <c r="D52" s="213"/>
      <c r="E52" s="51"/>
      <c r="F52" s="51"/>
      <c r="G52" s="155"/>
      <c r="H52" s="147"/>
      <c r="I52" s="73"/>
      <c r="J52" s="248" t="s">
        <v>2893</v>
      </c>
      <c r="K52" s="260" t="s">
        <v>3116</v>
      </c>
      <c r="L52" s="207" t="s">
        <v>3039</v>
      </c>
      <c r="M52" s="163" t="s">
        <v>2894</v>
      </c>
      <c r="N52" s="51">
        <v>8217000</v>
      </c>
      <c r="O52" s="51"/>
      <c r="P52" s="155">
        <v>8217000</v>
      </c>
      <c r="Q52" s="260"/>
      <c r="R52" s="260"/>
      <c r="S52" s="260"/>
      <c r="T52" s="260"/>
      <c r="U52" s="260"/>
      <c r="V52" s="142">
        <f>P52</f>
        <v>8217000</v>
      </c>
      <c r="W52" s="140" t="s">
        <v>3112</v>
      </c>
      <c r="X52" s="141">
        <v>42685</v>
      </c>
      <c r="Y52" s="307">
        <v>42691</v>
      </c>
      <c r="Z52" s="103">
        <f>V52</f>
        <v>8217000</v>
      </c>
      <c r="AA52" s="288">
        <v>1</v>
      </c>
      <c r="AB52" s="433">
        <f t="shared" si="11"/>
        <v>-8217000</v>
      </c>
      <c r="AC52" s="142"/>
      <c r="AD52" s="38"/>
      <c r="AE52" s="38"/>
      <c r="AF52" s="38"/>
      <c r="AG52" s="38"/>
      <c r="AH52" s="38"/>
      <c r="AI52" s="38"/>
      <c r="AJ52" s="38"/>
    </row>
    <row r="53" spans="1:36" s="755" customFormat="1">
      <c r="A53" s="770"/>
      <c r="B53" s="773"/>
      <c r="C53" s="773" t="str">
        <f>C51</f>
        <v>PRK.2016.WKT-4.3.53212.169</v>
      </c>
      <c r="D53" s="1510"/>
      <c r="E53" s="748"/>
      <c r="F53" s="748"/>
      <c r="G53" s="1454">
        <f>G51</f>
        <v>92705250</v>
      </c>
      <c r="H53" s="787"/>
      <c r="I53" s="788"/>
      <c r="J53" s="1336"/>
      <c r="K53" s="1511"/>
      <c r="L53" s="1474"/>
      <c r="M53" s="1471"/>
      <c r="N53" s="748">
        <f>SUM(N51:N52)</f>
        <v>83237000</v>
      </c>
      <c r="O53" s="748">
        <f t="shared" ref="O53:V53" si="12">SUM(O51:O52)</f>
        <v>0</v>
      </c>
      <c r="P53" s="748">
        <f t="shared" si="12"/>
        <v>83237000</v>
      </c>
      <c r="Q53" s="748">
        <f t="shared" si="12"/>
        <v>0</v>
      </c>
      <c r="R53" s="748">
        <f t="shared" si="12"/>
        <v>0</v>
      </c>
      <c r="S53" s="748">
        <f t="shared" si="12"/>
        <v>0</v>
      </c>
      <c r="T53" s="748">
        <f t="shared" si="12"/>
        <v>0</v>
      </c>
      <c r="U53" s="748">
        <f t="shared" si="12"/>
        <v>0</v>
      </c>
      <c r="V53" s="748">
        <f t="shared" si="12"/>
        <v>83237000</v>
      </c>
      <c r="W53" s="756"/>
      <c r="X53" s="1416"/>
      <c r="Y53" s="1470"/>
      <c r="Z53" s="748">
        <f>SUM(Z51:Z52)</f>
        <v>83237000</v>
      </c>
      <c r="AA53" s="1061"/>
      <c r="AB53" s="756">
        <f t="shared" si="11"/>
        <v>9468250</v>
      </c>
      <c r="AC53" s="1002"/>
    </row>
    <row r="54" spans="1:36" s="54" customFormat="1" ht="31.5">
      <c r="A54" s="81"/>
      <c r="B54" s="50"/>
      <c r="C54" s="50" t="s">
        <v>97</v>
      </c>
      <c r="D54" s="163" t="s">
        <v>98</v>
      </c>
      <c r="E54" s="103"/>
      <c r="F54" s="51">
        <v>13283600</v>
      </c>
      <c r="G54" s="155">
        <f t="shared" si="10"/>
        <v>13283600</v>
      </c>
      <c r="H54" s="147"/>
      <c r="I54" s="73"/>
      <c r="J54" s="248" t="s">
        <v>334</v>
      </c>
      <c r="K54" s="260" t="s">
        <v>335</v>
      </c>
      <c r="L54" s="207" t="s">
        <v>336</v>
      </c>
      <c r="M54" s="163" t="s">
        <v>98</v>
      </c>
      <c r="N54" s="103"/>
      <c r="O54" s="51">
        <v>13283600</v>
      </c>
      <c r="P54" s="155">
        <v>13283600</v>
      </c>
      <c r="Q54" s="260"/>
      <c r="R54" s="260"/>
      <c r="S54" s="260"/>
      <c r="T54" s="260"/>
      <c r="U54" s="260"/>
      <c r="V54" s="178">
        <v>13283600</v>
      </c>
      <c r="W54" s="140" t="s">
        <v>555</v>
      </c>
      <c r="X54" s="141"/>
      <c r="Y54" s="307">
        <v>42428</v>
      </c>
      <c r="Z54" s="103">
        <v>13283600</v>
      </c>
      <c r="AA54" s="288">
        <v>1</v>
      </c>
      <c r="AB54" s="52">
        <f t="shared" si="11"/>
        <v>0</v>
      </c>
      <c r="AC54" s="142"/>
      <c r="AD54" s="38"/>
      <c r="AE54" s="38"/>
      <c r="AF54" s="38"/>
      <c r="AG54" s="38"/>
      <c r="AH54" s="38"/>
      <c r="AI54" s="38"/>
      <c r="AJ54" s="38"/>
    </row>
    <row r="55" spans="1:36" s="54" customFormat="1" ht="31.5">
      <c r="A55" s="81"/>
      <c r="B55" s="50"/>
      <c r="C55" s="50" t="s">
        <v>99</v>
      </c>
      <c r="D55" s="163" t="s">
        <v>339</v>
      </c>
      <c r="E55" s="103"/>
      <c r="F55" s="51">
        <v>11440000</v>
      </c>
      <c r="G55" s="155">
        <f t="shared" si="10"/>
        <v>11440000</v>
      </c>
      <c r="H55" s="147"/>
      <c r="I55" s="73"/>
      <c r="J55" s="248" t="s">
        <v>337</v>
      </c>
      <c r="K55" s="205" t="s">
        <v>338</v>
      </c>
      <c r="L55" s="207" t="s">
        <v>336</v>
      </c>
      <c r="M55" s="163" t="s">
        <v>339</v>
      </c>
      <c r="N55" s="103"/>
      <c r="O55" s="51">
        <v>11440000</v>
      </c>
      <c r="P55" s="155">
        <v>11440000</v>
      </c>
      <c r="Q55" s="260"/>
      <c r="R55" s="260"/>
      <c r="S55" s="260"/>
      <c r="T55" s="260"/>
      <c r="U55" s="260"/>
      <c r="V55" s="285">
        <v>11440000</v>
      </c>
      <c r="W55" s="140" t="s">
        <v>555</v>
      </c>
      <c r="X55" s="141"/>
      <c r="Y55" s="307">
        <v>42428</v>
      </c>
      <c r="Z55" s="103">
        <v>11440000</v>
      </c>
      <c r="AA55" s="288">
        <v>1</v>
      </c>
      <c r="AB55" s="52">
        <f t="shared" si="11"/>
        <v>0</v>
      </c>
      <c r="AC55" s="142"/>
      <c r="AD55" s="38"/>
      <c r="AE55" s="38"/>
      <c r="AF55" s="38"/>
      <c r="AG55" s="38"/>
      <c r="AH55" s="38"/>
      <c r="AI55" s="38"/>
      <c r="AJ55" s="38"/>
    </row>
    <row r="56" spans="1:36" s="54" customFormat="1" ht="47.25">
      <c r="A56" s="81"/>
      <c r="B56" s="50"/>
      <c r="C56" s="50" t="s">
        <v>100</v>
      </c>
      <c r="D56" s="213" t="s">
        <v>341</v>
      </c>
      <c r="E56" s="51">
        <v>81529360</v>
      </c>
      <c r="F56" s="51"/>
      <c r="G56" s="155">
        <f t="shared" si="10"/>
        <v>81529360</v>
      </c>
      <c r="H56" s="147"/>
      <c r="I56" s="73"/>
      <c r="J56" s="248" t="s">
        <v>340</v>
      </c>
      <c r="K56" s="205" t="s">
        <v>708</v>
      </c>
      <c r="L56" s="207" t="s">
        <v>342</v>
      </c>
      <c r="M56" s="163" t="s">
        <v>341</v>
      </c>
      <c r="N56" s="447">
        <v>77880000</v>
      </c>
      <c r="O56" s="51"/>
      <c r="P56" s="155">
        <f>N56+O56</f>
        <v>77880000</v>
      </c>
      <c r="Q56" s="260"/>
      <c r="R56" s="260"/>
      <c r="S56" s="260"/>
      <c r="T56" s="260"/>
      <c r="U56" s="260"/>
      <c r="V56" s="142">
        <f>P56</f>
        <v>77880000</v>
      </c>
      <c r="W56" s="140" t="s">
        <v>844</v>
      </c>
      <c r="X56" s="307">
        <v>42461</v>
      </c>
      <c r="Y56" s="307">
        <v>42468</v>
      </c>
      <c r="Z56" s="103">
        <f>V56</f>
        <v>77880000</v>
      </c>
      <c r="AA56" s="288">
        <v>1</v>
      </c>
      <c r="AB56" s="52">
        <f t="shared" si="11"/>
        <v>3649360</v>
      </c>
      <c r="AC56" s="142"/>
      <c r="AD56" s="38"/>
      <c r="AE56" s="38"/>
      <c r="AF56" s="38"/>
      <c r="AG56" s="38"/>
      <c r="AH56" s="38"/>
      <c r="AI56" s="38"/>
      <c r="AJ56" s="38"/>
    </row>
    <row r="57" spans="1:36" s="54" customFormat="1" ht="47.25">
      <c r="A57" s="81"/>
      <c r="B57" s="50"/>
      <c r="C57" s="50" t="s">
        <v>101</v>
      </c>
      <c r="D57" s="163" t="s">
        <v>345</v>
      </c>
      <c r="E57" s="51">
        <v>41869630</v>
      </c>
      <c r="F57" s="51"/>
      <c r="G57" s="155">
        <f t="shared" si="10"/>
        <v>41869630</v>
      </c>
      <c r="H57" s="147"/>
      <c r="I57" s="73"/>
      <c r="J57" s="248" t="s">
        <v>343</v>
      </c>
      <c r="K57" s="205" t="s">
        <v>583</v>
      </c>
      <c r="L57" s="207" t="s">
        <v>346</v>
      </c>
      <c r="M57" s="163" t="s">
        <v>345</v>
      </c>
      <c r="N57" s="51">
        <v>40150000</v>
      </c>
      <c r="O57" s="51"/>
      <c r="P57" s="155">
        <v>40150000</v>
      </c>
      <c r="Q57" s="260"/>
      <c r="R57" s="260"/>
      <c r="S57" s="260"/>
      <c r="T57" s="260"/>
      <c r="U57" s="260"/>
      <c r="V57" s="142">
        <v>40150000</v>
      </c>
      <c r="W57" s="140" t="s">
        <v>844</v>
      </c>
      <c r="X57" s="307">
        <v>42461</v>
      </c>
      <c r="Y57" s="307">
        <v>42468</v>
      </c>
      <c r="Z57" s="103">
        <f>V57</f>
        <v>40150000</v>
      </c>
      <c r="AA57" s="288">
        <v>1</v>
      </c>
      <c r="AB57" s="52">
        <f t="shared" si="11"/>
        <v>1719630</v>
      </c>
      <c r="AC57" s="142"/>
      <c r="AD57" s="38"/>
      <c r="AE57" s="38"/>
      <c r="AF57" s="38"/>
      <c r="AG57" s="38"/>
      <c r="AH57" s="38"/>
      <c r="AI57" s="38"/>
      <c r="AJ57" s="38"/>
    </row>
    <row r="58" spans="1:36" s="54" customFormat="1" ht="47.25">
      <c r="A58" s="81"/>
      <c r="B58" s="50"/>
      <c r="C58" s="50" t="s">
        <v>102</v>
      </c>
      <c r="D58" s="163" t="s">
        <v>348</v>
      </c>
      <c r="E58" s="51">
        <v>33384890</v>
      </c>
      <c r="F58" s="51"/>
      <c r="G58" s="155">
        <f t="shared" si="10"/>
        <v>33384890</v>
      </c>
      <c r="H58" s="147"/>
      <c r="I58" s="73"/>
      <c r="J58" s="248" t="s">
        <v>347</v>
      </c>
      <c r="K58" s="205" t="s">
        <v>962</v>
      </c>
      <c r="L58" s="207" t="s">
        <v>963</v>
      </c>
      <c r="M58" s="163" t="s">
        <v>348</v>
      </c>
      <c r="N58" s="51">
        <v>30580000</v>
      </c>
      <c r="O58" s="51"/>
      <c r="P58" s="155">
        <f>N58+O58</f>
        <v>30580000</v>
      </c>
      <c r="Q58" s="260"/>
      <c r="R58" s="260"/>
      <c r="S58" s="260"/>
      <c r="T58" s="260"/>
      <c r="U58" s="260"/>
      <c r="V58" s="142">
        <f>P58</f>
        <v>30580000</v>
      </c>
      <c r="W58" s="140" t="s">
        <v>961</v>
      </c>
      <c r="X58" s="141">
        <v>42468</v>
      </c>
      <c r="Y58" s="307">
        <v>42474</v>
      </c>
      <c r="Z58" s="103">
        <f>V58</f>
        <v>30580000</v>
      </c>
      <c r="AA58" s="288">
        <v>1</v>
      </c>
      <c r="AB58" s="52">
        <f t="shared" si="11"/>
        <v>2804890</v>
      </c>
      <c r="AC58" s="142"/>
      <c r="AD58" s="38"/>
      <c r="AE58" s="38"/>
      <c r="AF58" s="38"/>
      <c r="AG58" s="38"/>
      <c r="AH58" s="38"/>
      <c r="AI58" s="38"/>
      <c r="AJ58" s="38"/>
    </row>
    <row r="59" spans="1:36" s="54" customFormat="1" ht="47.25">
      <c r="A59" s="81"/>
      <c r="B59" s="50"/>
      <c r="C59" s="50" t="s">
        <v>103</v>
      </c>
      <c r="D59" s="163" t="s">
        <v>351</v>
      </c>
      <c r="E59" s="51">
        <v>58456640</v>
      </c>
      <c r="F59" s="51"/>
      <c r="G59" s="155">
        <f t="shared" si="10"/>
        <v>58456640</v>
      </c>
      <c r="H59" s="147"/>
      <c r="I59" s="73"/>
      <c r="J59" s="248" t="s">
        <v>349</v>
      </c>
      <c r="K59" s="205" t="s">
        <v>350</v>
      </c>
      <c r="L59" s="207" t="s">
        <v>963</v>
      </c>
      <c r="M59" s="163" t="s">
        <v>351</v>
      </c>
      <c r="N59" s="51">
        <v>54670000</v>
      </c>
      <c r="O59" s="51"/>
      <c r="P59" s="155">
        <f>N59+O59</f>
        <v>54670000</v>
      </c>
      <c r="Q59" s="260"/>
      <c r="R59" s="260"/>
      <c r="S59" s="260"/>
      <c r="T59" s="260"/>
      <c r="U59" s="260"/>
      <c r="V59" s="142">
        <f>P59</f>
        <v>54670000</v>
      </c>
      <c r="W59" s="140" t="s">
        <v>961</v>
      </c>
      <c r="X59" s="141">
        <v>42468</v>
      </c>
      <c r="Y59" s="307">
        <v>42474</v>
      </c>
      <c r="Z59" s="103">
        <f>V59</f>
        <v>54670000</v>
      </c>
      <c r="AA59" s="288">
        <v>1</v>
      </c>
      <c r="AB59" s="52">
        <f t="shared" si="11"/>
        <v>3786640</v>
      </c>
      <c r="AC59" s="142"/>
      <c r="AD59" s="38"/>
      <c r="AE59" s="38"/>
      <c r="AF59" s="38"/>
      <c r="AG59" s="38"/>
      <c r="AH59" s="38"/>
      <c r="AI59" s="38"/>
      <c r="AJ59" s="38"/>
    </row>
    <row r="60" spans="1:36" s="54" customFormat="1" ht="31.5">
      <c r="A60" s="81"/>
      <c r="B60" s="50"/>
      <c r="C60" s="50"/>
      <c r="D60" s="223"/>
      <c r="E60" s="51"/>
      <c r="F60" s="51"/>
      <c r="G60" s="155"/>
      <c r="H60" s="147"/>
      <c r="I60" s="73"/>
      <c r="J60" s="248" t="s">
        <v>2984</v>
      </c>
      <c r="K60" s="205" t="s">
        <v>3205</v>
      </c>
      <c r="L60" s="207" t="s">
        <v>387</v>
      </c>
      <c r="M60" s="163" t="s">
        <v>2985</v>
      </c>
      <c r="N60" s="51">
        <v>3784000</v>
      </c>
      <c r="O60" s="51"/>
      <c r="P60" s="155">
        <f>N60+O60</f>
        <v>3784000</v>
      </c>
      <c r="Q60" s="260"/>
      <c r="R60" s="260"/>
      <c r="S60" s="260"/>
      <c r="T60" s="260"/>
      <c r="U60" s="260"/>
      <c r="V60" s="142">
        <f>P60</f>
        <v>3784000</v>
      </c>
      <c r="W60" s="140" t="s">
        <v>3203</v>
      </c>
      <c r="X60" s="141">
        <v>42698</v>
      </c>
      <c r="Y60" s="307">
        <v>42704</v>
      </c>
      <c r="Z60" s="103">
        <f>V60</f>
        <v>3784000</v>
      </c>
      <c r="AA60" s="288">
        <v>1</v>
      </c>
      <c r="AB60" s="433">
        <f t="shared" si="11"/>
        <v>-3784000</v>
      </c>
      <c r="AC60" s="142"/>
      <c r="AD60" s="38"/>
      <c r="AE60" s="38"/>
      <c r="AF60" s="38"/>
      <c r="AG60" s="38"/>
      <c r="AH60" s="38"/>
      <c r="AI60" s="38"/>
      <c r="AJ60" s="38"/>
    </row>
    <row r="61" spans="1:36" s="755" customFormat="1">
      <c r="A61" s="770"/>
      <c r="B61" s="773"/>
      <c r="C61" s="773" t="str">
        <f>C59</f>
        <v>PRK.2016.WKT-4.3.53212.175</v>
      </c>
      <c r="D61" s="1538"/>
      <c r="E61" s="748"/>
      <c r="F61" s="748"/>
      <c r="G61" s="1454">
        <f>G59</f>
        <v>58456640</v>
      </c>
      <c r="H61" s="787"/>
      <c r="I61" s="788"/>
      <c r="J61" s="1336"/>
      <c r="K61" s="1539"/>
      <c r="L61" s="1474"/>
      <c r="M61" s="1471"/>
      <c r="N61" s="748">
        <f>SUM(N59:N60)</f>
        <v>58454000</v>
      </c>
      <c r="O61" s="748">
        <f t="shared" ref="O61:V61" si="13">SUM(O59:O60)</f>
        <v>0</v>
      </c>
      <c r="P61" s="748">
        <f t="shared" si="13"/>
        <v>58454000</v>
      </c>
      <c r="Q61" s="748">
        <f t="shared" si="13"/>
        <v>0</v>
      </c>
      <c r="R61" s="748">
        <f t="shared" si="13"/>
        <v>0</v>
      </c>
      <c r="S61" s="748">
        <f t="shared" si="13"/>
        <v>0</v>
      </c>
      <c r="T61" s="748">
        <f t="shared" si="13"/>
        <v>0</v>
      </c>
      <c r="U61" s="748">
        <f t="shared" si="13"/>
        <v>0</v>
      </c>
      <c r="V61" s="748">
        <f t="shared" si="13"/>
        <v>58454000</v>
      </c>
      <c r="W61" s="756"/>
      <c r="X61" s="1416"/>
      <c r="Y61" s="1470"/>
      <c r="Z61" s="748">
        <f>SUM(Z59:Z60)</f>
        <v>58454000</v>
      </c>
      <c r="AA61" s="1061"/>
      <c r="AB61" s="756">
        <f t="shared" si="11"/>
        <v>2640</v>
      </c>
      <c r="AC61" s="1002"/>
    </row>
    <row r="62" spans="1:36" s="54" customFormat="1" ht="47.25">
      <c r="A62" s="81"/>
      <c r="B62" s="50"/>
      <c r="C62" s="50" t="s">
        <v>104</v>
      </c>
      <c r="D62" s="223" t="s">
        <v>354</v>
      </c>
      <c r="E62" s="51">
        <v>60966400</v>
      </c>
      <c r="F62" s="51"/>
      <c r="G62" s="155">
        <f t="shared" si="10"/>
        <v>60966400</v>
      </c>
      <c r="H62" s="147"/>
      <c r="I62" s="73"/>
      <c r="J62" s="248" t="s">
        <v>352</v>
      </c>
      <c r="K62" s="205" t="s">
        <v>353</v>
      </c>
      <c r="L62" s="207" t="s">
        <v>288</v>
      </c>
      <c r="M62" s="163" t="s">
        <v>354</v>
      </c>
      <c r="N62" s="51">
        <v>60966400</v>
      </c>
      <c r="O62" s="51"/>
      <c r="P62" s="155">
        <v>60966400</v>
      </c>
      <c r="Q62" s="260"/>
      <c r="R62" s="260"/>
      <c r="S62" s="260"/>
      <c r="T62" s="260"/>
      <c r="U62" s="260"/>
      <c r="V62" s="142">
        <v>60966400</v>
      </c>
      <c r="W62" s="140" t="s">
        <v>559</v>
      </c>
      <c r="X62" s="141"/>
      <c r="Y62" s="307">
        <v>42429</v>
      </c>
      <c r="Z62" s="103">
        <v>60966400</v>
      </c>
      <c r="AA62" s="288">
        <v>1</v>
      </c>
      <c r="AB62" s="52">
        <f t="shared" si="11"/>
        <v>0</v>
      </c>
      <c r="AC62" s="142"/>
      <c r="AD62" s="38"/>
      <c r="AE62" s="38"/>
      <c r="AF62" s="38"/>
      <c r="AG62" s="38"/>
      <c r="AH62" s="38"/>
      <c r="AI62" s="38"/>
      <c r="AJ62" s="38"/>
    </row>
    <row r="63" spans="1:36" s="54" customFormat="1" ht="31.5">
      <c r="A63" s="81"/>
      <c r="B63" s="50"/>
      <c r="C63" s="50" t="s">
        <v>105</v>
      </c>
      <c r="D63" s="163" t="s">
        <v>357</v>
      </c>
      <c r="E63" s="51">
        <v>38376844</v>
      </c>
      <c r="F63" s="51"/>
      <c r="G63" s="155">
        <f t="shared" si="10"/>
        <v>38376844</v>
      </c>
      <c r="H63" s="147"/>
      <c r="I63" s="73"/>
      <c r="J63" s="248" t="s">
        <v>355</v>
      </c>
      <c r="K63" s="260" t="s">
        <v>556</v>
      </c>
      <c r="L63" s="207" t="s">
        <v>358</v>
      </c>
      <c r="M63" s="163" t="s">
        <v>357</v>
      </c>
      <c r="N63" s="51">
        <v>37276844</v>
      </c>
      <c r="O63" s="51"/>
      <c r="P63" s="155">
        <v>37276844</v>
      </c>
      <c r="Q63" s="260"/>
      <c r="R63" s="260"/>
      <c r="S63" s="260"/>
      <c r="T63" s="260"/>
      <c r="U63" s="260"/>
      <c r="V63" s="142">
        <v>37276844</v>
      </c>
      <c r="W63" s="140" t="s">
        <v>969</v>
      </c>
      <c r="X63" s="141"/>
      <c r="Y63" s="307">
        <v>42475</v>
      </c>
      <c r="Z63" s="103">
        <f>V63</f>
        <v>37276844</v>
      </c>
      <c r="AA63" s="288">
        <v>1</v>
      </c>
      <c r="AB63" s="52">
        <f t="shared" si="11"/>
        <v>1100000</v>
      </c>
      <c r="AC63" s="142"/>
      <c r="AD63" s="38"/>
      <c r="AE63" s="38"/>
      <c r="AF63" s="38"/>
      <c r="AG63" s="38"/>
      <c r="AH63" s="38"/>
      <c r="AI63" s="38"/>
      <c r="AJ63" s="38"/>
    </row>
    <row r="64" spans="1:36" s="54" customFormat="1" ht="43.5" customHeight="1">
      <c r="A64" s="81"/>
      <c r="B64" s="50"/>
      <c r="C64" s="50" t="s">
        <v>106</v>
      </c>
      <c r="D64" s="163" t="s">
        <v>361</v>
      </c>
      <c r="E64" s="103"/>
      <c r="F64" s="51">
        <v>18232000</v>
      </c>
      <c r="G64" s="155">
        <f t="shared" si="10"/>
        <v>18232000</v>
      </c>
      <c r="H64" s="147"/>
      <c r="I64" s="73"/>
      <c r="J64" s="248" t="s">
        <v>359</v>
      </c>
      <c r="K64" s="205" t="s">
        <v>360</v>
      </c>
      <c r="L64" s="207" t="s">
        <v>362</v>
      </c>
      <c r="M64" s="163" t="s">
        <v>361</v>
      </c>
      <c r="N64" s="103"/>
      <c r="O64" s="51">
        <v>18232000</v>
      </c>
      <c r="P64" s="155">
        <v>18232000</v>
      </c>
      <c r="Q64" s="260"/>
      <c r="R64" s="260"/>
      <c r="S64" s="260"/>
      <c r="T64" s="260"/>
      <c r="U64" s="260"/>
      <c r="V64" s="142">
        <v>18232000</v>
      </c>
      <c r="W64" s="140" t="s">
        <v>555</v>
      </c>
      <c r="X64" s="141"/>
      <c r="Y64" s="307">
        <v>42428</v>
      </c>
      <c r="Z64" s="103">
        <v>18232000</v>
      </c>
      <c r="AA64" s="288">
        <v>1</v>
      </c>
      <c r="AB64" s="52">
        <f t="shared" si="11"/>
        <v>0</v>
      </c>
      <c r="AC64" s="142"/>
      <c r="AD64" s="38"/>
      <c r="AE64" s="38"/>
      <c r="AF64" s="38"/>
      <c r="AG64" s="38"/>
      <c r="AH64" s="38"/>
      <c r="AI64" s="38"/>
      <c r="AJ64" s="38"/>
    </row>
    <row r="65" spans="1:36" s="54" customFormat="1" ht="31.5">
      <c r="A65" s="81"/>
      <c r="B65" s="50"/>
      <c r="C65" s="50" t="s">
        <v>107</v>
      </c>
      <c r="D65" s="163" t="s">
        <v>365</v>
      </c>
      <c r="E65" s="103"/>
      <c r="F65" s="51">
        <v>38073750</v>
      </c>
      <c r="G65" s="155">
        <f t="shared" si="10"/>
        <v>38073750</v>
      </c>
      <c r="H65" s="147"/>
      <c r="I65" s="73"/>
      <c r="J65" s="248" t="s">
        <v>363</v>
      </c>
      <c r="K65" s="205" t="s">
        <v>364</v>
      </c>
      <c r="L65" s="207" t="s">
        <v>366</v>
      </c>
      <c r="M65" s="163" t="s">
        <v>365</v>
      </c>
      <c r="N65" s="103"/>
      <c r="O65" s="51">
        <v>38073750</v>
      </c>
      <c r="P65" s="155">
        <v>38073750</v>
      </c>
      <c r="Q65" s="260"/>
      <c r="R65" s="260"/>
      <c r="S65" s="260"/>
      <c r="T65" s="260"/>
      <c r="U65" s="260"/>
      <c r="V65" s="142">
        <v>38073750</v>
      </c>
      <c r="W65" s="140" t="s">
        <v>557</v>
      </c>
      <c r="X65" s="141"/>
      <c r="Y65" s="307">
        <v>42397</v>
      </c>
      <c r="Z65" s="103">
        <v>38073750</v>
      </c>
      <c r="AA65" s="288">
        <v>1</v>
      </c>
      <c r="AB65" s="52">
        <f t="shared" si="11"/>
        <v>0</v>
      </c>
      <c r="AC65" s="142"/>
      <c r="AD65" s="38"/>
      <c r="AE65" s="38"/>
      <c r="AF65" s="38"/>
      <c r="AG65" s="38"/>
      <c r="AH65" s="38"/>
      <c r="AI65" s="38"/>
      <c r="AJ65" s="38"/>
    </row>
    <row r="66" spans="1:36" s="54" customFormat="1" ht="31.5">
      <c r="A66" s="81"/>
      <c r="B66" s="50"/>
      <c r="C66" s="50" t="s">
        <v>108</v>
      </c>
      <c r="D66" s="163" t="s">
        <v>368</v>
      </c>
      <c r="E66" s="103"/>
      <c r="F66" s="51">
        <v>8250000</v>
      </c>
      <c r="G66" s="155">
        <f t="shared" si="10"/>
        <v>8250000</v>
      </c>
      <c r="H66" s="147"/>
      <c r="I66" s="73"/>
      <c r="J66" s="248" t="s">
        <v>367</v>
      </c>
      <c r="K66" s="260"/>
      <c r="L66" s="207" t="s">
        <v>362</v>
      </c>
      <c r="M66" s="163" t="s">
        <v>368</v>
      </c>
      <c r="N66" s="103"/>
      <c r="O66" s="51">
        <v>8250000</v>
      </c>
      <c r="P66" s="155">
        <v>8250000</v>
      </c>
      <c r="Q66" s="260"/>
      <c r="R66" s="260"/>
      <c r="S66" s="260"/>
      <c r="T66" s="260"/>
      <c r="U66" s="260"/>
      <c r="V66" s="142">
        <v>8250000</v>
      </c>
      <c r="W66" s="140" t="s">
        <v>563</v>
      </c>
      <c r="X66" s="141"/>
      <c r="Y66" s="307">
        <v>42403</v>
      </c>
      <c r="Z66" s="103">
        <v>8250000</v>
      </c>
      <c r="AA66" s="288">
        <v>1</v>
      </c>
      <c r="AB66" s="52">
        <f t="shared" si="11"/>
        <v>0</v>
      </c>
      <c r="AC66" s="142"/>
      <c r="AD66" s="38"/>
      <c r="AE66" s="38"/>
      <c r="AF66" s="38"/>
      <c r="AG66" s="38"/>
      <c r="AH66" s="38"/>
      <c r="AI66" s="38"/>
      <c r="AJ66" s="38"/>
    </row>
    <row r="67" spans="1:36" s="54" customFormat="1" ht="31.5">
      <c r="A67" s="81"/>
      <c r="B67" s="50"/>
      <c r="C67" s="50" t="s">
        <v>109</v>
      </c>
      <c r="D67" s="163" t="s">
        <v>370</v>
      </c>
      <c r="E67" s="103"/>
      <c r="F67" s="51">
        <v>8250000</v>
      </c>
      <c r="G67" s="155">
        <f t="shared" si="10"/>
        <v>8250000</v>
      </c>
      <c r="H67" s="147"/>
      <c r="I67" s="73"/>
      <c r="J67" s="248" t="s">
        <v>369</v>
      </c>
      <c r="K67" s="260"/>
      <c r="L67" s="207" t="s">
        <v>362</v>
      </c>
      <c r="M67" s="163" t="s">
        <v>370</v>
      </c>
      <c r="N67" s="103"/>
      <c r="O67" s="51">
        <v>8250000</v>
      </c>
      <c r="P67" s="155">
        <v>8250000</v>
      </c>
      <c r="Q67" s="260"/>
      <c r="R67" s="260"/>
      <c r="S67" s="260"/>
      <c r="T67" s="260"/>
      <c r="U67" s="260"/>
      <c r="V67" s="142">
        <v>8250000</v>
      </c>
      <c r="W67" s="140" t="s">
        <v>563</v>
      </c>
      <c r="X67" s="141"/>
      <c r="Y67" s="307">
        <v>42403</v>
      </c>
      <c r="Z67" s="103">
        <v>8250000</v>
      </c>
      <c r="AA67" s="288">
        <v>1</v>
      </c>
      <c r="AB67" s="52">
        <f t="shared" si="11"/>
        <v>0</v>
      </c>
      <c r="AC67" s="142"/>
      <c r="AD67" s="38"/>
      <c r="AE67" s="38"/>
      <c r="AF67" s="38"/>
      <c r="AG67" s="38"/>
      <c r="AH67" s="38"/>
      <c r="AI67" s="38"/>
      <c r="AJ67" s="38"/>
    </row>
    <row r="68" spans="1:36" s="54" customFormat="1" ht="31.5">
      <c r="A68" s="81"/>
      <c r="B68" s="50"/>
      <c r="C68" s="50" t="s">
        <v>110</v>
      </c>
      <c r="D68" s="163" t="s">
        <v>373</v>
      </c>
      <c r="E68" s="51">
        <v>33191400</v>
      </c>
      <c r="F68" s="51"/>
      <c r="G68" s="155">
        <f t="shared" si="10"/>
        <v>33191400</v>
      </c>
      <c r="H68" s="147"/>
      <c r="I68" s="73"/>
      <c r="J68" s="248" t="s">
        <v>371</v>
      </c>
      <c r="K68" s="205" t="s">
        <v>372</v>
      </c>
      <c r="L68" s="207" t="s">
        <v>288</v>
      </c>
      <c r="M68" s="163" t="s">
        <v>373</v>
      </c>
      <c r="N68" s="51">
        <v>33191400</v>
      </c>
      <c r="O68" s="51"/>
      <c r="P68" s="155">
        <v>33191400</v>
      </c>
      <c r="Q68" s="260"/>
      <c r="R68" s="260"/>
      <c r="S68" s="260"/>
      <c r="T68" s="260"/>
      <c r="U68" s="260"/>
      <c r="V68" s="142">
        <v>33191400</v>
      </c>
      <c r="W68" s="140" t="s">
        <v>559</v>
      </c>
      <c r="X68" s="141"/>
      <c r="Y68" s="307">
        <v>42398</v>
      </c>
      <c r="Z68" s="103">
        <v>33191400</v>
      </c>
      <c r="AA68" s="288">
        <v>1</v>
      </c>
      <c r="AB68" s="52">
        <f t="shared" si="11"/>
        <v>0</v>
      </c>
      <c r="AC68" s="142"/>
      <c r="AD68" s="38"/>
      <c r="AE68" s="38"/>
      <c r="AF68" s="38"/>
      <c r="AG68" s="38"/>
      <c r="AH68" s="38"/>
      <c r="AI68" s="38"/>
      <c r="AJ68" s="38"/>
    </row>
    <row r="69" spans="1:36" s="54" customFormat="1" ht="47.25">
      <c r="A69" s="81"/>
      <c r="B69" s="50"/>
      <c r="C69" s="50" t="s">
        <v>111</v>
      </c>
      <c r="D69" s="223" t="s">
        <v>375</v>
      </c>
      <c r="E69" s="51">
        <v>102250500</v>
      </c>
      <c r="F69" s="51"/>
      <c r="G69" s="155">
        <f t="shared" si="10"/>
        <v>102250500</v>
      </c>
      <c r="H69" s="147"/>
      <c r="I69" s="73"/>
      <c r="J69" s="248" t="s">
        <v>374</v>
      </c>
      <c r="K69" s="205" t="s">
        <v>344</v>
      </c>
      <c r="L69" s="207" t="s">
        <v>376</v>
      </c>
      <c r="M69" s="163" t="s">
        <v>375</v>
      </c>
      <c r="N69" s="51">
        <v>97185000</v>
      </c>
      <c r="O69" s="51"/>
      <c r="P69" s="155">
        <v>97185000</v>
      </c>
      <c r="Q69" s="260"/>
      <c r="R69" s="260"/>
      <c r="S69" s="260"/>
      <c r="T69" s="260"/>
      <c r="U69" s="260"/>
      <c r="V69" s="142">
        <v>97185000</v>
      </c>
      <c r="W69" s="140" t="s">
        <v>964</v>
      </c>
      <c r="X69" s="141"/>
      <c r="Y69" s="307">
        <v>42474</v>
      </c>
      <c r="Z69" s="103">
        <f>V69</f>
        <v>97185000</v>
      </c>
      <c r="AA69" s="288">
        <v>1</v>
      </c>
      <c r="AB69" s="52">
        <f t="shared" si="11"/>
        <v>5065500</v>
      </c>
      <c r="AC69" s="142"/>
      <c r="AD69" s="38"/>
      <c r="AE69" s="38"/>
      <c r="AF69" s="38"/>
      <c r="AG69" s="38"/>
      <c r="AH69" s="38"/>
      <c r="AI69" s="38"/>
      <c r="AJ69" s="38"/>
    </row>
    <row r="70" spans="1:36" s="54" customFormat="1" ht="31.5">
      <c r="A70" s="81"/>
      <c r="B70" s="50"/>
      <c r="C70" s="50" t="s">
        <v>112</v>
      </c>
      <c r="D70" s="163" t="s">
        <v>379</v>
      </c>
      <c r="E70" s="103"/>
      <c r="F70" s="51">
        <v>42812000</v>
      </c>
      <c r="G70" s="155">
        <f t="shared" si="10"/>
        <v>42812000</v>
      </c>
      <c r="H70" s="147"/>
      <c r="I70" s="73"/>
      <c r="J70" s="248" t="s">
        <v>377</v>
      </c>
      <c r="K70" s="205" t="s">
        <v>378</v>
      </c>
      <c r="L70" s="207" t="s">
        <v>336</v>
      </c>
      <c r="M70" s="163" t="s">
        <v>379</v>
      </c>
      <c r="N70" s="103"/>
      <c r="O70" s="51">
        <v>42812000</v>
      </c>
      <c r="P70" s="155">
        <v>42812000</v>
      </c>
      <c r="Q70" s="260"/>
      <c r="R70" s="260"/>
      <c r="S70" s="260"/>
      <c r="T70" s="260"/>
      <c r="U70" s="260"/>
      <c r="V70" s="178">
        <v>42812000</v>
      </c>
      <c r="W70" s="140" t="s">
        <v>511</v>
      </c>
      <c r="X70" s="141"/>
      <c r="Y70" s="307">
        <v>42398</v>
      </c>
      <c r="Z70" s="103">
        <v>42812000</v>
      </c>
      <c r="AA70" s="288">
        <v>1</v>
      </c>
      <c r="AB70" s="52">
        <f t="shared" si="11"/>
        <v>0</v>
      </c>
      <c r="AC70" s="142"/>
      <c r="AD70" s="38"/>
      <c r="AE70" s="38"/>
      <c r="AF70" s="38"/>
      <c r="AG70" s="38"/>
      <c r="AH70" s="38"/>
      <c r="AI70" s="38"/>
      <c r="AJ70" s="38"/>
    </row>
    <row r="71" spans="1:36" s="54" customFormat="1" ht="31.5">
      <c r="A71" s="81"/>
      <c r="B71" s="50"/>
      <c r="C71" s="50" t="s">
        <v>113</v>
      </c>
      <c r="D71" s="213" t="s">
        <v>382</v>
      </c>
      <c r="E71" s="51">
        <v>60786000</v>
      </c>
      <c r="F71" s="51"/>
      <c r="G71" s="155">
        <f t="shared" si="10"/>
        <v>60786000</v>
      </c>
      <c r="H71" s="147"/>
      <c r="I71" s="73"/>
      <c r="J71" s="248" t="s">
        <v>380</v>
      </c>
      <c r="K71" s="260" t="s">
        <v>381</v>
      </c>
      <c r="L71" s="207" t="s">
        <v>383</v>
      </c>
      <c r="M71" s="163" t="s">
        <v>382</v>
      </c>
      <c r="N71" s="51">
        <v>60786000</v>
      </c>
      <c r="O71" s="51"/>
      <c r="P71" s="155">
        <v>60786000</v>
      </c>
      <c r="Q71" s="260"/>
      <c r="R71" s="260"/>
      <c r="S71" s="260"/>
      <c r="T71" s="260"/>
      <c r="U71" s="260"/>
      <c r="V71" s="178">
        <v>60786000</v>
      </c>
      <c r="W71" s="140" t="s">
        <v>511</v>
      </c>
      <c r="X71" s="141"/>
      <c r="Y71" s="307">
        <v>42398</v>
      </c>
      <c r="Z71" s="103">
        <v>60786000</v>
      </c>
      <c r="AA71" s="288">
        <v>1</v>
      </c>
      <c r="AB71" s="52">
        <f t="shared" si="11"/>
        <v>0</v>
      </c>
      <c r="AC71" s="142"/>
      <c r="AD71" s="38"/>
      <c r="AE71" s="38"/>
      <c r="AF71" s="38"/>
      <c r="AG71" s="38"/>
      <c r="AH71" s="38"/>
      <c r="AI71" s="38"/>
      <c r="AJ71" s="38"/>
    </row>
    <row r="72" spans="1:36" s="54" customFormat="1" ht="47.25">
      <c r="A72" s="81"/>
      <c r="B72" s="50"/>
      <c r="C72" s="50" t="s">
        <v>115</v>
      </c>
      <c r="D72" s="213" t="s">
        <v>386</v>
      </c>
      <c r="E72" s="51">
        <v>25306600</v>
      </c>
      <c r="F72" s="51"/>
      <c r="G72" s="155">
        <f t="shared" si="10"/>
        <v>25306600</v>
      </c>
      <c r="H72" s="147"/>
      <c r="I72" s="73"/>
      <c r="J72" s="256" t="s">
        <v>384</v>
      </c>
      <c r="K72" s="259" t="s">
        <v>385</v>
      </c>
      <c r="L72" s="207" t="s">
        <v>387</v>
      </c>
      <c r="M72" s="163" t="s">
        <v>386</v>
      </c>
      <c r="N72" s="51">
        <v>25306600</v>
      </c>
      <c r="O72" s="51"/>
      <c r="P72" s="155">
        <v>25306600</v>
      </c>
      <c r="Q72" s="59"/>
      <c r="R72" s="59"/>
      <c r="S72" s="59"/>
      <c r="T72" s="59"/>
      <c r="U72" s="59"/>
      <c r="V72" s="142">
        <v>25306600</v>
      </c>
      <c r="W72" s="140" t="s">
        <v>579</v>
      </c>
      <c r="X72" s="141">
        <v>42186</v>
      </c>
      <c r="Y72" s="307"/>
      <c r="Z72" s="103">
        <v>25306600</v>
      </c>
      <c r="AA72" s="288">
        <v>1</v>
      </c>
      <c r="AB72" s="52">
        <f t="shared" si="11"/>
        <v>0</v>
      </c>
      <c r="AC72" s="142"/>
      <c r="AD72" s="38"/>
      <c r="AE72" s="38"/>
      <c r="AF72" s="38"/>
      <c r="AG72" s="38"/>
      <c r="AH72" s="38"/>
      <c r="AI72" s="38"/>
      <c r="AJ72" s="38"/>
    </row>
    <row r="73" spans="1:36" s="54" customFormat="1" ht="32.25" thickBot="1">
      <c r="A73" s="81"/>
      <c r="B73" s="50"/>
      <c r="C73" s="50" t="s">
        <v>116</v>
      </c>
      <c r="D73" s="213" t="s">
        <v>390</v>
      </c>
      <c r="E73" s="51">
        <v>27128200</v>
      </c>
      <c r="F73" s="51"/>
      <c r="G73" s="155">
        <f t="shared" si="10"/>
        <v>27128200</v>
      </c>
      <c r="H73" s="147"/>
      <c r="I73" s="73"/>
      <c r="J73" s="258" t="s">
        <v>388</v>
      </c>
      <c r="K73" s="286" t="s">
        <v>389</v>
      </c>
      <c r="L73" s="207" t="s">
        <v>387</v>
      </c>
      <c r="M73" s="163" t="s">
        <v>390</v>
      </c>
      <c r="N73" s="51">
        <v>27128200</v>
      </c>
      <c r="O73" s="51"/>
      <c r="P73" s="155">
        <v>27128200</v>
      </c>
      <c r="Q73" s="59"/>
      <c r="R73" s="59"/>
      <c r="S73" s="59"/>
      <c r="T73" s="59"/>
      <c r="U73" s="59"/>
      <c r="V73" s="282">
        <v>27128200</v>
      </c>
      <c r="W73" s="140" t="s">
        <v>580</v>
      </c>
      <c r="X73" s="141">
        <v>42137</v>
      </c>
      <c r="Y73" s="307"/>
      <c r="Z73" s="103">
        <v>27128200</v>
      </c>
      <c r="AA73" s="288">
        <v>1</v>
      </c>
      <c r="AB73" s="52">
        <f t="shared" si="11"/>
        <v>0</v>
      </c>
      <c r="AC73" s="142"/>
      <c r="AD73" s="38"/>
      <c r="AE73" s="38"/>
      <c r="AF73" s="38"/>
      <c r="AG73" s="38"/>
      <c r="AH73" s="38"/>
      <c r="AI73" s="38"/>
      <c r="AJ73" s="38"/>
    </row>
    <row r="74" spans="1:36" s="54" customFormat="1" ht="49.9" customHeight="1">
      <c r="A74" s="81"/>
      <c r="B74" s="50"/>
      <c r="C74" s="50" t="s">
        <v>117</v>
      </c>
      <c r="D74" s="223" t="s">
        <v>393</v>
      </c>
      <c r="E74" s="51">
        <v>38646850</v>
      </c>
      <c r="F74" s="51"/>
      <c r="G74" s="155">
        <f t="shared" si="10"/>
        <v>38646850</v>
      </c>
      <c r="H74" s="147"/>
      <c r="I74" s="73"/>
      <c r="J74" s="259" t="s">
        <v>391</v>
      </c>
      <c r="K74" s="259" t="s">
        <v>392</v>
      </c>
      <c r="L74" s="207" t="s">
        <v>387</v>
      </c>
      <c r="M74" s="163" t="s">
        <v>393</v>
      </c>
      <c r="N74" s="51">
        <v>38646850</v>
      </c>
      <c r="O74" s="51"/>
      <c r="P74" s="155">
        <v>38646850</v>
      </c>
      <c r="Q74" s="59"/>
      <c r="R74" s="59"/>
      <c r="S74" s="59"/>
      <c r="T74" s="59"/>
      <c r="U74" s="59"/>
      <c r="V74" s="142">
        <v>38646850</v>
      </c>
      <c r="W74" s="140" t="s">
        <v>581</v>
      </c>
      <c r="X74" s="141">
        <v>42193</v>
      </c>
      <c r="Y74" s="307">
        <v>42198</v>
      </c>
      <c r="Z74" s="103">
        <v>38646850</v>
      </c>
      <c r="AA74" s="288">
        <v>1</v>
      </c>
      <c r="AB74" s="52">
        <f t="shared" si="11"/>
        <v>0</v>
      </c>
      <c r="AC74" s="142"/>
      <c r="AD74" s="38"/>
      <c r="AE74" s="38"/>
      <c r="AF74" s="38"/>
      <c r="AG74" s="38"/>
      <c r="AH74" s="38"/>
      <c r="AI74" s="38"/>
      <c r="AJ74" s="38"/>
    </row>
    <row r="75" spans="1:36" s="54" customFormat="1" ht="31.5">
      <c r="A75" s="81"/>
      <c r="B75" s="50"/>
      <c r="C75" s="50" t="s">
        <v>118</v>
      </c>
      <c r="D75" s="163" t="s">
        <v>119</v>
      </c>
      <c r="E75" s="103"/>
      <c r="F75" s="51">
        <v>11937200</v>
      </c>
      <c r="G75" s="155">
        <f t="shared" ref="G75:G114" si="14">E75+F75</f>
        <v>11937200</v>
      </c>
      <c r="H75" s="147"/>
      <c r="I75" s="73"/>
      <c r="J75" s="259" t="s">
        <v>394</v>
      </c>
      <c r="K75" s="259" t="s">
        <v>395</v>
      </c>
      <c r="L75" s="207" t="s">
        <v>396</v>
      </c>
      <c r="M75" s="163" t="s">
        <v>119</v>
      </c>
      <c r="N75" s="103"/>
      <c r="O75" s="51">
        <v>11937200</v>
      </c>
      <c r="P75" s="155">
        <v>11937200</v>
      </c>
      <c r="Q75" s="59"/>
      <c r="R75" s="59"/>
      <c r="S75" s="59"/>
      <c r="T75" s="59"/>
      <c r="U75" s="59"/>
      <c r="V75" s="142">
        <v>11937200</v>
      </c>
      <c r="W75" s="140" t="s">
        <v>555</v>
      </c>
      <c r="X75" s="141"/>
      <c r="Y75" s="307">
        <v>42397</v>
      </c>
      <c r="Z75" s="103">
        <v>11937200</v>
      </c>
      <c r="AA75" s="288">
        <v>1</v>
      </c>
      <c r="AB75" s="52">
        <f t="shared" si="11"/>
        <v>0</v>
      </c>
      <c r="AC75" s="142"/>
      <c r="AD75" s="38"/>
      <c r="AE75" s="38"/>
      <c r="AF75" s="38"/>
      <c r="AG75" s="38"/>
      <c r="AH75" s="38"/>
      <c r="AI75" s="38"/>
      <c r="AJ75" s="38"/>
    </row>
    <row r="76" spans="1:36" s="54" customFormat="1" ht="31.5">
      <c r="A76" s="81"/>
      <c r="B76" s="50"/>
      <c r="C76" s="50" t="s">
        <v>120</v>
      </c>
      <c r="D76" s="163" t="s">
        <v>399</v>
      </c>
      <c r="E76" s="103"/>
      <c r="F76" s="51">
        <v>22443850</v>
      </c>
      <c r="G76" s="155">
        <f t="shared" si="14"/>
        <v>22443850</v>
      </c>
      <c r="H76" s="147"/>
      <c r="I76" s="73"/>
      <c r="J76" s="259" t="s">
        <v>397</v>
      </c>
      <c r="K76" s="259" t="s">
        <v>398</v>
      </c>
      <c r="L76" s="207" t="s">
        <v>387</v>
      </c>
      <c r="M76" s="163" t="s">
        <v>399</v>
      </c>
      <c r="N76" s="103"/>
      <c r="O76" s="51">
        <v>22443850</v>
      </c>
      <c r="P76" s="155">
        <v>22443850</v>
      </c>
      <c r="Q76" s="59"/>
      <c r="R76" s="59"/>
      <c r="S76" s="59"/>
      <c r="T76" s="59"/>
      <c r="U76" s="59"/>
      <c r="V76" s="142">
        <v>22443850</v>
      </c>
      <c r="W76" s="140" t="s">
        <v>582</v>
      </c>
      <c r="X76" s="141">
        <v>42186</v>
      </c>
      <c r="Y76" s="307">
        <v>42402</v>
      </c>
      <c r="Z76" s="103">
        <v>22443850</v>
      </c>
      <c r="AA76" s="288">
        <v>1</v>
      </c>
      <c r="AB76" s="52">
        <f t="shared" si="11"/>
        <v>0</v>
      </c>
      <c r="AC76" s="142"/>
      <c r="AD76" s="38"/>
      <c r="AE76" s="38"/>
      <c r="AF76" s="38"/>
      <c r="AG76" s="38"/>
      <c r="AH76" s="38"/>
      <c r="AI76" s="38"/>
      <c r="AJ76" s="38"/>
    </row>
    <row r="77" spans="1:36" s="54" customFormat="1" ht="31.5">
      <c r="A77" s="81"/>
      <c r="B77" s="50"/>
      <c r="C77" s="50" t="s">
        <v>121</v>
      </c>
      <c r="D77" s="163" t="s">
        <v>402</v>
      </c>
      <c r="E77" s="103"/>
      <c r="F77" s="51">
        <v>5254700</v>
      </c>
      <c r="G77" s="155">
        <f t="shared" si="14"/>
        <v>5254700</v>
      </c>
      <c r="H77" s="147"/>
      <c r="I77" s="73"/>
      <c r="J77" s="261" t="s">
        <v>400</v>
      </c>
      <c r="K77" s="261" t="s">
        <v>401</v>
      </c>
      <c r="L77" s="207" t="s">
        <v>396</v>
      </c>
      <c r="M77" s="163" t="s">
        <v>402</v>
      </c>
      <c r="N77" s="103"/>
      <c r="O77" s="51">
        <v>5254700</v>
      </c>
      <c r="P77" s="155">
        <v>5254700</v>
      </c>
      <c r="Q77" s="59"/>
      <c r="R77" s="59"/>
      <c r="S77" s="59"/>
      <c r="T77" s="59"/>
      <c r="U77" s="59"/>
      <c r="V77" s="142">
        <v>5254700</v>
      </c>
      <c r="W77" s="140" t="s">
        <v>968</v>
      </c>
      <c r="X77" s="141"/>
      <c r="Y77" s="307">
        <v>42474</v>
      </c>
      <c r="Z77" s="103">
        <f>V77</f>
        <v>5254700</v>
      </c>
      <c r="AA77" s="288">
        <v>1</v>
      </c>
      <c r="AB77" s="52">
        <f t="shared" si="11"/>
        <v>0</v>
      </c>
      <c r="AC77" s="142" t="s">
        <v>608</v>
      </c>
      <c r="AD77" s="38"/>
      <c r="AE77" s="38"/>
      <c r="AF77" s="38"/>
      <c r="AG77" s="38"/>
      <c r="AH77" s="38"/>
      <c r="AI77" s="38"/>
      <c r="AJ77" s="38"/>
    </row>
    <row r="78" spans="1:36" s="54" customFormat="1" ht="31.5">
      <c r="A78" s="81"/>
      <c r="B78" s="50"/>
      <c r="C78" s="50" t="s">
        <v>122</v>
      </c>
      <c r="D78" s="163" t="s">
        <v>405</v>
      </c>
      <c r="E78" s="103"/>
      <c r="F78" s="51">
        <v>5673800</v>
      </c>
      <c r="G78" s="155">
        <f t="shared" si="14"/>
        <v>5673800</v>
      </c>
      <c r="H78" s="147"/>
      <c r="I78" s="73"/>
      <c r="J78" s="261" t="s">
        <v>403</v>
      </c>
      <c r="K78" s="261" t="s">
        <v>404</v>
      </c>
      <c r="L78" s="207" t="s">
        <v>396</v>
      </c>
      <c r="M78" s="163" t="s">
        <v>405</v>
      </c>
      <c r="N78" s="103"/>
      <c r="O78" s="51">
        <v>5673800</v>
      </c>
      <c r="P78" s="155">
        <v>5673800</v>
      </c>
      <c r="Q78" s="59"/>
      <c r="R78" s="59"/>
      <c r="S78" s="59"/>
      <c r="T78" s="59"/>
      <c r="U78" s="59"/>
      <c r="V78" s="142">
        <v>5673800</v>
      </c>
      <c r="W78" s="140" t="s">
        <v>968</v>
      </c>
      <c r="X78" s="141"/>
      <c r="Y78" s="307">
        <v>42474</v>
      </c>
      <c r="Z78" s="103">
        <f>V78</f>
        <v>5673800</v>
      </c>
      <c r="AA78" s="288">
        <v>1</v>
      </c>
      <c r="AB78" s="52">
        <f t="shared" si="11"/>
        <v>0</v>
      </c>
      <c r="AC78" s="142" t="s">
        <v>608</v>
      </c>
      <c r="AD78" s="38"/>
      <c r="AE78" s="38"/>
      <c r="AF78" s="38"/>
      <c r="AG78" s="38"/>
      <c r="AH78" s="38"/>
      <c r="AI78" s="38"/>
      <c r="AJ78" s="38"/>
    </row>
    <row r="79" spans="1:36" s="54" customFormat="1" ht="31.5">
      <c r="A79" s="81"/>
      <c r="B79" s="50"/>
      <c r="C79" s="50" t="s">
        <v>123</v>
      </c>
      <c r="D79" s="163" t="s">
        <v>408</v>
      </c>
      <c r="E79" s="103"/>
      <c r="F79" s="51">
        <v>4686000</v>
      </c>
      <c r="G79" s="155">
        <f t="shared" si="14"/>
        <v>4686000</v>
      </c>
      <c r="H79" s="147"/>
      <c r="I79" s="73"/>
      <c r="J79" s="261" t="s">
        <v>406</v>
      </c>
      <c r="K79" s="261" t="s">
        <v>407</v>
      </c>
      <c r="L79" s="207" t="s">
        <v>396</v>
      </c>
      <c r="M79" s="163" t="s">
        <v>408</v>
      </c>
      <c r="N79" s="103"/>
      <c r="O79" s="51">
        <v>4686000</v>
      </c>
      <c r="P79" s="155">
        <v>4686000</v>
      </c>
      <c r="Q79" s="59"/>
      <c r="R79" s="59"/>
      <c r="S79" s="59"/>
      <c r="T79" s="59"/>
      <c r="U79" s="59"/>
      <c r="V79" s="142">
        <v>4686000</v>
      </c>
      <c r="W79" s="140" t="s">
        <v>968</v>
      </c>
      <c r="X79" s="141"/>
      <c r="Y79" s="307">
        <v>42474</v>
      </c>
      <c r="Z79" s="103">
        <f>V79</f>
        <v>4686000</v>
      </c>
      <c r="AA79" s="288">
        <v>1</v>
      </c>
      <c r="AB79" s="52">
        <f t="shared" si="11"/>
        <v>0</v>
      </c>
      <c r="AC79" s="142" t="s">
        <v>608</v>
      </c>
      <c r="AD79" s="38"/>
      <c r="AE79" s="38"/>
      <c r="AF79" s="38"/>
      <c r="AG79" s="38"/>
      <c r="AH79" s="38"/>
      <c r="AI79" s="38"/>
      <c r="AJ79" s="38"/>
    </row>
    <row r="80" spans="1:36" s="54" customFormat="1" ht="31.5">
      <c r="A80" s="81"/>
      <c r="B80" s="50"/>
      <c r="C80" s="50" t="s">
        <v>124</v>
      </c>
      <c r="D80" s="163" t="s">
        <v>411</v>
      </c>
      <c r="E80" s="103"/>
      <c r="F80" s="51">
        <v>23623600</v>
      </c>
      <c r="G80" s="155">
        <f t="shared" si="14"/>
        <v>23623600</v>
      </c>
      <c r="H80" s="147"/>
      <c r="I80" s="73"/>
      <c r="J80" s="261" t="s">
        <v>409</v>
      </c>
      <c r="K80" s="259" t="s">
        <v>410</v>
      </c>
      <c r="L80" s="207" t="s">
        <v>396</v>
      </c>
      <c r="M80" s="163" t="s">
        <v>411</v>
      </c>
      <c r="N80" s="103"/>
      <c r="O80" s="51">
        <v>23623600</v>
      </c>
      <c r="P80" s="155">
        <v>23623600</v>
      </c>
      <c r="Q80" s="59"/>
      <c r="R80" s="59"/>
      <c r="S80" s="59"/>
      <c r="T80" s="59"/>
      <c r="U80" s="59"/>
      <c r="V80" s="142">
        <v>23623600</v>
      </c>
      <c r="W80" s="140" t="s">
        <v>968</v>
      </c>
      <c r="X80" s="141"/>
      <c r="Y80" s="307">
        <v>42474</v>
      </c>
      <c r="Z80" s="103">
        <f>V80</f>
        <v>23623600</v>
      </c>
      <c r="AA80" s="288">
        <v>1</v>
      </c>
      <c r="AB80" s="52">
        <f t="shared" si="11"/>
        <v>0</v>
      </c>
      <c r="AC80" s="142" t="s">
        <v>608</v>
      </c>
      <c r="AD80" s="38"/>
      <c r="AE80" s="38"/>
      <c r="AF80" s="38"/>
      <c r="AG80" s="38"/>
      <c r="AH80" s="38"/>
      <c r="AI80" s="38"/>
      <c r="AJ80" s="38"/>
    </row>
    <row r="81" spans="1:36" s="54" customFormat="1" ht="31.5">
      <c r="A81" s="81"/>
      <c r="B81" s="50"/>
      <c r="C81" s="50" t="s">
        <v>125</v>
      </c>
      <c r="D81" s="163" t="s">
        <v>414</v>
      </c>
      <c r="E81" s="103"/>
      <c r="F81" s="51">
        <v>11635800</v>
      </c>
      <c r="G81" s="155">
        <f t="shared" si="14"/>
        <v>11635800</v>
      </c>
      <c r="H81" s="147"/>
      <c r="I81" s="73"/>
      <c r="J81" s="261" t="s">
        <v>412</v>
      </c>
      <c r="K81" s="259" t="s">
        <v>413</v>
      </c>
      <c r="L81" s="207" t="s">
        <v>387</v>
      </c>
      <c r="M81" s="163" t="s">
        <v>414</v>
      </c>
      <c r="N81" s="103"/>
      <c r="O81" s="51">
        <v>11635800</v>
      </c>
      <c r="P81" s="155">
        <v>11635800</v>
      </c>
      <c r="Q81" s="59"/>
      <c r="R81" s="59"/>
      <c r="S81" s="59"/>
      <c r="T81" s="59"/>
      <c r="U81" s="59"/>
      <c r="V81" s="142">
        <v>11635800</v>
      </c>
      <c r="W81" s="140" t="s">
        <v>582</v>
      </c>
      <c r="X81" s="141">
        <v>42186</v>
      </c>
      <c r="Y81" s="307">
        <v>42402</v>
      </c>
      <c r="Z81" s="103">
        <v>11635800</v>
      </c>
      <c r="AA81" s="288">
        <v>1</v>
      </c>
      <c r="AB81" s="52">
        <f t="shared" si="11"/>
        <v>0</v>
      </c>
      <c r="AC81" s="142"/>
      <c r="AD81" s="38"/>
      <c r="AE81" s="38"/>
      <c r="AF81" s="38"/>
      <c r="AG81" s="38"/>
      <c r="AH81" s="38"/>
      <c r="AI81" s="38"/>
      <c r="AJ81" s="38"/>
    </row>
    <row r="82" spans="1:36" s="54" customFormat="1" ht="47.25">
      <c r="A82" s="81"/>
      <c r="B82" s="50"/>
      <c r="C82" s="50" t="s">
        <v>126</v>
      </c>
      <c r="D82" s="283" t="s">
        <v>417</v>
      </c>
      <c r="E82" s="51">
        <v>200662000</v>
      </c>
      <c r="F82" s="51"/>
      <c r="G82" s="155">
        <f t="shared" si="14"/>
        <v>200662000</v>
      </c>
      <c r="H82" s="147"/>
      <c r="I82" s="73"/>
      <c r="J82" s="262" t="s">
        <v>415</v>
      </c>
      <c r="K82" s="261" t="s">
        <v>416</v>
      </c>
      <c r="L82" s="207" t="s">
        <v>327</v>
      </c>
      <c r="M82" s="287" t="s">
        <v>417</v>
      </c>
      <c r="N82" s="51">
        <v>200662000</v>
      </c>
      <c r="O82" s="51"/>
      <c r="P82" s="155">
        <v>200662000</v>
      </c>
      <c r="Q82" s="179"/>
      <c r="R82" s="179"/>
      <c r="S82" s="179"/>
      <c r="T82" s="179"/>
      <c r="U82" s="179"/>
      <c r="V82" s="142">
        <v>200662000</v>
      </c>
      <c r="W82" s="140" t="s">
        <v>588</v>
      </c>
      <c r="X82" s="141">
        <v>42354</v>
      </c>
      <c r="Y82" s="307">
        <v>42359</v>
      </c>
      <c r="Z82" s="103">
        <v>200662000</v>
      </c>
      <c r="AA82" s="288">
        <v>1</v>
      </c>
      <c r="AB82" s="52">
        <f t="shared" si="11"/>
        <v>0</v>
      </c>
      <c r="AC82" s="142"/>
      <c r="AD82" s="38"/>
      <c r="AE82" s="38"/>
      <c r="AF82" s="38"/>
      <c r="AG82" s="38"/>
      <c r="AH82" s="38"/>
      <c r="AI82" s="38"/>
      <c r="AJ82" s="38"/>
    </row>
    <row r="83" spans="1:36" s="54" customFormat="1" ht="47.25">
      <c r="A83" s="81"/>
      <c r="B83" s="50"/>
      <c r="C83" s="50" t="s">
        <v>127</v>
      </c>
      <c r="D83" s="180" t="s">
        <v>420</v>
      </c>
      <c r="E83" s="51">
        <v>162360000</v>
      </c>
      <c r="F83" s="51"/>
      <c r="G83" s="155">
        <f t="shared" si="14"/>
        <v>162360000</v>
      </c>
      <c r="H83" s="147"/>
      <c r="I83" s="73"/>
      <c r="J83" s="262" t="s">
        <v>418</v>
      </c>
      <c r="K83" s="261" t="s">
        <v>419</v>
      </c>
      <c r="L83" s="207" t="s">
        <v>327</v>
      </c>
      <c r="M83" s="163" t="s">
        <v>420</v>
      </c>
      <c r="N83" s="51">
        <v>162360000</v>
      </c>
      <c r="O83" s="51"/>
      <c r="P83" s="155">
        <v>162360000</v>
      </c>
      <c r="Q83" s="179"/>
      <c r="R83" s="179"/>
      <c r="S83" s="179"/>
      <c r="T83" s="179"/>
      <c r="U83" s="179"/>
      <c r="V83" s="142">
        <v>162360000</v>
      </c>
      <c r="W83" s="140" t="s">
        <v>588</v>
      </c>
      <c r="X83" s="141">
        <v>42354</v>
      </c>
      <c r="Y83" s="307">
        <v>42359</v>
      </c>
      <c r="Z83" s="103">
        <v>162360000</v>
      </c>
      <c r="AA83" s="288">
        <v>1</v>
      </c>
      <c r="AB83" s="52">
        <f t="shared" si="11"/>
        <v>0</v>
      </c>
      <c r="AC83" s="142"/>
      <c r="AD83" s="38"/>
      <c r="AE83" s="38"/>
      <c r="AF83" s="38"/>
      <c r="AG83" s="38"/>
      <c r="AH83" s="38"/>
      <c r="AI83" s="38"/>
      <c r="AJ83" s="38"/>
    </row>
    <row r="84" spans="1:36" s="54" customFormat="1" ht="47.25">
      <c r="A84" s="81"/>
      <c r="B84" s="50"/>
      <c r="C84" s="50" t="s">
        <v>128</v>
      </c>
      <c r="D84" s="163" t="s">
        <v>423</v>
      </c>
      <c r="E84" s="51">
        <v>117154543</v>
      </c>
      <c r="F84" s="51"/>
      <c r="G84" s="155">
        <f t="shared" si="14"/>
        <v>117154543</v>
      </c>
      <c r="H84" s="147"/>
      <c r="I84" s="73"/>
      <c r="J84" s="261" t="s">
        <v>421</v>
      </c>
      <c r="K84" s="259" t="s">
        <v>422</v>
      </c>
      <c r="L84" s="207" t="s">
        <v>424</v>
      </c>
      <c r="M84" s="163" t="s">
        <v>423</v>
      </c>
      <c r="N84" s="1124">
        <v>73096839</v>
      </c>
      <c r="O84" s="51"/>
      <c r="P84" s="1124">
        <v>73096839</v>
      </c>
      <c r="Q84" s="103"/>
      <c r="R84" s="103"/>
      <c r="S84" s="103"/>
      <c r="T84" s="103"/>
      <c r="U84" s="103"/>
      <c r="V84" s="1124">
        <v>73096839</v>
      </c>
      <c r="W84" s="140" t="s">
        <v>1931</v>
      </c>
      <c r="X84" s="141">
        <v>42551</v>
      </c>
      <c r="Y84" s="307">
        <v>42570</v>
      </c>
      <c r="Z84" s="103">
        <f>V84</f>
        <v>73096839</v>
      </c>
      <c r="AA84" s="288">
        <v>1</v>
      </c>
      <c r="AB84" s="52">
        <f t="shared" si="11"/>
        <v>44057704</v>
      </c>
      <c r="AC84" s="142"/>
      <c r="AD84" s="38"/>
      <c r="AE84" s="38"/>
      <c r="AF84" s="38"/>
      <c r="AG84" s="38"/>
      <c r="AH84" s="38"/>
      <c r="AI84" s="38"/>
      <c r="AJ84" s="38"/>
    </row>
    <row r="85" spans="1:36" s="54" customFormat="1" ht="47.25">
      <c r="A85" s="81"/>
      <c r="B85" s="50"/>
      <c r="C85" s="50"/>
      <c r="D85" s="163"/>
      <c r="E85" s="51"/>
      <c r="F85" s="51"/>
      <c r="G85" s="155"/>
      <c r="H85" s="381" t="s">
        <v>2866</v>
      </c>
      <c r="I85" s="73">
        <v>42671</v>
      </c>
      <c r="J85" s="261" t="s">
        <v>2781</v>
      </c>
      <c r="K85" s="259" t="s">
        <v>3569</v>
      </c>
      <c r="L85" s="207" t="s">
        <v>3570</v>
      </c>
      <c r="M85" s="163" t="s">
        <v>2782</v>
      </c>
      <c r="N85" s="1124"/>
      <c r="O85" s="51">
        <v>28691300</v>
      </c>
      <c r="P85" s="51">
        <v>29277600</v>
      </c>
      <c r="Q85" s="103"/>
      <c r="R85" s="103"/>
      <c r="S85" s="103"/>
      <c r="T85" s="103"/>
      <c r="U85" s="103"/>
      <c r="V85" s="1124">
        <f>P85</f>
        <v>29277600</v>
      </c>
      <c r="W85" s="140" t="s">
        <v>3541</v>
      </c>
      <c r="X85" s="141">
        <v>42724</v>
      </c>
      <c r="Y85" s="307">
        <v>42731</v>
      </c>
      <c r="Z85" s="103">
        <f>V85</f>
        <v>29277600</v>
      </c>
      <c r="AA85" s="288">
        <v>1</v>
      </c>
      <c r="AB85" s="433">
        <f t="shared" si="11"/>
        <v>-29277600</v>
      </c>
      <c r="AC85" s="142"/>
      <c r="AD85" s="38"/>
      <c r="AE85" s="38"/>
      <c r="AF85" s="38"/>
      <c r="AG85" s="38"/>
      <c r="AH85" s="38"/>
      <c r="AI85" s="38"/>
      <c r="AJ85" s="38"/>
    </row>
    <row r="86" spans="1:36" s="54" customFormat="1" ht="31.5">
      <c r="A86" s="81"/>
      <c r="B86" s="50"/>
      <c r="C86" s="50"/>
      <c r="D86" s="163"/>
      <c r="E86" s="51"/>
      <c r="F86" s="51"/>
      <c r="G86" s="155"/>
      <c r="H86" s="381"/>
      <c r="I86" s="73"/>
      <c r="J86" s="261" t="s">
        <v>2882</v>
      </c>
      <c r="K86" s="259" t="s">
        <v>3167</v>
      </c>
      <c r="L86" s="207" t="s">
        <v>387</v>
      </c>
      <c r="M86" s="163" t="s">
        <v>2883</v>
      </c>
      <c r="N86" s="1124"/>
      <c r="O86" s="1507">
        <v>6620900</v>
      </c>
      <c r="P86" s="51">
        <v>6620900</v>
      </c>
      <c r="Q86" s="1508"/>
      <c r="R86" s="1508"/>
      <c r="S86" s="1508"/>
      <c r="T86" s="1508"/>
      <c r="U86" s="1508"/>
      <c r="V86" s="1468">
        <f>P86</f>
        <v>6620900</v>
      </c>
      <c r="W86" s="140" t="s">
        <v>3168</v>
      </c>
      <c r="X86" s="141">
        <v>42690</v>
      </c>
      <c r="Y86" s="307">
        <v>42697</v>
      </c>
      <c r="Z86" s="103">
        <f>V86</f>
        <v>6620900</v>
      </c>
      <c r="AA86" s="288">
        <v>1</v>
      </c>
      <c r="AB86" s="433">
        <f t="shared" si="11"/>
        <v>-6620900</v>
      </c>
      <c r="AC86" s="142"/>
      <c r="AD86" s="38"/>
      <c r="AE86" s="38"/>
      <c r="AF86" s="38"/>
      <c r="AG86" s="38"/>
      <c r="AH86" s="38"/>
      <c r="AI86" s="38"/>
      <c r="AJ86" s="38"/>
    </row>
    <row r="87" spans="1:36" s="54" customFormat="1" ht="31.5">
      <c r="A87" s="81"/>
      <c r="B87" s="50"/>
      <c r="C87" s="50"/>
      <c r="D87" s="163"/>
      <c r="E87" s="51"/>
      <c r="F87" s="51"/>
      <c r="G87" s="155"/>
      <c r="H87" s="381"/>
      <c r="I87" s="73"/>
      <c r="J87" s="261" t="s">
        <v>2900</v>
      </c>
      <c r="K87" s="259" t="s">
        <v>3115</v>
      </c>
      <c r="L87" s="207" t="s">
        <v>3039</v>
      </c>
      <c r="M87" s="163" t="s">
        <v>2901</v>
      </c>
      <c r="N87" s="1124">
        <v>6930000</v>
      </c>
      <c r="O87" s="1507"/>
      <c r="P87" s="1507">
        <v>6930000</v>
      </c>
      <c r="Q87" s="1508"/>
      <c r="R87" s="1508"/>
      <c r="S87" s="1508"/>
      <c r="T87" s="1508"/>
      <c r="U87" s="1508"/>
      <c r="V87" s="1468">
        <f>P87</f>
        <v>6930000</v>
      </c>
      <c r="W87" s="140" t="s">
        <v>3112</v>
      </c>
      <c r="X87" s="141">
        <v>42685</v>
      </c>
      <c r="Y87" s="307">
        <v>42691</v>
      </c>
      <c r="Z87" s="103">
        <f>V87</f>
        <v>6930000</v>
      </c>
      <c r="AA87" s="288">
        <v>1</v>
      </c>
      <c r="AB87" s="433">
        <f t="shared" si="11"/>
        <v>-6930000</v>
      </c>
      <c r="AC87" s="142"/>
      <c r="AD87" s="38"/>
      <c r="AE87" s="38"/>
      <c r="AF87" s="38"/>
      <c r="AG87" s="38"/>
      <c r="AH87" s="38"/>
      <c r="AI87" s="38"/>
      <c r="AJ87" s="38"/>
    </row>
    <row r="88" spans="1:36" s="755" customFormat="1">
      <c r="A88" s="770"/>
      <c r="B88" s="773"/>
      <c r="C88" s="773" t="str">
        <f>C84</f>
        <v>PRK.2016.WKT-4.3.53212.209</v>
      </c>
      <c r="D88" s="1471"/>
      <c r="E88" s="748"/>
      <c r="F88" s="748"/>
      <c r="G88" s="1454">
        <f>G84</f>
        <v>117154543</v>
      </c>
      <c r="H88" s="787"/>
      <c r="I88" s="788"/>
      <c r="J88" s="1472"/>
      <c r="K88" s="1473"/>
      <c r="L88" s="1474"/>
      <c r="M88" s="1471"/>
      <c r="N88" s="1469">
        <f>SUM(N84:N87)</f>
        <v>80026839</v>
      </c>
      <c r="O88" s="1469">
        <f t="shared" ref="O88:V88" si="15">SUM(O84:O87)</f>
        <v>35312200</v>
      </c>
      <c r="P88" s="1469">
        <f t="shared" si="15"/>
        <v>115925339</v>
      </c>
      <c r="Q88" s="1469">
        <f t="shared" si="15"/>
        <v>0</v>
      </c>
      <c r="R88" s="1469">
        <f t="shared" si="15"/>
        <v>0</v>
      </c>
      <c r="S88" s="1469">
        <f t="shared" si="15"/>
        <v>0</v>
      </c>
      <c r="T88" s="1469">
        <f t="shared" si="15"/>
        <v>0</v>
      </c>
      <c r="U88" s="1469">
        <f t="shared" si="15"/>
        <v>0</v>
      </c>
      <c r="V88" s="1469">
        <f t="shared" si="15"/>
        <v>115925339</v>
      </c>
      <c r="W88" s="756"/>
      <c r="X88" s="1416"/>
      <c r="Y88" s="1470"/>
      <c r="Z88" s="1469">
        <f>SUM(Z84:Z87)</f>
        <v>115925339</v>
      </c>
      <c r="AA88" s="1061"/>
      <c r="AB88" s="756">
        <f t="shared" si="11"/>
        <v>1229204</v>
      </c>
      <c r="AC88" s="1002"/>
    </row>
    <row r="89" spans="1:36" s="54" customFormat="1" ht="47.25">
      <c r="A89" s="81"/>
      <c r="B89" s="50"/>
      <c r="C89" s="50" t="s">
        <v>129</v>
      </c>
      <c r="D89" s="163" t="s">
        <v>426</v>
      </c>
      <c r="E89" s="51">
        <v>214506928</v>
      </c>
      <c r="F89" s="51"/>
      <c r="G89" s="155">
        <f t="shared" si="14"/>
        <v>214506928</v>
      </c>
      <c r="H89" s="147"/>
      <c r="I89" s="73"/>
      <c r="J89" s="261" t="s">
        <v>425</v>
      </c>
      <c r="K89" s="259" t="s">
        <v>709</v>
      </c>
      <c r="L89" s="207" t="s">
        <v>424</v>
      </c>
      <c r="M89" s="163" t="s">
        <v>426</v>
      </c>
      <c r="N89" s="447">
        <v>209990000</v>
      </c>
      <c r="O89" s="51"/>
      <c r="P89" s="447">
        <v>209990000</v>
      </c>
      <c r="Q89" s="103"/>
      <c r="R89" s="103"/>
      <c r="S89" s="103"/>
      <c r="T89" s="103"/>
      <c r="U89" s="103"/>
      <c r="V89" s="103">
        <f>P89</f>
        <v>209990000</v>
      </c>
      <c r="W89" s="140" t="s">
        <v>1932</v>
      </c>
      <c r="X89" s="141">
        <v>42573</v>
      </c>
      <c r="Y89" s="307">
        <v>42579</v>
      </c>
      <c r="Z89" s="103">
        <f>V89</f>
        <v>209990000</v>
      </c>
      <c r="AA89" s="288">
        <v>1</v>
      </c>
      <c r="AB89" s="52">
        <f t="shared" si="11"/>
        <v>4516928</v>
      </c>
      <c r="AC89" s="142"/>
      <c r="AD89" s="38"/>
      <c r="AE89" s="38"/>
      <c r="AF89" s="38"/>
      <c r="AG89" s="38"/>
      <c r="AH89" s="38"/>
      <c r="AI89" s="38"/>
      <c r="AJ89" s="38"/>
    </row>
    <row r="90" spans="1:36" s="54" customFormat="1" ht="31.5">
      <c r="A90" s="81"/>
      <c r="B90" s="50"/>
      <c r="C90" s="50"/>
      <c r="D90" s="180"/>
      <c r="E90" s="51"/>
      <c r="F90" s="51"/>
      <c r="G90" s="155"/>
      <c r="H90" s="147"/>
      <c r="I90" s="73"/>
      <c r="J90" s="261" t="s">
        <v>2895</v>
      </c>
      <c r="K90" s="259" t="s">
        <v>3114</v>
      </c>
      <c r="L90" s="207" t="s">
        <v>3039</v>
      </c>
      <c r="M90" s="163" t="s">
        <v>2896</v>
      </c>
      <c r="N90" s="1516">
        <v>4180000</v>
      </c>
      <c r="O90" s="51"/>
      <c r="P90" s="1516">
        <v>4180000</v>
      </c>
      <c r="Q90" s="103"/>
      <c r="R90" s="103"/>
      <c r="S90" s="103"/>
      <c r="T90" s="103"/>
      <c r="U90" s="103"/>
      <c r="V90" s="103">
        <f>P90</f>
        <v>4180000</v>
      </c>
      <c r="W90" s="140" t="s">
        <v>3112</v>
      </c>
      <c r="X90" s="141">
        <v>42685</v>
      </c>
      <c r="Y90" s="307">
        <v>42691</v>
      </c>
      <c r="Z90" s="103">
        <f>V90</f>
        <v>4180000</v>
      </c>
      <c r="AA90" s="288">
        <v>1</v>
      </c>
      <c r="AB90" s="433">
        <f t="shared" si="11"/>
        <v>-4180000</v>
      </c>
      <c r="AC90" s="142"/>
      <c r="AD90" s="38"/>
      <c r="AE90" s="38"/>
      <c r="AF90" s="38"/>
      <c r="AG90" s="38"/>
      <c r="AH90" s="38"/>
      <c r="AI90" s="38"/>
      <c r="AJ90" s="38"/>
    </row>
    <row r="91" spans="1:36" s="755" customFormat="1">
      <c r="A91" s="770"/>
      <c r="B91" s="773"/>
      <c r="C91" s="773" t="str">
        <f>C89</f>
        <v>PRK.2016.WKT-4.3.53212.210</v>
      </c>
      <c r="D91" s="1514"/>
      <c r="E91" s="748"/>
      <c r="F91" s="748"/>
      <c r="G91" s="1454">
        <f>G89</f>
        <v>214506928</v>
      </c>
      <c r="H91" s="787"/>
      <c r="I91" s="788"/>
      <c r="J91" s="1517"/>
      <c r="K91" s="1473"/>
      <c r="L91" s="1474"/>
      <c r="M91" s="1471"/>
      <c r="N91" s="1515">
        <f>SUM(N89:N90)</f>
        <v>214170000</v>
      </c>
      <c r="O91" s="1515">
        <f t="shared" ref="O91:V91" si="16">SUM(O89:O90)</f>
        <v>0</v>
      </c>
      <c r="P91" s="1515">
        <f t="shared" si="16"/>
        <v>214170000</v>
      </c>
      <c r="Q91" s="1515">
        <f t="shared" si="16"/>
        <v>0</v>
      </c>
      <c r="R91" s="1515">
        <f t="shared" si="16"/>
        <v>0</v>
      </c>
      <c r="S91" s="1515">
        <f t="shared" si="16"/>
        <v>0</v>
      </c>
      <c r="T91" s="1515">
        <f t="shared" si="16"/>
        <v>0</v>
      </c>
      <c r="U91" s="1515">
        <f t="shared" si="16"/>
        <v>0</v>
      </c>
      <c r="V91" s="1515">
        <f t="shared" si="16"/>
        <v>214170000</v>
      </c>
      <c r="W91" s="756"/>
      <c r="X91" s="1416"/>
      <c r="Y91" s="1470"/>
      <c r="Z91" s="1515">
        <f>SUM(Z89:Z90)</f>
        <v>214170000</v>
      </c>
      <c r="AA91" s="1061"/>
      <c r="AB91" s="756">
        <f t="shared" si="11"/>
        <v>336928</v>
      </c>
      <c r="AC91" s="1002"/>
    </row>
    <row r="92" spans="1:36" s="54" customFormat="1" ht="31.5">
      <c r="A92" s="81"/>
      <c r="B92" s="50"/>
      <c r="C92" s="50" t="s">
        <v>130</v>
      </c>
      <c r="D92" s="180" t="s">
        <v>429</v>
      </c>
      <c r="E92" s="103"/>
      <c r="F92" s="51">
        <v>207008000</v>
      </c>
      <c r="G92" s="155">
        <f t="shared" si="14"/>
        <v>207008000</v>
      </c>
      <c r="H92" s="147"/>
      <c r="I92" s="73"/>
      <c r="J92" s="263" t="s">
        <v>427</v>
      </c>
      <c r="K92" s="261" t="s">
        <v>428</v>
      </c>
      <c r="L92" s="207" t="s">
        <v>282</v>
      </c>
      <c r="M92" s="163" t="s">
        <v>429</v>
      </c>
      <c r="N92" s="103"/>
      <c r="O92" s="51">
        <v>207008000</v>
      </c>
      <c r="P92" s="155">
        <v>207008000</v>
      </c>
      <c r="Q92" s="103"/>
      <c r="R92" s="103"/>
      <c r="S92" s="103"/>
      <c r="T92" s="103"/>
      <c r="U92" s="103"/>
      <c r="V92" s="103">
        <v>207008000</v>
      </c>
      <c r="W92" s="140" t="s">
        <v>1017</v>
      </c>
      <c r="X92" s="141">
        <v>42478</v>
      </c>
      <c r="Y92" s="307">
        <v>42487</v>
      </c>
      <c r="Z92" s="103">
        <f>V92</f>
        <v>207008000</v>
      </c>
      <c r="AA92" s="288">
        <v>1</v>
      </c>
      <c r="AB92" s="52">
        <f t="shared" ref="AB92:AB125" si="17">+G92-P92</f>
        <v>0</v>
      </c>
      <c r="AC92" s="142"/>
      <c r="AD92" s="38"/>
      <c r="AE92" s="38"/>
      <c r="AF92" s="38"/>
      <c r="AG92" s="38"/>
      <c r="AH92" s="38"/>
      <c r="AI92" s="38"/>
      <c r="AJ92" s="38"/>
    </row>
    <row r="93" spans="1:36" s="54" customFormat="1" ht="31.5">
      <c r="A93" s="81"/>
      <c r="B93" s="50"/>
      <c r="C93" s="50" t="s">
        <v>131</v>
      </c>
      <c r="D93" s="180" t="s">
        <v>431</v>
      </c>
      <c r="E93" s="51">
        <v>93310800</v>
      </c>
      <c r="F93" s="51"/>
      <c r="G93" s="155">
        <f t="shared" si="14"/>
        <v>93310800</v>
      </c>
      <c r="H93" s="147"/>
      <c r="I93" s="73"/>
      <c r="J93" s="263" t="s">
        <v>430</v>
      </c>
      <c r="K93" s="261" t="s">
        <v>710</v>
      </c>
      <c r="L93" s="207" t="s">
        <v>387</v>
      </c>
      <c r="M93" s="163" t="s">
        <v>431</v>
      </c>
      <c r="N93" s="51">
        <v>93310800</v>
      </c>
      <c r="O93" s="51"/>
      <c r="P93" s="155">
        <v>93310800</v>
      </c>
      <c r="Q93" s="103"/>
      <c r="R93" s="103"/>
      <c r="S93" s="103"/>
      <c r="T93" s="103"/>
      <c r="U93" s="103"/>
      <c r="V93" s="103">
        <v>93310800</v>
      </c>
      <c r="W93" s="140" t="s">
        <v>711</v>
      </c>
      <c r="X93" s="141">
        <v>42352</v>
      </c>
      <c r="Y93" s="307">
        <v>42359</v>
      </c>
      <c r="Z93" s="103">
        <v>93310800</v>
      </c>
      <c r="AA93" s="288">
        <v>1</v>
      </c>
      <c r="AB93" s="52">
        <f t="shared" si="17"/>
        <v>0</v>
      </c>
      <c r="AC93" s="142"/>
      <c r="AD93" s="38"/>
      <c r="AE93" s="38"/>
      <c r="AF93" s="38"/>
      <c r="AG93" s="38"/>
      <c r="AH93" s="38"/>
      <c r="AI93" s="38"/>
      <c r="AJ93" s="38"/>
    </row>
    <row r="94" spans="1:36" s="54" customFormat="1" ht="31.5">
      <c r="A94" s="81"/>
      <c r="B94" s="50"/>
      <c r="C94" s="50" t="s">
        <v>132</v>
      </c>
      <c r="D94" s="180" t="s">
        <v>434</v>
      </c>
      <c r="E94" s="51">
        <v>28678100</v>
      </c>
      <c r="F94" s="51"/>
      <c r="G94" s="155">
        <f t="shared" si="14"/>
        <v>28678100</v>
      </c>
      <c r="H94" s="147"/>
      <c r="I94" s="73"/>
      <c r="J94" s="263" t="s">
        <v>432</v>
      </c>
      <c r="K94" s="259" t="s">
        <v>433</v>
      </c>
      <c r="L94" s="207" t="s">
        <v>396</v>
      </c>
      <c r="M94" s="163" t="s">
        <v>434</v>
      </c>
      <c r="N94" s="51">
        <v>28678100</v>
      </c>
      <c r="O94" s="51"/>
      <c r="P94" s="155">
        <v>28678100</v>
      </c>
      <c r="Q94" s="103"/>
      <c r="R94" s="103"/>
      <c r="S94" s="103"/>
      <c r="T94" s="103"/>
      <c r="U94" s="103"/>
      <c r="V94" s="103">
        <v>28678100</v>
      </c>
      <c r="W94" s="140" t="s">
        <v>511</v>
      </c>
      <c r="X94" s="141"/>
      <c r="Y94" s="308">
        <v>42429</v>
      </c>
      <c r="Z94" s="285">
        <v>28678100</v>
      </c>
      <c r="AA94" s="288">
        <v>1</v>
      </c>
      <c r="AB94" s="52">
        <f t="shared" si="17"/>
        <v>0</v>
      </c>
      <c r="AC94" s="142"/>
      <c r="AD94" s="38"/>
      <c r="AE94" s="38"/>
      <c r="AF94" s="38"/>
      <c r="AG94" s="38"/>
      <c r="AH94" s="38"/>
      <c r="AI94" s="38"/>
      <c r="AJ94" s="38"/>
    </row>
    <row r="95" spans="1:36" s="54" customFormat="1" ht="47.25">
      <c r="A95" s="81"/>
      <c r="B95" s="50"/>
      <c r="C95" s="50" t="s">
        <v>133</v>
      </c>
      <c r="D95" s="180" t="s">
        <v>437</v>
      </c>
      <c r="E95" s="51">
        <v>40139000</v>
      </c>
      <c r="F95" s="51"/>
      <c r="G95" s="155">
        <f t="shared" si="14"/>
        <v>40139000</v>
      </c>
      <c r="H95" s="147"/>
      <c r="I95" s="73"/>
      <c r="J95" s="263" t="s">
        <v>435</v>
      </c>
      <c r="K95" s="261" t="s">
        <v>436</v>
      </c>
      <c r="L95" s="207" t="s">
        <v>336</v>
      </c>
      <c r="M95" s="163" t="s">
        <v>437</v>
      </c>
      <c r="N95" s="51">
        <v>40139000</v>
      </c>
      <c r="O95" s="51"/>
      <c r="P95" s="155">
        <v>40139000</v>
      </c>
      <c r="Q95" s="103"/>
      <c r="R95" s="103"/>
      <c r="S95" s="103"/>
      <c r="T95" s="103"/>
      <c r="U95" s="103"/>
      <c r="V95" s="103">
        <v>40139000</v>
      </c>
      <c r="W95" s="140" t="s">
        <v>511</v>
      </c>
      <c r="X95" s="141"/>
      <c r="Y95" s="308">
        <v>42429</v>
      </c>
      <c r="Z95" s="285">
        <v>40139000</v>
      </c>
      <c r="AA95" s="288">
        <v>1</v>
      </c>
      <c r="AB95" s="52">
        <f t="shared" si="17"/>
        <v>0</v>
      </c>
      <c r="AC95" s="142"/>
      <c r="AD95" s="38"/>
      <c r="AE95" s="38"/>
      <c r="AF95" s="38"/>
      <c r="AG95" s="38"/>
      <c r="AH95" s="38"/>
      <c r="AI95" s="38"/>
      <c r="AJ95" s="38"/>
    </row>
    <row r="96" spans="1:36" s="54" customFormat="1" ht="31.5">
      <c r="A96" s="81"/>
      <c r="B96" s="50"/>
      <c r="C96" s="50" t="s">
        <v>134</v>
      </c>
      <c r="D96" s="180" t="s">
        <v>135</v>
      </c>
      <c r="E96" s="51">
        <v>21374100</v>
      </c>
      <c r="F96" s="51"/>
      <c r="G96" s="155">
        <f t="shared" si="14"/>
        <v>21374100</v>
      </c>
      <c r="H96" s="147"/>
      <c r="I96" s="73"/>
      <c r="J96" s="263" t="s">
        <v>438</v>
      </c>
      <c r="K96" s="259" t="s">
        <v>439</v>
      </c>
      <c r="L96" s="207" t="s">
        <v>396</v>
      </c>
      <c r="M96" s="163" t="s">
        <v>135</v>
      </c>
      <c r="N96" s="51">
        <v>21374100</v>
      </c>
      <c r="O96" s="51"/>
      <c r="P96" s="155">
        <v>21374100</v>
      </c>
      <c r="Q96" s="103"/>
      <c r="R96" s="103"/>
      <c r="S96" s="103"/>
      <c r="T96" s="103"/>
      <c r="U96" s="103"/>
      <c r="V96" s="103">
        <v>21374100</v>
      </c>
      <c r="W96" s="140" t="s">
        <v>563</v>
      </c>
      <c r="X96" s="141"/>
      <c r="Y96" s="308">
        <v>42429</v>
      </c>
      <c r="Z96" s="285">
        <v>21374100</v>
      </c>
      <c r="AA96" s="288">
        <v>1</v>
      </c>
      <c r="AB96" s="52">
        <f t="shared" si="17"/>
        <v>0</v>
      </c>
      <c r="AC96" s="142"/>
      <c r="AD96" s="38"/>
      <c r="AE96" s="38"/>
      <c r="AF96" s="38"/>
      <c r="AG96" s="38"/>
      <c r="AH96" s="38"/>
      <c r="AI96" s="38"/>
      <c r="AJ96" s="38"/>
    </row>
    <row r="97" spans="1:36" s="54" customFormat="1" ht="47.25">
      <c r="A97" s="81"/>
      <c r="B97" s="50"/>
      <c r="C97" s="50" t="s">
        <v>136</v>
      </c>
      <c r="D97" s="180" t="s">
        <v>442</v>
      </c>
      <c r="E97" s="51">
        <v>38915250</v>
      </c>
      <c r="F97" s="51"/>
      <c r="G97" s="155">
        <f t="shared" si="14"/>
        <v>38915250</v>
      </c>
      <c r="H97" s="147"/>
      <c r="I97" s="73"/>
      <c r="J97" s="263" t="s">
        <v>440</v>
      </c>
      <c r="K97" s="259" t="s">
        <v>441</v>
      </c>
      <c r="L97" s="207" t="s">
        <v>396</v>
      </c>
      <c r="M97" s="163" t="s">
        <v>442</v>
      </c>
      <c r="N97" s="51">
        <v>38915250</v>
      </c>
      <c r="O97" s="51"/>
      <c r="P97" s="155">
        <v>38915250</v>
      </c>
      <c r="Q97" s="103"/>
      <c r="R97" s="103"/>
      <c r="S97" s="103"/>
      <c r="T97" s="103"/>
      <c r="U97" s="103"/>
      <c r="V97" s="103">
        <v>38915250</v>
      </c>
      <c r="W97" s="140" t="s">
        <v>559</v>
      </c>
      <c r="X97" s="141"/>
      <c r="Y97" s="308">
        <v>42429</v>
      </c>
      <c r="Z97" s="285">
        <v>38915250</v>
      </c>
      <c r="AA97" s="288">
        <v>1</v>
      </c>
      <c r="AB97" s="52">
        <f t="shared" si="17"/>
        <v>0</v>
      </c>
      <c r="AC97" s="142"/>
      <c r="AD97" s="38"/>
      <c r="AE97" s="38"/>
      <c r="AF97" s="38"/>
      <c r="AG97" s="38"/>
      <c r="AH97" s="38"/>
      <c r="AI97" s="38"/>
      <c r="AJ97" s="38"/>
    </row>
    <row r="98" spans="1:36" s="54" customFormat="1" ht="47.25">
      <c r="A98" s="81"/>
      <c r="B98" s="50"/>
      <c r="C98" s="50" t="s">
        <v>137</v>
      </c>
      <c r="D98" s="180" t="s">
        <v>445</v>
      </c>
      <c r="E98" s="51">
        <v>43326800</v>
      </c>
      <c r="F98" s="51"/>
      <c r="G98" s="155">
        <f t="shared" si="14"/>
        <v>43326800</v>
      </c>
      <c r="H98" s="147"/>
      <c r="I98" s="73"/>
      <c r="J98" s="263" t="s">
        <v>443</v>
      </c>
      <c r="K98" s="259" t="s">
        <v>444</v>
      </c>
      <c r="L98" s="207" t="s">
        <v>446</v>
      </c>
      <c r="M98" s="163" t="s">
        <v>445</v>
      </c>
      <c r="N98" s="51">
        <v>43326800</v>
      </c>
      <c r="O98" s="51"/>
      <c r="P98" s="155">
        <v>43326800</v>
      </c>
      <c r="Q98" s="103"/>
      <c r="R98" s="103"/>
      <c r="S98" s="103"/>
      <c r="T98" s="103"/>
      <c r="U98" s="103"/>
      <c r="V98" s="103">
        <v>43326800</v>
      </c>
      <c r="W98" s="140" t="s">
        <v>712</v>
      </c>
      <c r="X98" s="141">
        <v>42359</v>
      </c>
      <c r="Y98" s="307">
        <v>42361</v>
      </c>
      <c r="Z98" s="103">
        <v>43326800</v>
      </c>
      <c r="AA98" s="288">
        <v>1</v>
      </c>
      <c r="AB98" s="52">
        <f t="shared" si="17"/>
        <v>0</v>
      </c>
      <c r="AC98" s="142"/>
      <c r="AD98" s="38"/>
      <c r="AE98" s="38"/>
      <c r="AF98" s="38"/>
      <c r="AG98" s="38"/>
      <c r="AH98" s="38"/>
      <c r="AI98" s="38"/>
      <c r="AJ98" s="38"/>
    </row>
    <row r="99" spans="1:36" s="54" customFormat="1" ht="31.5">
      <c r="A99" s="81"/>
      <c r="B99" s="50"/>
      <c r="C99" s="50" t="s">
        <v>138</v>
      </c>
      <c r="D99" s="180" t="s">
        <v>449</v>
      </c>
      <c r="E99" s="51">
        <v>41800000</v>
      </c>
      <c r="F99" s="51"/>
      <c r="G99" s="155">
        <f t="shared" si="14"/>
        <v>41800000</v>
      </c>
      <c r="H99" s="147"/>
      <c r="I99" s="73"/>
      <c r="J99" s="263" t="s">
        <v>447</v>
      </c>
      <c r="K99" s="261" t="s">
        <v>448</v>
      </c>
      <c r="L99" s="207" t="s">
        <v>383</v>
      </c>
      <c r="M99" s="163" t="s">
        <v>449</v>
      </c>
      <c r="N99" s="51">
        <v>41800000</v>
      </c>
      <c r="O99" s="51"/>
      <c r="P99" s="155">
        <v>41800000</v>
      </c>
      <c r="Q99" s="103"/>
      <c r="R99" s="103"/>
      <c r="S99" s="103"/>
      <c r="T99" s="103"/>
      <c r="U99" s="103"/>
      <c r="V99" s="103">
        <v>41800000</v>
      </c>
      <c r="W99" s="140" t="s">
        <v>585</v>
      </c>
      <c r="X99" s="141">
        <v>42362</v>
      </c>
      <c r="Y99" s="307">
        <v>42374</v>
      </c>
      <c r="Z99" s="103">
        <v>41800000</v>
      </c>
      <c r="AA99" s="288">
        <v>1</v>
      </c>
      <c r="AB99" s="52">
        <f t="shared" si="17"/>
        <v>0</v>
      </c>
      <c r="AC99" s="142"/>
      <c r="AD99" s="38"/>
      <c r="AE99" s="38"/>
      <c r="AF99" s="38"/>
      <c r="AG99" s="38"/>
      <c r="AH99" s="38"/>
      <c r="AI99" s="38"/>
      <c r="AJ99" s="38"/>
    </row>
    <row r="100" spans="1:36" s="54" customFormat="1" ht="31.5">
      <c r="A100" s="81"/>
      <c r="B100" s="50"/>
      <c r="C100" s="50" t="s">
        <v>139</v>
      </c>
      <c r="D100" s="180" t="s">
        <v>452</v>
      </c>
      <c r="E100" s="51">
        <v>24200000</v>
      </c>
      <c r="F100" s="51"/>
      <c r="G100" s="155">
        <f t="shared" si="14"/>
        <v>24200000</v>
      </c>
      <c r="H100" s="147"/>
      <c r="I100" s="73"/>
      <c r="J100" s="263" t="s">
        <v>450</v>
      </c>
      <c r="K100" s="259" t="s">
        <v>451</v>
      </c>
      <c r="L100" s="207" t="s">
        <v>453</v>
      </c>
      <c r="M100" s="163" t="s">
        <v>452</v>
      </c>
      <c r="N100" s="51">
        <v>24200000</v>
      </c>
      <c r="O100" s="51"/>
      <c r="P100" s="155">
        <v>24200000</v>
      </c>
      <c r="Q100" s="103"/>
      <c r="R100" s="103"/>
      <c r="S100" s="103"/>
      <c r="T100" s="103"/>
      <c r="U100" s="103"/>
      <c r="V100" s="103">
        <v>24200000</v>
      </c>
      <c r="W100" s="140" t="s">
        <v>555</v>
      </c>
      <c r="X100" s="141"/>
      <c r="Y100" s="305">
        <v>42397</v>
      </c>
      <c r="Z100" s="310">
        <v>24200000</v>
      </c>
      <c r="AA100" s="288">
        <v>1</v>
      </c>
      <c r="AB100" s="52">
        <f t="shared" si="17"/>
        <v>0</v>
      </c>
      <c r="AC100" s="142"/>
      <c r="AD100" s="38"/>
      <c r="AE100" s="38"/>
      <c r="AF100" s="38"/>
      <c r="AG100" s="38"/>
      <c r="AH100" s="38"/>
      <c r="AI100" s="38"/>
      <c r="AJ100" s="38"/>
    </row>
    <row r="101" spans="1:36" s="54" customFormat="1" ht="31.5">
      <c r="A101" s="81"/>
      <c r="B101" s="50"/>
      <c r="C101" s="50" t="s">
        <v>140</v>
      </c>
      <c r="D101" s="163" t="s">
        <v>456</v>
      </c>
      <c r="E101" s="51">
        <v>40700000</v>
      </c>
      <c r="F101" s="51"/>
      <c r="G101" s="155">
        <f t="shared" si="14"/>
        <v>40700000</v>
      </c>
      <c r="H101" s="147"/>
      <c r="I101" s="73"/>
      <c r="J101" s="261" t="s">
        <v>454</v>
      </c>
      <c r="K101" s="261" t="s">
        <v>455</v>
      </c>
      <c r="L101" s="207" t="s">
        <v>336</v>
      </c>
      <c r="M101" s="163" t="s">
        <v>456</v>
      </c>
      <c r="N101" s="51">
        <v>40700000</v>
      </c>
      <c r="O101" s="51"/>
      <c r="P101" s="155">
        <v>40700000</v>
      </c>
      <c r="Q101" s="103"/>
      <c r="R101" s="103"/>
      <c r="S101" s="103"/>
      <c r="T101" s="103"/>
      <c r="U101" s="103"/>
      <c r="V101" s="103">
        <v>40700000</v>
      </c>
      <c r="W101" s="140" t="s">
        <v>2564</v>
      </c>
      <c r="X101" s="141"/>
      <c r="Y101" s="307"/>
      <c r="Z101" s="103">
        <v>40700000</v>
      </c>
      <c r="AA101" s="288">
        <v>1</v>
      </c>
      <c r="AB101" s="52">
        <f t="shared" si="17"/>
        <v>0</v>
      </c>
      <c r="AC101" s="142"/>
      <c r="AD101" s="38"/>
      <c r="AE101" s="38"/>
      <c r="AF101" s="38"/>
      <c r="AG101" s="38"/>
      <c r="AH101" s="38"/>
      <c r="AI101" s="38"/>
      <c r="AJ101" s="38"/>
    </row>
    <row r="102" spans="1:36" s="54" customFormat="1" ht="31.5">
      <c r="A102" s="81"/>
      <c r="B102" s="50"/>
      <c r="C102" s="50" t="s">
        <v>141</v>
      </c>
      <c r="D102" s="163" t="s">
        <v>458</v>
      </c>
      <c r="E102" s="51">
        <v>52167720</v>
      </c>
      <c r="F102" s="51"/>
      <c r="G102" s="155">
        <f t="shared" si="14"/>
        <v>52167720</v>
      </c>
      <c r="H102" s="147"/>
      <c r="I102" s="73"/>
      <c r="J102" s="261" t="s">
        <v>457</v>
      </c>
      <c r="K102" s="259" t="s">
        <v>713</v>
      </c>
      <c r="L102" s="207" t="s">
        <v>336</v>
      </c>
      <c r="M102" s="163" t="s">
        <v>458</v>
      </c>
      <c r="N102" s="51">
        <v>51617500</v>
      </c>
      <c r="O102" s="51"/>
      <c r="P102" s="155">
        <v>51617500</v>
      </c>
      <c r="Q102" s="103"/>
      <c r="R102" s="103"/>
      <c r="S102" s="103"/>
      <c r="T102" s="103"/>
      <c r="U102" s="103"/>
      <c r="V102" s="103">
        <v>51617500</v>
      </c>
      <c r="W102" s="140" t="s">
        <v>564</v>
      </c>
      <c r="X102" s="141"/>
      <c r="Y102" s="307">
        <v>42424</v>
      </c>
      <c r="Z102" s="103">
        <v>51617500</v>
      </c>
      <c r="AA102" s="288">
        <v>1</v>
      </c>
      <c r="AB102" s="52">
        <f t="shared" si="17"/>
        <v>550220</v>
      </c>
      <c r="AC102" s="142"/>
      <c r="AD102" s="38"/>
      <c r="AE102" s="38"/>
      <c r="AF102" s="38"/>
      <c r="AG102" s="38"/>
      <c r="AH102" s="38"/>
      <c r="AI102" s="38"/>
      <c r="AJ102" s="38"/>
    </row>
    <row r="103" spans="1:36" s="54" customFormat="1" ht="47.25">
      <c r="A103" s="81"/>
      <c r="B103" s="50"/>
      <c r="C103" s="50" t="s">
        <v>142</v>
      </c>
      <c r="D103" s="163" t="s">
        <v>460</v>
      </c>
      <c r="E103" s="51">
        <v>23760000</v>
      </c>
      <c r="F103" s="51"/>
      <c r="G103" s="155">
        <f t="shared" si="14"/>
        <v>23760000</v>
      </c>
      <c r="H103" s="147"/>
      <c r="I103" s="73"/>
      <c r="J103" s="261" t="s">
        <v>459</v>
      </c>
      <c r="K103" s="261" t="s">
        <v>356</v>
      </c>
      <c r="L103" s="207" t="s">
        <v>336</v>
      </c>
      <c r="M103" s="163" t="s">
        <v>460</v>
      </c>
      <c r="N103" s="51">
        <v>23760000</v>
      </c>
      <c r="O103" s="51"/>
      <c r="P103" s="155">
        <v>23760000</v>
      </c>
      <c r="Q103" s="103"/>
      <c r="R103" s="103"/>
      <c r="S103" s="103"/>
      <c r="T103" s="103"/>
      <c r="U103" s="103"/>
      <c r="V103" s="103">
        <v>23760000</v>
      </c>
      <c r="W103" s="140" t="s">
        <v>555</v>
      </c>
      <c r="X103" s="141"/>
      <c r="Y103" s="305">
        <v>42397</v>
      </c>
      <c r="Z103" s="310">
        <v>23760000</v>
      </c>
      <c r="AA103" s="288">
        <v>1</v>
      </c>
      <c r="AB103" s="52">
        <f t="shared" si="17"/>
        <v>0</v>
      </c>
      <c r="AC103" s="142"/>
      <c r="AD103" s="38"/>
      <c r="AE103" s="38"/>
      <c r="AF103" s="38"/>
      <c r="AG103" s="38"/>
      <c r="AH103" s="38"/>
      <c r="AI103" s="38"/>
      <c r="AJ103" s="38"/>
    </row>
    <row r="104" spans="1:36" s="54" customFormat="1" ht="47.25">
      <c r="A104" s="81"/>
      <c r="B104" s="50"/>
      <c r="C104" s="50" t="s">
        <v>143</v>
      </c>
      <c r="D104" s="163" t="s">
        <v>462</v>
      </c>
      <c r="E104" s="103"/>
      <c r="F104" s="51">
        <v>36300000</v>
      </c>
      <c r="G104" s="155">
        <f t="shared" si="14"/>
        <v>36300000</v>
      </c>
      <c r="H104" s="147"/>
      <c r="I104" s="73"/>
      <c r="J104" s="261" t="s">
        <v>461</v>
      </c>
      <c r="K104" s="259" t="s">
        <v>1322</v>
      </c>
      <c r="L104" s="207" t="s">
        <v>336</v>
      </c>
      <c r="M104" s="163" t="s">
        <v>462</v>
      </c>
      <c r="N104" s="103"/>
      <c r="O104" s="51">
        <v>35750000</v>
      </c>
      <c r="P104" s="1042">
        <f>N104+O104</f>
        <v>35750000</v>
      </c>
      <c r="Q104" s="103"/>
      <c r="R104" s="103"/>
      <c r="S104" s="103"/>
      <c r="T104" s="103"/>
      <c r="U104" s="103"/>
      <c r="V104" s="103">
        <f>P104</f>
        <v>35750000</v>
      </c>
      <c r="W104" s="140" t="s">
        <v>1343</v>
      </c>
      <c r="X104" s="141">
        <v>42503</v>
      </c>
      <c r="Y104" s="307">
        <v>42517</v>
      </c>
      <c r="Z104" s="103">
        <f>V104</f>
        <v>35750000</v>
      </c>
      <c r="AA104" s="288">
        <v>1</v>
      </c>
      <c r="AB104" s="433">
        <f t="shared" si="17"/>
        <v>550000</v>
      </c>
      <c r="AC104" s="142"/>
      <c r="AD104" s="38"/>
      <c r="AE104" s="38"/>
      <c r="AF104" s="38"/>
      <c r="AG104" s="38"/>
      <c r="AH104" s="38"/>
      <c r="AI104" s="38"/>
      <c r="AJ104" s="38"/>
    </row>
    <row r="105" spans="1:36" s="54" customFormat="1" ht="47.25">
      <c r="A105" s="81"/>
      <c r="B105" s="50"/>
      <c r="C105" s="50" t="s">
        <v>144</v>
      </c>
      <c r="D105" s="163" t="s">
        <v>465</v>
      </c>
      <c r="E105" s="103"/>
      <c r="F105" s="51">
        <v>29095000</v>
      </c>
      <c r="G105" s="155">
        <f t="shared" si="14"/>
        <v>29095000</v>
      </c>
      <c r="H105" s="147"/>
      <c r="I105" s="73"/>
      <c r="J105" s="261" t="s">
        <v>463</v>
      </c>
      <c r="K105" s="259" t="s">
        <v>464</v>
      </c>
      <c r="L105" s="207" t="s">
        <v>292</v>
      </c>
      <c r="M105" s="163" t="s">
        <v>465</v>
      </c>
      <c r="N105" s="103"/>
      <c r="O105" s="51">
        <v>29095000</v>
      </c>
      <c r="P105" s="155">
        <v>29095000</v>
      </c>
      <c r="Q105" s="103"/>
      <c r="R105" s="103"/>
      <c r="S105" s="103"/>
      <c r="T105" s="103"/>
      <c r="U105" s="103"/>
      <c r="V105" s="103">
        <v>29095000</v>
      </c>
      <c r="W105" s="140" t="s">
        <v>511</v>
      </c>
      <c r="X105" s="141"/>
      <c r="Y105" s="305">
        <v>42398</v>
      </c>
      <c r="Z105" s="310">
        <v>29095000</v>
      </c>
      <c r="AA105" s="288">
        <v>1</v>
      </c>
      <c r="AB105" s="52">
        <f t="shared" si="17"/>
        <v>0</v>
      </c>
      <c r="AC105" s="142"/>
      <c r="AD105" s="38"/>
      <c r="AE105" s="38"/>
      <c r="AF105" s="38"/>
      <c r="AG105" s="38"/>
      <c r="AH105" s="38"/>
      <c r="AI105" s="38"/>
      <c r="AJ105" s="38"/>
    </row>
    <row r="106" spans="1:36" s="54" customFormat="1" ht="47.25">
      <c r="A106" s="81"/>
      <c r="B106" s="50"/>
      <c r="C106" s="50" t="s">
        <v>145</v>
      </c>
      <c r="D106" s="163" t="s">
        <v>442</v>
      </c>
      <c r="E106" s="51">
        <v>15951320</v>
      </c>
      <c r="F106" s="51"/>
      <c r="G106" s="155">
        <f t="shared" si="14"/>
        <v>15951320</v>
      </c>
      <c r="H106" s="147"/>
      <c r="I106" s="73"/>
      <c r="J106" s="261" t="s">
        <v>466</v>
      </c>
      <c r="K106" s="261" t="s">
        <v>714</v>
      </c>
      <c r="L106" s="207" t="s">
        <v>715</v>
      </c>
      <c r="M106" s="163" t="s">
        <v>442</v>
      </c>
      <c r="N106" s="51">
        <v>15951320</v>
      </c>
      <c r="O106" s="51"/>
      <c r="P106" s="155">
        <v>15951320</v>
      </c>
      <c r="Q106" s="103"/>
      <c r="R106" s="103"/>
      <c r="S106" s="103"/>
      <c r="T106" s="103"/>
      <c r="U106" s="103"/>
      <c r="V106" s="103">
        <v>15951320</v>
      </c>
      <c r="W106" s="140" t="s">
        <v>968</v>
      </c>
      <c r="X106" s="141"/>
      <c r="Y106" s="307">
        <v>42474</v>
      </c>
      <c r="Z106" s="103">
        <f>V106</f>
        <v>15951320</v>
      </c>
      <c r="AA106" s="288">
        <v>1</v>
      </c>
      <c r="AB106" s="52">
        <f t="shared" si="17"/>
        <v>0</v>
      </c>
      <c r="AC106" s="142"/>
      <c r="AD106" s="38"/>
      <c r="AE106" s="38"/>
      <c r="AF106" s="38"/>
      <c r="AG106" s="38"/>
      <c r="AH106" s="38"/>
      <c r="AI106" s="38"/>
      <c r="AJ106" s="38"/>
    </row>
    <row r="107" spans="1:36" s="54" customFormat="1" ht="31.5">
      <c r="A107" s="81"/>
      <c r="B107" s="50"/>
      <c r="C107" s="50" t="s">
        <v>146</v>
      </c>
      <c r="D107" s="163" t="s">
        <v>147</v>
      </c>
      <c r="E107" s="103"/>
      <c r="F107" s="51">
        <v>12342000</v>
      </c>
      <c r="G107" s="155">
        <f t="shared" si="14"/>
        <v>12342000</v>
      </c>
      <c r="H107" s="147"/>
      <c r="I107" s="73"/>
      <c r="J107" s="261" t="s">
        <v>467</v>
      </c>
      <c r="K107" s="259" t="s">
        <v>468</v>
      </c>
      <c r="L107" s="207" t="s">
        <v>292</v>
      </c>
      <c r="M107" s="163" t="s">
        <v>147</v>
      </c>
      <c r="N107" s="103"/>
      <c r="O107" s="51">
        <v>12342000</v>
      </c>
      <c r="P107" s="155">
        <v>12342000</v>
      </c>
      <c r="Q107" s="103"/>
      <c r="R107" s="103"/>
      <c r="S107" s="103"/>
      <c r="T107" s="103"/>
      <c r="U107" s="103"/>
      <c r="V107" s="103">
        <v>12342000</v>
      </c>
      <c r="W107" s="140" t="s">
        <v>555</v>
      </c>
      <c r="X107" s="141"/>
      <c r="Y107" s="305">
        <v>42397</v>
      </c>
      <c r="Z107" s="310">
        <v>12342000</v>
      </c>
      <c r="AA107" s="288">
        <v>1</v>
      </c>
      <c r="AB107" s="52">
        <f t="shared" si="17"/>
        <v>0</v>
      </c>
      <c r="AC107" s="142"/>
      <c r="AD107" s="38"/>
      <c r="AE107" s="38"/>
      <c r="AF107" s="38"/>
      <c r="AG107" s="38"/>
      <c r="AH107" s="38"/>
      <c r="AI107" s="38"/>
      <c r="AJ107" s="38"/>
    </row>
    <row r="108" spans="1:36" s="54" customFormat="1" ht="47.25">
      <c r="A108" s="81"/>
      <c r="B108" s="50"/>
      <c r="C108" s="50" t="s">
        <v>148</v>
      </c>
      <c r="D108" s="163" t="s">
        <v>470</v>
      </c>
      <c r="E108" s="51">
        <v>297039710</v>
      </c>
      <c r="F108" s="51"/>
      <c r="G108" s="155">
        <f t="shared" si="14"/>
        <v>297039710</v>
      </c>
      <c r="H108" s="147"/>
      <c r="I108" s="73"/>
      <c r="J108" s="261" t="s">
        <v>469</v>
      </c>
      <c r="K108" s="261" t="s">
        <v>589</v>
      </c>
      <c r="L108" s="207" t="s">
        <v>336</v>
      </c>
      <c r="M108" s="163" t="s">
        <v>470</v>
      </c>
      <c r="N108" s="51">
        <v>287484670</v>
      </c>
      <c r="O108" s="51"/>
      <c r="P108" s="155">
        <v>287484670</v>
      </c>
      <c r="Q108" s="103"/>
      <c r="R108" s="103"/>
      <c r="S108" s="103"/>
      <c r="T108" s="103"/>
      <c r="U108" s="103"/>
      <c r="V108" s="103">
        <v>287484670</v>
      </c>
      <c r="W108" s="140" t="s">
        <v>590</v>
      </c>
      <c r="X108" s="141"/>
      <c r="Y108" s="307">
        <v>42472</v>
      </c>
      <c r="Z108" s="103">
        <f>V108</f>
        <v>287484670</v>
      </c>
      <c r="AA108" s="288">
        <v>1</v>
      </c>
      <c r="AB108" s="52">
        <f t="shared" si="17"/>
        <v>9555040</v>
      </c>
      <c r="AC108" s="142"/>
      <c r="AD108" s="38"/>
      <c r="AE108" s="38"/>
      <c r="AF108" s="38"/>
      <c r="AG108" s="38"/>
      <c r="AH108" s="38"/>
      <c r="AI108" s="38"/>
      <c r="AJ108" s="38"/>
    </row>
    <row r="109" spans="1:36" s="54" customFormat="1" ht="31.5">
      <c r="A109" s="81"/>
      <c r="B109" s="50"/>
      <c r="C109" s="50"/>
      <c r="D109" s="213"/>
      <c r="E109" s="51"/>
      <c r="F109" s="51"/>
      <c r="G109" s="155"/>
      <c r="H109" s="147"/>
      <c r="I109" s="73"/>
      <c r="J109" s="261" t="s">
        <v>2937</v>
      </c>
      <c r="K109" s="261" t="s">
        <v>3389</v>
      </c>
      <c r="L109" s="207" t="s">
        <v>3111</v>
      </c>
      <c r="M109" s="163" t="s">
        <v>2938</v>
      </c>
      <c r="N109" s="51">
        <v>9429090</v>
      </c>
      <c r="O109" s="51"/>
      <c r="P109" s="155">
        <v>9429090</v>
      </c>
      <c r="Q109" s="103"/>
      <c r="R109" s="103"/>
      <c r="S109" s="103"/>
      <c r="T109" s="103"/>
      <c r="U109" s="103"/>
      <c r="V109" s="103">
        <f>P109</f>
        <v>9429090</v>
      </c>
      <c r="W109" s="140" t="s">
        <v>3386</v>
      </c>
      <c r="X109" s="141">
        <v>42704</v>
      </c>
      <c r="Y109" s="307">
        <v>42710</v>
      </c>
      <c r="Z109" s="103">
        <f>V109</f>
        <v>9429090</v>
      </c>
      <c r="AA109" s="288">
        <v>1</v>
      </c>
      <c r="AB109" s="433">
        <f t="shared" si="17"/>
        <v>-9429090</v>
      </c>
      <c r="AC109" s="142"/>
      <c r="AD109" s="38"/>
      <c r="AE109" s="38"/>
      <c r="AF109" s="38"/>
      <c r="AG109" s="38"/>
      <c r="AH109" s="38"/>
      <c r="AI109" s="38"/>
      <c r="AJ109" s="38"/>
    </row>
    <row r="110" spans="1:36" s="755" customFormat="1">
      <c r="A110" s="770"/>
      <c r="B110" s="773"/>
      <c r="C110" s="773" t="str">
        <f>C108</f>
        <v>PRK.2016.WKT-4.3.53212.227</v>
      </c>
      <c r="D110" s="1510"/>
      <c r="E110" s="748"/>
      <c r="F110" s="748"/>
      <c r="G110" s="1454">
        <f>G108</f>
        <v>297039710</v>
      </c>
      <c r="H110" s="787"/>
      <c r="I110" s="788"/>
      <c r="J110" s="1472"/>
      <c r="K110" s="1472"/>
      <c r="L110" s="1474"/>
      <c r="M110" s="1471"/>
      <c r="N110" s="748">
        <f t="shared" ref="N110:V110" si="18">SUM(N108:N109)</f>
        <v>296913760</v>
      </c>
      <c r="O110" s="748">
        <f t="shared" si="18"/>
        <v>0</v>
      </c>
      <c r="P110" s="748">
        <f t="shared" si="18"/>
        <v>296913760</v>
      </c>
      <c r="Q110" s="748">
        <f t="shared" si="18"/>
        <v>0</v>
      </c>
      <c r="R110" s="748">
        <f t="shared" si="18"/>
        <v>0</v>
      </c>
      <c r="S110" s="748">
        <f t="shared" si="18"/>
        <v>0</v>
      </c>
      <c r="T110" s="748">
        <f t="shared" si="18"/>
        <v>0</v>
      </c>
      <c r="U110" s="748">
        <f t="shared" si="18"/>
        <v>0</v>
      </c>
      <c r="V110" s="748">
        <f t="shared" si="18"/>
        <v>296913760</v>
      </c>
      <c r="W110" s="756"/>
      <c r="X110" s="1416"/>
      <c r="Y110" s="1470"/>
      <c r="Z110" s="748">
        <f>SUM(Z108:Z109)</f>
        <v>296913760</v>
      </c>
      <c r="AA110" s="1061"/>
      <c r="AB110" s="756">
        <f t="shared" si="17"/>
        <v>125950</v>
      </c>
      <c r="AC110" s="1002"/>
    </row>
    <row r="111" spans="1:36" s="54" customFormat="1" ht="47.25">
      <c r="A111" s="81"/>
      <c r="B111" s="50"/>
      <c r="C111" s="50" t="s">
        <v>149</v>
      </c>
      <c r="D111" s="213" t="s">
        <v>473</v>
      </c>
      <c r="E111" s="51">
        <v>14557400</v>
      </c>
      <c r="F111" s="51"/>
      <c r="G111" s="155">
        <f t="shared" si="14"/>
        <v>14557400</v>
      </c>
      <c r="H111" s="147"/>
      <c r="I111" s="73"/>
      <c r="J111" s="261" t="s">
        <v>471</v>
      </c>
      <c r="K111" s="259" t="s">
        <v>472</v>
      </c>
      <c r="L111" s="207" t="s">
        <v>387</v>
      </c>
      <c r="M111" s="163" t="s">
        <v>473</v>
      </c>
      <c r="N111" s="51">
        <v>14557400</v>
      </c>
      <c r="O111" s="51"/>
      <c r="P111" s="155">
        <v>14557400</v>
      </c>
      <c r="Q111" s="103"/>
      <c r="R111" s="103"/>
      <c r="S111" s="103"/>
      <c r="T111" s="103"/>
      <c r="U111" s="103"/>
      <c r="V111" s="103">
        <v>14557400</v>
      </c>
      <c r="W111" s="140" t="s">
        <v>586</v>
      </c>
      <c r="X111" s="141">
        <v>42362</v>
      </c>
      <c r="Y111" s="307">
        <v>42367</v>
      </c>
      <c r="Z111" s="103">
        <v>14557400</v>
      </c>
      <c r="AA111" s="288">
        <v>1</v>
      </c>
      <c r="AB111" s="52">
        <f t="shared" si="17"/>
        <v>0</v>
      </c>
      <c r="AC111" s="142"/>
      <c r="AD111" s="38"/>
      <c r="AE111" s="38"/>
      <c r="AF111" s="38"/>
      <c r="AG111" s="38"/>
      <c r="AH111" s="38"/>
      <c r="AI111" s="38"/>
      <c r="AJ111" s="38"/>
    </row>
    <row r="112" spans="1:36" s="54" customFormat="1" ht="31.5">
      <c r="A112" s="81"/>
      <c r="B112" s="50"/>
      <c r="C112" s="50" t="s">
        <v>150</v>
      </c>
      <c r="D112" s="213" t="s">
        <v>476</v>
      </c>
      <c r="E112" s="51">
        <v>247060000</v>
      </c>
      <c r="F112" s="51"/>
      <c r="G112" s="155">
        <f t="shared" si="14"/>
        <v>247060000</v>
      </c>
      <c r="H112" s="147"/>
      <c r="I112" s="73"/>
      <c r="J112" s="261" t="s">
        <v>474</v>
      </c>
      <c r="K112" s="259" t="s">
        <v>475</v>
      </c>
      <c r="L112" s="207" t="s">
        <v>477</v>
      </c>
      <c r="M112" s="163" t="s">
        <v>476</v>
      </c>
      <c r="N112" s="51">
        <v>247060000</v>
      </c>
      <c r="O112" s="51"/>
      <c r="P112" s="155">
        <v>247060000</v>
      </c>
      <c r="Q112" s="103"/>
      <c r="R112" s="103"/>
      <c r="S112" s="103"/>
      <c r="T112" s="103"/>
      <c r="U112" s="103"/>
      <c r="V112" s="103">
        <v>247060000</v>
      </c>
      <c r="W112" s="140" t="s">
        <v>591</v>
      </c>
      <c r="X112" s="141"/>
      <c r="Y112" s="307">
        <v>42460</v>
      </c>
      <c r="Z112" s="103">
        <f>V112</f>
        <v>247060000</v>
      </c>
      <c r="AA112" s="288">
        <v>1</v>
      </c>
      <c r="AB112" s="52">
        <f t="shared" si="17"/>
        <v>0</v>
      </c>
      <c r="AC112" s="142"/>
      <c r="AD112" s="38"/>
      <c r="AE112" s="38"/>
      <c r="AF112" s="38"/>
      <c r="AG112" s="38"/>
      <c r="AH112" s="38"/>
      <c r="AI112" s="38"/>
      <c r="AJ112" s="38"/>
    </row>
    <row r="113" spans="1:36" s="54" customFormat="1" ht="31.5">
      <c r="A113" s="81"/>
      <c r="B113" s="50"/>
      <c r="C113" s="50" t="s">
        <v>151</v>
      </c>
      <c r="D113" s="213" t="s">
        <v>480</v>
      </c>
      <c r="E113" s="51">
        <v>204600000</v>
      </c>
      <c r="F113" s="51"/>
      <c r="G113" s="155">
        <f t="shared" si="14"/>
        <v>204600000</v>
      </c>
      <c r="H113" s="147"/>
      <c r="I113" s="73"/>
      <c r="J113" s="261" t="s">
        <v>478</v>
      </c>
      <c r="K113" s="259" t="s">
        <v>479</v>
      </c>
      <c r="L113" s="207" t="s">
        <v>477</v>
      </c>
      <c r="M113" s="163" t="s">
        <v>827</v>
      </c>
      <c r="N113" s="51">
        <v>204600000</v>
      </c>
      <c r="O113" s="51"/>
      <c r="P113" s="155">
        <v>204600000</v>
      </c>
      <c r="Q113" s="103"/>
      <c r="R113" s="103"/>
      <c r="S113" s="103"/>
      <c r="T113" s="103"/>
      <c r="U113" s="103"/>
      <c r="V113" s="103">
        <v>204600000</v>
      </c>
      <c r="W113" s="140" t="s">
        <v>591</v>
      </c>
      <c r="X113" s="141"/>
      <c r="Y113" s="307">
        <v>42460</v>
      </c>
      <c r="Z113" s="103">
        <f>V113</f>
        <v>204600000</v>
      </c>
      <c r="AA113" s="288">
        <v>1</v>
      </c>
      <c r="AB113" s="52">
        <f t="shared" si="17"/>
        <v>0</v>
      </c>
      <c r="AC113" s="142"/>
      <c r="AD113" s="38"/>
      <c r="AE113" s="38"/>
      <c r="AF113" s="38"/>
      <c r="AG113" s="38"/>
      <c r="AH113" s="38"/>
      <c r="AI113" s="38"/>
      <c r="AJ113" s="38"/>
    </row>
    <row r="114" spans="1:36" s="54" customFormat="1" ht="47.25">
      <c r="A114" s="81"/>
      <c r="B114" s="50"/>
      <c r="C114" s="50" t="s">
        <v>152</v>
      </c>
      <c r="D114" s="213" t="s">
        <v>483</v>
      </c>
      <c r="E114" s="51">
        <v>18222600</v>
      </c>
      <c r="F114" s="51"/>
      <c r="G114" s="155">
        <f t="shared" si="14"/>
        <v>18222600</v>
      </c>
      <c r="H114" s="147"/>
      <c r="I114" s="73"/>
      <c r="J114" s="261" t="s">
        <v>481</v>
      </c>
      <c r="K114" s="259" t="s">
        <v>482</v>
      </c>
      <c r="L114" s="207" t="s">
        <v>387</v>
      </c>
      <c r="M114" s="163" t="s">
        <v>483</v>
      </c>
      <c r="N114" s="51">
        <v>18222600</v>
      </c>
      <c r="O114" s="51"/>
      <c r="P114" s="155">
        <v>18222600</v>
      </c>
      <c r="Q114" s="103"/>
      <c r="R114" s="103"/>
      <c r="S114" s="103"/>
      <c r="T114" s="103"/>
      <c r="U114" s="103"/>
      <c r="V114" s="103">
        <v>18222600</v>
      </c>
      <c r="W114" s="140" t="s">
        <v>586</v>
      </c>
      <c r="X114" s="141">
        <v>42362</v>
      </c>
      <c r="Y114" s="307">
        <v>42367</v>
      </c>
      <c r="Z114" s="103">
        <v>18222600</v>
      </c>
      <c r="AA114" s="288">
        <v>1</v>
      </c>
      <c r="AB114" s="52">
        <f t="shared" si="17"/>
        <v>0</v>
      </c>
      <c r="AC114" s="142"/>
      <c r="AD114" s="38"/>
      <c r="AE114" s="38"/>
      <c r="AF114" s="38"/>
      <c r="AG114" s="38"/>
      <c r="AH114" s="38"/>
      <c r="AI114" s="38"/>
      <c r="AJ114" s="38"/>
    </row>
    <row r="115" spans="1:36" s="54" customFormat="1" ht="47.25">
      <c r="A115" s="81"/>
      <c r="B115" s="50"/>
      <c r="C115" s="50" t="s">
        <v>153</v>
      </c>
      <c r="D115" s="213" t="s">
        <v>486</v>
      </c>
      <c r="E115" s="51">
        <v>32249800</v>
      </c>
      <c r="F115" s="51"/>
      <c r="G115" s="155">
        <f t="shared" ref="G115:G124" si="19">E115+F115</f>
        <v>32249800</v>
      </c>
      <c r="H115" s="147"/>
      <c r="I115" s="73"/>
      <c r="J115" s="261" t="s">
        <v>484</v>
      </c>
      <c r="K115" s="259" t="s">
        <v>485</v>
      </c>
      <c r="L115" s="207" t="s">
        <v>387</v>
      </c>
      <c r="M115" s="163" t="s">
        <v>486</v>
      </c>
      <c r="N115" s="51">
        <v>32249800</v>
      </c>
      <c r="O115" s="51"/>
      <c r="P115" s="155">
        <v>32249800</v>
      </c>
      <c r="Q115" s="103"/>
      <c r="R115" s="103"/>
      <c r="S115" s="103"/>
      <c r="T115" s="103"/>
      <c r="U115" s="103"/>
      <c r="V115" s="103">
        <v>32249800</v>
      </c>
      <c r="W115" s="140" t="s">
        <v>587</v>
      </c>
      <c r="X115" s="141">
        <v>42362</v>
      </c>
      <c r="Y115" s="307">
        <v>42374</v>
      </c>
      <c r="Z115" s="103">
        <v>32249800</v>
      </c>
      <c r="AA115" s="288">
        <v>1</v>
      </c>
      <c r="AB115" s="52">
        <f t="shared" si="17"/>
        <v>0</v>
      </c>
      <c r="AC115" s="142"/>
      <c r="AD115" s="38"/>
      <c r="AE115" s="38"/>
      <c r="AF115" s="38"/>
      <c r="AG115" s="38"/>
      <c r="AH115" s="38"/>
      <c r="AI115" s="38"/>
      <c r="AJ115" s="38"/>
    </row>
    <row r="116" spans="1:36" s="54" customFormat="1" ht="47.25">
      <c r="A116" s="81"/>
      <c r="B116" s="50"/>
      <c r="C116" s="50" t="s">
        <v>154</v>
      </c>
      <c r="D116" s="213" t="s">
        <v>489</v>
      </c>
      <c r="E116" s="51">
        <v>22990000</v>
      </c>
      <c r="F116" s="51"/>
      <c r="G116" s="155">
        <f t="shared" si="19"/>
        <v>22990000</v>
      </c>
      <c r="H116" s="147"/>
      <c r="I116" s="73"/>
      <c r="J116" s="261" t="s">
        <v>487</v>
      </c>
      <c r="K116" s="259" t="s">
        <v>488</v>
      </c>
      <c r="L116" s="207" t="s">
        <v>387</v>
      </c>
      <c r="M116" s="163" t="s">
        <v>489</v>
      </c>
      <c r="N116" s="51">
        <v>22990000</v>
      </c>
      <c r="O116" s="51"/>
      <c r="P116" s="155">
        <v>22990000</v>
      </c>
      <c r="Q116" s="103"/>
      <c r="R116" s="103"/>
      <c r="S116" s="103"/>
      <c r="T116" s="103"/>
      <c r="U116" s="103"/>
      <c r="V116" s="103">
        <v>22990000</v>
      </c>
      <c r="W116" s="140" t="s">
        <v>586</v>
      </c>
      <c r="X116" s="141">
        <v>42362</v>
      </c>
      <c r="Y116" s="307">
        <v>42367</v>
      </c>
      <c r="Z116" s="103">
        <v>22990000</v>
      </c>
      <c r="AA116" s="288">
        <v>1</v>
      </c>
      <c r="AB116" s="52">
        <f t="shared" si="17"/>
        <v>0</v>
      </c>
      <c r="AC116" s="142"/>
      <c r="AD116" s="38"/>
      <c r="AE116" s="38"/>
      <c r="AF116" s="38"/>
      <c r="AG116" s="38"/>
      <c r="AH116" s="38"/>
      <c r="AI116" s="38"/>
      <c r="AJ116" s="38"/>
    </row>
    <row r="117" spans="1:36" s="54" customFormat="1" ht="31.5">
      <c r="A117" s="81"/>
      <c r="B117" s="50"/>
      <c r="C117" s="50" t="s">
        <v>155</v>
      </c>
      <c r="D117" s="213" t="s">
        <v>491</v>
      </c>
      <c r="E117" s="51">
        <v>19162000</v>
      </c>
      <c r="F117" s="51"/>
      <c r="G117" s="155">
        <f t="shared" si="19"/>
        <v>19162000</v>
      </c>
      <c r="H117" s="147"/>
      <c r="I117" s="73"/>
      <c r="J117" s="261" t="s">
        <v>490</v>
      </c>
      <c r="K117" s="309" t="s">
        <v>558</v>
      </c>
      <c r="L117" s="207" t="s">
        <v>387</v>
      </c>
      <c r="M117" s="163" t="s">
        <v>491</v>
      </c>
      <c r="N117" s="51">
        <v>19162000</v>
      </c>
      <c r="O117" s="51"/>
      <c r="P117" s="155">
        <v>19162000</v>
      </c>
      <c r="Q117" s="103"/>
      <c r="R117" s="103"/>
      <c r="S117" s="103"/>
      <c r="T117" s="103"/>
      <c r="U117" s="103"/>
      <c r="V117" s="103">
        <v>19162000</v>
      </c>
      <c r="W117" s="140" t="s">
        <v>555</v>
      </c>
      <c r="X117" s="141"/>
      <c r="Y117" s="305">
        <v>42397</v>
      </c>
      <c r="Z117" s="310">
        <v>19162000</v>
      </c>
      <c r="AA117" s="288">
        <v>1</v>
      </c>
      <c r="AB117" s="52">
        <f t="shared" si="17"/>
        <v>0</v>
      </c>
      <c r="AC117" s="142"/>
      <c r="AD117" s="38"/>
      <c r="AE117" s="38"/>
      <c r="AF117" s="38"/>
      <c r="AG117" s="38"/>
      <c r="AH117" s="38"/>
      <c r="AI117" s="38"/>
      <c r="AJ117" s="38"/>
    </row>
    <row r="118" spans="1:36" s="54" customFormat="1" ht="31.5">
      <c r="A118" s="81"/>
      <c r="B118" s="50"/>
      <c r="C118" s="50" t="s">
        <v>156</v>
      </c>
      <c r="D118" s="213" t="s">
        <v>493</v>
      </c>
      <c r="E118" s="51">
        <v>16843200</v>
      </c>
      <c r="F118" s="51"/>
      <c r="G118" s="155">
        <f t="shared" si="19"/>
        <v>16843200</v>
      </c>
      <c r="H118" s="147"/>
      <c r="I118" s="73"/>
      <c r="J118" s="261" t="s">
        <v>492</v>
      </c>
      <c r="K118" s="261" t="s">
        <v>716</v>
      </c>
      <c r="L118" s="207" t="s">
        <v>387</v>
      </c>
      <c r="M118" s="163" t="s">
        <v>493</v>
      </c>
      <c r="N118" s="51">
        <v>16843200</v>
      </c>
      <c r="O118" s="51"/>
      <c r="P118" s="155">
        <v>16843200</v>
      </c>
      <c r="Q118" s="103"/>
      <c r="R118" s="103"/>
      <c r="S118" s="103"/>
      <c r="T118" s="103"/>
      <c r="U118" s="103"/>
      <c r="V118" s="103">
        <v>16843200</v>
      </c>
      <c r="W118" s="140" t="s">
        <v>586</v>
      </c>
      <c r="X118" s="141">
        <v>42362</v>
      </c>
      <c r="Y118" s="307">
        <v>42367</v>
      </c>
      <c r="Z118" s="103">
        <v>16843200</v>
      </c>
      <c r="AA118" s="288">
        <v>1</v>
      </c>
      <c r="AB118" s="52">
        <f t="shared" si="17"/>
        <v>0</v>
      </c>
      <c r="AC118" s="142"/>
      <c r="AD118" s="38"/>
      <c r="AE118" s="38"/>
      <c r="AF118" s="38"/>
      <c r="AG118" s="38"/>
      <c r="AH118" s="38"/>
      <c r="AI118" s="38"/>
      <c r="AJ118" s="38"/>
    </row>
    <row r="119" spans="1:36" s="54" customFormat="1" ht="47.25">
      <c r="A119" s="81"/>
      <c r="B119" s="50"/>
      <c r="C119" s="50" t="s">
        <v>157</v>
      </c>
      <c r="D119" s="223" t="s">
        <v>496</v>
      </c>
      <c r="E119" s="51">
        <v>85250000</v>
      </c>
      <c r="F119" s="51"/>
      <c r="G119" s="155">
        <f t="shared" si="19"/>
        <v>85250000</v>
      </c>
      <c r="H119" s="147"/>
      <c r="I119" s="73"/>
      <c r="J119" s="261" t="s">
        <v>494</v>
      </c>
      <c r="K119" s="257" t="s">
        <v>495</v>
      </c>
      <c r="L119" s="255" t="s">
        <v>168</v>
      </c>
      <c r="M119" s="223" t="s">
        <v>496</v>
      </c>
      <c r="N119" s="51">
        <v>85250000</v>
      </c>
      <c r="O119" s="51"/>
      <c r="P119" s="155">
        <v>85250000</v>
      </c>
      <c r="Q119" s="264"/>
      <c r="R119" s="264"/>
      <c r="S119" s="264"/>
      <c r="T119" s="264"/>
      <c r="U119" s="264"/>
      <c r="V119" s="264">
        <v>85250000</v>
      </c>
      <c r="W119" s="140" t="s">
        <v>557</v>
      </c>
      <c r="X119" s="141"/>
      <c r="Y119" s="305">
        <v>42397</v>
      </c>
      <c r="Z119" s="310">
        <v>85250000</v>
      </c>
      <c r="AA119" s="288">
        <v>1</v>
      </c>
      <c r="AB119" s="52">
        <f t="shared" si="17"/>
        <v>0</v>
      </c>
      <c r="AC119" s="142"/>
      <c r="AD119" s="38"/>
      <c r="AE119" s="38"/>
      <c r="AF119" s="38"/>
      <c r="AG119" s="38"/>
      <c r="AH119" s="38"/>
      <c r="AI119" s="38"/>
      <c r="AJ119" s="38"/>
    </row>
    <row r="120" spans="1:36" s="54" customFormat="1" ht="47.25">
      <c r="A120" s="81"/>
      <c r="B120" s="50"/>
      <c r="C120" s="50" t="s">
        <v>158</v>
      </c>
      <c r="D120" s="265" t="s">
        <v>498</v>
      </c>
      <c r="E120" s="51">
        <v>269500000</v>
      </c>
      <c r="F120" s="51"/>
      <c r="G120" s="155">
        <f t="shared" si="19"/>
        <v>269500000</v>
      </c>
      <c r="H120" s="147"/>
      <c r="I120" s="73"/>
      <c r="J120" s="261" t="s">
        <v>497</v>
      </c>
      <c r="K120" s="423" t="s">
        <v>717</v>
      </c>
      <c r="L120" s="279" t="s">
        <v>342</v>
      </c>
      <c r="M120" s="265" t="s">
        <v>498</v>
      </c>
      <c r="N120" s="51">
        <v>269390000</v>
      </c>
      <c r="O120" s="51"/>
      <c r="P120" s="155">
        <f t="shared" ref="P120:P125" si="20">N120+O120</f>
        <v>269390000</v>
      </c>
      <c r="Q120" s="266"/>
      <c r="R120" s="266"/>
      <c r="S120" s="266"/>
      <c r="T120" s="266"/>
      <c r="U120" s="266"/>
      <c r="V120" s="103">
        <f>P120</f>
        <v>269390000</v>
      </c>
      <c r="W120" s="140" t="s">
        <v>969</v>
      </c>
      <c r="X120" s="141"/>
      <c r="Y120" s="307">
        <v>42475</v>
      </c>
      <c r="Z120" s="103">
        <f>V120</f>
        <v>269390000</v>
      </c>
      <c r="AA120" s="288">
        <v>1</v>
      </c>
      <c r="AB120" s="52">
        <f t="shared" si="17"/>
        <v>110000</v>
      </c>
      <c r="AC120" s="142"/>
      <c r="AD120" s="38"/>
      <c r="AE120" s="38"/>
      <c r="AF120" s="38"/>
      <c r="AG120" s="38"/>
      <c r="AH120" s="38"/>
      <c r="AI120" s="38"/>
      <c r="AJ120" s="38"/>
    </row>
    <row r="121" spans="1:36" s="54" customFormat="1" ht="47.25">
      <c r="A121" s="81"/>
      <c r="B121" s="50"/>
      <c r="C121" s="50" t="s">
        <v>159</v>
      </c>
      <c r="D121" s="265" t="s">
        <v>500</v>
      </c>
      <c r="E121" s="51">
        <v>44621940</v>
      </c>
      <c r="F121" s="51"/>
      <c r="G121" s="155">
        <f t="shared" si="19"/>
        <v>44621940</v>
      </c>
      <c r="H121" s="147"/>
      <c r="I121" s="73"/>
      <c r="J121" s="261" t="s">
        <v>499</v>
      </c>
      <c r="K121" s="259" t="s">
        <v>718</v>
      </c>
      <c r="L121" s="279" t="s">
        <v>342</v>
      </c>
      <c r="M121" s="265" t="s">
        <v>500</v>
      </c>
      <c r="N121" s="447">
        <v>44220000</v>
      </c>
      <c r="O121" s="51"/>
      <c r="P121" s="155">
        <f t="shared" si="20"/>
        <v>44220000</v>
      </c>
      <c r="Q121" s="267"/>
      <c r="R121" s="266"/>
      <c r="S121" s="266"/>
      <c r="T121" s="266"/>
      <c r="U121" s="266"/>
      <c r="V121" s="266">
        <f>P121</f>
        <v>44220000</v>
      </c>
      <c r="W121" s="140" t="s">
        <v>844</v>
      </c>
      <c r="X121" s="307">
        <v>42461</v>
      </c>
      <c r="Y121" s="307">
        <v>42468</v>
      </c>
      <c r="Z121" s="103">
        <f>V121</f>
        <v>44220000</v>
      </c>
      <c r="AA121" s="288">
        <v>1</v>
      </c>
      <c r="AB121" s="52">
        <f t="shared" si="17"/>
        <v>401940</v>
      </c>
      <c r="AC121" s="142"/>
      <c r="AD121" s="38"/>
      <c r="AE121" s="38"/>
      <c r="AF121" s="38"/>
      <c r="AG121" s="38"/>
      <c r="AH121" s="38"/>
      <c r="AI121" s="38"/>
      <c r="AJ121" s="38"/>
    </row>
    <row r="122" spans="1:36" s="54" customFormat="1" ht="63">
      <c r="A122" s="81"/>
      <c r="B122" s="50"/>
      <c r="C122" s="50" t="s">
        <v>160</v>
      </c>
      <c r="D122" s="265" t="s">
        <v>502</v>
      </c>
      <c r="E122" s="51">
        <v>278589190</v>
      </c>
      <c r="F122" s="51"/>
      <c r="G122" s="155">
        <f t="shared" si="19"/>
        <v>278589190</v>
      </c>
      <c r="H122" s="147"/>
      <c r="I122" s="73"/>
      <c r="J122" s="261" t="s">
        <v>501</v>
      </c>
      <c r="K122" s="423" t="s">
        <v>719</v>
      </c>
      <c r="L122" s="279" t="s">
        <v>376</v>
      </c>
      <c r="M122" s="265" t="s">
        <v>502</v>
      </c>
      <c r="N122" s="51">
        <v>278080000</v>
      </c>
      <c r="O122" s="51"/>
      <c r="P122" s="155">
        <f t="shared" si="20"/>
        <v>278080000</v>
      </c>
      <c r="Q122" s="266"/>
      <c r="R122" s="266"/>
      <c r="S122" s="266"/>
      <c r="T122" s="266"/>
      <c r="U122" s="266"/>
      <c r="V122" s="103">
        <f>P122</f>
        <v>278080000</v>
      </c>
      <c r="W122" s="140" t="s">
        <v>969</v>
      </c>
      <c r="X122" s="141"/>
      <c r="Y122" s="307">
        <v>42475</v>
      </c>
      <c r="Z122" s="103">
        <f>V122</f>
        <v>278080000</v>
      </c>
      <c r="AA122" s="288">
        <v>1</v>
      </c>
      <c r="AB122" s="52">
        <f t="shared" si="17"/>
        <v>509190</v>
      </c>
      <c r="AC122" s="142"/>
      <c r="AD122" s="38"/>
      <c r="AE122" s="38"/>
      <c r="AF122" s="38"/>
      <c r="AG122" s="38"/>
      <c r="AH122" s="38"/>
      <c r="AI122" s="38"/>
      <c r="AJ122" s="38"/>
    </row>
    <row r="123" spans="1:36" s="54" customFormat="1" ht="63">
      <c r="A123" s="81"/>
      <c r="B123" s="50"/>
      <c r="C123" s="50" t="s">
        <v>161</v>
      </c>
      <c r="D123" s="265" t="s">
        <v>504</v>
      </c>
      <c r="E123" s="51">
        <v>288127620</v>
      </c>
      <c r="F123" s="51"/>
      <c r="G123" s="155">
        <f t="shared" si="19"/>
        <v>288127620</v>
      </c>
      <c r="H123" s="147"/>
      <c r="I123" s="73"/>
      <c r="J123" s="261" t="s">
        <v>503</v>
      </c>
      <c r="K123" s="423" t="s">
        <v>720</v>
      </c>
      <c r="L123" s="279" t="s">
        <v>342</v>
      </c>
      <c r="M123" s="265" t="s">
        <v>504</v>
      </c>
      <c r="N123" s="51">
        <v>287870000</v>
      </c>
      <c r="O123" s="51"/>
      <c r="P123" s="155">
        <f t="shared" si="20"/>
        <v>287870000</v>
      </c>
      <c r="Q123" s="266"/>
      <c r="R123" s="266"/>
      <c r="S123" s="266"/>
      <c r="T123" s="266"/>
      <c r="U123" s="266"/>
      <c r="V123" s="103">
        <f>P123</f>
        <v>287870000</v>
      </c>
      <c r="W123" s="140" t="s">
        <v>969</v>
      </c>
      <c r="X123" s="141"/>
      <c r="Y123" s="307">
        <v>42475</v>
      </c>
      <c r="Z123" s="103">
        <f>V123</f>
        <v>287870000</v>
      </c>
      <c r="AA123" s="288">
        <v>1</v>
      </c>
      <c r="AB123" s="52">
        <f t="shared" si="17"/>
        <v>257620</v>
      </c>
      <c r="AC123" s="142"/>
      <c r="AD123" s="38"/>
      <c r="AE123" s="38"/>
      <c r="AF123" s="38"/>
      <c r="AG123" s="38"/>
      <c r="AH123" s="38"/>
      <c r="AI123" s="38"/>
      <c r="AJ123" s="38"/>
    </row>
    <row r="124" spans="1:36" s="54" customFormat="1" ht="63">
      <c r="A124" s="81"/>
      <c r="B124" s="50"/>
      <c r="C124" s="50" t="s">
        <v>162</v>
      </c>
      <c r="D124" s="284" t="s">
        <v>506</v>
      </c>
      <c r="E124" s="51">
        <v>287732280</v>
      </c>
      <c r="F124" s="51"/>
      <c r="G124" s="155">
        <f t="shared" si="19"/>
        <v>287732280</v>
      </c>
      <c r="H124" s="147"/>
      <c r="I124" s="73"/>
      <c r="J124" s="261" t="s">
        <v>505</v>
      </c>
      <c r="K124" s="423" t="s">
        <v>721</v>
      </c>
      <c r="L124" s="279" t="s">
        <v>722</v>
      </c>
      <c r="M124" s="265" t="s">
        <v>506</v>
      </c>
      <c r="N124" s="51">
        <v>287430000</v>
      </c>
      <c r="O124" s="51"/>
      <c r="P124" s="155">
        <f t="shared" si="20"/>
        <v>287430000</v>
      </c>
      <c r="Q124" s="268"/>
      <c r="R124" s="268"/>
      <c r="S124" s="268"/>
      <c r="T124" s="268"/>
      <c r="U124" s="268"/>
      <c r="V124" s="103">
        <f>P124</f>
        <v>287430000</v>
      </c>
      <c r="W124" s="140" t="s">
        <v>969</v>
      </c>
      <c r="X124" s="141"/>
      <c r="Y124" s="307">
        <v>42475</v>
      </c>
      <c r="Z124" s="103">
        <f>V124</f>
        <v>287430000</v>
      </c>
      <c r="AA124" s="288">
        <v>1</v>
      </c>
      <c r="AB124" s="52">
        <f t="shared" si="17"/>
        <v>302280</v>
      </c>
      <c r="AC124" s="142"/>
      <c r="AD124" s="38"/>
      <c r="AE124" s="38"/>
      <c r="AF124" s="38"/>
      <c r="AG124" s="38"/>
      <c r="AH124" s="38"/>
      <c r="AI124" s="38"/>
      <c r="AJ124" s="38"/>
    </row>
    <row r="125" spans="1:36" s="54" customFormat="1">
      <c r="A125" s="561"/>
      <c r="B125" s="562"/>
      <c r="C125" s="562"/>
      <c r="D125" s="1139"/>
      <c r="E125" s="344"/>
      <c r="F125" s="344"/>
      <c r="G125" s="345"/>
      <c r="H125" s="1140"/>
      <c r="I125" s="1116"/>
      <c r="J125" s="276"/>
      <c r="K125" s="256"/>
      <c r="L125" s="346"/>
      <c r="M125" s="72"/>
      <c r="N125" s="344"/>
      <c r="O125" s="344">
        <v>0</v>
      </c>
      <c r="P125" s="155">
        <f t="shared" si="20"/>
        <v>0</v>
      </c>
      <c r="Q125" s="344"/>
      <c r="R125" s="344"/>
      <c r="S125" s="344"/>
      <c r="T125" s="344"/>
      <c r="U125" s="344"/>
      <c r="V125" s="262"/>
      <c r="W125" s="349"/>
      <c r="X125" s="350"/>
      <c r="Y125" s="350"/>
      <c r="Z125" s="264"/>
      <c r="AA125" s="351"/>
      <c r="AB125" s="433">
        <f t="shared" si="17"/>
        <v>0</v>
      </c>
      <c r="AC125" s="1143"/>
      <c r="AD125" s="38"/>
      <c r="AE125" s="38"/>
      <c r="AF125" s="38"/>
      <c r="AG125" s="38"/>
      <c r="AH125" s="38"/>
      <c r="AI125" s="38"/>
      <c r="AJ125" s="38"/>
    </row>
    <row r="126" spans="1:36" s="54" customFormat="1">
      <c r="A126" s="561"/>
      <c r="B126" s="562"/>
      <c r="C126" s="562"/>
      <c r="D126" s="1139"/>
      <c r="E126" s="344"/>
      <c r="F126" s="344"/>
      <c r="G126" s="345"/>
      <c r="H126" s="1140"/>
      <c r="I126" s="1116"/>
      <c r="J126" s="276"/>
      <c r="K126" s="257"/>
      <c r="L126" s="255"/>
      <c r="M126" s="223"/>
      <c r="N126" s="344"/>
      <c r="O126" s="344"/>
      <c r="P126" s="345"/>
      <c r="Q126" s="344"/>
      <c r="R126" s="344"/>
      <c r="S126" s="344"/>
      <c r="T126" s="344"/>
      <c r="U126" s="344"/>
      <c r="V126" s="264"/>
      <c r="W126" s="349"/>
      <c r="X126" s="350"/>
      <c r="Y126" s="1142"/>
      <c r="Z126" s="264"/>
      <c r="AA126" s="351"/>
      <c r="AB126" s="366"/>
      <c r="AC126" s="1143"/>
      <c r="AD126" s="38"/>
      <c r="AE126" s="38"/>
      <c r="AF126" s="38"/>
      <c r="AG126" s="38"/>
      <c r="AH126" s="38"/>
      <c r="AI126" s="38"/>
      <c r="AJ126" s="38"/>
    </row>
    <row r="127" spans="1:36" s="54" customFormat="1" ht="16.5" thickBot="1">
      <c r="A127" s="561"/>
      <c r="B127" s="562"/>
      <c r="C127" s="562"/>
      <c r="D127" s="1139"/>
      <c r="E127" s="344"/>
      <c r="F127" s="344"/>
      <c r="G127" s="345"/>
      <c r="H127" s="1140"/>
      <c r="I127" s="1116"/>
      <c r="J127" s="1141"/>
      <c r="K127" s="257"/>
      <c r="L127" s="255"/>
      <c r="M127" s="223"/>
      <c r="N127" s="344"/>
      <c r="O127" s="344"/>
      <c r="P127" s="345"/>
      <c r="Q127" s="344"/>
      <c r="R127" s="344"/>
      <c r="S127" s="344"/>
      <c r="T127" s="344"/>
      <c r="U127" s="344"/>
      <c r="V127" s="264"/>
      <c r="W127" s="349"/>
      <c r="X127" s="350"/>
      <c r="Y127" s="1142"/>
      <c r="Z127" s="264"/>
      <c r="AA127" s="351"/>
      <c r="AB127" s="366"/>
      <c r="AC127" s="1143"/>
      <c r="AD127" s="38"/>
      <c r="AE127" s="38"/>
      <c r="AF127" s="38"/>
      <c r="AG127" s="38"/>
      <c r="AH127" s="38"/>
      <c r="AI127" s="38"/>
      <c r="AJ127" s="38"/>
    </row>
    <row r="128" spans="1:36" s="340" customFormat="1" ht="15.75" customHeight="1" thickBot="1">
      <c r="A128" s="2741" t="s">
        <v>75</v>
      </c>
      <c r="B128" s="2742"/>
      <c r="C128" s="2742"/>
      <c r="D128" s="2743"/>
      <c r="E128" s="333">
        <f>SUM(E35:E124)</f>
        <v>5927834258</v>
      </c>
      <c r="F128" s="333">
        <f>SUM(F35:F124)</f>
        <v>901989040</v>
      </c>
      <c r="G128" s="333">
        <f>SUM(G35:G124)</f>
        <v>7609686369</v>
      </c>
      <c r="H128" s="333"/>
      <c r="I128" s="333"/>
      <c r="J128" s="333"/>
      <c r="K128" s="333"/>
      <c r="L128" s="333"/>
      <c r="M128" s="333"/>
      <c r="N128" s="333">
        <f>SUM(N35+N36+N37+N38+N39+N40+N41+N42+N43+N44+N45+N46+N47+N48+N49+N50+N53+N54+N55+N56+N57+N58+N61+N62+N63+N64+N65+N66+N67+N68+N69+N70+N71+N72+N73+N74+N75+N76+N77+N78+N79+N80+N81+N82+N83+N88+N91+N92+N93+N94+N95+N96+N97+N98+N99+N100+N101+N102+N103+N104+N105+N106+N107+N110+N111+N112+N113+N114+N115+N116+N117+N118+N119+N120+N121+N122+N123+N124)</f>
        <v>5863302366</v>
      </c>
      <c r="O128" s="333">
        <f t="shared" ref="O128:V128" si="21">SUM(O35+O36+O37+O38+O39+O40+O41+O42+O43+O44+O45+O46+O47+O48+O49+O50+O53+O54+O55+O56+O57+O58+O61+O62+O63+O64+O65+O66+O67+O68+O69+O70+O71+O72+O73+O74+O75+O76+O77+O78+O79+O80+O81+O82+O83+O88+O91+O92+O93+O94+O95+O96+O97+O98+O99+O100+O101+O102+O103+O104+O105+O106+O107+O110+O111+O112+O113+O114+O115+O116+O117+O118+O119+O120+O121+O122+O123+O124)</f>
        <v>936751240</v>
      </c>
      <c r="P128" s="333">
        <f t="shared" si="21"/>
        <v>6800639906</v>
      </c>
      <c r="Q128" s="333">
        <f t="shared" si="21"/>
        <v>0</v>
      </c>
      <c r="R128" s="333">
        <f t="shared" si="21"/>
        <v>0</v>
      </c>
      <c r="S128" s="333">
        <f t="shared" si="21"/>
        <v>0</v>
      </c>
      <c r="T128" s="333">
        <f t="shared" si="21"/>
        <v>0</v>
      </c>
      <c r="U128" s="333">
        <f t="shared" si="21"/>
        <v>0</v>
      </c>
      <c r="V128" s="333">
        <f t="shared" si="21"/>
        <v>6800639906</v>
      </c>
      <c r="W128" s="333"/>
      <c r="X128" s="333"/>
      <c r="Y128" s="333"/>
      <c r="Z128" s="333">
        <f>SUM(Z35+Z36+Z37+Z38+Z39+Z40+Z41+Z42+Z43+Z44+Z45+Z46+Z47+Z48+Z49+Z50+Z53+Z54+Z55+Z56+Z57+Z58+Z61+Z62+Z63+Z64+Z65+Z66+Z67+Z68+Z69+Z70+Z71+Z72+Z73+Z74+Z75+Z76+Z77+Z78+Z79+Z80+Z81+Z82+Z83+Z88+Z91+Z92+Z93+Z94+Z95+Z96+Z97+Z98+Z99+Z100+Z101+Z102+Z103+Z104+Z105+Z106+Z107+Z110+Z111+Z112+Z113+Z114+Z115+Z116+Z117+Z118+Z119+Z120+Z121+Z122+Z123+Z124)</f>
        <v>6800639906</v>
      </c>
      <c r="AA128" s="333"/>
      <c r="AB128" s="333">
        <f>SUM(AB35+AB36+AB37+AB38+AB39+AB40+AB41+AB42+AB43+AB44+AB45+AB46+AB47+AB48+AB49+AB50+AB53+AB54+AB55+AB56+AB57+AB58+AB61+AB62+AB63+AB64+AB65+AB66+AB67+AB68+AB69+AB70+AB71+AB72+AB73+AB74+AB75+AB76+AB77+AB78+AB79+AB80+AB81+AB82+AB83+AB88+AB91+AB92+AB93+AB94+AB95+AB96+AB97+AB98+AB99+AB100+AB101+AB102+AB103+AB104+AB105+AB106+AB107+AB110+AB111+AB112+AB113+AB114+AB115+AB116+AB117+AB118+AB119+AB120+AB121+AB122+AB123+AB124)</f>
        <v>29183392</v>
      </c>
      <c r="AC128" s="338"/>
      <c r="AD128" s="38"/>
      <c r="AE128" s="38"/>
      <c r="AF128" s="38"/>
      <c r="AG128" s="38"/>
      <c r="AH128" s="38"/>
      <c r="AI128" s="38"/>
      <c r="AJ128" s="38"/>
    </row>
    <row r="129" spans="1:36" s="54" customFormat="1" ht="15.75" customHeight="1">
      <c r="A129" s="80"/>
      <c r="B129" s="80"/>
      <c r="C129" s="80"/>
      <c r="D129" s="80"/>
      <c r="E129" s="110"/>
      <c r="F129" s="110"/>
      <c r="G129" s="240"/>
      <c r="H129" s="110"/>
      <c r="I129" s="110"/>
      <c r="J129" s="275"/>
      <c r="K129" s="111"/>
      <c r="L129" s="111"/>
      <c r="M129" s="112"/>
      <c r="N129" s="110"/>
      <c r="O129" s="110"/>
      <c r="P129" s="110"/>
      <c r="Q129" s="110"/>
      <c r="R129" s="110"/>
      <c r="S129" s="110"/>
      <c r="T129" s="110"/>
      <c r="U129" s="110"/>
      <c r="V129" s="103"/>
      <c r="W129" s="135"/>
      <c r="X129" s="114"/>
      <c r="Y129" s="114"/>
      <c r="Z129" s="110"/>
      <c r="AA129" s="110"/>
      <c r="AB129" s="110"/>
      <c r="AC129" s="113"/>
      <c r="AD129" s="38"/>
      <c r="AE129" s="38"/>
      <c r="AF129" s="38"/>
      <c r="AG129" s="38"/>
      <c r="AH129" s="38"/>
      <c r="AI129" s="38"/>
      <c r="AJ129" s="38"/>
    </row>
    <row r="130" spans="1:36" s="54" customFormat="1" ht="47.25">
      <c r="A130" s="81">
        <v>3</v>
      </c>
      <c r="B130" s="50" t="s">
        <v>512</v>
      </c>
      <c r="C130" s="50" t="s">
        <v>513</v>
      </c>
      <c r="D130" s="72" t="s">
        <v>514</v>
      </c>
      <c r="E130" s="103"/>
      <c r="F130" s="51">
        <v>1333439000</v>
      </c>
      <c r="G130" s="155">
        <f>E130+F130</f>
        <v>1333439000</v>
      </c>
      <c r="H130" s="379" t="s">
        <v>1149</v>
      </c>
      <c r="I130" s="322">
        <v>42489</v>
      </c>
      <c r="J130" s="276" t="s">
        <v>565</v>
      </c>
      <c r="K130" s="454" t="s">
        <v>1647</v>
      </c>
      <c r="L130" s="250" t="s">
        <v>383</v>
      </c>
      <c r="M130" s="859" t="s">
        <v>1003</v>
      </c>
      <c r="N130" s="51">
        <v>88286000</v>
      </c>
      <c r="O130" s="51"/>
      <c r="P130" s="51">
        <f t="shared" ref="P130:P137" si="22">N130+O130</f>
        <v>88286000</v>
      </c>
      <c r="Q130" s="51"/>
      <c r="R130" s="51"/>
      <c r="S130" s="51"/>
      <c r="T130" s="51"/>
      <c r="U130" s="51"/>
      <c r="V130" s="281">
        <f t="shared" ref="V130:V135" si="23">P130</f>
        <v>88286000</v>
      </c>
      <c r="W130" s="140" t="s">
        <v>1914</v>
      </c>
      <c r="X130" s="141">
        <v>42573</v>
      </c>
      <c r="Y130" s="350">
        <v>42579</v>
      </c>
      <c r="Z130" s="449">
        <f t="shared" ref="Z130:Z137" si="24">V130</f>
        <v>88286000</v>
      </c>
      <c r="AA130" s="456">
        <v>1</v>
      </c>
      <c r="AB130" s="52">
        <f t="shared" ref="AB130:AB137" si="25">+G130-P130</f>
        <v>1245153000</v>
      </c>
      <c r="AC130" s="106"/>
      <c r="AD130" s="38"/>
      <c r="AE130" s="38"/>
      <c r="AF130" s="38"/>
      <c r="AG130" s="38"/>
      <c r="AH130" s="38"/>
      <c r="AI130" s="38"/>
      <c r="AJ130" s="38"/>
    </row>
    <row r="131" spans="1:36" s="451" customFormat="1" ht="47.25">
      <c r="A131" s="82"/>
      <c r="B131" s="153" t="s">
        <v>926</v>
      </c>
      <c r="C131" s="290"/>
      <c r="D131" s="343"/>
      <c r="E131" s="264"/>
      <c r="F131" s="344"/>
      <c r="G131" s="345"/>
      <c r="H131" s="379" t="s">
        <v>1516</v>
      </c>
      <c r="I131" s="322">
        <v>42460</v>
      </c>
      <c r="J131" s="450" t="s">
        <v>617</v>
      </c>
      <c r="K131" s="454" t="s">
        <v>1512</v>
      </c>
      <c r="L131" s="346" t="s">
        <v>387</v>
      </c>
      <c r="M131" s="347" t="s">
        <v>618</v>
      </c>
      <c r="N131" s="344">
        <v>196009000</v>
      </c>
      <c r="O131" s="344"/>
      <c r="P131" s="262">
        <f t="shared" si="22"/>
        <v>196009000</v>
      </c>
      <c r="Q131" s="344"/>
      <c r="R131" s="344"/>
      <c r="S131" s="344"/>
      <c r="T131" s="344"/>
      <c r="U131" s="344"/>
      <c r="V131" s="281">
        <f t="shared" si="23"/>
        <v>196009000</v>
      </c>
      <c r="W131" s="140" t="s">
        <v>1915</v>
      </c>
      <c r="X131" s="141">
        <v>42573</v>
      </c>
      <c r="Y131" s="350">
        <v>42579</v>
      </c>
      <c r="Z131" s="449">
        <f t="shared" si="24"/>
        <v>196009000</v>
      </c>
      <c r="AA131" s="456">
        <v>1</v>
      </c>
      <c r="AB131" s="57">
        <f t="shared" si="25"/>
        <v>-196009000</v>
      </c>
      <c r="AC131" s="352"/>
      <c r="AD131" s="38"/>
      <c r="AE131" s="38"/>
      <c r="AF131" s="38"/>
      <c r="AG131" s="38"/>
      <c r="AH131" s="38"/>
      <c r="AI131" s="38"/>
      <c r="AJ131" s="38"/>
    </row>
    <row r="132" spans="1:36" s="54" customFormat="1" ht="48" thickBot="1">
      <c r="A132" s="452"/>
      <c r="B132" s="564">
        <v>42432</v>
      </c>
      <c r="C132" s="122"/>
      <c r="D132" s="453"/>
      <c r="E132" s="449"/>
      <c r="F132" s="262"/>
      <c r="G132" s="199"/>
      <c r="H132" s="379" t="s">
        <v>945</v>
      </c>
      <c r="I132" s="322">
        <v>42474</v>
      </c>
      <c r="J132" s="450" t="s">
        <v>824</v>
      </c>
      <c r="K132" s="454" t="s">
        <v>1324</v>
      </c>
      <c r="L132" s="331" t="s">
        <v>396</v>
      </c>
      <c r="M132" s="325" t="s">
        <v>823</v>
      </c>
      <c r="N132" s="262">
        <v>281822053</v>
      </c>
      <c r="O132" s="262"/>
      <c r="P132" s="262">
        <f t="shared" si="22"/>
        <v>281822053</v>
      </c>
      <c r="Q132" s="262"/>
      <c r="R132" s="262"/>
      <c r="S132" s="262"/>
      <c r="T132" s="262"/>
      <c r="U132" s="262"/>
      <c r="V132" s="455">
        <f t="shared" si="23"/>
        <v>281822053</v>
      </c>
      <c r="W132" s="326" t="s">
        <v>1805</v>
      </c>
      <c r="X132" s="327">
        <v>42543</v>
      </c>
      <c r="Y132" s="327">
        <v>42549</v>
      </c>
      <c r="Z132" s="449">
        <f t="shared" si="24"/>
        <v>281822053</v>
      </c>
      <c r="AA132" s="456">
        <v>1</v>
      </c>
      <c r="AB132" s="57">
        <f t="shared" si="25"/>
        <v>-281822053</v>
      </c>
      <c r="AC132" s="109"/>
      <c r="AD132" s="38"/>
      <c r="AE132" s="38"/>
      <c r="AF132" s="38"/>
      <c r="AG132" s="38"/>
      <c r="AH132" s="38"/>
      <c r="AI132" s="38"/>
      <c r="AJ132" s="38"/>
    </row>
    <row r="133" spans="1:36" s="451" customFormat="1" ht="47.25">
      <c r="A133" s="452"/>
      <c r="B133" s="564"/>
      <c r="C133" s="290"/>
      <c r="D133" s="453"/>
      <c r="E133" s="449"/>
      <c r="F133" s="262"/>
      <c r="G133" s="199"/>
      <c r="H133" s="379" t="s">
        <v>946</v>
      </c>
      <c r="I133" s="322">
        <v>42474</v>
      </c>
      <c r="J133" s="450" t="s">
        <v>825</v>
      </c>
      <c r="K133" s="454" t="s">
        <v>1323</v>
      </c>
      <c r="L133" s="331" t="s">
        <v>336</v>
      </c>
      <c r="M133" s="325" t="s">
        <v>823</v>
      </c>
      <c r="N133" s="1016">
        <v>163291478</v>
      </c>
      <c r="O133" s="262"/>
      <c r="P133" s="262">
        <f t="shared" si="22"/>
        <v>163291478</v>
      </c>
      <c r="Q133" s="262"/>
      <c r="R133" s="262"/>
      <c r="S133" s="262"/>
      <c r="T133" s="262"/>
      <c r="U133" s="262"/>
      <c r="V133" s="455">
        <f t="shared" si="23"/>
        <v>163291478</v>
      </c>
      <c r="W133" s="326" t="s">
        <v>1805</v>
      </c>
      <c r="X133" s="327">
        <v>42543</v>
      </c>
      <c r="Y133" s="327">
        <v>42549</v>
      </c>
      <c r="Z133" s="449">
        <f t="shared" si="24"/>
        <v>163291478</v>
      </c>
      <c r="AA133" s="456">
        <v>1</v>
      </c>
      <c r="AB133" s="57">
        <f t="shared" si="25"/>
        <v>-163291478</v>
      </c>
      <c r="AC133" s="109"/>
      <c r="AD133" s="38"/>
      <c r="AE133" s="38"/>
      <c r="AF133" s="38"/>
      <c r="AG133" s="38"/>
      <c r="AH133" s="38"/>
      <c r="AI133" s="38"/>
      <c r="AJ133" s="38"/>
    </row>
    <row r="134" spans="1:36" s="451" customFormat="1" ht="47.25">
      <c r="A134" s="452"/>
      <c r="B134" s="564"/>
      <c r="C134" s="290"/>
      <c r="D134" s="453"/>
      <c r="E134" s="449"/>
      <c r="F134" s="262"/>
      <c r="G134" s="199"/>
      <c r="H134" s="379" t="s">
        <v>1148</v>
      </c>
      <c r="I134" s="322">
        <v>42489</v>
      </c>
      <c r="J134" s="450" t="s">
        <v>951</v>
      </c>
      <c r="K134" s="454" t="s">
        <v>1790</v>
      </c>
      <c r="L134" s="331" t="s">
        <v>715</v>
      </c>
      <c r="M134" s="325" t="s">
        <v>1002</v>
      </c>
      <c r="N134" s="262">
        <v>245217500</v>
      </c>
      <c r="O134" s="262"/>
      <c r="P134" s="262">
        <f t="shared" si="22"/>
        <v>245217500</v>
      </c>
      <c r="Q134" s="262"/>
      <c r="R134" s="262"/>
      <c r="S134" s="262"/>
      <c r="T134" s="262"/>
      <c r="U134" s="262"/>
      <c r="V134" s="455">
        <f t="shared" si="23"/>
        <v>245217500</v>
      </c>
      <c r="W134" s="140" t="s">
        <v>2693</v>
      </c>
      <c r="X134" s="141">
        <v>42646</v>
      </c>
      <c r="Y134" s="141">
        <v>42650</v>
      </c>
      <c r="Z134" s="103">
        <f t="shared" si="24"/>
        <v>245217500</v>
      </c>
      <c r="AA134" s="288">
        <v>1</v>
      </c>
      <c r="AB134" s="57">
        <f t="shared" si="25"/>
        <v>-245217500</v>
      </c>
      <c r="AC134" s="109"/>
      <c r="AD134" s="38"/>
      <c r="AE134" s="38"/>
      <c r="AF134" s="38"/>
      <c r="AG134" s="967"/>
      <c r="AH134" s="38"/>
      <c r="AI134" s="38"/>
      <c r="AJ134" s="38"/>
    </row>
    <row r="135" spans="1:36" s="451" customFormat="1" ht="31.5">
      <c r="A135" s="452"/>
      <c r="B135" s="564"/>
      <c r="C135" s="290"/>
      <c r="D135" s="453"/>
      <c r="E135" s="449"/>
      <c r="F135" s="262"/>
      <c r="G135" s="199"/>
      <c r="H135" s="379"/>
      <c r="I135" s="322"/>
      <c r="J135" s="450" t="s">
        <v>1418</v>
      </c>
      <c r="K135" s="454"/>
      <c r="L135" s="331"/>
      <c r="M135" s="325" t="s">
        <v>1419</v>
      </c>
      <c r="N135" s="262"/>
      <c r="O135" s="262">
        <v>9499600</v>
      </c>
      <c r="P135" s="262">
        <f t="shared" si="22"/>
        <v>9499600</v>
      </c>
      <c r="Q135" s="262"/>
      <c r="R135" s="262"/>
      <c r="S135" s="262"/>
      <c r="T135" s="262"/>
      <c r="U135" s="262"/>
      <c r="V135" s="455">
        <f t="shared" si="23"/>
        <v>9499600</v>
      </c>
      <c r="W135" s="326" t="s">
        <v>1722</v>
      </c>
      <c r="X135" s="327">
        <v>42542</v>
      </c>
      <c r="Y135" s="327">
        <v>42549</v>
      </c>
      <c r="Z135" s="449">
        <f t="shared" si="24"/>
        <v>9499600</v>
      </c>
      <c r="AA135" s="456">
        <v>1</v>
      </c>
      <c r="AB135" s="57">
        <f t="shared" si="25"/>
        <v>-9499600</v>
      </c>
      <c r="AC135" s="109"/>
      <c r="AD135" s="38"/>
      <c r="AE135" s="38"/>
      <c r="AF135" s="38"/>
      <c r="AG135" s="38"/>
      <c r="AH135" s="38"/>
      <c r="AI135" s="38"/>
      <c r="AJ135" s="38"/>
    </row>
    <row r="136" spans="1:36" s="451" customFormat="1" ht="47.25">
      <c r="A136" s="452"/>
      <c r="B136" s="564"/>
      <c r="C136" s="290"/>
      <c r="D136" s="453"/>
      <c r="E136" s="449"/>
      <c r="F136" s="262"/>
      <c r="G136" s="199"/>
      <c r="H136" s="379" t="s">
        <v>1554</v>
      </c>
      <c r="I136" s="322">
        <v>42520</v>
      </c>
      <c r="J136" s="450" t="s">
        <v>1519</v>
      </c>
      <c r="K136" s="454" t="s">
        <v>2413</v>
      </c>
      <c r="L136" s="331" t="s">
        <v>336</v>
      </c>
      <c r="M136" s="325" t="s">
        <v>1520</v>
      </c>
      <c r="N136" s="262">
        <v>137714544</v>
      </c>
      <c r="O136" s="262"/>
      <c r="P136" s="262">
        <f t="shared" si="22"/>
        <v>137714544</v>
      </c>
      <c r="Q136" s="262"/>
      <c r="R136" s="262"/>
      <c r="S136" s="262"/>
      <c r="T136" s="262"/>
      <c r="U136" s="262"/>
      <c r="V136" s="455">
        <f>P136</f>
        <v>137714544</v>
      </c>
      <c r="W136" s="326" t="s">
        <v>2540</v>
      </c>
      <c r="X136" s="327">
        <v>42635</v>
      </c>
      <c r="Y136" s="327">
        <v>42641</v>
      </c>
      <c r="Z136" s="449">
        <f t="shared" si="24"/>
        <v>137714544</v>
      </c>
      <c r="AA136" s="456">
        <v>1</v>
      </c>
      <c r="AB136" s="57">
        <f t="shared" si="25"/>
        <v>-137714544</v>
      </c>
      <c r="AC136" s="109"/>
      <c r="AD136" s="38"/>
      <c r="AE136" s="38"/>
      <c r="AF136" s="38"/>
      <c r="AG136" s="38"/>
      <c r="AH136" s="38"/>
      <c r="AI136" s="38"/>
      <c r="AJ136" s="38"/>
    </row>
    <row r="137" spans="1:36" s="54" customFormat="1" ht="48" thickBot="1">
      <c r="A137" s="452"/>
      <c r="B137" s="564"/>
      <c r="C137" s="290"/>
      <c r="D137" s="453"/>
      <c r="E137" s="449"/>
      <c r="F137" s="262"/>
      <c r="G137" s="199"/>
      <c r="H137" s="379" t="s">
        <v>1555</v>
      </c>
      <c r="I137" s="322">
        <v>42520</v>
      </c>
      <c r="J137" s="450" t="s">
        <v>1521</v>
      </c>
      <c r="K137" s="454" t="s">
        <v>2178</v>
      </c>
      <c r="L137" s="331" t="s">
        <v>396</v>
      </c>
      <c r="M137" s="325" t="s">
        <v>1522</v>
      </c>
      <c r="N137" s="262">
        <v>208560265</v>
      </c>
      <c r="O137" s="262"/>
      <c r="P137" s="262">
        <f t="shared" si="22"/>
        <v>208560265</v>
      </c>
      <c r="Q137" s="262"/>
      <c r="R137" s="262"/>
      <c r="S137" s="262"/>
      <c r="T137" s="262"/>
      <c r="U137" s="262"/>
      <c r="V137" s="455">
        <f>P137</f>
        <v>208560265</v>
      </c>
      <c r="W137" s="326" t="s">
        <v>3058</v>
      </c>
      <c r="X137" s="327">
        <v>42675</v>
      </c>
      <c r="Y137" s="327">
        <v>42678</v>
      </c>
      <c r="Z137" s="449">
        <f t="shared" si="24"/>
        <v>208560265</v>
      </c>
      <c r="AA137" s="456">
        <v>1</v>
      </c>
      <c r="AB137" s="57">
        <f t="shared" si="25"/>
        <v>-208560265</v>
      </c>
      <c r="AC137" s="109"/>
      <c r="AD137" s="38"/>
      <c r="AE137" s="38"/>
      <c r="AF137" s="38"/>
      <c r="AG137" s="967">
        <f>V137</f>
        <v>208560265</v>
      </c>
      <c r="AH137" s="38"/>
      <c r="AI137" s="38"/>
      <c r="AJ137" s="38"/>
    </row>
    <row r="138" spans="1:36" s="340" customFormat="1" ht="15.75" customHeight="1" thickBot="1">
      <c r="A138" s="2741" t="s">
        <v>512</v>
      </c>
      <c r="B138" s="2742"/>
      <c r="C138" s="2742"/>
      <c r="D138" s="2743"/>
      <c r="E138" s="333">
        <f>E130</f>
        <v>0</v>
      </c>
      <c r="F138" s="333">
        <f>F130</f>
        <v>1333439000</v>
      </c>
      <c r="G138" s="333">
        <f>G130</f>
        <v>1333439000</v>
      </c>
      <c r="H138" s="333"/>
      <c r="I138" s="333"/>
      <c r="J138" s="334"/>
      <c r="K138" s="336"/>
      <c r="L138" s="336"/>
      <c r="M138" s="337"/>
      <c r="N138" s="333">
        <f>SUM(N130:N137)</f>
        <v>1320900840</v>
      </c>
      <c r="O138" s="333">
        <f t="shared" ref="O138:V138" si="26">SUM(O130:O137)</f>
        <v>9499600</v>
      </c>
      <c r="P138" s="333">
        <f t="shared" si="26"/>
        <v>1330400440</v>
      </c>
      <c r="Q138" s="333">
        <f t="shared" si="26"/>
        <v>0</v>
      </c>
      <c r="R138" s="333">
        <f t="shared" si="26"/>
        <v>0</v>
      </c>
      <c r="S138" s="333">
        <f t="shared" si="26"/>
        <v>0</v>
      </c>
      <c r="T138" s="333">
        <f t="shared" si="26"/>
        <v>0</v>
      </c>
      <c r="U138" s="333">
        <f t="shared" si="26"/>
        <v>0</v>
      </c>
      <c r="V138" s="333">
        <f t="shared" si="26"/>
        <v>1330400440</v>
      </c>
      <c r="W138" s="338"/>
      <c r="X138" s="339"/>
      <c r="Y138" s="339"/>
      <c r="Z138" s="333">
        <f>SUM(Z130:Z137)</f>
        <v>1330400440</v>
      </c>
      <c r="AA138" s="333"/>
      <c r="AB138" s="333">
        <f>SUM(AB130:AB137)</f>
        <v>3038560</v>
      </c>
      <c r="AC138" s="338"/>
      <c r="AD138" s="38"/>
      <c r="AE138" s="38"/>
      <c r="AF138" s="38"/>
      <c r="AG138" s="38"/>
      <c r="AH138" s="38"/>
      <c r="AI138" s="38"/>
      <c r="AJ138" s="38"/>
    </row>
    <row r="139" spans="1:36" s="54" customFormat="1" ht="15.75" customHeight="1">
      <c r="A139" s="80"/>
      <c r="B139" s="80"/>
      <c r="C139" s="80"/>
      <c r="D139" s="80"/>
      <c r="E139" s="110"/>
      <c r="F139" s="110"/>
      <c r="G139" s="240"/>
      <c r="H139" s="110"/>
      <c r="I139" s="110"/>
      <c r="J139" s="275"/>
      <c r="K139" s="111"/>
      <c r="L139" s="111"/>
      <c r="M139" s="112"/>
      <c r="N139" s="110"/>
      <c r="O139" s="110"/>
      <c r="P139" s="110"/>
      <c r="Q139" s="110"/>
      <c r="R139" s="110"/>
      <c r="S139" s="110"/>
      <c r="T139" s="110"/>
      <c r="U139" s="110"/>
      <c r="V139" s="103"/>
      <c r="W139" s="135"/>
      <c r="X139" s="114"/>
      <c r="Y139" s="114"/>
      <c r="Z139" s="110"/>
      <c r="AA139" s="110"/>
      <c r="AB139" s="110"/>
      <c r="AC139" s="113"/>
      <c r="AD139" s="38"/>
      <c r="AE139" s="38"/>
      <c r="AF139" s="38"/>
      <c r="AG139" s="38"/>
      <c r="AH139" s="38"/>
      <c r="AI139" s="38"/>
      <c r="AJ139" s="38"/>
    </row>
    <row r="140" spans="1:36" s="54" customFormat="1" ht="47.25">
      <c r="A140" s="81">
        <v>4</v>
      </c>
      <c r="B140" s="50" t="s">
        <v>560</v>
      </c>
      <c r="C140" s="50" t="s">
        <v>561</v>
      </c>
      <c r="D140" s="72" t="s">
        <v>562</v>
      </c>
      <c r="E140" s="103"/>
      <c r="F140" s="51">
        <v>367553000</v>
      </c>
      <c r="G140" s="155">
        <f>E140+F140</f>
        <v>367553000</v>
      </c>
      <c r="H140" s="379" t="s">
        <v>1182</v>
      </c>
      <c r="I140" s="73">
        <v>42493</v>
      </c>
      <c r="J140" s="276" t="s">
        <v>1023</v>
      </c>
      <c r="K140" s="248" t="s">
        <v>1769</v>
      </c>
      <c r="L140" s="250" t="s">
        <v>383</v>
      </c>
      <c r="M140" s="72" t="s">
        <v>1024</v>
      </c>
      <c r="N140" s="51"/>
      <c r="O140" s="51">
        <v>31218000</v>
      </c>
      <c r="P140" s="262">
        <f>N140+O140</f>
        <v>31218000</v>
      </c>
      <c r="Q140" s="51"/>
      <c r="R140" s="51"/>
      <c r="S140" s="51"/>
      <c r="T140" s="51"/>
      <c r="U140" s="51"/>
      <c r="V140" s="281">
        <f>P140</f>
        <v>31218000</v>
      </c>
      <c r="W140" s="140" t="s">
        <v>2876</v>
      </c>
      <c r="X140" s="141">
        <v>42579</v>
      </c>
      <c r="Y140" s="141">
        <v>42585</v>
      </c>
      <c r="Z140" s="103">
        <f>V140</f>
        <v>31218000</v>
      </c>
      <c r="AA140" s="288">
        <v>1</v>
      </c>
      <c r="AB140" s="52">
        <f>+G140-P140</f>
        <v>336335000</v>
      </c>
      <c r="AC140" s="106"/>
      <c r="AD140" s="38"/>
      <c r="AE140" s="38"/>
      <c r="AF140" s="38"/>
      <c r="AG140" s="967">
        <f>V140</f>
        <v>31218000</v>
      </c>
      <c r="AH140" s="38"/>
      <c r="AI140" s="38"/>
      <c r="AJ140" s="38"/>
    </row>
    <row r="141" spans="1:36" s="54" customFormat="1" ht="47.25">
      <c r="A141" s="561"/>
      <c r="B141" s="153" t="s">
        <v>923</v>
      </c>
      <c r="C141" s="50"/>
      <c r="D141" s="72"/>
      <c r="E141" s="103"/>
      <c r="F141" s="51"/>
      <c r="G141" s="155"/>
      <c r="H141" s="379" t="s">
        <v>1446</v>
      </c>
      <c r="I141" s="73">
        <v>42517</v>
      </c>
      <c r="J141" s="276" t="s">
        <v>1141</v>
      </c>
      <c r="K141" s="454" t="s">
        <v>1793</v>
      </c>
      <c r="L141" s="250" t="s">
        <v>387</v>
      </c>
      <c r="M141" s="72" t="s">
        <v>1001</v>
      </c>
      <c r="N141" s="51"/>
      <c r="O141" s="51">
        <v>209457600</v>
      </c>
      <c r="P141" s="51">
        <f>N141+O141</f>
        <v>209457600</v>
      </c>
      <c r="Q141" s="51"/>
      <c r="R141" s="51"/>
      <c r="S141" s="51"/>
      <c r="T141" s="51"/>
      <c r="U141" s="51"/>
      <c r="V141" s="281">
        <f>P141</f>
        <v>209457600</v>
      </c>
      <c r="W141" s="374" t="s">
        <v>2126</v>
      </c>
      <c r="X141" s="375">
        <v>42580</v>
      </c>
      <c r="Y141" s="375">
        <v>42585</v>
      </c>
      <c r="Z141" s="103">
        <f>V141</f>
        <v>209457600</v>
      </c>
      <c r="AA141" s="288">
        <v>1</v>
      </c>
      <c r="AB141" s="59">
        <f>+G141-P141</f>
        <v>-209457600</v>
      </c>
      <c r="AC141" s="106"/>
      <c r="AD141" s="38"/>
      <c r="AE141" s="38"/>
      <c r="AF141" s="38"/>
      <c r="AG141" s="38"/>
      <c r="AH141" s="38"/>
      <c r="AI141" s="38"/>
      <c r="AJ141" s="38"/>
    </row>
    <row r="142" spans="1:36" s="54" customFormat="1" ht="47.25">
      <c r="A142" s="561"/>
      <c r="B142" s="564">
        <v>42444</v>
      </c>
      <c r="C142" s="50"/>
      <c r="D142" s="72"/>
      <c r="E142" s="103"/>
      <c r="F142" s="51"/>
      <c r="G142" s="155"/>
      <c r="H142" s="379" t="s">
        <v>1445</v>
      </c>
      <c r="I142" s="73">
        <v>42517</v>
      </c>
      <c r="J142" s="276" t="s">
        <v>1142</v>
      </c>
      <c r="K142" s="454" t="s">
        <v>1794</v>
      </c>
      <c r="L142" s="250" t="s">
        <v>387</v>
      </c>
      <c r="M142" s="851" t="s">
        <v>1143</v>
      </c>
      <c r="N142" s="51"/>
      <c r="O142" s="51">
        <v>126876563</v>
      </c>
      <c r="P142" s="51">
        <f>N142+O142</f>
        <v>126876563</v>
      </c>
      <c r="Q142" s="51"/>
      <c r="R142" s="51"/>
      <c r="S142" s="51"/>
      <c r="T142" s="51"/>
      <c r="U142" s="51"/>
      <c r="V142" s="281">
        <f>P142</f>
        <v>126876563</v>
      </c>
      <c r="W142" s="374" t="s">
        <v>2126</v>
      </c>
      <c r="X142" s="375">
        <v>42580</v>
      </c>
      <c r="Y142" s="375">
        <v>42585</v>
      </c>
      <c r="Z142" s="103">
        <f>V142</f>
        <v>126876563</v>
      </c>
      <c r="AA142" s="288">
        <v>1</v>
      </c>
      <c r="AB142" s="59">
        <f>+G142-P142</f>
        <v>-126876563</v>
      </c>
      <c r="AC142" s="106"/>
      <c r="AD142" s="38"/>
      <c r="AE142" s="38"/>
      <c r="AF142" s="38"/>
      <c r="AG142" s="38"/>
      <c r="AH142" s="38"/>
      <c r="AI142" s="38"/>
      <c r="AJ142" s="38"/>
    </row>
    <row r="143" spans="1:36" s="54" customFormat="1">
      <c r="A143" s="561"/>
      <c r="B143" s="564"/>
      <c r="C143" s="50"/>
      <c r="D143" s="72"/>
      <c r="E143" s="103"/>
      <c r="F143" s="51"/>
      <c r="G143" s="155"/>
      <c r="H143" s="103"/>
      <c r="I143" s="103"/>
      <c r="J143" s="276"/>
      <c r="K143" s="248"/>
      <c r="L143" s="250"/>
      <c r="M143" s="72"/>
      <c r="N143" s="51"/>
      <c r="O143" s="51"/>
      <c r="P143" s="51"/>
      <c r="Q143" s="51"/>
      <c r="R143" s="51"/>
      <c r="S143" s="51"/>
      <c r="T143" s="51"/>
      <c r="U143" s="51"/>
      <c r="V143" s="281"/>
      <c r="W143" s="142"/>
      <c r="X143" s="141"/>
      <c r="Y143" s="141"/>
      <c r="Z143" s="103"/>
      <c r="AA143" s="288"/>
      <c r="AB143" s="59"/>
      <c r="AC143" s="106"/>
      <c r="AD143" s="38"/>
      <c r="AE143" s="38"/>
      <c r="AF143" s="38"/>
      <c r="AG143" s="38"/>
      <c r="AH143" s="38"/>
      <c r="AI143" s="38"/>
      <c r="AJ143" s="38"/>
    </row>
    <row r="144" spans="1:36" s="54" customFormat="1" ht="16.5" thickBot="1">
      <c r="A144" s="561"/>
      <c r="C144" s="50"/>
      <c r="D144" s="72"/>
      <c r="E144" s="103"/>
      <c r="F144" s="51"/>
      <c r="G144" s="155"/>
      <c r="H144" s="103"/>
      <c r="I144" s="103"/>
      <c r="J144" s="276"/>
      <c r="K144" s="248"/>
      <c r="L144" s="250"/>
      <c r="M144" s="72"/>
      <c r="N144" s="51"/>
      <c r="O144" s="51"/>
      <c r="P144" s="51"/>
      <c r="Q144" s="51"/>
      <c r="R144" s="51"/>
      <c r="S144" s="51"/>
      <c r="T144" s="51"/>
      <c r="U144" s="51"/>
      <c r="V144" s="281"/>
      <c r="W144" s="142"/>
      <c r="X144" s="141"/>
      <c r="Y144" s="141"/>
      <c r="Z144" s="103"/>
      <c r="AA144" s="288"/>
      <c r="AB144" s="59"/>
      <c r="AC144" s="106"/>
      <c r="AD144" s="38"/>
      <c r="AE144" s="38"/>
      <c r="AF144" s="38"/>
      <c r="AG144" s="38"/>
      <c r="AH144" s="38"/>
      <c r="AI144" s="38"/>
      <c r="AJ144" s="38"/>
    </row>
    <row r="145" spans="1:36" s="340" customFormat="1" ht="15.75" customHeight="1" thickBot="1">
      <c r="A145" s="2741" t="s">
        <v>560</v>
      </c>
      <c r="B145" s="2742"/>
      <c r="C145" s="2762"/>
      <c r="D145" s="2761"/>
      <c r="E145" s="792">
        <f>E140</f>
        <v>0</v>
      </c>
      <c r="F145" s="792">
        <f>F140</f>
        <v>367553000</v>
      </c>
      <c r="G145" s="792">
        <f>G140</f>
        <v>367553000</v>
      </c>
      <c r="H145" s="792"/>
      <c r="I145" s="792"/>
      <c r="J145" s="793"/>
      <c r="K145" s="335"/>
      <c r="L145" s="335"/>
      <c r="M145" s="794"/>
      <c r="N145" s="792">
        <f>SUM(N140:N144)</f>
        <v>0</v>
      </c>
      <c r="O145" s="792">
        <f>SUM(O140:O144)</f>
        <v>367552163</v>
      </c>
      <c r="P145" s="792">
        <f>SUM(P140:P144)</f>
        <v>367552163</v>
      </c>
      <c r="Q145" s="792">
        <f>SUM(Q41+Q42+Q43+Q44)</f>
        <v>0</v>
      </c>
      <c r="R145" s="792">
        <f>SUM(R41+R42+R43+R44)</f>
        <v>0</v>
      </c>
      <c r="S145" s="792">
        <f>SUM(S41+S42+S43+S44)</f>
        <v>0</v>
      </c>
      <c r="T145" s="792">
        <f>SUM(T41+T42+T43+T44)</f>
        <v>0</v>
      </c>
      <c r="U145" s="792">
        <f>SUM(U41+U42+U43+U44)</f>
        <v>0</v>
      </c>
      <c r="V145" s="792">
        <f>SUM(V140:V144)</f>
        <v>367552163</v>
      </c>
      <c r="W145" s="795"/>
      <c r="X145" s="796"/>
      <c r="Y145" s="796"/>
      <c r="Z145" s="792">
        <f>SUM(Z140:Z144)</f>
        <v>367552163</v>
      </c>
      <c r="AA145" s="792"/>
      <c r="AB145" s="792">
        <f>SUM(AB140:AC142)</f>
        <v>837</v>
      </c>
      <c r="AC145" s="795"/>
      <c r="AD145" s="38"/>
      <c r="AE145" s="38"/>
      <c r="AF145" s="38"/>
      <c r="AG145" s="38"/>
      <c r="AH145" s="38"/>
      <c r="AI145" s="38"/>
      <c r="AJ145" s="38"/>
    </row>
    <row r="146" spans="1:36" s="54" customFormat="1" ht="15.75" customHeight="1">
      <c r="A146" s="80"/>
      <c r="B146" s="80"/>
      <c r="C146" s="80"/>
      <c r="D146" s="80"/>
      <c r="E146" s="110"/>
      <c r="F146" s="110"/>
      <c r="G146" s="240"/>
      <c r="H146" s="110"/>
      <c r="I146" s="110"/>
      <c r="J146" s="275"/>
      <c r="K146" s="111"/>
      <c r="L146" s="111"/>
      <c r="M146" s="112"/>
      <c r="N146" s="110"/>
      <c r="O146" s="110"/>
      <c r="P146" s="110"/>
      <c r="Q146" s="110"/>
      <c r="R146" s="110"/>
      <c r="S146" s="110"/>
      <c r="T146" s="110"/>
      <c r="U146" s="110"/>
      <c r="V146" s="103"/>
      <c r="W146" s="135"/>
      <c r="X146" s="114"/>
      <c r="Y146" s="114"/>
      <c r="Z146" s="110"/>
      <c r="AA146" s="110"/>
      <c r="AB146" s="110"/>
      <c r="AC146" s="113"/>
      <c r="AD146" s="38"/>
      <c r="AE146" s="38"/>
      <c r="AF146" s="38"/>
      <c r="AG146" s="38"/>
      <c r="AH146" s="38"/>
      <c r="AI146" s="38"/>
      <c r="AJ146" s="38"/>
    </row>
    <row r="147" spans="1:36" s="54" customFormat="1" ht="47.25">
      <c r="A147" s="81">
        <v>5</v>
      </c>
      <c r="B147" s="50" t="s">
        <v>829</v>
      </c>
      <c r="C147" s="50" t="s">
        <v>830</v>
      </c>
      <c r="D147" s="72" t="s">
        <v>831</v>
      </c>
      <c r="E147" s="103"/>
      <c r="F147" s="51">
        <v>1235209871</v>
      </c>
      <c r="G147" s="155">
        <f>E147+F147</f>
        <v>1235209871</v>
      </c>
      <c r="H147" s="379" t="s">
        <v>1022</v>
      </c>
      <c r="I147" s="322">
        <v>42482</v>
      </c>
      <c r="J147" s="276" t="s">
        <v>832</v>
      </c>
      <c r="K147" s="248" t="s">
        <v>1776</v>
      </c>
      <c r="L147" s="250" t="s">
        <v>285</v>
      </c>
      <c r="M147" s="72" t="s">
        <v>833</v>
      </c>
      <c r="N147" s="51"/>
      <c r="O147" s="51">
        <v>1232999900</v>
      </c>
      <c r="P147" s="51">
        <f>N147+O147</f>
        <v>1232999900</v>
      </c>
      <c r="Q147" s="51"/>
      <c r="R147" s="51"/>
      <c r="S147" s="51"/>
      <c r="T147" s="51"/>
      <c r="U147" s="51"/>
      <c r="V147" s="281">
        <f>P147</f>
        <v>1232999900</v>
      </c>
      <c r="W147" s="140" t="s">
        <v>1911</v>
      </c>
      <c r="X147" s="141">
        <v>42552</v>
      </c>
      <c r="Y147" s="141">
        <v>42566</v>
      </c>
      <c r="Z147" s="103">
        <f>V147</f>
        <v>1232999900</v>
      </c>
      <c r="AA147" s="288">
        <v>1</v>
      </c>
      <c r="AB147" s="433">
        <f>+G147-P147</f>
        <v>2209971</v>
      </c>
      <c r="AC147" s="106"/>
      <c r="AD147" s="38"/>
      <c r="AE147" s="38"/>
      <c r="AF147" s="38"/>
      <c r="AG147" s="38"/>
      <c r="AH147" s="38"/>
      <c r="AI147" s="38"/>
      <c r="AJ147" s="38"/>
    </row>
    <row r="148" spans="1:36" s="54" customFormat="1" ht="31.5">
      <c r="A148" s="561"/>
      <c r="B148" s="153" t="s">
        <v>921</v>
      </c>
      <c r="C148" s="562"/>
      <c r="D148" s="343"/>
      <c r="E148" s="264"/>
      <c r="F148" s="344"/>
      <c r="G148" s="345"/>
      <c r="H148" s="264"/>
      <c r="I148" s="264"/>
      <c r="J148" s="276" t="s">
        <v>2986</v>
      </c>
      <c r="K148" s="256" t="s">
        <v>3211</v>
      </c>
      <c r="L148" s="1675" t="s">
        <v>387</v>
      </c>
      <c r="M148" s="347" t="s">
        <v>2987</v>
      </c>
      <c r="N148" s="344"/>
      <c r="O148" s="344">
        <v>2200000</v>
      </c>
      <c r="P148" s="51">
        <f>N148+O148</f>
        <v>2200000</v>
      </c>
      <c r="Q148" s="344"/>
      <c r="R148" s="344"/>
      <c r="S148" s="344"/>
      <c r="T148" s="344"/>
      <c r="U148" s="344"/>
      <c r="V148" s="281">
        <f>P148</f>
        <v>2200000</v>
      </c>
      <c r="W148" s="349" t="s">
        <v>3212</v>
      </c>
      <c r="X148" s="350">
        <v>42698</v>
      </c>
      <c r="Y148" s="350">
        <v>42704</v>
      </c>
      <c r="Z148" s="264">
        <v>2200000</v>
      </c>
      <c r="AA148" s="288">
        <v>1</v>
      </c>
      <c r="AB148" s="433">
        <f>+G148-P148</f>
        <v>-2200000</v>
      </c>
      <c r="AC148" s="352"/>
      <c r="AD148" s="38"/>
      <c r="AE148" s="38"/>
      <c r="AF148" s="38"/>
      <c r="AG148" s="38"/>
      <c r="AH148" s="38"/>
      <c r="AI148" s="38"/>
      <c r="AJ148" s="38"/>
    </row>
    <row r="149" spans="1:36" s="54" customFormat="1" ht="16.5" thickBot="1">
      <c r="A149" s="561"/>
      <c r="B149" s="564">
        <v>42446</v>
      </c>
      <c r="C149" s="562"/>
      <c r="D149" s="343"/>
      <c r="E149" s="264"/>
      <c r="F149" s="344"/>
      <c r="G149" s="345"/>
      <c r="H149" s="264"/>
      <c r="I149" s="264"/>
      <c r="J149" s="563"/>
      <c r="K149" s="256"/>
      <c r="L149" s="346"/>
      <c r="M149" s="347"/>
      <c r="N149" s="344"/>
      <c r="O149" s="344"/>
      <c r="P149" s="344"/>
      <c r="Q149" s="344"/>
      <c r="R149" s="344"/>
      <c r="S149" s="344"/>
      <c r="T149" s="344"/>
      <c r="U149" s="344"/>
      <c r="V149" s="348"/>
      <c r="W149" s="349"/>
      <c r="X149" s="350"/>
      <c r="Y149" s="350"/>
      <c r="Z149" s="264"/>
      <c r="AA149" s="351"/>
      <c r="AB149" s="366"/>
      <c r="AC149" s="352"/>
      <c r="AD149" s="38"/>
      <c r="AE149" s="38"/>
      <c r="AF149" s="38"/>
      <c r="AG149" s="38"/>
      <c r="AH149" s="38"/>
      <c r="AI149" s="38"/>
      <c r="AJ149" s="38"/>
    </row>
    <row r="150" spans="1:36" s="340" customFormat="1" ht="15.75" customHeight="1" thickBot="1">
      <c r="A150" s="2741" t="str">
        <f>B147</f>
        <v>005.KIT/AO/BRU/2016/M</v>
      </c>
      <c r="B150" s="2742"/>
      <c r="C150" s="2742"/>
      <c r="D150" s="2743"/>
      <c r="E150" s="333">
        <f>E147</f>
        <v>0</v>
      </c>
      <c r="F150" s="333">
        <f>F147</f>
        <v>1235209871</v>
      </c>
      <c r="G150" s="333">
        <f>G147</f>
        <v>1235209871</v>
      </c>
      <c r="H150" s="333"/>
      <c r="I150" s="333"/>
      <c r="J150" s="334"/>
      <c r="K150" s="335"/>
      <c r="L150" s="336"/>
      <c r="M150" s="337"/>
      <c r="N150" s="333">
        <f>SUM(N147:N148)</f>
        <v>0</v>
      </c>
      <c r="O150" s="333">
        <f>SUM(O147:O148)</f>
        <v>1235199900</v>
      </c>
      <c r="P150" s="333">
        <f>SUM(P147:P148)</f>
        <v>1235199900</v>
      </c>
      <c r="Q150" s="333">
        <f>SUM(Q44+Q45+Q46+Q47)</f>
        <v>0</v>
      </c>
      <c r="R150" s="333">
        <f>SUM(R44+R45+R46+R47)</f>
        <v>0</v>
      </c>
      <c r="S150" s="333">
        <f>SUM(S44+S45+S46+S47)</f>
        <v>0</v>
      </c>
      <c r="T150" s="333">
        <f>SUM(T44+T45+T46+T47)</f>
        <v>0</v>
      </c>
      <c r="U150" s="333">
        <f>SUM(U44+U45+U46+U47)</f>
        <v>0</v>
      </c>
      <c r="V150" s="333">
        <f>SUM(V147:V148)</f>
        <v>1235199900</v>
      </c>
      <c r="W150" s="338"/>
      <c r="X150" s="339"/>
      <c r="Y150" s="339"/>
      <c r="Z150" s="333">
        <f>SUM(Z147:Z148)</f>
        <v>1235199900</v>
      </c>
      <c r="AA150" s="333"/>
      <c r="AB150" s="333">
        <f>SUM(AB147:AB148)</f>
        <v>9971</v>
      </c>
      <c r="AC150" s="338"/>
      <c r="AD150" s="38"/>
      <c r="AE150" s="38"/>
      <c r="AF150" s="38"/>
      <c r="AG150" s="38"/>
      <c r="AH150" s="38"/>
      <c r="AI150" s="38"/>
      <c r="AJ150" s="38"/>
    </row>
    <row r="151" spans="1:36" s="54" customFormat="1" ht="31.5" customHeight="1">
      <c r="A151" s="80">
        <v>6</v>
      </c>
      <c r="B151" s="50" t="s">
        <v>868</v>
      </c>
      <c r="C151" s="50" t="s">
        <v>1649</v>
      </c>
      <c r="D151" s="72" t="s">
        <v>1926</v>
      </c>
      <c r="E151" s="344">
        <v>249586000</v>
      </c>
      <c r="F151" s="344"/>
      <c r="G151" s="155">
        <f t="shared" ref="G151:G177" si="27">E151+F151</f>
        <v>249586000</v>
      </c>
      <c r="H151" s="1121" t="s">
        <v>1665</v>
      </c>
      <c r="I151" s="1122">
        <v>42548</v>
      </c>
      <c r="J151" s="1123" t="s">
        <v>1664</v>
      </c>
      <c r="K151" s="256" t="s">
        <v>2223</v>
      </c>
      <c r="L151" s="346" t="s">
        <v>387</v>
      </c>
      <c r="M151" s="72" t="s">
        <v>1650</v>
      </c>
      <c r="N151" s="344">
        <v>243567500</v>
      </c>
      <c r="O151" s="369"/>
      <c r="P151" s="262">
        <f t="shared" ref="P151:P165" si="28">N151+O151</f>
        <v>243567500</v>
      </c>
      <c r="Q151" s="344"/>
      <c r="R151" s="344"/>
      <c r="S151" s="344"/>
      <c r="T151" s="344"/>
      <c r="U151" s="344"/>
      <c r="V151" s="281">
        <f t="shared" ref="V151:V160" si="29">P151</f>
        <v>243567500</v>
      </c>
      <c r="W151" s="374" t="s">
        <v>2283</v>
      </c>
      <c r="X151" s="350">
        <v>42608</v>
      </c>
      <c r="Y151" s="350">
        <v>42615</v>
      </c>
      <c r="Z151" s="110">
        <f t="shared" ref="Z151:Z156" si="30">V151</f>
        <v>243567500</v>
      </c>
      <c r="AA151" s="376">
        <v>1</v>
      </c>
      <c r="AB151" s="433">
        <f t="shared" ref="AB151:AB182" si="31">+G151-P151</f>
        <v>6018500</v>
      </c>
      <c r="AC151" s="352"/>
      <c r="AD151" s="38"/>
      <c r="AE151" s="38"/>
      <c r="AF151" s="38"/>
      <c r="AG151" s="38"/>
      <c r="AH151" s="38"/>
      <c r="AI151" s="38"/>
      <c r="AJ151" s="38"/>
    </row>
    <row r="152" spans="1:36" s="54" customFormat="1" ht="47.25">
      <c r="A152" s="80"/>
      <c r="B152" s="153" t="s">
        <v>1927</v>
      </c>
      <c r="C152" s="50" t="s">
        <v>662</v>
      </c>
      <c r="D152" s="368" t="s">
        <v>670</v>
      </c>
      <c r="E152" s="110"/>
      <c r="F152" s="369">
        <v>52503000</v>
      </c>
      <c r="G152" s="155">
        <f t="shared" si="27"/>
        <v>52503000</v>
      </c>
      <c r="H152" s="918" t="s">
        <v>1513</v>
      </c>
      <c r="I152" s="1017">
        <v>42481</v>
      </c>
      <c r="J152" s="371" t="s">
        <v>935</v>
      </c>
      <c r="K152" s="372" t="s">
        <v>1750</v>
      </c>
      <c r="L152" s="373" t="s">
        <v>786</v>
      </c>
      <c r="M152" s="368" t="s">
        <v>940</v>
      </c>
      <c r="N152" s="369"/>
      <c r="O152" s="369">
        <v>52489800</v>
      </c>
      <c r="P152" s="262">
        <f t="shared" si="28"/>
        <v>52489800</v>
      </c>
      <c r="Q152" s="369"/>
      <c r="R152" s="369"/>
      <c r="S152" s="369"/>
      <c r="T152" s="369"/>
      <c r="U152" s="369"/>
      <c r="V152" s="281">
        <f t="shared" si="29"/>
        <v>52489800</v>
      </c>
      <c r="W152" s="374" t="s">
        <v>2126</v>
      </c>
      <c r="X152" s="375">
        <v>42580</v>
      </c>
      <c r="Y152" s="375">
        <v>42585</v>
      </c>
      <c r="Z152" s="110">
        <f t="shared" si="30"/>
        <v>52489800</v>
      </c>
      <c r="AA152" s="376">
        <v>1</v>
      </c>
      <c r="AB152" s="52">
        <f t="shared" si="31"/>
        <v>13200</v>
      </c>
      <c r="AC152" s="113"/>
      <c r="AD152" s="38"/>
      <c r="AE152" s="38"/>
      <c r="AF152" s="38"/>
      <c r="AG152" s="38"/>
      <c r="AH152" s="38"/>
      <c r="AI152" s="38"/>
      <c r="AJ152" s="38"/>
    </row>
    <row r="153" spans="1:36" s="54" customFormat="1" ht="47.25">
      <c r="A153" s="80"/>
      <c r="B153" s="564">
        <v>42571</v>
      </c>
      <c r="C153" s="50" t="s">
        <v>663</v>
      </c>
      <c r="D153" s="368" t="s">
        <v>671</v>
      </c>
      <c r="E153" s="110"/>
      <c r="F153" s="369">
        <v>33326000</v>
      </c>
      <c r="G153" s="155">
        <f t="shared" si="27"/>
        <v>33326000</v>
      </c>
      <c r="H153" s="918" t="s">
        <v>1514</v>
      </c>
      <c r="I153" s="1017">
        <v>42481</v>
      </c>
      <c r="J153" s="371" t="s">
        <v>936</v>
      </c>
      <c r="K153" s="372" t="s">
        <v>1751</v>
      </c>
      <c r="L153" s="373" t="s">
        <v>786</v>
      </c>
      <c r="M153" s="368" t="s">
        <v>941</v>
      </c>
      <c r="N153" s="369"/>
      <c r="O153" s="369">
        <v>33303600</v>
      </c>
      <c r="P153" s="262">
        <f t="shared" si="28"/>
        <v>33303600</v>
      </c>
      <c r="Q153" s="369"/>
      <c r="R153" s="369"/>
      <c r="S153" s="369"/>
      <c r="T153" s="369"/>
      <c r="U153" s="369"/>
      <c r="V153" s="281">
        <f t="shared" si="29"/>
        <v>33303600</v>
      </c>
      <c r="W153" s="374" t="s">
        <v>2126</v>
      </c>
      <c r="X153" s="375">
        <v>42580</v>
      </c>
      <c r="Y153" s="375">
        <v>42585</v>
      </c>
      <c r="Z153" s="110">
        <f t="shared" si="30"/>
        <v>33303600</v>
      </c>
      <c r="AA153" s="376">
        <v>1</v>
      </c>
      <c r="AB153" s="52">
        <f t="shared" si="31"/>
        <v>22400</v>
      </c>
      <c r="AC153" s="113"/>
      <c r="AD153" s="38"/>
      <c r="AE153" s="38"/>
      <c r="AF153" s="38"/>
      <c r="AG153" s="38"/>
      <c r="AH153" s="38"/>
      <c r="AI153" s="38"/>
      <c r="AJ153" s="38"/>
    </row>
    <row r="154" spans="1:36" s="54" customFormat="1" ht="47.25">
      <c r="A154" s="80"/>
      <c r="B154" s="367"/>
      <c r="C154" s="50" t="s">
        <v>664</v>
      </c>
      <c r="D154" s="368" t="s">
        <v>672</v>
      </c>
      <c r="E154" s="110"/>
      <c r="F154" s="369">
        <v>33274000</v>
      </c>
      <c r="G154" s="155">
        <f t="shared" si="27"/>
        <v>33274000</v>
      </c>
      <c r="H154" s="918" t="s">
        <v>1515</v>
      </c>
      <c r="I154" s="1017">
        <v>42481</v>
      </c>
      <c r="J154" s="371" t="s">
        <v>937</v>
      </c>
      <c r="K154" s="372" t="s">
        <v>1752</v>
      </c>
      <c r="L154" s="373" t="s">
        <v>786</v>
      </c>
      <c r="M154" s="368" t="s">
        <v>942</v>
      </c>
      <c r="N154" s="369"/>
      <c r="O154" s="369">
        <v>33257400</v>
      </c>
      <c r="P154" s="262">
        <f t="shared" si="28"/>
        <v>33257400</v>
      </c>
      <c r="Q154" s="369"/>
      <c r="R154" s="369"/>
      <c r="S154" s="369"/>
      <c r="T154" s="369"/>
      <c r="U154" s="369"/>
      <c r="V154" s="281">
        <f t="shared" si="29"/>
        <v>33257400</v>
      </c>
      <c r="W154" s="374" t="s">
        <v>2126</v>
      </c>
      <c r="X154" s="375">
        <v>42580</v>
      </c>
      <c r="Y154" s="375">
        <v>42585</v>
      </c>
      <c r="Z154" s="110">
        <f t="shared" si="30"/>
        <v>33257400</v>
      </c>
      <c r="AA154" s="376">
        <v>1</v>
      </c>
      <c r="AB154" s="52">
        <f t="shared" si="31"/>
        <v>16600</v>
      </c>
      <c r="AC154" s="113"/>
      <c r="AD154" s="38"/>
      <c r="AE154" s="38"/>
      <c r="AF154" s="38"/>
      <c r="AG154" s="38"/>
      <c r="AH154" s="38"/>
      <c r="AI154" s="38"/>
      <c r="AJ154" s="38"/>
    </row>
    <row r="155" spans="1:36" s="54" customFormat="1" ht="31.5">
      <c r="A155" s="80"/>
      <c r="B155" s="367"/>
      <c r="C155" s="50" t="s">
        <v>665</v>
      </c>
      <c r="D155" s="368" t="s">
        <v>673</v>
      </c>
      <c r="E155" s="110"/>
      <c r="F155" s="369">
        <v>9403955</v>
      </c>
      <c r="G155" s="155">
        <f t="shared" si="27"/>
        <v>9403955</v>
      </c>
      <c r="H155" s="110"/>
      <c r="I155" s="110"/>
      <c r="J155" s="371" t="s">
        <v>938</v>
      </c>
      <c r="K155" s="372"/>
      <c r="L155" s="373" t="s">
        <v>786</v>
      </c>
      <c r="M155" s="368" t="s">
        <v>943</v>
      </c>
      <c r="N155" s="369"/>
      <c r="O155" s="369">
        <v>9352200</v>
      </c>
      <c r="P155" s="262">
        <f t="shared" si="28"/>
        <v>9352200</v>
      </c>
      <c r="Q155" s="369"/>
      <c r="R155" s="369"/>
      <c r="S155" s="369"/>
      <c r="T155" s="369"/>
      <c r="U155" s="369"/>
      <c r="V155" s="281">
        <f t="shared" si="29"/>
        <v>9352200</v>
      </c>
      <c r="W155" s="374" t="s">
        <v>1910</v>
      </c>
      <c r="X155" s="375">
        <v>42545</v>
      </c>
      <c r="Y155" s="375">
        <v>42563</v>
      </c>
      <c r="Z155" s="110">
        <f t="shared" si="30"/>
        <v>9352200</v>
      </c>
      <c r="AA155" s="376">
        <v>1</v>
      </c>
      <c r="AB155" s="52">
        <f t="shared" si="31"/>
        <v>51755</v>
      </c>
      <c r="AC155" s="113"/>
      <c r="AD155" s="38"/>
      <c r="AE155" s="38"/>
      <c r="AF155" s="38"/>
      <c r="AG155" s="38"/>
      <c r="AH155" s="38"/>
      <c r="AI155" s="38"/>
      <c r="AJ155" s="38"/>
    </row>
    <row r="156" spans="1:36" s="54" customFormat="1" ht="31.5">
      <c r="A156" s="80"/>
      <c r="B156" s="367"/>
      <c r="C156" s="50" t="s">
        <v>666</v>
      </c>
      <c r="D156" s="368" t="s">
        <v>674</v>
      </c>
      <c r="E156" s="110"/>
      <c r="F156" s="369">
        <v>52503000</v>
      </c>
      <c r="G156" s="155">
        <f t="shared" si="27"/>
        <v>52503000</v>
      </c>
      <c r="H156" s="110"/>
      <c r="I156" s="110"/>
      <c r="J156" s="371" t="s">
        <v>939</v>
      </c>
      <c r="K156" s="372"/>
      <c r="L156" s="373" t="s">
        <v>786</v>
      </c>
      <c r="M156" s="368" t="s">
        <v>944</v>
      </c>
      <c r="N156" s="369"/>
      <c r="O156" s="369">
        <v>4329600</v>
      </c>
      <c r="P156" s="262">
        <f t="shared" si="28"/>
        <v>4329600</v>
      </c>
      <c r="Q156" s="369"/>
      <c r="R156" s="369"/>
      <c r="S156" s="369"/>
      <c r="T156" s="369"/>
      <c r="U156" s="369"/>
      <c r="V156" s="281">
        <f t="shared" si="29"/>
        <v>4329600</v>
      </c>
      <c r="W156" s="374" t="s">
        <v>1909</v>
      </c>
      <c r="X156" s="375">
        <v>42520</v>
      </c>
      <c r="Y156" s="375">
        <v>42522</v>
      </c>
      <c r="Z156" s="110">
        <f t="shared" si="30"/>
        <v>4329600</v>
      </c>
      <c r="AA156" s="376">
        <v>1</v>
      </c>
      <c r="AB156" s="52">
        <f t="shared" si="31"/>
        <v>48173400</v>
      </c>
      <c r="AC156" s="113"/>
      <c r="AD156" s="38"/>
      <c r="AE156" s="38"/>
      <c r="AF156" s="38"/>
      <c r="AG156" s="38"/>
      <c r="AH156" s="38"/>
      <c r="AI156" s="38"/>
      <c r="AJ156" s="38"/>
    </row>
    <row r="157" spans="1:36" s="54" customFormat="1" ht="47.25">
      <c r="A157" s="80"/>
      <c r="B157" s="367"/>
      <c r="C157" s="50"/>
      <c r="D157" s="368"/>
      <c r="E157" s="110"/>
      <c r="F157" s="369"/>
      <c r="G157" s="155"/>
      <c r="H157" s="918" t="s">
        <v>2953</v>
      </c>
      <c r="I157" s="1466">
        <v>42674</v>
      </c>
      <c r="J157" s="1505" t="s">
        <v>2889</v>
      </c>
      <c r="K157" s="372" t="s">
        <v>3742</v>
      </c>
      <c r="L157" s="1730" t="s">
        <v>786</v>
      </c>
      <c r="M157" s="368" t="s">
        <v>2888</v>
      </c>
      <c r="N157" s="369"/>
      <c r="O157" s="369">
        <v>48173400</v>
      </c>
      <c r="P157" s="344">
        <f t="shared" si="28"/>
        <v>48173400</v>
      </c>
      <c r="Q157" s="369"/>
      <c r="R157" s="369"/>
      <c r="S157" s="369"/>
      <c r="T157" s="369"/>
      <c r="U157" s="369"/>
      <c r="V157" s="281">
        <f t="shared" si="29"/>
        <v>48173400</v>
      </c>
      <c r="W157" s="374" t="s">
        <v>3649</v>
      </c>
      <c r="X157" s="375">
        <v>42728</v>
      </c>
      <c r="Y157" s="375">
        <v>42732</v>
      </c>
      <c r="Z157" s="110">
        <f>V157</f>
        <v>48173400</v>
      </c>
      <c r="AA157" s="376">
        <v>1</v>
      </c>
      <c r="AB157" s="433">
        <f t="shared" si="31"/>
        <v>-48173400</v>
      </c>
      <c r="AC157" s="113"/>
      <c r="AD157" s="38"/>
      <c r="AE157" s="38"/>
      <c r="AF157" s="38"/>
      <c r="AG157" s="38"/>
      <c r="AH157" s="38"/>
      <c r="AI157" s="38"/>
      <c r="AJ157" s="38"/>
    </row>
    <row r="158" spans="1:36" s="772" customFormat="1">
      <c r="A158" s="1216"/>
      <c r="B158" s="1450"/>
      <c r="C158" s="773" t="str">
        <f>C156</f>
        <v>PRK.2016.WKT-4.3.53226.147</v>
      </c>
      <c r="D158" s="1349"/>
      <c r="E158" s="849"/>
      <c r="F158" s="1237"/>
      <c r="G158" s="1454">
        <f>G156</f>
        <v>52503000</v>
      </c>
      <c r="H158" s="849"/>
      <c r="I158" s="849"/>
      <c r="J158" s="1451"/>
      <c r="K158" s="1452"/>
      <c r="L158" s="1453"/>
      <c r="M158" s="1349"/>
      <c r="N158" s="1237">
        <f>SUM(N156:N157)</f>
        <v>0</v>
      </c>
      <c r="O158" s="849">
        <f t="shared" ref="O158:V158" si="32">SUM(O156:O157)</f>
        <v>52503000</v>
      </c>
      <c r="P158" s="849">
        <f t="shared" si="32"/>
        <v>52503000</v>
      </c>
      <c r="Q158" s="849">
        <f t="shared" si="32"/>
        <v>0</v>
      </c>
      <c r="R158" s="849">
        <f t="shared" si="32"/>
        <v>0</v>
      </c>
      <c r="S158" s="849">
        <f t="shared" si="32"/>
        <v>0</v>
      </c>
      <c r="T158" s="849">
        <f t="shared" si="32"/>
        <v>0</v>
      </c>
      <c r="U158" s="849">
        <f t="shared" si="32"/>
        <v>0</v>
      </c>
      <c r="V158" s="849">
        <f t="shared" si="32"/>
        <v>52503000</v>
      </c>
      <c r="W158" s="1372"/>
      <c r="X158" s="1373"/>
      <c r="Y158" s="1373"/>
      <c r="Z158" s="849">
        <f>SUM(Z156:Z157)</f>
        <v>52503000</v>
      </c>
      <c r="AA158" s="1374"/>
      <c r="AB158" s="756">
        <f t="shared" si="31"/>
        <v>0</v>
      </c>
      <c r="AC158" s="858"/>
    </row>
    <row r="159" spans="1:36" s="54" customFormat="1" ht="47.25">
      <c r="A159" s="80"/>
      <c r="B159" s="367"/>
      <c r="C159" s="50" t="s">
        <v>667</v>
      </c>
      <c r="D159" s="368" t="s">
        <v>675</v>
      </c>
      <c r="E159" s="110"/>
      <c r="F159" s="369">
        <v>33326000</v>
      </c>
      <c r="G159" s="155">
        <f t="shared" si="27"/>
        <v>33326000</v>
      </c>
      <c r="H159" s="918" t="s">
        <v>2953</v>
      </c>
      <c r="I159" s="1235">
        <v>42674</v>
      </c>
      <c r="J159" s="1505" t="s">
        <v>2889</v>
      </c>
      <c r="K159" s="372" t="s">
        <v>3742</v>
      </c>
      <c r="L159" s="1730" t="s">
        <v>786</v>
      </c>
      <c r="M159" s="368" t="s">
        <v>2888</v>
      </c>
      <c r="N159" s="369"/>
      <c r="O159" s="369">
        <v>33326000</v>
      </c>
      <c r="P159" s="344">
        <f t="shared" si="28"/>
        <v>33326000</v>
      </c>
      <c r="Q159" s="369"/>
      <c r="R159" s="369"/>
      <c r="S159" s="369"/>
      <c r="T159" s="369"/>
      <c r="U159" s="369"/>
      <c r="V159" s="281">
        <f t="shared" si="29"/>
        <v>33326000</v>
      </c>
      <c r="W159" s="374" t="s">
        <v>3649</v>
      </c>
      <c r="X159" s="375">
        <v>42728</v>
      </c>
      <c r="Y159" s="375">
        <v>42732</v>
      </c>
      <c r="Z159" s="110">
        <f>V159</f>
        <v>33326000</v>
      </c>
      <c r="AA159" s="376">
        <v>1</v>
      </c>
      <c r="AB159" s="52">
        <f t="shared" si="31"/>
        <v>0</v>
      </c>
      <c r="AC159" s="113"/>
      <c r="AD159" s="38"/>
      <c r="AE159" s="38"/>
      <c r="AF159" s="38"/>
      <c r="AG159" s="38"/>
      <c r="AH159" s="38"/>
      <c r="AI159" s="38"/>
      <c r="AJ159" s="38"/>
    </row>
    <row r="160" spans="1:36" s="54" customFormat="1" ht="47.25">
      <c r="A160" s="80"/>
      <c r="B160" s="367"/>
      <c r="C160" s="50" t="s">
        <v>668</v>
      </c>
      <c r="D160" s="368" t="s">
        <v>676</v>
      </c>
      <c r="E160" s="110"/>
      <c r="F160" s="369">
        <v>33274000</v>
      </c>
      <c r="G160" s="155">
        <f t="shared" si="27"/>
        <v>33274000</v>
      </c>
      <c r="H160" s="918" t="s">
        <v>2953</v>
      </c>
      <c r="I160" s="1235">
        <v>42674</v>
      </c>
      <c r="J160" s="1505" t="s">
        <v>2889</v>
      </c>
      <c r="K160" s="372" t="s">
        <v>3742</v>
      </c>
      <c r="L160" s="1730" t="s">
        <v>786</v>
      </c>
      <c r="M160" s="368" t="s">
        <v>2888</v>
      </c>
      <c r="N160" s="369"/>
      <c r="O160" s="369">
        <v>13930220</v>
      </c>
      <c r="P160" s="369">
        <f t="shared" si="28"/>
        <v>13930220</v>
      </c>
      <c r="Q160" s="369"/>
      <c r="R160" s="369"/>
      <c r="S160" s="369"/>
      <c r="T160" s="369"/>
      <c r="U160" s="369"/>
      <c r="V160" s="281">
        <f t="shared" si="29"/>
        <v>13930220</v>
      </c>
      <c r="W160" s="374" t="s">
        <v>3649</v>
      </c>
      <c r="X160" s="375">
        <v>42728</v>
      </c>
      <c r="Y160" s="375">
        <v>42732</v>
      </c>
      <c r="Z160" s="110">
        <f>V160</f>
        <v>13930220</v>
      </c>
      <c r="AA160" s="376">
        <v>1</v>
      </c>
      <c r="AB160" s="52">
        <f t="shared" si="31"/>
        <v>19343780</v>
      </c>
      <c r="AC160" s="113"/>
      <c r="AD160" s="38"/>
      <c r="AE160" s="38"/>
      <c r="AF160" s="38"/>
      <c r="AG160" s="38"/>
      <c r="AH160" s="38"/>
      <c r="AI160" s="38"/>
      <c r="AJ160" s="38"/>
    </row>
    <row r="161" spans="1:36" s="54" customFormat="1" ht="31.5">
      <c r="A161" s="80"/>
      <c r="B161" s="367"/>
      <c r="C161" s="50"/>
      <c r="D161" s="368"/>
      <c r="E161" s="110"/>
      <c r="F161" s="369"/>
      <c r="G161" s="155"/>
      <c r="H161" s="918"/>
      <c r="I161" s="1235"/>
      <c r="J161" s="1669" t="s">
        <v>3182</v>
      </c>
      <c r="K161" s="372"/>
      <c r="L161" s="1727" t="s">
        <v>387</v>
      </c>
      <c r="M161" s="368" t="s">
        <v>3184</v>
      </c>
      <c r="N161" s="369"/>
      <c r="O161" s="369">
        <v>6094660</v>
      </c>
      <c r="P161" s="369">
        <f t="shared" si="28"/>
        <v>6094660</v>
      </c>
      <c r="Q161" s="369"/>
      <c r="R161" s="369"/>
      <c r="S161" s="369"/>
      <c r="T161" s="369"/>
      <c r="U161" s="369"/>
      <c r="V161" s="281">
        <f>P161</f>
        <v>6094660</v>
      </c>
      <c r="W161" s="374" t="s">
        <v>3528</v>
      </c>
      <c r="X161" s="375">
        <v>42719</v>
      </c>
      <c r="Y161" s="375">
        <v>42725</v>
      </c>
      <c r="Z161" s="110">
        <f>V161</f>
        <v>6094660</v>
      </c>
      <c r="AA161" s="376">
        <v>1</v>
      </c>
      <c r="AB161" s="433">
        <f t="shared" si="31"/>
        <v>-6094660</v>
      </c>
      <c r="AC161" s="113"/>
      <c r="AD161" s="38"/>
      <c r="AE161" s="38"/>
      <c r="AF161" s="38"/>
      <c r="AG161" s="38"/>
      <c r="AH161" s="38"/>
      <c r="AI161" s="38"/>
      <c r="AJ161" s="38"/>
    </row>
    <row r="162" spans="1:36" s="54" customFormat="1" ht="31.5">
      <c r="A162" s="80"/>
      <c r="B162" s="367"/>
      <c r="C162" s="50"/>
      <c r="D162" s="368"/>
      <c r="E162" s="110"/>
      <c r="F162" s="369"/>
      <c r="G162" s="155"/>
      <c r="H162" s="918"/>
      <c r="I162" s="1235"/>
      <c r="J162" s="1669" t="s">
        <v>3183</v>
      </c>
      <c r="K162" s="372"/>
      <c r="L162" s="1727" t="s">
        <v>387</v>
      </c>
      <c r="M162" s="368" t="s">
        <v>3185</v>
      </c>
      <c r="N162" s="369">
        <v>2251700</v>
      </c>
      <c r="O162" s="369"/>
      <c r="P162" s="369">
        <f t="shared" si="28"/>
        <v>2251700</v>
      </c>
      <c r="Q162" s="369"/>
      <c r="R162" s="369"/>
      <c r="S162" s="369"/>
      <c r="T162" s="369"/>
      <c r="U162" s="369"/>
      <c r="V162" s="281">
        <f>P162</f>
        <v>2251700</v>
      </c>
      <c r="W162" s="374" t="s">
        <v>3528</v>
      </c>
      <c r="X162" s="375">
        <v>42719</v>
      </c>
      <c r="Y162" s="375">
        <v>42725</v>
      </c>
      <c r="Z162" s="110">
        <f>V162</f>
        <v>2251700</v>
      </c>
      <c r="AA162" s="376">
        <v>1</v>
      </c>
      <c r="AB162" s="433">
        <f t="shared" si="31"/>
        <v>-2251700</v>
      </c>
      <c r="AC162" s="113"/>
      <c r="AD162" s="38"/>
      <c r="AE162" s="38"/>
      <c r="AF162" s="38"/>
      <c r="AG162" s="38"/>
      <c r="AH162" s="38"/>
      <c r="AI162" s="38"/>
      <c r="AJ162" s="38"/>
    </row>
    <row r="163" spans="1:36" s="54" customFormat="1">
      <c r="A163" s="80"/>
      <c r="B163" s="367"/>
      <c r="C163" s="50"/>
      <c r="D163" s="368"/>
      <c r="E163" s="110"/>
      <c r="F163" s="369"/>
      <c r="G163" s="155"/>
      <c r="H163" s="918"/>
      <c r="I163" s="1235"/>
      <c r="J163" s="1678" t="s">
        <v>3225</v>
      </c>
      <c r="K163" s="372"/>
      <c r="L163" s="1680"/>
      <c r="M163" s="368" t="s">
        <v>3226</v>
      </c>
      <c r="N163" s="369"/>
      <c r="O163" s="369">
        <v>9625000</v>
      </c>
      <c r="P163" s="369">
        <f t="shared" si="28"/>
        <v>9625000</v>
      </c>
      <c r="Q163" s="369"/>
      <c r="R163" s="369"/>
      <c r="S163" s="369"/>
      <c r="T163" s="369"/>
      <c r="U163" s="369"/>
      <c r="V163" s="281">
        <f>P163</f>
        <v>9625000</v>
      </c>
      <c r="W163" s="374" t="s">
        <v>3528</v>
      </c>
      <c r="X163" s="375">
        <v>42719</v>
      </c>
      <c r="Y163" s="375">
        <v>42725</v>
      </c>
      <c r="Z163" s="110">
        <f>V163</f>
        <v>9625000</v>
      </c>
      <c r="AA163" s="376">
        <v>1</v>
      </c>
      <c r="AB163" s="433">
        <f t="shared" si="31"/>
        <v>-9625000</v>
      </c>
      <c r="AC163" s="113"/>
      <c r="AD163" s="38"/>
      <c r="AE163" s="38"/>
      <c r="AF163" s="38"/>
      <c r="AG163" s="38"/>
      <c r="AH163" s="38"/>
      <c r="AI163" s="38"/>
      <c r="AJ163" s="38"/>
    </row>
    <row r="164" spans="1:36" s="755" customFormat="1">
      <c r="A164" s="1216"/>
      <c r="B164" s="1217"/>
      <c r="C164" s="773" t="str">
        <f>C160</f>
        <v>PRK.2016.WKT-4.3.53226.149</v>
      </c>
      <c r="D164" s="1348"/>
      <c r="E164" s="849"/>
      <c r="F164" s="849"/>
      <c r="G164" s="1454">
        <f>G160</f>
        <v>33274000</v>
      </c>
      <c r="H164" s="1671"/>
      <c r="I164" s="1672"/>
      <c r="J164" s="1369"/>
      <c r="K164" s="1370"/>
      <c r="L164" s="1371"/>
      <c r="M164" s="1348"/>
      <c r="N164" s="849">
        <f>SUM(N160:N163)</f>
        <v>2251700</v>
      </c>
      <c r="O164" s="849">
        <f t="shared" ref="O164:V164" si="33">SUM(O160:O163)</f>
        <v>29649880</v>
      </c>
      <c r="P164" s="849">
        <f t="shared" si="33"/>
        <v>31901580</v>
      </c>
      <c r="Q164" s="849">
        <f t="shared" si="33"/>
        <v>0</v>
      </c>
      <c r="R164" s="849">
        <f t="shared" si="33"/>
        <v>0</v>
      </c>
      <c r="S164" s="849">
        <f t="shared" si="33"/>
        <v>0</v>
      </c>
      <c r="T164" s="849">
        <f t="shared" si="33"/>
        <v>0</v>
      </c>
      <c r="U164" s="849">
        <f t="shared" si="33"/>
        <v>0</v>
      </c>
      <c r="V164" s="849">
        <f t="shared" si="33"/>
        <v>31901580</v>
      </c>
      <c r="W164" s="1372"/>
      <c r="X164" s="1373"/>
      <c r="Y164" s="1373"/>
      <c r="Z164" s="849">
        <f>SUM(Z160:Z163)</f>
        <v>31901580</v>
      </c>
      <c r="AA164" s="1374"/>
      <c r="AB164" s="756">
        <f t="shared" si="31"/>
        <v>1372420</v>
      </c>
      <c r="AC164" s="858"/>
    </row>
    <row r="165" spans="1:36" s="54" customFormat="1" ht="31.5">
      <c r="A165" s="80"/>
      <c r="B165" s="367"/>
      <c r="C165" s="50" t="s">
        <v>669</v>
      </c>
      <c r="D165" s="368" t="s">
        <v>677</v>
      </c>
      <c r="E165" s="110"/>
      <c r="F165" s="369">
        <v>9403955</v>
      </c>
      <c r="G165" s="155">
        <f t="shared" si="27"/>
        <v>9403955</v>
      </c>
      <c r="H165" s="110"/>
      <c r="I165" s="110"/>
      <c r="J165" s="1678" t="s">
        <v>3223</v>
      </c>
      <c r="K165" s="372"/>
      <c r="L165" s="373"/>
      <c r="M165" s="368" t="s">
        <v>3224</v>
      </c>
      <c r="N165" s="369"/>
      <c r="O165" s="369">
        <v>9388500</v>
      </c>
      <c r="P165" s="369">
        <f t="shared" si="28"/>
        <v>9388500</v>
      </c>
      <c r="Q165" s="369"/>
      <c r="R165" s="369"/>
      <c r="S165" s="369"/>
      <c r="T165" s="369"/>
      <c r="U165" s="369"/>
      <c r="V165" s="281">
        <f>P165</f>
        <v>9388500</v>
      </c>
      <c r="W165" s="374" t="s">
        <v>3528</v>
      </c>
      <c r="X165" s="375">
        <v>42719</v>
      </c>
      <c r="Y165" s="375">
        <v>42725</v>
      </c>
      <c r="Z165" s="110">
        <f>V165</f>
        <v>9388500</v>
      </c>
      <c r="AA165" s="376">
        <v>1</v>
      </c>
      <c r="AB165" s="52">
        <f t="shared" si="31"/>
        <v>15455</v>
      </c>
      <c r="AC165" s="113"/>
      <c r="AD165" s="38"/>
      <c r="AE165" s="38"/>
      <c r="AF165" s="38"/>
      <c r="AG165" s="38"/>
      <c r="AH165" s="38"/>
      <c r="AI165" s="38"/>
      <c r="AJ165" s="38"/>
    </row>
    <row r="166" spans="1:36" s="54" customFormat="1" ht="47.25">
      <c r="A166" s="80"/>
      <c r="B166" s="367"/>
      <c r="C166" s="50" t="s">
        <v>678</v>
      </c>
      <c r="D166" s="368" t="s">
        <v>679</v>
      </c>
      <c r="E166" s="110"/>
      <c r="F166" s="369">
        <v>29872000</v>
      </c>
      <c r="G166" s="155">
        <f t="shared" si="27"/>
        <v>29872000</v>
      </c>
      <c r="H166" s="381" t="s">
        <v>2013</v>
      </c>
      <c r="I166" s="73">
        <v>42586</v>
      </c>
      <c r="J166" s="371" t="s">
        <v>2004</v>
      </c>
      <c r="K166" s="372" t="s">
        <v>2176</v>
      </c>
      <c r="L166" s="373" t="s">
        <v>396</v>
      </c>
      <c r="M166" s="368" t="s">
        <v>2005</v>
      </c>
      <c r="N166" s="369"/>
      <c r="O166" s="369">
        <v>26601025</v>
      </c>
      <c r="P166" s="262">
        <f>N166+O166</f>
        <v>26601025</v>
      </c>
      <c r="Q166" s="369"/>
      <c r="R166" s="369"/>
      <c r="S166" s="369"/>
      <c r="T166" s="369"/>
      <c r="U166" s="369"/>
      <c r="V166" s="281">
        <f>P166</f>
        <v>26601025</v>
      </c>
      <c r="W166" s="140" t="s">
        <v>2903</v>
      </c>
      <c r="X166" s="141">
        <v>42667</v>
      </c>
      <c r="Y166" s="141">
        <v>42671</v>
      </c>
      <c r="Z166" s="103">
        <f>V166</f>
        <v>26601025</v>
      </c>
      <c r="AA166" s="288">
        <v>1</v>
      </c>
      <c r="AB166" s="52">
        <f t="shared" si="31"/>
        <v>3270975</v>
      </c>
      <c r="AC166" s="113"/>
      <c r="AD166" s="38"/>
      <c r="AE166" s="38"/>
      <c r="AF166" s="38"/>
      <c r="AG166" s="38"/>
      <c r="AH166" s="38"/>
      <c r="AI166" s="38"/>
      <c r="AJ166" s="38"/>
    </row>
    <row r="167" spans="1:36" s="54" customFormat="1" ht="47.25">
      <c r="A167" s="80"/>
      <c r="B167" s="367"/>
      <c r="C167" s="50" t="s">
        <v>680</v>
      </c>
      <c r="D167" s="368" t="s">
        <v>688</v>
      </c>
      <c r="E167" s="110"/>
      <c r="F167" s="369">
        <v>26139000</v>
      </c>
      <c r="G167" s="155">
        <f t="shared" si="27"/>
        <v>26139000</v>
      </c>
      <c r="H167" s="381" t="s">
        <v>3152</v>
      </c>
      <c r="I167" s="1235">
        <v>42698</v>
      </c>
      <c r="J167" s="1662" t="s">
        <v>3127</v>
      </c>
      <c r="K167" s="372" t="s">
        <v>3575</v>
      </c>
      <c r="L167" s="1727" t="s">
        <v>387</v>
      </c>
      <c r="M167" s="368" t="s">
        <v>3130</v>
      </c>
      <c r="N167" s="369">
        <v>26136000</v>
      </c>
      <c r="O167" s="369"/>
      <c r="P167" s="262">
        <f>N167+O167</f>
        <v>26136000</v>
      </c>
      <c r="Q167" s="369"/>
      <c r="R167" s="369"/>
      <c r="S167" s="369"/>
      <c r="T167" s="369"/>
      <c r="U167" s="369"/>
      <c r="V167" s="281">
        <f>P167</f>
        <v>26136000</v>
      </c>
      <c r="W167" s="374" t="s">
        <v>3541</v>
      </c>
      <c r="X167" s="375">
        <v>42724</v>
      </c>
      <c r="Y167" s="375">
        <v>42731</v>
      </c>
      <c r="Z167" s="103">
        <f>V167</f>
        <v>26136000</v>
      </c>
      <c r="AA167" s="288">
        <v>1</v>
      </c>
      <c r="AB167" s="52">
        <f t="shared" si="31"/>
        <v>3000</v>
      </c>
      <c r="AC167" s="113"/>
      <c r="AD167" s="38"/>
      <c r="AE167" s="38"/>
      <c r="AF167" s="38"/>
      <c r="AG167" s="38"/>
      <c r="AH167" s="38"/>
      <c r="AI167" s="38"/>
      <c r="AJ167" s="38"/>
    </row>
    <row r="168" spans="1:36" s="54" customFormat="1" ht="47.25">
      <c r="A168" s="80"/>
      <c r="B168" s="367"/>
      <c r="C168" s="50" t="s">
        <v>681</v>
      </c>
      <c r="D168" s="368" t="s">
        <v>689</v>
      </c>
      <c r="E168" s="110"/>
      <c r="F168" s="369">
        <v>28553000</v>
      </c>
      <c r="G168" s="155">
        <f t="shared" si="27"/>
        <v>28553000</v>
      </c>
      <c r="H168" s="381" t="s">
        <v>2301</v>
      </c>
      <c r="I168" s="73">
        <v>42620</v>
      </c>
      <c r="J168" s="371" t="s">
        <v>2242</v>
      </c>
      <c r="K168" s="372" t="s">
        <v>2826</v>
      </c>
      <c r="L168" s="1485" t="s">
        <v>387</v>
      </c>
      <c r="M168" s="368" t="s">
        <v>2243</v>
      </c>
      <c r="N168" s="369"/>
      <c r="O168" s="369">
        <v>20132200</v>
      </c>
      <c r="P168" s="262">
        <f>N168+O168</f>
        <v>20132200</v>
      </c>
      <c r="Q168" s="369"/>
      <c r="R168" s="369"/>
      <c r="S168" s="369"/>
      <c r="T168" s="369"/>
      <c r="U168" s="369"/>
      <c r="V168" s="281">
        <f>P168</f>
        <v>20132200</v>
      </c>
      <c r="W168" s="349" t="s">
        <v>3052</v>
      </c>
      <c r="X168" s="350">
        <v>42675</v>
      </c>
      <c r="Y168" s="350">
        <v>42682</v>
      </c>
      <c r="Z168" s="264">
        <f>V168</f>
        <v>20132200</v>
      </c>
      <c r="AA168" s="288">
        <v>1</v>
      </c>
      <c r="AB168" s="52">
        <f t="shared" si="31"/>
        <v>8420800</v>
      </c>
      <c r="AC168" s="113"/>
      <c r="AD168" s="38"/>
      <c r="AE168" s="38"/>
      <c r="AF168" s="38"/>
      <c r="AG168" s="38"/>
      <c r="AH168" s="38"/>
      <c r="AI168" s="38"/>
      <c r="AJ168" s="38"/>
    </row>
    <row r="169" spans="1:36" s="54" customFormat="1" ht="31.5">
      <c r="A169" s="80"/>
      <c r="B169" s="367"/>
      <c r="C169" s="50"/>
      <c r="D169" s="368"/>
      <c r="E169" s="110"/>
      <c r="F169" s="369"/>
      <c r="G169" s="155"/>
      <c r="H169" s="379"/>
      <c r="I169" s="322"/>
      <c r="J169" s="1505" t="s">
        <v>2885</v>
      </c>
      <c r="K169" s="372" t="s">
        <v>3113</v>
      </c>
      <c r="L169" s="1654" t="s">
        <v>387</v>
      </c>
      <c r="M169" s="347" t="s">
        <v>2884</v>
      </c>
      <c r="N169" s="369"/>
      <c r="O169" s="369">
        <v>8412800</v>
      </c>
      <c r="P169" s="262">
        <f>N169+O169</f>
        <v>8412800</v>
      </c>
      <c r="Q169" s="369"/>
      <c r="R169" s="369"/>
      <c r="S169" s="369"/>
      <c r="T169" s="369"/>
      <c r="U169" s="369"/>
      <c r="V169" s="281">
        <f>P169</f>
        <v>8412800</v>
      </c>
      <c r="W169" s="1659" t="s">
        <v>3112</v>
      </c>
      <c r="X169" s="1660">
        <v>42685</v>
      </c>
      <c r="Y169" s="1660">
        <v>42691</v>
      </c>
      <c r="Z169" s="1659">
        <f>V169</f>
        <v>8412800</v>
      </c>
      <c r="AA169" s="1145">
        <v>1</v>
      </c>
      <c r="AB169" s="433">
        <f t="shared" si="31"/>
        <v>-8412800</v>
      </c>
      <c r="AC169" s="113"/>
      <c r="AD169" s="38"/>
      <c r="AE169" s="38"/>
      <c r="AF169" s="38"/>
      <c r="AG169" s="38"/>
      <c r="AH169" s="38"/>
      <c r="AI169" s="38"/>
      <c r="AJ169" s="38"/>
    </row>
    <row r="170" spans="1:36" s="755" customFormat="1">
      <c r="A170" s="1216"/>
      <c r="B170" s="1217"/>
      <c r="C170" s="773" t="str">
        <f>C168</f>
        <v>PRK.2016.WKT-4.3.53226.200</v>
      </c>
      <c r="D170" s="1348"/>
      <c r="E170" s="849"/>
      <c r="F170" s="849"/>
      <c r="G170" s="1454">
        <f>G168</f>
        <v>28553000</v>
      </c>
      <c r="H170" s="752"/>
      <c r="I170" s="753"/>
      <c r="J170" s="854"/>
      <c r="K170" s="1370"/>
      <c r="L170" s="1371"/>
      <c r="M170" s="857"/>
      <c r="N170" s="849">
        <f>SUM(N168:N169)</f>
        <v>0</v>
      </c>
      <c r="O170" s="849">
        <f t="shared" ref="O170:V170" si="34">SUM(O168:O169)</f>
        <v>28545000</v>
      </c>
      <c r="P170" s="849">
        <f t="shared" si="34"/>
        <v>28545000</v>
      </c>
      <c r="Q170" s="849">
        <f t="shared" si="34"/>
        <v>0</v>
      </c>
      <c r="R170" s="849">
        <f t="shared" si="34"/>
        <v>0</v>
      </c>
      <c r="S170" s="849">
        <f t="shared" si="34"/>
        <v>0</v>
      </c>
      <c r="T170" s="849">
        <f t="shared" si="34"/>
        <v>0</v>
      </c>
      <c r="U170" s="849">
        <f t="shared" si="34"/>
        <v>0</v>
      </c>
      <c r="V170" s="849">
        <f t="shared" si="34"/>
        <v>28545000</v>
      </c>
      <c r="W170" s="1372"/>
      <c r="X170" s="1373"/>
      <c r="Y170" s="1373"/>
      <c r="Z170" s="849">
        <f>SUM(Z168:Z169)</f>
        <v>28545000</v>
      </c>
      <c r="AA170" s="1374"/>
      <c r="AB170" s="756">
        <f t="shared" si="31"/>
        <v>8000</v>
      </c>
      <c r="AC170" s="858"/>
    </row>
    <row r="171" spans="1:36" s="54" customFormat="1">
      <c r="A171" s="80"/>
      <c r="B171" s="367"/>
      <c r="C171" s="50" t="s">
        <v>682</v>
      </c>
      <c r="D171" s="368" t="s">
        <v>690</v>
      </c>
      <c r="E171" s="110"/>
      <c r="F171" s="369">
        <v>26688000</v>
      </c>
      <c r="G171" s="155">
        <f t="shared" si="27"/>
        <v>26688000</v>
      </c>
      <c r="H171" s="2744" t="s">
        <v>2854</v>
      </c>
      <c r="I171" s="2747">
        <v>42670</v>
      </c>
      <c r="J171" s="2750" t="s">
        <v>2774</v>
      </c>
      <c r="K171" s="372"/>
      <c r="L171" s="373"/>
      <c r="M171" s="2753" t="s">
        <v>2775</v>
      </c>
      <c r="N171" s="369"/>
      <c r="O171" s="369">
        <v>26688000</v>
      </c>
      <c r="P171" s="262">
        <f>N171+O171</f>
        <v>26688000</v>
      </c>
      <c r="Q171" s="369"/>
      <c r="R171" s="369"/>
      <c r="S171" s="369"/>
      <c r="T171" s="369"/>
      <c r="U171" s="369"/>
      <c r="V171" s="281">
        <f>P171</f>
        <v>26688000</v>
      </c>
      <c r="W171" s="374"/>
      <c r="X171" s="375"/>
      <c r="Y171" s="375"/>
      <c r="Z171" s="110"/>
      <c r="AA171" s="376"/>
      <c r="AB171" s="433"/>
      <c r="AC171" s="113"/>
      <c r="AD171" s="38"/>
      <c r="AE171" s="38"/>
      <c r="AF171" s="38"/>
      <c r="AG171" s="38"/>
      <c r="AH171" s="38"/>
      <c r="AI171" s="38"/>
      <c r="AJ171" s="38"/>
    </row>
    <row r="172" spans="1:36" s="54" customFormat="1">
      <c r="A172" s="80"/>
      <c r="B172" s="367"/>
      <c r="C172" s="50" t="s">
        <v>683</v>
      </c>
      <c r="D172" s="368" t="s">
        <v>691</v>
      </c>
      <c r="E172" s="110"/>
      <c r="F172" s="369">
        <v>24338000</v>
      </c>
      <c r="G172" s="155">
        <f t="shared" si="27"/>
        <v>24338000</v>
      </c>
      <c r="H172" s="2745"/>
      <c r="I172" s="2748"/>
      <c r="J172" s="2751"/>
      <c r="K172" s="372"/>
      <c r="L172" s="373"/>
      <c r="M172" s="2754"/>
      <c r="N172" s="369"/>
      <c r="O172" s="369">
        <v>24338000</v>
      </c>
      <c r="P172" s="262">
        <f>N172+O172</f>
        <v>24338000</v>
      </c>
      <c r="Q172" s="369"/>
      <c r="R172" s="369"/>
      <c r="S172" s="369"/>
      <c r="T172" s="369"/>
      <c r="U172" s="369"/>
      <c r="V172" s="281">
        <f>P172</f>
        <v>24338000</v>
      </c>
      <c r="W172" s="374"/>
      <c r="X172" s="375"/>
      <c r="Y172" s="375"/>
      <c r="Z172" s="110"/>
      <c r="AA172" s="376"/>
      <c r="AB172" s="433"/>
      <c r="AC172" s="113"/>
      <c r="AD172" s="38"/>
      <c r="AE172" s="38"/>
      <c r="AF172" s="38"/>
      <c r="AG172" s="38"/>
      <c r="AH172" s="38"/>
      <c r="AI172" s="38"/>
      <c r="AJ172" s="38"/>
    </row>
    <row r="173" spans="1:36" s="54" customFormat="1">
      <c r="A173" s="80"/>
      <c r="B173" s="367"/>
      <c r="C173" s="50" t="s">
        <v>684</v>
      </c>
      <c r="D173" s="368" t="s">
        <v>692</v>
      </c>
      <c r="E173" s="110"/>
      <c r="F173" s="369">
        <v>25501000</v>
      </c>
      <c r="G173" s="155">
        <f t="shared" si="27"/>
        <v>25501000</v>
      </c>
      <c r="H173" s="2745"/>
      <c r="I173" s="2748"/>
      <c r="J173" s="2751"/>
      <c r="K173" s="372"/>
      <c r="L173" s="373"/>
      <c r="M173" s="2754"/>
      <c r="N173" s="369"/>
      <c r="O173" s="369">
        <v>25501000</v>
      </c>
      <c r="P173" s="262">
        <f>N173+O173</f>
        <v>25501000</v>
      </c>
      <c r="Q173" s="369"/>
      <c r="R173" s="369"/>
      <c r="S173" s="369"/>
      <c r="T173" s="369"/>
      <c r="U173" s="369"/>
      <c r="V173" s="281">
        <f>P173</f>
        <v>25501000</v>
      </c>
      <c r="W173" s="374"/>
      <c r="X173" s="375"/>
      <c r="Y173" s="375"/>
      <c r="Z173" s="110"/>
      <c r="AA173" s="376"/>
      <c r="AB173" s="433"/>
      <c r="AC173" s="113"/>
      <c r="AD173" s="38"/>
      <c r="AE173" s="38"/>
      <c r="AF173" s="38"/>
      <c r="AG173" s="38"/>
      <c r="AH173" s="38"/>
      <c r="AI173" s="38"/>
      <c r="AJ173" s="38"/>
    </row>
    <row r="174" spans="1:36" s="54" customFormat="1">
      <c r="A174" s="80"/>
      <c r="B174" s="367"/>
      <c r="C174" s="50" t="s">
        <v>685</v>
      </c>
      <c r="D174" s="368" t="s">
        <v>693</v>
      </c>
      <c r="E174" s="110"/>
      <c r="F174" s="369">
        <v>24113000</v>
      </c>
      <c r="G174" s="155">
        <f t="shared" si="27"/>
        <v>24113000</v>
      </c>
      <c r="H174" s="2745"/>
      <c r="I174" s="2748"/>
      <c r="J174" s="2751"/>
      <c r="K174" s="372"/>
      <c r="L174" s="373"/>
      <c r="M174" s="2754"/>
      <c r="N174" s="369"/>
      <c r="O174" s="369">
        <v>24113000</v>
      </c>
      <c r="P174" s="262">
        <f>N174+O174</f>
        <v>24113000</v>
      </c>
      <c r="Q174" s="369"/>
      <c r="R174" s="369"/>
      <c r="S174" s="369"/>
      <c r="T174" s="369"/>
      <c r="U174" s="369"/>
      <c r="V174" s="281">
        <f>P174</f>
        <v>24113000</v>
      </c>
      <c r="W174" s="374"/>
      <c r="X174" s="375"/>
      <c r="Y174" s="375"/>
      <c r="Z174" s="110"/>
      <c r="AA174" s="376"/>
      <c r="AB174" s="433"/>
      <c r="AC174" s="113"/>
      <c r="AD174" s="38"/>
      <c r="AE174" s="38"/>
      <c r="AF174" s="38"/>
      <c r="AG174" s="38"/>
      <c r="AH174" s="38"/>
      <c r="AI174" s="38"/>
      <c r="AJ174" s="38"/>
    </row>
    <row r="175" spans="1:36" s="54" customFormat="1">
      <c r="A175" s="80"/>
      <c r="B175" s="367"/>
      <c r="C175" s="50" t="s">
        <v>686</v>
      </c>
      <c r="D175" s="368" t="s">
        <v>694</v>
      </c>
      <c r="E175" s="110"/>
      <c r="F175" s="369">
        <v>25315000</v>
      </c>
      <c r="G175" s="155">
        <f t="shared" si="27"/>
        <v>25315000</v>
      </c>
      <c r="H175" s="2746"/>
      <c r="I175" s="2749"/>
      <c r="J175" s="2752"/>
      <c r="K175" s="372"/>
      <c r="L175" s="373"/>
      <c r="M175" s="2755"/>
      <c r="N175" s="369"/>
      <c r="O175" s="369">
        <v>20277500</v>
      </c>
      <c r="P175" s="262">
        <f>N175+O175</f>
        <v>20277500</v>
      </c>
      <c r="Q175" s="369"/>
      <c r="R175" s="369"/>
      <c r="S175" s="369"/>
      <c r="T175" s="369"/>
      <c r="U175" s="369"/>
      <c r="V175" s="281">
        <f>P175</f>
        <v>20277500</v>
      </c>
      <c r="W175" s="374" t="s">
        <v>3541</v>
      </c>
      <c r="X175" s="375">
        <v>42724</v>
      </c>
      <c r="Y175" s="375">
        <v>42731</v>
      </c>
      <c r="Z175" s="110">
        <f>V176</f>
        <v>120917500</v>
      </c>
      <c r="AA175" s="376">
        <v>1</v>
      </c>
      <c r="AB175" s="433"/>
      <c r="AC175" s="113"/>
      <c r="AD175" s="38"/>
      <c r="AE175" s="38"/>
      <c r="AF175" s="38"/>
      <c r="AG175" s="38"/>
      <c r="AH175" s="38"/>
      <c r="AI175" s="38"/>
      <c r="AJ175" s="38"/>
    </row>
    <row r="176" spans="1:36" s="755" customFormat="1">
      <c r="A176" s="1216"/>
      <c r="B176" s="1217"/>
      <c r="C176" s="773"/>
      <c r="D176" s="1348"/>
      <c r="E176" s="1454">
        <f>SUM(E171:E175)</f>
        <v>0</v>
      </c>
      <c r="F176" s="1454">
        <f>SUM(F171:F175)</f>
        <v>125955000</v>
      </c>
      <c r="G176" s="1454">
        <f>SUM(G171:G175)</f>
        <v>125955000</v>
      </c>
      <c r="H176" s="849"/>
      <c r="I176" s="849"/>
      <c r="J176" s="1369"/>
      <c r="K176" s="1370"/>
      <c r="L176" s="1371"/>
      <c r="M176" s="1371"/>
      <c r="N176" s="849">
        <f>SUM(N171:N175)</f>
        <v>0</v>
      </c>
      <c r="O176" s="849">
        <f t="shared" ref="O176:V176" si="35">SUM(O171:O175)</f>
        <v>120917500</v>
      </c>
      <c r="P176" s="849">
        <f t="shared" si="35"/>
        <v>120917500</v>
      </c>
      <c r="Q176" s="849">
        <f t="shared" si="35"/>
        <v>0</v>
      </c>
      <c r="R176" s="849">
        <f t="shared" si="35"/>
        <v>0</v>
      </c>
      <c r="S176" s="849">
        <f t="shared" si="35"/>
        <v>0</v>
      </c>
      <c r="T176" s="849">
        <f t="shared" si="35"/>
        <v>0</v>
      </c>
      <c r="U176" s="849">
        <f t="shared" si="35"/>
        <v>0</v>
      </c>
      <c r="V176" s="849">
        <f t="shared" si="35"/>
        <v>120917500</v>
      </c>
      <c r="W176" s="1372"/>
      <c r="X176" s="1423"/>
      <c r="Y176" s="1373"/>
      <c r="Z176" s="849">
        <f>SUM(Z171:Z175)</f>
        <v>120917500</v>
      </c>
      <c r="AA176" s="1374"/>
      <c r="AB176" s="756">
        <f t="shared" si="31"/>
        <v>5037500</v>
      </c>
      <c r="AC176" s="858"/>
    </row>
    <row r="177" spans="1:36" s="54" customFormat="1" ht="31.5">
      <c r="A177" s="80"/>
      <c r="B177" s="367"/>
      <c r="C177" s="50" t="s">
        <v>687</v>
      </c>
      <c r="D177" s="368" t="s">
        <v>695</v>
      </c>
      <c r="E177" s="110"/>
      <c r="F177" s="369">
        <v>29872000</v>
      </c>
      <c r="G177" s="155">
        <f t="shared" si="27"/>
        <v>29872000</v>
      </c>
      <c r="H177" s="110"/>
      <c r="I177" s="110"/>
      <c r="J177" s="371" t="s">
        <v>2239</v>
      </c>
      <c r="K177" s="372" t="s">
        <v>2644</v>
      </c>
      <c r="L177" s="373" t="s">
        <v>383</v>
      </c>
      <c r="M177" s="368" t="s">
        <v>2716</v>
      </c>
      <c r="N177" s="369"/>
      <c r="O177" s="369">
        <v>9784500</v>
      </c>
      <c r="P177" s="262">
        <f>N177+O177</f>
        <v>9784500</v>
      </c>
      <c r="Q177" s="369"/>
      <c r="R177" s="369"/>
      <c r="S177" s="369"/>
      <c r="T177" s="369"/>
      <c r="U177" s="369"/>
      <c r="V177" s="281">
        <f>P177</f>
        <v>9784500</v>
      </c>
      <c r="W177" s="1409" t="s">
        <v>2643</v>
      </c>
      <c r="X177" s="1409">
        <v>42642</v>
      </c>
      <c r="Y177" s="375">
        <v>42648</v>
      </c>
      <c r="Z177" s="110">
        <f>V177</f>
        <v>9784500</v>
      </c>
      <c r="AA177" s="376">
        <v>1</v>
      </c>
      <c r="AB177" s="433">
        <f t="shared" si="31"/>
        <v>20087500</v>
      </c>
      <c r="AC177" s="113"/>
      <c r="AD177" s="38"/>
      <c r="AE177" s="38"/>
      <c r="AF177" s="38"/>
      <c r="AG177" s="967"/>
      <c r="AH177" s="38"/>
      <c r="AI177" s="38"/>
      <c r="AJ177" s="38"/>
    </row>
    <row r="178" spans="1:36" s="54" customFormat="1" ht="31.5">
      <c r="A178" s="80"/>
      <c r="B178" s="367"/>
      <c r="C178" s="367"/>
      <c r="D178" s="368"/>
      <c r="E178" s="110"/>
      <c r="F178" s="369"/>
      <c r="G178" s="370"/>
      <c r="H178" s="110"/>
      <c r="I178" s="110"/>
      <c r="J178" s="276" t="s">
        <v>1919</v>
      </c>
      <c r="K178" s="372" t="s">
        <v>2817</v>
      </c>
      <c r="L178" s="250" t="s">
        <v>387</v>
      </c>
      <c r="M178" s="72" t="s">
        <v>1920</v>
      </c>
      <c r="N178" s="344">
        <v>8679000</v>
      </c>
      <c r="O178" s="369"/>
      <c r="P178" s="262">
        <f>N178+O178</f>
        <v>8679000</v>
      </c>
      <c r="Q178" s="369"/>
      <c r="R178" s="369"/>
      <c r="S178" s="369"/>
      <c r="T178" s="369"/>
      <c r="U178" s="369"/>
      <c r="V178" s="281">
        <f>P178</f>
        <v>8679000</v>
      </c>
      <c r="W178" s="374" t="s">
        <v>2816</v>
      </c>
      <c r="X178" s="375">
        <v>42663</v>
      </c>
      <c r="Y178" s="375">
        <v>42668</v>
      </c>
      <c r="Z178" s="110">
        <f>V178</f>
        <v>8679000</v>
      </c>
      <c r="AA178" s="376">
        <v>1</v>
      </c>
      <c r="AB178" s="433">
        <f t="shared" si="31"/>
        <v>-8679000</v>
      </c>
      <c r="AC178" s="113"/>
      <c r="AD178" s="38"/>
      <c r="AE178" s="38"/>
      <c r="AF178" s="38"/>
      <c r="AG178" s="967">
        <f>V178</f>
        <v>8679000</v>
      </c>
      <c r="AH178" s="38"/>
      <c r="AI178" s="38"/>
      <c r="AJ178" s="38"/>
    </row>
    <row r="179" spans="1:36" s="54" customFormat="1" ht="31.5">
      <c r="A179" s="80"/>
      <c r="B179" s="367"/>
      <c r="C179" s="367"/>
      <c r="D179" s="368"/>
      <c r="E179" s="110"/>
      <c r="F179" s="369"/>
      <c r="G179" s="370"/>
      <c r="H179" s="110"/>
      <c r="I179" s="110"/>
      <c r="J179" s="276" t="s">
        <v>2583</v>
      </c>
      <c r="K179" s="256" t="s">
        <v>3037</v>
      </c>
      <c r="L179" s="250" t="s">
        <v>387</v>
      </c>
      <c r="M179" s="368" t="s">
        <v>2584</v>
      </c>
      <c r="N179" s="344"/>
      <c r="O179" s="369">
        <v>3448500</v>
      </c>
      <c r="P179" s="262">
        <f>N179+O179</f>
        <v>3448500</v>
      </c>
      <c r="Q179" s="369"/>
      <c r="R179" s="369"/>
      <c r="S179" s="369"/>
      <c r="T179" s="369"/>
      <c r="U179" s="369"/>
      <c r="V179" s="281">
        <f>P179</f>
        <v>3448500</v>
      </c>
      <c r="W179" s="374" t="s">
        <v>3032</v>
      </c>
      <c r="X179" s="375">
        <v>42670</v>
      </c>
      <c r="Y179" s="375">
        <v>42676</v>
      </c>
      <c r="Z179" s="110">
        <f>V179</f>
        <v>3448500</v>
      </c>
      <c r="AA179" s="376">
        <v>1</v>
      </c>
      <c r="AB179" s="433">
        <f t="shared" si="31"/>
        <v>-3448500</v>
      </c>
      <c r="AC179" s="113"/>
      <c r="AD179" s="38"/>
      <c r="AE179" s="38"/>
      <c r="AF179" s="38"/>
      <c r="AG179" s="967">
        <f>V179</f>
        <v>3448500</v>
      </c>
      <c r="AH179" s="38"/>
      <c r="AI179" s="38"/>
      <c r="AJ179" s="38"/>
    </row>
    <row r="180" spans="1:36" s="54" customFormat="1" ht="31.5">
      <c r="A180" s="80"/>
      <c r="B180" s="367"/>
      <c r="C180" s="367"/>
      <c r="D180" s="368"/>
      <c r="E180" s="110"/>
      <c r="F180" s="369"/>
      <c r="G180" s="370"/>
      <c r="H180" s="110"/>
      <c r="I180" s="110"/>
      <c r="J180" s="276" t="s">
        <v>2702</v>
      </c>
      <c r="K180" s="256" t="s">
        <v>3056</v>
      </c>
      <c r="L180" s="373" t="s">
        <v>3057</v>
      </c>
      <c r="M180" s="368" t="s">
        <v>2641</v>
      </c>
      <c r="N180" s="344">
        <v>4620000</v>
      </c>
      <c r="O180" s="369"/>
      <c r="P180" s="262">
        <f>N180+O180</f>
        <v>4620000</v>
      </c>
      <c r="Q180" s="369"/>
      <c r="R180" s="369"/>
      <c r="S180" s="369"/>
      <c r="T180" s="369"/>
      <c r="U180" s="369"/>
      <c r="V180" s="281">
        <f>P180</f>
        <v>4620000</v>
      </c>
      <c r="W180" s="349" t="s">
        <v>3052</v>
      </c>
      <c r="X180" s="350">
        <v>42675</v>
      </c>
      <c r="Y180" s="350">
        <v>42682</v>
      </c>
      <c r="Z180" s="264">
        <f>V180</f>
        <v>4620000</v>
      </c>
      <c r="AA180" s="288">
        <v>1</v>
      </c>
      <c r="AB180" s="433">
        <f t="shared" si="31"/>
        <v>-4620000</v>
      </c>
      <c r="AC180" s="113"/>
      <c r="AD180" s="38"/>
      <c r="AE180" s="38"/>
      <c r="AF180" s="38"/>
      <c r="AG180" s="967">
        <f>V180</f>
        <v>4620000</v>
      </c>
      <c r="AH180" s="38"/>
      <c r="AI180" s="38"/>
      <c r="AJ180" s="38"/>
    </row>
    <row r="181" spans="1:36" s="54" customFormat="1" ht="31.5">
      <c r="A181" s="80"/>
      <c r="B181" s="367"/>
      <c r="C181" s="367"/>
      <c r="D181" s="368"/>
      <c r="E181" s="110"/>
      <c r="F181" s="369"/>
      <c r="G181" s="370"/>
      <c r="H181" s="110"/>
      <c r="I181" s="110"/>
      <c r="J181" s="276" t="s">
        <v>2748</v>
      </c>
      <c r="K181" s="256" t="s">
        <v>3062</v>
      </c>
      <c r="L181" s="250" t="s">
        <v>387</v>
      </c>
      <c r="M181" s="368" t="s">
        <v>2749</v>
      </c>
      <c r="N181" s="344">
        <v>3333000</v>
      </c>
      <c r="O181" s="369"/>
      <c r="P181" s="262">
        <f>N181+O181</f>
        <v>3333000</v>
      </c>
      <c r="Q181" s="369"/>
      <c r="R181" s="369"/>
      <c r="S181" s="369"/>
      <c r="T181" s="369"/>
      <c r="U181" s="369"/>
      <c r="V181" s="1455">
        <f>P181</f>
        <v>3333000</v>
      </c>
      <c r="W181" s="374" t="s">
        <v>3063</v>
      </c>
      <c r="X181" s="375">
        <v>42682</v>
      </c>
      <c r="Y181" s="375">
        <v>42685</v>
      </c>
      <c r="Z181" s="264">
        <f>V181</f>
        <v>3333000</v>
      </c>
      <c r="AA181" s="376">
        <v>1</v>
      </c>
      <c r="AB181" s="433">
        <f t="shared" si="31"/>
        <v>-3333000</v>
      </c>
      <c r="AC181" s="113"/>
      <c r="AD181" s="40"/>
      <c r="AE181" s="40"/>
      <c r="AF181" s="40"/>
      <c r="AG181" s="1456"/>
      <c r="AH181" s="40"/>
      <c r="AI181" s="40"/>
      <c r="AJ181" s="40"/>
    </row>
    <row r="182" spans="1:36" s="1375" customFormat="1">
      <c r="A182" s="1216"/>
      <c r="B182" s="1217"/>
      <c r="C182" s="1217" t="str">
        <f>C177</f>
        <v>PRK.2016.WKT-4.3.53226.206</v>
      </c>
      <c r="D182" s="1348"/>
      <c r="E182" s="849"/>
      <c r="F182" s="849"/>
      <c r="G182" s="1368">
        <f>G177</f>
        <v>29872000</v>
      </c>
      <c r="H182" s="849"/>
      <c r="I182" s="849"/>
      <c r="J182" s="1369"/>
      <c r="K182" s="1370"/>
      <c r="L182" s="1371"/>
      <c r="M182" s="1348"/>
      <c r="N182" s="849">
        <f>SUM(N177:N181)</f>
        <v>16632000</v>
      </c>
      <c r="O182" s="849">
        <f t="shared" ref="O182:V182" si="36">SUM(O177:O181)</f>
        <v>13233000</v>
      </c>
      <c r="P182" s="849">
        <f t="shared" si="36"/>
        <v>29865000</v>
      </c>
      <c r="Q182" s="849">
        <f t="shared" si="36"/>
        <v>0</v>
      </c>
      <c r="R182" s="849">
        <f t="shared" si="36"/>
        <v>0</v>
      </c>
      <c r="S182" s="849">
        <f t="shared" si="36"/>
        <v>0</v>
      </c>
      <c r="T182" s="849">
        <f t="shared" si="36"/>
        <v>0</v>
      </c>
      <c r="U182" s="849">
        <f t="shared" si="36"/>
        <v>0</v>
      </c>
      <c r="V182" s="849">
        <f t="shared" si="36"/>
        <v>29865000</v>
      </c>
      <c r="W182" s="1372"/>
      <c r="X182" s="1373"/>
      <c r="Y182" s="1373"/>
      <c r="Z182" s="849">
        <f>SUM(Z177:Z181)</f>
        <v>29865000</v>
      </c>
      <c r="AA182" s="1374"/>
      <c r="AB182" s="756">
        <f t="shared" si="31"/>
        <v>7000</v>
      </c>
      <c r="AC182" s="858"/>
      <c r="AD182" s="1376"/>
      <c r="AE182" s="1376"/>
      <c r="AF182" s="1376"/>
      <c r="AG182" s="1377"/>
      <c r="AH182" s="1376"/>
      <c r="AI182" s="1376"/>
      <c r="AJ182" s="1376"/>
    </row>
    <row r="183" spans="1:36" s="54" customFormat="1" ht="16.5" thickBot="1">
      <c r="A183" s="80"/>
      <c r="B183" s="367"/>
      <c r="C183" s="367"/>
      <c r="D183" s="368"/>
      <c r="E183" s="110"/>
      <c r="F183" s="369"/>
      <c r="G183" s="370"/>
      <c r="H183" s="110"/>
      <c r="I183" s="110"/>
      <c r="J183" s="371"/>
      <c r="K183" s="372"/>
      <c r="L183" s="373"/>
      <c r="M183" s="368"/>
      <c r="N183" s="369"/>
      <c r="O183" s="369"/>
      <c r="P183" s="369"/>
      <c r="Q183" s="369"/>
      <c r="R183" s="369"/>
      <c r="S183" s="369"/>
      <c r="T183" s="369"/>
      <c r="U183" s="369"/>
      <c r="V183" s="281"/>
      <c r="W183" s="374"/>
      <c r="X183" s="375"/>
      <c r="Y183" s="375"/>
      <c r="Z183" s="110"/>
      <c r="AA183" s="376"/>
      <c r="AB183" s="366"/>
      <c r="AC183" s="113"/>
    </row>
    <row r="184" spans="1:36" s="340" customFormat="1" ht="15.75" customHeight="1" thickBot="1">
      <c r="A184" s="2741" t="str">
        <f>B151</f>
        <v>006.KIT/AO/BRU/2016/M</v>
      </c>
      <c r="B184" s="2742"/>
      <c r="C184" s="2742"/>
      <c r="D184" s="2761"/>
      <c r="E184" s="333">
        <f>SUM(E151+E152+E153+E154+E155+E156+E159+E160+E165+E166+E167+E168+E176+E177)</f>
        <v>249586000</v>
      </c>
      <c r="F184" s="333">
        <f>SUM(F151+F152+F153+F154+F155+F156+F159+F160+F165+F166+F167+F168+F176+F177)</f>
        <v>497404910</v>
      </c>
      <c r="G184" s="333">
        <f>SUM(G151+G152+G153+G154+G155+G156+G159+G160+G165+G166+G167+G168+G176+G177)</f>
        <v>746990910</v>
      </c>
      <c r="H184" s="333"/>
      <c r="I184" s="333"/>
      <c r="J184" s="334"/>
      <c r="K184" s="335"/>
      <c r="L184" s="336"/>
      <c r="M184" s="337"/>
      <c r="N184" s="333">
        <f>+N151+N152+N153+N154+N155+N158+N159+N164+N165+N166+N167+N170+N176+N182</f>
        <v>288587200</v>
      </c>
      <c r="O184" s="333">
        <f t="shared" ref="O184:V184" si="37">+O151+O152+O153+O154+O155+O158+O159+O164+O165+O166+O167+O170+O176+O182</f>
        <v>442566905</v>
      </c>
      <c r="P184" s="333">
        <f t="shared" si="37"/>
        <v>731154105</v>
      </c>
      <c r="Q184" s="333">
        <f t="shared" si="37"/>
        <v>0</v>
      </c>
      <c r="R184" s="333">
        <f t="shared" si="37"/>
        <v>0</v>
      </c>
      <c r="S184" s="333">
        <f t="shared" si="37"/>
        <v>0</v>
      </c>
      <c r="T184" s="333">
        <f t="shared" si="37"/>
        <v>0</v>
      </c>
      <c r="U184" s="333">
        <f t="shared" si="37"/>
        <v>0</v>
      </c>
      <c r="V184" s="333">
        <f t="shared" si="37"/>
        <v>731154105</v>
      </c>
      <c r="W184" s="338"/>
      <c r="X184" s="339"/>
      <c r="Y184" s="339"/>
      <c r="Z184" s="333">
        <f>+Z151+Z152+Z153+Z154+Z155+Z158+Z159+Z164+Z165+Z166+Z167+Z170+Z176+Z182</f>
        <v>731154105</v>
      </c>
      <c r="AA184" s="333"/>
      <c r="AB184" s="333">
        <f>+AB151+AB152+AB153+AB154+AB155+AB158+AB159+AB164+AB165+AB166+AB167+AB170+AB176+AB182</f>
        <v>15836805</v>
      </c>
      <c r="AC184" s="338"/>
    </row>
    <row r="185" spans="1:36" s="54" customFormat="1" ht="15.75" customHeight="1">
      <c r="A185" s="80"/>
      <c r="B185" s="80"/>
      <c r="C185" s="80"/>
      <c r="D185" s="80"/>
      <c r="E185" s="110"/>
      <c r="F185" s="110"/>
      <c r="G185" s="240"/>
      <c r="H185" s="110"/>
      <c r="I185" s="110"/>
      <c r="J185" s="275"/>
      <c r="K185" s="111"/>
      <c r="L185" s="111"/>
      <c r="M185" s="112"/>
      <c r="N185" s="110"/>
      <c r="O185" s="110"/>
      <c r="P185" s="110"/>
      <c r="Q185" s="110"/>
      <c r="R185" s="110"/>
      <c r="S185" s="110"/>
      <c r="T185" s="110"/>
      <c r="U185" s="110"/>
      <c r="V185" s="103"/>
      <c r="W185" s="135"/>
      <c r="X185" s="114"/>
      <c r="Y185" s="114"/>
      <c r="Z185" s="110"/>
      <c r="AA185" s="110"/>
      <c r="AB185" s="110"/>
      <c r="AC185" s="113"/>
    </row>
    <row r="186" spans="1:36" s="54" customFormat="1" ht="31.5">
      <c r="A186" s="81">
        <v>7</v>
      </c>
      <c r="B186" s="50" t="s">
        <v>1007</v>
      </c>
      <c r="C186" s="50" t="s">
        <v>1009</v>
      </c>
      <c r="D186" s="72" t="s">
        <v>1012</v>
      </c>
      <c r="E186" s="51">
        <v>3293961000</v>
      </c>
      <c r="F186" s="51"/>
      <c r="G186" s="155">
        <f>E186+F186</f>
        <v>3293961000</v>
      </c>
      <c r="H186" s="51" t="s">
        <v>1179</v>
      </c>
      <c r="I186" s="73">
        <v>42489</v>
      </c>
      <c r="J186" s="371" t="s">
        <v>1138</v>
      </c>
      <c r="K186" s="248" t="s">
        <v>1792</v>
      </c>
      <c r="L186" s="250" t="s">
        <v>387</v>
      </c>
      <c r="M186" s="72" t="s">
        <v>1137</v>
      </c>
      <c r="N186" s="51">
        <v>299113650</v>
      </c>
      <c r="O186" s="51"/>
      <c r="P186" s="262">
        <f t="shared" ref="P186:P209" si="38">N186+O186</f>
        <v>299113650</v>
      </c>
      <c r="Q186" s="51"/>
      <c r="R186" s="51"/>
      <c r="S186" s="51"/>
      <c r="T186" s="51"/>
      <c r="U186" s="51"/>
      <c r="V186" s="281">
        <f t="shared" ref="V186:V198" si="39">P186</f>
        <v>299113650</v>
      </c>
      <c r="W186" s="140" t="s">
        <v>1992</v>
      </c>
      <c r="X186" s="141">
        <v>42573</v>
      </c>
      <c r="Y186" s="141">
        <v>42579</v>
      </c>
      <c r="Z186" s="103">
        <f t="shared" ref="Z186:Z192" si="40">V186</f>
        <v>299113650</v>
      </c>
      <c r="AA186" s="288">
        <v>1</v>
      </c>
      <c r="AB186" s="433">
        <f t="shared" ref="AB186:AB209" si="41">+G186-P186</f>
        <v>2994847350</v>
      </c>
      <c r="AC186" s="106"/>
      <c r="AD186" s="38"/>
      <c r="AE186" s="38"/>
      <c r="AF186" s="38"/>
      <c r="AG186" s="38"/>
      <c r="AH186" s="38"/>
      <c r="AI186" s="38"/>
      <c r="AJ186" s="38"/>
    </row>
    <row r="187" spans="1:36" s="451" customFormat="1" ht="31.5">
      <c r="A187" s="561"/>
      <c r="B187" s="852" t="s">
        <v>1008</v>
      </c>
      <c r="C187" s="290"/>
      <c r="D187" s="325"/>
      <c r="E187" s="344"/>
      <c r="F187" s="344"/>
      <c r="G187" s="345"/>
      <c r="H187" s="51" t="s">
        <v>1180</v>
      </c>
      <c r="I187" s="73">
        <v>42489</v>
      </c>
      <c r="J187" s="563" t="s">
        <v>1139</v>
      </c>
      <c r="K187" s="248" t="s">
        <v>1754</v>
      </c>
      <c r="L187" s="250" t="s">
        <v>387</v>
      </c>
      <c r="M187" s="347" t="s">
        <v>1140</v>
      </c>
      <c r="N187" s="344">
        <v>77235400</v>
      </c>
      <c r="O187" s="344"/>
      <c r="P187" s="262">
        <f t="shared" si="38"/>
        <v>77235400</v>
      </c>
      <c r="Q187" s="344"/>
      <c r="R187" s="344"/>
      <c r="S187" s="344"/>
      <c r="T187" s="344"/>
      <c r="U187" s="344"/>
      <c r="V187" s="348">
        <f t="shared" si="39"/>
        <v>77235400</v>
      </c>
      <c r="W187" s="349" t="s">
        <v>2130</v>
      </c>
      <c r="X187" s="350">
        <v>42585</v>
      </c>
      <c r="Y187" s="350">
        <v>42587</v>
      </c>
      <c r="Z187" s="103">
        <f t="shared" si="40"/>
        <v>77235400</v>
      </c>
      <c r="AA187" s="288">
        <v>1</v>
      </c>
      <c r="AB187" s="57">
        <f t="shared" si="41"/>
        <v>-77235400</v>
      </c>
      <c r="AC187" s="352"/>
      <c r="AD187" s="38"/>
      <c r="AE187" s="38"/>
      <c r="AF187" s="38"/>
      <c r="AG187" s="38"/>
      <c r="AH187" s="38"/>
      <c r="AI187" s="38"/>
      <c r="AJ187" s="38"/>
    </row>
    <row r="188" spans="1:36" s="54" customFormat="1" ht="31.5">
      <c r="A188" s="842"/>
      <c r="B188" s="560">
        <v>42481</v>
      </c>
      <c r="C188" s="50"/>
      <c r="D188" s="72"/>
      <c r="E188" s="51"/>
      <c r="F188" s="51"/>
      <c r="G188" s="155"/>
      <c r="H188" s="51" t="s">
        <v>1517</v>
      </c>
      <c r="I188" s="73">
        <v>42500</v>
      </c>
      <c r="J188" s="276" t="s">
        <v>1145</v>
      </c>
      <c r="K188" s="248" t="s">
        <v>1908</v>
      </c>
      <c r="L188" s="250" t="s">
        <v>333</v>
      </c>
      <c r="M188" s="72" t="s">
        <v>1144</v>
      </c>
      <c r="N188" s="51">
        <v>41899880</v>
      </c>
      <c r="O188" s="51"/>
      <c r="P188" s="262">
        <f t="shared" si="38"/>
        <v>41899880</v>
      </c>
      <c r="Q188" s="51"/>
      <c r="R188" s="51"/>
      <c r="S188" s="51"/>
      <c r="T188" s="51"/>
      <c r="U188" s="51"/>
      <c r="V188" s="348">
        <f t="shared" si="39"/>
        <v>41899880</v>
      </c>
      <c r="W188" s="140" t="s">
        <v>2693</v>
      </c>
      <c r="X188" s="141">
        <v>42646</v>
      </c>
      <c r="Y188" s="141">
        <v>42650</v>
      </c>
      <c r="Z188" s="103">
        <f t="shared" si="40"/>
        <v>41899880</v>
      </c>
      <c r="AA188" s="288">
        <v>1</v>
      </c>
      <c r="AB188" s="57">
        <f t="shared" si="41"/>
        <v>-41899880</v>
      </c>
      <c r="AC188" s="106"/>
      <c r="AD188" s="38"/>
      <c r="AE188" s="38"/>
      <c r="AF188" s="38"/>
      <c r="AG188" s="967"/>
      <c r="AH188" s="38"/>
      <c r="AI188" s="38"/>
      <c r="AJ188" s="38"/>
    </row>
    <row r="189" spans="1:36" s="54" customFormat="1" ht="31.5">
      <c r="A189" s="842"/>
      <c r="B189" s="560"/>
      <c r="C189" s="50"/>
      <c r="D189" s="72"/>
      <c r="E189" s="51"/>
      <c r="F189" s="51"/>
      <c r="G189" s="155"/>
      <c r="H189" s="51" t="s">
        <v>1181</v>
      </c>
      <c r="I189" s="73">
        <v>42494</v>
      </c>
      <c r="J189" s="276" t="s">
        <v>1152</v>
      </c>
      <c r="K189" s="248" t="s">
        <v>1746</v>
      </c>
      <c r="L189" s="250" t="s">
        <v>1747</v>
      </c>
      <c r="M189" s="72" t="s">
        <v>1153</v>
      </c>
      <c r="N189" s="51"/>
      <c r="O189" s="51">
        <v>267327500</v>
      </c>
      <c r="P189" s="262">
        <f t="shared" si="38"/>
        <v>267327500</v>
      </c>
      <c r="Q189" s="51"/>
      <c r="R189" s="51"/>
      <c r="S189" s="51"/>
      <c r="T189" s="51"/>
      <c r="U189" s="51"/>
      <c r="V189" s="281">
        <f t="shared" si="39"/>
        <v>267327500</v>
      </c>
      <c r="W189" s="140" t="s">
        <v>2563</v>
      </c>
      <c r="X189" s="141">
        <v>42579</v>
      </c>
      <c r="Y189" s="141">
        <v>42585</v>
      </c>
      <c r="Z189" s="103">
        <f t="shared" si="40"/>
        <v>267327500</v>
      </c>
      <c r="AA189" s="288">
        <v>1</v>
      </c>
      <c r="AB189" s="57">
        <f t="shared" si="41"/>
        <v>-267327500</v>
      </c>
      <c r="AC189" s="106"/>
      <c r="AD189" s="38"/>
      <c r="AE189" s="38"/>
      <c r="AF189" s="38"/>
      <c r="AG189" s="967">
        <f>V189</f>
        <v>267327500</v>
      </c>
      <c r="AH189" s="38"/>
      <c r="AI189" s="38"/>
      <c r="AJ189" s="38"/>
    </row>
    <row r="190" spans="1:36" s="54" customFormat="1" ht="47.25">
      <c r="A190" s="842"/>
      <c r="B190" s="560"/>
      <c r="C190" s="50"/>
      <c r="D190" s="72"/>
      <c r="E190" s="51"/>
      <c r="F190" s="51"/>
      <c r="G190" s="155"/>
      <c r="H190" s="51" t="s">
        <v>1251</v>
      </c>
      <c r="I190" s="73">
        <v>42500</v>
      </c>
      <c r="J190" s="276" t="s">
        <v>1167</v>
      </c>
      <c r="K190" s="248" t="s">
        <v>1740</v>
      </c>
      <c r="L190" s="250" t="s">
        <v>1741</v>
      </c>
      <c r="M190" s="72" t="s">
        <v>1173</v>
      </c>
      <c r="N190" s="51"/>
      <c r="O190" s="51">
        <v>139795040</v>
      </c>
      <c r="P190" s="262">
        <f t="shared" si="38"/>
        <v>139795040</v>
      </c>
      <c r="Q190" s="51"/>
      <c r="R190" s="51"/>
      <c r="S190" s="51"/>
      <c r="T190" s="51"/>
      <c r="U190" s="51"/>
      <c r="V190" s="281">
        <f t="shared" si="39"/>
        <v>139795040</v>
      </c>
      <c r="W190" s="140" t="s">
        <v>2563</v>
      </c>
      <c r="X190" s="141">
        <v>42579</v>
      </c>
      <c r="Y190" s="141">
        <v>42585</v>
      </c>
      <c r="Z190" s="103">
        <f t="shared" si="40"/>
        <v>139795040</v>
      </c>
      <c r="AA190" s="288">
        <v>1</v>
      </c>
      <c r="AB190" s="57">
        <f t="shared" si="41"/>
        <v>-139795040</v>
      </c>
      <c r="AC190" s="106"/>
      <c r="AD190" s="38"/>
      <c r="AE190" s="38"/>
      <c r="AF190" s="38"/>
      <c r="AG190" s="967">
        <f>V190</f>
        <v>139795040</v>
      </c>
      <c r="AH190" s="38"/>
      <c r="AI190" s="38"/>
      <c r="AJ190" s="38"/>
    </row>
    <row r="191" spans="1:36" s="54" customFormat="1" ht="31.5">
      <c r="A191" s="842"/>
      <c r="B191" s="560"/>
      <c r="C191" s="50"/>
      <c r="D191" s="72"/>
      <c r="E191" s="51"/>
      <c r="F191" s="51"/>
      <c r="G191" s="155"/>
      <c r="H191" s="51" t="s">
        <v>1250</v>
      </c>
      <c r="I191" s="73">
        <v>42500</v>
      </c>
      <c r="J191" s="276" t="s">
        <v>1168</v>
      </c>
      <c r="K191" s="248" t="s">
        <v>1738</v>
      </c>
      <c r="L191" s="250" t="s">
        <v>1739</v>
      </c>
      <c r="M191" s="72" t="s">
        <v>1174</v>
      </c>
      <c r="N191" s="51"/>
      <c r="O191" s="51">
        <v>198109773</v>
      </c>
      <c r="P191" s="262">
        <f t="shared" si="38"/>
        <v>198109773</v>
      </c>
      <c r="Q191" s="51"/>
      <c r="R191" s="51"/>
      <c r="S191" s="51"/>
      <c r="T191" s="51"/>
      <c r="U191" s="51"/>
      <c r="V191" s="281">
        <f t="shared" si="39"/>
        <v>198109773</v>
      </c>
      <c r="W191" s="140" t="s">
        <v>2140</v>
      </c>
      <c r="X191" s="141">
        <v>42600</v>
      </c>
      <c r="Y191" s="141">
        <v>42605</v>
      </c>
      <c r="Z191" s="103">
        <f t="shared" si="40"/>
        <v>198109773</v>
      </c>
      <c r="AA191" s="288">
        <v>1</v>
      </c>
      <c r="AB191" s="57">
        <f t="shared" si="41"/>
        <v>-198109773</v>
      </c>
      <c r="AC191" s="106"/>
      <c r="AD191" s="38"/>
      <c r="AE191" s="38"/>
      <c r="AF191" s="38"/>
      <c r="AG191" s="38"/>
      <c r="AH191" s="38"/>
      <c r="AI191" s="38"/>
      <c r="AJ191" s="38"/>
    </row>
    <row r="192" spans="1:36" s="54" customFormat="1" ht="31.5">
      <c r="A192" s="842"/>
      <c r="B192" s="560"/>
      <c r="C192" s="50"/>
      <c r="D192" s="72"/>
      <c r="E192" s="51"/>
      <c r="F192" s="51"/>
      <c r="G192" s="155"/>
      <c r="H192" s="51" t="s">
        <v>1249</v>
      </c>
      <c r="I192" s="73">
        <v>42500</v>
      </c>
      <c r="J192" s="276" t="s">
        <v>1169</v>
      </c>
      <c r="K192" s="248" t="s">
        <v>1907</v>
      </c>
      <c r="L192" s="250" t="s">
        <v>1906</v>
      </c>
      <c r="M192" s="72" t="s">
        <v>1175</v>
      </c>
      <c r="N192" s="51"/>
      <c r="O192" s="51">
        <v>287070300</v>
      </c>
      <c r="P192" s="262">
        <f t="shared" si="38"/>
        <v>287070300</v>
      </c>
      <c r="Q192" s="51"/>
      <c r="R192" s="51"/>
      <c r="S192" s="51"/>
      <c r="T192" s="51"/>
      <c r="U192" s="51"/>
      <c r="V192" s="281">
        <f t="shared" si="39"/>
        <v>287070300</v>
      </c>
      <c r="W192" s="140" t="s">
        <v>2140</v>
      </c>
      <c r="X192" s="141">
        <v>42600</v>
      </c>
      <c r="Y192" s="141">
        <v>42605</v>
      </c>
      <c r="Z192" s="103">
        <f t="shared" si="40"/>
        <v>287070300</v>
      </c>
      <c r="AA192" s="288">
        <v>1</v>
      </c>
      <c r="AB192" s="57">
        <f t="shared" si="41"/>
        <v>-287070300</v>
      </c>
      <c r="AC192" s="106"/>
      <c r="AD192" s="38"/>
      <c r="AE192" s="38"/>
      <c r="AF192" s="38"/>
      <c r="AG192" s="38"/>
      <c r="AH192" s="38"/>
      <c r="AI192" s="38"/>
      <c r="AJ192" s="38"/>
    </row>
    <row r="193" spans="1:36" s="54" customFormat="1" ht="31.5">
      <c r="A193" s="842"/>
      <c r="B193" s="560"/>
      <c r="C193" s="50"/>
      <c r="D193" s="72"/>
      <c r="E193" s="51"/>
      <c r="F193" s="51"/>
      <c r="G193" s="155"/>
      <c r="H193" s="51" t="s">
        <v>1248</v>
      </c>
      <c r="I193" s="73">
        <v>42500</v>
      </c>
      <c r="J193" s="276" t="s">
        <v>1170</v>
      </c>
      <c r="K193" s="248" t="s">
        <v>1795</v>
      </c>
      <c r="L193" s="250" t="s">
        <v>1796</v>
      </c>
      <c r="M193" s="72" t="s">
        <v>1176</v>
      </c>
      <c r="N193" s="51"/>
      <c r="O193" s="51">
        <v>290323000</v>
      </c>
      <c r="P193" s="262">
        <f t="shared" si="38"/>
        <v>290323000</v>
      </c>
      <c r="Q193" s="51"/>
      <c r="R193" s="51"/>
      <c r="S193" s="51"/>
      <c r="T193" s="51"/>
      <c r="U193" s="51"/>
      <c r="V193" s="281">
        <f t="shared" si="39"/>
        <v>290323000</v>
      </c>
      <c r="W193" s="140" t="s">
        <v>3545</v>
      </c>
      <c r="X193" s="141">
        <v>42727</v>
      </c>
      <c r="Y193" s="141">
        <v>42731</v>
      </c>
      <c r="Z193" s="103">
        <f>V193</f>
        <v>290323000</v>
      </c>
      <c r="AA193" s="288">
        <v>1</v>
      </c>
      <c r="AB193" s="57">
        <f t="shared" si="41"/>
        <v>-290323000</v>
      </c>
      <c r="AC193" s="106"/>
      <c r="AD193" s="38"/>
      <c r="AE193" s="38"/>
      <c r="AF193" s="38"/>
      <c r="AG193" s="967">
        <f>V193</f>
        <v>290323000</v>
      </c>
      <c r="AH193" s="38"/>
      <c r="AI193" s="38"/>
      <c r="AJ193" s="38"/>
    </row>
    <row r="194" spans="1:36" s="54" customFormat="1" ht="31.5">
      <c r="A194" s="842"/>
      <c r="B194" s="560"/>
      <c r="C194" s="50"/>
      <c r="D194" s="72"/>
      <c r="E194" s="51"/>
      <c r="F194" s="51"/>
      <c r="G194" s="155"/>
      <c r="H194" s="51" t="s">
        <v>1247</v>
      </c>
      <c r="I194" s="73">
        <v>42500</v>
      </c>
      <c r="J194" s="276" t="s">
        <v>1171</v>
      </c>
      <c r="K194" s="248" t="s">
        <v>1797</v>
      </c>
      <c r="L194" s="250" t="s">
        <v>346</v>
      </c>
      <c r="M194" s="72" t="s">
        <v>1177</v>
      </c>
      <c r="N194" s="51"/>
      <c r="O194" s="51">
        <v>247610000</v>
      </c>
      <c r="P194" s="262">
        <f t="shared" si="38"/>
        <v>247610000</v>
      </c>
      <c r="Q194" s="51"/>
      <c r="R194" s="51"/>
      <c r="S194" s="51"/>
      <c r="T194" s="51"/>
      <c r="U194" s="51"/>
      <c r="V194" s="281">
        <f t="shared" si="39"/>
        <v>247610000</v>
      </c>
      <c r="W194" s="140" t="s">
        <v>3582</v>
      </c>
      <c r="X194" s="141">
        <v>42731</v>
      </c>
      <c r="Y194" s="141">
        <v>42734</v>
      </c>
      <c r="Z194" s="103">
        <f>V194</f>
        <v>247610000</v>
      </c>
      <c r="AA194" s="288">
        <v>1</v>
      </c>
      <c r="AB194" s="57">
        <f t="shared" si="41"/>
        <v>-247610000</v>
      </c>
      <c r="AC194" s="106"/>
      <c r="AD194" s="38"/>
      <c r="AE194" s="38"/>
      <c r="AF194" s="38"/>
      <c r="AG194" s="967">
        <f>V194</f>
        <v>247610000</v>
      </c>
      <c r="AH194" s="38"/>
      <c r="AI194" s="38"/>
      <c r="AJ194" s="38"/>
    </row>
    <row r="195" spans="1:36" s="54" customFormat="1" ht="31.5">
      <c r="A195" s="842"/>
      <c r="B195" s="560"/>
      <c r="C195" s="50"/>
      <c r="D195" s="72"/>
      <c r="E195" s="51"/>
      <c r="F195" s="51"/>
      <c r="G195" s="155"/>
      <c r="H195" s="51" t="s">
        <v>1246</v>
      </c>
      <c r="I195" s="73">
        <v>42500</v>
      </c>
      <c r="J195" s="276" t="s">
        <v>1172</v>
      </c>
      <c r="K195" s="248" t="s">
        <v>1798</v>
      </c>
      <c r="L195" s="250" t="s">
        <v>722</v>
      </c>
      <c r="M195" s="72" t="s">
        <v>1178</v>
      </c>
      <c r="N195" s="51"/>
      <c r="O195" s="51">
        <v>284735000</v>
      </c>
      <c r="P195" s="262">
        <f t="shared" si="38"/>
        <v>284735000</v>
      </c>
      <c r="Q195" s="51"/>
      <c r="R195" s="51"/>
      <c r="S195" s="51"/>
      <c r="T195" s="51"/>
      <c r="U195" s="51"/>
      <c r="V195" s="281">
        <f t="shared" si="39"/>
        <v>284735000</v>
      </c>
      <c r="W195" s="349" t="s">
        <v>3058</v>
      </c>
      <c r="X195" s="350">
        <v>42675</v>
      </c>
      <c r="Y195" s="350">
        <v>42678</v>
      </c>
      <c r="Z195" s="103">
        <f t="shared" ref="Z195:Z200" si="42">V195</f>
        <v>284735000</v>
      </c>
      <c r="AA195" s="288">
        <v>1</v>
      </c>
      <c r="AB195" s="57">
        <f t="shared" si="41"/>
        <v>-284735000</v>
      </c>
      <c r="AC195" s="106"/>
      <c r="AD195" s="38"/>
      <c r="AE195" s="38"/>
      <c r="AF195" s="38"/>
      <c r="AG195" s="967">
        <f>V195</f>
        <v>284735000</v>
      </c>
      <c r="AH195" s="38"/>
      <c r="AI195" s="38"/>
      <c r="AJ195" s="38"/>
    </row>
    <row r="196" spans="1:36" s="54" customFormat="1" ht="31.5">
      <c r="A196" s="842"/>
      <c r="B196" s="560"/>
      <c r="C196" s="50"/>
      <c r="D196" s="72"/>
      <c r="E196" s="51"/>
      <c r="F196" s="51"/>
      <c r="G196" s="155"/>
      <c r="H196" s="51" t="s">
        <v>1449</v>
      </c>
      <c r="I196" s="73">
        <v>42520</v>
      </c>
      <c r="J196" s="276" t="s">
        <v>1420</v>
      </c>
      <c r="K196" s="248" t="s">
        <v>1756</v>
      </c>
      <c r="L196" s="250" t="s">
        <v>387</v>
      </c>
      <c r="M196" s="72" t="s">
        <v>1422</v>
      </c>
      <c r="N196" s="51"/>
      <c r="O196" s="51">
        <v>32115600</v>
      </c>
      <c r="P196" s="262">
        <f t="shared" si="38"/>
        <v>32115600</v>
      </c>
      <c r="Q196" s="51"/>
      <c r="R196" s="51"/>
      <c r="S196" s="51"/>
      <c r="T196" s="51"/>
      <c r="U196" s="51"/>
      <c r="V196" s="281">
        <f t="shared" si="39"/>
        <v>32115600</v>
      </c>
      <c r="W196" s="140" t="s">
        <v>1992</v>
      </c>
      <c r="X196" s="141">
        <v>42573</v>
      </c>
      <c r="Y196" s="141">
        <v>42579</v>
      </c>
      <c r="Z196" s="103">
        <f t="shared" si="42"/>
        <v>32115600</v>
      </c>
      <c r="AA196" s="288">
        <v>1</v>
      </c>
      <c r="AB196" s="57">
        <f t="shared" si="41"/>
        <v>-32115600</v>
      </c>
      <c r="AC196" s="106"/>
      <c r="AD196" s="38"/>
      <c r="AE196" s="38"/>
      <c r="AF196" s="38"/>
      <c r="AG196" s="38"/>
      <c r="AH196" s="38"/>
      <c r="AI196" s="38"/>
      <c r="AJ196" s="38"/>
    </row>
    <row r="197" spans="1:36" s="54" customFormat="1" ht="31.5">
      <c r="A197" s="842"/>
      <c r="B197" s="560"/>
      <c r="C197" s="50"/>
      <c r="D197" s="72"/>
      <c r="E197" s="51"/>
      <c r="F197" s="51"/>
      <c r="G197" s="155"/>
      <c r="H197" s="51" t="s">
        <v>1448</v>
      </c>
      <c r="I197" s="73">
        <v>42520</v>
      </c>
      <c r="J197" s="276" t="s">
        <v>1421</v>
      </c>
      <c r="K197" s="248" t="s">
        <v>1755</v>
      </c>
      <c r="L197" s="250" t="s">
        <v>1803</v>
      </c>
      <c r="M197" s="72" t="s">
        <v>1423</v>
      </c>
      <c r="N197" s="51">
        <v>52388490</v>
      </c>
      <c r="O197" s="51"/>
      <c r="P197" s="262">
        <f t="shared" si="38"/>
        <v>52388490</v>
      </c>
      <c r="Q197" s="51"/>
      <c r="R197" s="51"/>
      <c r="S197" s="51"/>
      <c r="T197" s="51"/>
      <c r="U197" s="51"/>
      <c r="V197" s="281">
        <f t="shared" si="39"/>
        <v>52388490</v>
      </c>
      <c r="W197" s="140" t="s">
        <v>2364</v>
      </c>
      <c r="X197" s="141">
        <v>42620</v>
      </c>
      <c r="Y197" s="141">
        <v>42627</v>
      </c>
      <c r="Z197" s="103">
        <f t="shared" si="42"/>
        <v>52388490</v>
      </c>
      <c r="AA197" s="288">
        <v>1</v>
      </c>
      <c r="AB197" s="57">
        <f t="shared" si="41"/>
        <v>-52388490</v>
      </c>
      <c r="AC197" s="106"/>
      <c r="AD197" s="38"/>
      <c r="AE197" s="38"/>
      <c r="AF197" s="38"/>
      <c r="AG197" s="38"/>
      <c r="AH197" s="38"/>
      <c r="AI197" s="38"/>
      <c r="AJ197" s="38"/>
    </row>
    <row r="198" spans="1:36" s="54" customFormat="1" ht="31.5">
      <c r="A198" s="842"/>
      <c r="B198" s="560"/>
      <c r="C198" s="50"/>
      <c r="D198" s="72"/>
      <c r="E198" s="51"/>
      <c r="F198" s="51"/>
      <c r="G198" s="155"/>
      <c r="H198" s="51" t="s">
        <v>1552</v>
      </c>
      <c r="I198" s="73">
        <v>42520</v>
      </c>
      <c r="J198" s="276" t="s">
        <v>1523</v>
      </c>
      <c r="K198" s="248" t="s">
        <v>2412</v>
      </c>
      <c r="L198" s="250" t="s">
        <v>336</v>
      </c>
      <c r="M198" s="72" t="s">
        <v>1528</v>
      </c>
      <c r="N198" s="447">
        <v>139161000</v>
      </c>
      <c r="O198" s="51"/>
      <c r="P198" s="262">
        <f t="shared" si="38"/>
        <v>139161000</v>
      </c>
      <c r="Q198" s="51"/>
      <c r="R198" s="51"/>
      <c r="S198" s="51"/>
      <c r="T198" s="51"/>
      <c r="U198" s="51"/>
      <c r="V198" s="281">
        <f t="shared" si="39"/>
        <v>139161000</v>
      </c>
      <c r="W198" s="326" t="s">
        <v>2539</v>
      </c>
      <c r="X198" s="327">
        <v>42635</v>
      </c>
      <c r="Y198" s="327">
        <v>42641</v>
      </c>
      <c r="Z198" s="449">
        <f t="shared" si="42"/>
        <v>139161000</v>
      </c>
      <c r="AA198" s="456">
        <v>1</v>
      </c>
      <c r="AB198" s="57">
        <f t="shared" si="41"/>
        <v>-139161000</v>
      </c>
      <c r="AC198" s="106"/>
      <c r="AD198" s="38"/>
      <c r="AE198" s="38"/>
      <c r="AF198" s="38"/>
      <c r="AG198" s="38"/>
      <c r="AH198" s="38"/>
      <c r="AI198" s="38"/>
      <c r="AJ198" s="38"/>
    </row>
    <row r="199" spans="1:36" s="54" customFormat="1" ht="31.5">
      <c r="A199" s="842"/>
      <c r="B199" s="560"/>
      <c r="C199" s="50"/>
      <c r="D199" s="72"/>
      <c r="E199" s="51"/>
      <c r="F199" s="51"/>
      <c r="G199" s="155"/>
      <c r="H199" s="51" t="s">
        <v>1551</v>
      </c>
      <c r="I199" s="73">
        <v>42520</v>
      </c>
      <c r="J199" s="276" t="s">
        <v>1524</v>
      </c>
      <c r="K199" s="248" t="s">
        <v>1928</v>
      </c>
      <c r="L199" s="250" t="s">
        <v>336</v>
      </c>
      <c r="M199" s="72" t="s">
        <v>1529</v>
      </c>
      <c r="N199" s="51"/>
      <c r="O199" s="51">
        <v>99172755</v>
      </c>
      <c r="P199" s="262">
        <f t="shared" si="38"/>
        <v>99172755</v>
      </c>
      <c r="Q199" s="51"/>
      <c r="R199" s="51"/>
      <c r="S199" s="51"/>
      <c r="T199" s="51"/>
      <c r="U199" s="51"/>
      <c r="V199" s="281">
        <f t="shared" ref="V199:V204" si="43">P199</f>
        <v>99172755</v>
      </c>
      <c r="W199" s="140" t="s">
        <v>2535</v>
      </c>
      <c r="X199" s="141">
        <v>42635</v>
      </c>
      <c r="Y199" s="141">
        <v>42641</v>
      </c>
      <c r="Z199" s="103">
        <f t="shared" si="42"/>
        <v>99172755</v>
      </c>
      <c r="AA199" s="288">
        <v>1</v>
      </c>
      <c r="AB199" s="57">
        <f t="shared" si="41"/>
        <v>-99172755</v>
      </c>
      <c r="AC199" s="106"/>
      <c r="AD199" s="38"/>
      <c r="AE199" s="38"/>
      <c r="AF199" s="38"/>
      <c r="AG199" s="38"/>
      <c r="AH199" s="38"/>
      <c r="AI199" s="38"/>
      <c r="AJ199" s="38"/>
    </row>
    <row r="200" spans="1:36" s="54" customFormat="1" ht="31.5">
      <c r="A200" s="842"/>
      <c r="B200" s="560"/>
      <c r="C200" s="50"/>
      <c r="D200" s="72"/>
      <c r="E200" s="51"/>
      <c r="F200" s="51"/>
      <c r="G200" s="155"/>
      <c r="H200" s="51" t="s">
        <v>1550</v>
      </c>
      <c r="I200" s="73">
        <v>42520</v>
      </c>
      <c r="J200" s="276" t="s">
        <v>1525</v>
      </c>
      <c r="K200" s="248" t="s">
        <v>1929</v>
      </c>
      <c r="L200" s="250" t="s">
        <v>336</v>
      </c>
      <c r="M200" s="72" t="s">
        <v>1530</v>
      </c>
      <c r="N200" s="51">
        <v>220531348</v>
      </c>
      <c r="O200" s="51"/>
      <c r="P200" s="262">
        <f t="shared" si="38"/>
        <v>220531348</v>
      </c>
      <c r="Q200" s="51"/>
      <c r="R200" s="51"/>
      <c r="S200" s="51"/>
      <c r="T200" s="51"/>
      <c r="U200" s="51"/>
      <c r="V200" s="281">
        <f t="shared" si="43"/>
        <v>220531348</v>
      </c>
      <c r="W200" s="326" t="s">
        <v>2539</v>
      </c>
      <c r="X200" s="327">
        <v>42635</v>
      </c>
      <c r="Y200" s="327">
        <v>42641</v>
      </c>
      <c r="Z200" s="449">
        <f t="shared" si="42"/>
        <v>220531348</v>
      </c>
      <c r="AA200" s="456">
        <v>1</v>
      </c>
      <c r="AB200" s="57">
        <f t="shared" si="41"/>
        <v>-220531348</v>
      </c>
      <c r="AC200" s="106"/>
      <c r="AD200" s="38"/>
      <c r="AE200" s="38"/>
      <c r="AF200" s="38"/>
      <c r="AG200" s="38"/>
      <c r="AH200" s="38"/>
      <c r="AI200" s="38"/>
      <c r="AJ200" s="38"/>
    </row>
    <row r="201" spans="1:36" s="54" customFormat="1" ht="31.5">
      <c r="A201" s="842"/>
      <c r="B201" s="560"/>
      <c r="C201" s="50"/>
      <c r="D201" s="72"/>
      <c r="E201" s="51"/>
      <c r="F201" s="51"/>
      <c r="G201" s="155"/>
      <c r="H201" s="51" t="s">
        <v>1549</v>
      </c>
      <c r="I201" s="73">
        <v>42520</v>
      </c>
      <c r="J201" s="276" t="s">
        <v>1526</v>
      </c>
      <c r="K201" s="248" t="s">
        <v>1930</v>
      </c>
      <c r="L201" s="250" t="s">
        <v>336</v>
      </c>
      <c r="M201" s="72" t="s">
        <v>442</v>
      </c>
      <c r="N201" s="51">
        <v>222782525</v>
      </c>
      <c r="O201" s="51"/>
      <c r="P201" s="262">
        <f t="shared" si="38"/>
        <v>222782525</v>
      </c>
      <c r="Q201" s="51"/>
      <c r="R201" s="51"/>
      <c r="S201" s="51"/>
      <c r="T201" s="51"/>
      <c r="U201" s="51"/>
      <c r="V201" s="281">
        <f t="shared" si="43"/>
        <v>222782525</v>
      </c>
      <c r="W201" s="326" t="s">
        <v>2539</v>
      </c>
      <c r="X201" s="141">
        <v>42635</v>
      </c>
      <c r="Y201" s="141">
        <v>42641</v>
      </c>
      <c r="Z201" s="449">
        <f t="shared" ref="Z201:Z209" si="44">V201</f>
        <v>222782525</v>
      </c>
      <c r="AA201" s="456">
        <v>1</v>
      </c>
      <c r="AB201" s="57">
        <f t="shared" si="41"/>
        <v>-222782525</v>
      </c>
      <c r="AC201" s="106"/>
      <c r="AD201" s="38"/>
      <c r="AE201" s="38"/>
      <c r="AF201" s="38"/>
      <c r="AG201" s="967">
        <f>V201</f>
        <v>222782525</v>
      </c>
      <c r="AH201" s="38"/>
      <c r="AI201" s="38"/>
      <c r="AJ201" s="38"/>
    </row>
    <row r="202" spans="1:36" s="54" customFormat="1" ht="31.5">
      <c r="A202" s="842"/>
      <c r="B202" s="560"/>
      <c r="C202" s="50"/>
      <c r="D202" s="72"/>
      <c r="E202" s="51"/>
      <c r="F202" s="51"/>
      <c r="G202" s="155"/>
      <c r="H202" s="51" t="s">
        <v>1553</v>
      </c>
      <c r="I202" s="73">
        <v>42520</v>
      </c>
      <c r="J202" s="276" t="s">
        <v>1527</v>
      </c>
      <c r="K202" s="248" t="s">
        <v>1905</v>
      </c>
      <c r="L202" s="248" t="s">
        <v>396</v>
      </c>
      <c r="M202" s="72" t="s">
        <v>1531</v>
      </c>
      <c r="N202" s="51">
        <v>113729000</v>
      </c>
      <c r="O202" s="51"/>
      <c r="P202" s="262">
        <f t="shared" si="38"/>
        <v>113729000</v>
      </c>
      <c r="Q202" s="51"/>
      <c r="R202" s="51"/>
      <c r="S202" s="51"/>
      <c r="T202" s="51"/>
      <c r="U202" s="51"/>
      <c r="V202" s="281">
        <f t="shared" si="43"/>
        <v>113729000</v>
      </c>
      <c r="W202" s="140" t="s">
        <v>2359</v>
      </c>
      <c r="X202" s="141">
        <v>42619</v>
      </c>
      <c r="Y202" s="141">
        <v>42622</v>
      </c>
      <c r="Z202" s="103">
        <f t="shared" si="44"/>
        <v>113729000</v>
      </c>
      <c r="AA202" s="288">
        <v>1</v>
      </c>
      <c r="AB202" s="57">
        <f t="shared" si="41"/>
        <v>-113729000</v>
      </c>
      <c r="AC202" s="106"/>
      <c r="AD202" s="38"/>
      <c r="AE202" s="38"/>
      <c r="AF202" s="38"/>
      <c r="AG202" s="38"/>
      <c r="AH202" s="38"/>
      <c r="AI202" s="38"/>
      <c r="AJ202" s="38"/>
    </row>
    <row r="203" spans="1:36" s="54" customFormat="1" ht="31.5">
      <c r="A203" s="842"/>
      <c r="B203" s="560"/>
      <c r="C203" s="50"/>
      <c r="D203" s="72"/>
      <c r="E203" s="51"/>
      <c r="F203" s="51"/>
      <c r="G203" s="155"/>
      <c r="H203" s="51"/>
      <c r="I203" s="73"/>
      <c r="J203" s="276" t="s">
        <v>1642</v>
      </c>
      <c r="K203" s="248"/>
      <c r="L203" s="250"/>
      <c r="M203" s="72" t="s">
        <v>2538</v>
      </c>
      <c r="N203" s="51"/>
      <c r="O203" s="51">
        <v>5313000</v>
      </c>
      <c r="P203" s="262">
        <f t="shared" si="38"/>
        <v>5313000</v>
      </c>
      <c r="Q203" s="51"/>
      <c r="R203" s="51"/>
      <c r="S203" s="51"/>
      <c r="T203" s="51"/>
      <c r="U203" s="51"/>
      <c r="V203" s="281">
        <f t="shared" si="43"/>
        <v>5313000</v>
      </c>
      <c r="W203" s="140" t="s">
        <v>3673</v>
      </c>
      <c r="X203" s="141"/>
      <c r="Y203" s="141"/>
      <c r="Z203" s="103">
        <f t="shared" si="44"/>
        <v>5313000</v>
      </c>
      <c r="AA203" s="288"/>
      <c r="AB203" s="57">
        <f t="shared" si="41"/>
        <v>-5313000</v>
      </c>
      <c r="AC203" s="106"/>
      <c r="AD203" s="38"/>
      <c r="AE203" s="38"/>
      <c r="AF203" s="38"/>
      <c r="AG203" s="38"/>
      <c r="AH203" s="38"/>
      <c r="AI203" s="38"/>
      <c r="AJ203" s="38"/>
    </row>
    <row r="204" spans="1:36" s="54" customFormat="1" ht="31.5">
      <c r="A204" s="842"/>
      <c r="B204" s="560"/>
      <c r="C204" s="50"/>
      <c r="D204" s="72"/>
      <c r="E204" s="51"/>
      <c r="F204" s="51"/>
      <c r="G204" s="155"/>
      <c r="H204" s="51"/>
      <c r="I204" s="73"/>
      <c r="J204" s="276" t="s">
        <v>1643</v>
      </c>
      <c r="K204" s="1132" t="s">
        <v>1971</v>
      </c>
      <c r="L204" s="250" t="s">
        <v>387</v>
      </c>
      <c r="M204" s="72" t="s">
        <v>1646</v>
      </c>
      <c r="N204" s="51"/>
      <c r="O204" s="51">
        <v>9883500</v>
      </c>
      <c r="P204" s="262">
        <f t="shared" si="38"/>
        <v>9883500</v>
      </c>
      <c r="Q204" s="51"/>
      <c r="R204" s="51"/>
      <c r="S204" s="51"/>
      <c r="T204" s="51"/>
      <c r="U204" s="51"/>
      <c r="V204" s="281">
        <f t="shared" si="43"/>
        <v>9883500</v>
      </c>
      <c r="W204" s="140" t="s">
        <v>1972</v>
      </c>
      <c r="X204" s="141">
        <v>42552</v>
      </c>
      <c r="Y204" s="141">
        <v>42570</v>
      </c>
      <c r="Z204" s="103">
        <f t="shared" si="44"/>
        <v>9883500</v>
      </c>
      <c r="AA204" s="288">
        <v>1</v>
      </c>
      <c r="AB204" s="57">
        <f t="shared" si="41"/>
        <v>-9883500</v>
      </c>
      <c r="AC204" s="106"/>
      <c r="AD204" s="38"/>
      <c r="AE204" s="38"/>
      <c r="AF204" s="38"/>
      <c r="AG204" s="38"/>
      <c r="AH204" s="38"/>
      <c r="AI204" s="38"/>
      <c r="AJ204" s="38"/>
    </row>
    <row r="205" spans="1:36" s="54" customFormat="1" ht="31.5">
      <c r="A205" s="842"/>
      <c r="B205" s="560"/>
      <c r="C205" s="50"/>
      <c r="D205" s="72"/>
      <c r="E205" s="51"/>
      <c r="F205" s="51"/>
      <c r="G205" s="155"/>
      <c r="H205" s="51" t="s">
        <v>1656</v>
      </c>
      <c r="I205" s="73">
        <v>42545</v>
      </c>
      <c r="J205" s="276" t="s">
        <v>1644</v>
      </c>
      <c r="K205" s="248" t="s">
        <v>1984</v>
      </c>
      <c r="L205" s="248" t="s">
        <v>1985</v>
      </c>
      <c r="M205" s="72" t="s">
        <v>1648</v>
      </c>
      <c r="N205" s="51"/>
      <c r="O205" s="51">
        <v>178378200</v>
      </c>
      <c r="P205" s="262">
        <f t="shared" si="38"/>
        <v>178378200</v>
      </c>
      <c r="Q205" s="51"/>
      <c r="R205" s="51"/>
      <c r="S205" s="51"/>
      <c r="T205" s="51"/>
      <c r="U205" s="51"/>
      <c r="V205" s="281">
        <f>P205</f>
        <v>178378200</v>
      </c>
      <c r="W205" s="1409" t="s">
        <v>2658</v>
      </c>
      <c r="X205" s="1409">
        <v>42642</v>
      </c>
      <c r="Y205" s="375">
        <v>42648</v>
      </c>
      <c r="Z205" s="103">
        <f t="shared" si="44"/>
        <v>178378200</v>
      </c>
      <c r="AA205" s="288">
        <v>1</v>
      </c>
      <c r="AB205" s="57">
        <f t="shared" si="41"/>
        <v>-178378200</v>
      </c>
      <c r="AC205" s="106"/>
      <c r="AD205" s="38"/>
      <c r="AE205" s="38"/>
      <c r="AF205" s="38"/>
      <c r="AG205" s="967"/>
      <c r="AH205" s="38"/>
      <c r="AI205" s="38"/>
      <c r="AJ205" s="38"/>
    </row>
    <row r="206" spans="1:36" s="54" customFormat="1" ht="31.5">
      <c r="A206" s="842"/>
      <c r="B206" s="560"/>
      <c r="C206" s="50"/>
      <c r="D206" s="72"/>
      <c r="E206" s="51"/>
      <c r="F206" s="51"/>
      <c r="G206" s="155"/>
      <c r="H206" s="51" t="s">
        <v>1655</v>
      </c>
      <c r="I206" s="73">
        <v>42545</v>
      </c>
      <c r="J206" s="276" t="s">
        <v>1645</v>
      </c>
      <c r="K206" s="248" t="s">
        <v>1904</v>
      </c>
      <c r="L206" s="250" t="s">
        <v>387</v>
      </c>
      <c r="M206" s="72" t="s">
        <v>1140</v>
      </c>
      <c r="N206" s="51">
        <v>43656800</v>
      </c>
      <c r="O206" s="51"/>
      <c r="P206" s="262">
        <f t="shared" si="38"/>
        <v>43656800</v>
      </c>
      <c r="Q206" s="51"/>
      <c r="R206" s="51"/>
      <c r="S206" s="51"/>
      <c r="T206" s="51"/>
      <c r="U206" s="51"/>
      <c r="V206" s="281">
        <f>P206</f>
        <v>43656800</v>
      </c>
      <c r="W206" s="140" t="s">
        <v>2276</v>
      </c>
      <c r="X206" s="141">
        <v>42608</v>
      </c>
      <c r="Y206" s="141">
        <v>42615</v>
      </c>
      <c r="Z206" s="103">
        <f t="shared" si="44"/>
        <v>43656800</v>
      </c>
      <c r="AA206" s="288">
        <v>1</v>
      </c>
      <c r="AB206" s="57">
        <f t="shared" si="41"/>
        <v>-43656800</v>
      </c>
      <c r="AC206" s="106"/>
      <c r="AD206" s="38"/>
      <c r="AE206" s="38"/>
      <c r="AF206" s="38"/>
      <c r="AG206" s="38"/>
      <c r="AH206" s="38"/>
      <c r="AI206" s="38"/>
      <c r="AJ206" s="38"/>
    </row>
    <row r="207" spans="1:36" s="54" customFormat="1" ht="31.5">
      <c r="A207" s="842"/>
      <c r="B207" s="560"/>
      <c r="C207" s="50"/>
      <c r="D207" s="72"/>
      <c r="E207" s="51"/>
      <c r="F207" s="51"/>
      <c r="G207" s="155"/>
      <c r="H207" s="51"/>
      <c r="I207" s="73"/>
      <c r="J207" s="276" t="s">
        <v>1658</v>
      </c>
      <c r="K207" s="1132" t="s">
        <v>1970</v>
      </c>
      <c r="L207" s="250" t="s">
        <v>387</v>
      </c>
      <c r="M207" s="72" t="s">
        <v>1659</v>
      </c>
      <c r="N207" s="51">
        <v>9900000</v>
      </c>
      <c r="O207" s="51"/>
      <c r="P207" s="262">
        <f t="shared" si="38"/>
        <v>9900000</v>
      </c>
      <c r="Q207" s="51"/>
      <c r="R207" s="51"/>
      <c r="S207" s="51"/>
      <c r="T207" s="51"/>
      <c r="U207" s="51"/>
      <c r="V207" s="281">
        <f>P207</f>
        <v>9900000</v>
      </c>
      <c r="W207" s="140" t="s">
        <v>1972</v>
      </c>
      <c r="X207" s="141">
        <v>42552</v>
      </c>
      <c r="Y207" s="141">
        <v>42570</v>
      </c>
      <c r="Z207" s="103">
        <f t="shared" si="44"/>
        <v>9900000</v>
      </c>
      <c r="AA207" s="288">
        <v>1</v>
      </c>
      <c r="AB207" s="57">
        <f t="shared" si="41"/>
        <v>-9900000</v>
      </c>
      <c r="AC207" s="106"/>
      <c r="AD207" s="38"/>
      <c r="AE207" s="38"/>
      <c r="AF207" s="38"/>
      <c r="AG207" s="38"/>
      <c r="AH207" s="38"/>
      <c r="AI207" s="38"/>
      <c r="AJ207" s="38"/>
    </row>
    <row r="208" spans="1:36" s="54" customFormat="1" ht="31.5">
      <c r="A208" s="842"/>
      <c r="B208" s="560"/>
      <c r="C208" s="50"/>
      <c r="D208" s="72"/>
      <c r="E208" s="51"/>
      <c r="F208" s="51"/>
      <c r="G208" s="155"/>
      <c r="H208" s="51" t="s">
        <v>2023</v>
      </c>
      <c r="I208" s="73">
        <v>42592</v>
      </c>
      <c r="J208" s="276" t="s">
        <v>2019</v>
      </c>
      <c r="K208" s="77" t="s">
        <v>2498</v>
      </c>
      <c r="L208" s="250" t="s">
        <v>387</v>
      </c>
      <c r="M208" s="72" t="s">
        <v>2020</v>
      </c>
      <c r="N208" s="51">
        <v>25296700</v>
      </c>
      <c r="O208" s="51"/>
      <c r="P208" s="262">
        <f t="shared" si="38"/>
        <v>25296700</v>
      </c>
      <c r="Q208" s="51"/>
      <c r="R208" s="51"/>
      <c r="S208" s="51"/>
      <c r="T208" s="51"/>
      <c r="U208" s="51"/>
      <c r="V208" s="281">
        <f>P208</f>
        <v>25296700</v>
      </c>
      <c r="W208" s="140" t="s">
        <v>2903</v>
      </c>
      <c r="X208" s="141">
        <v>42667</v>
      </c>
      <c r="Y208" s="141">
        <v>42671</v>
      </c>
      <c r="Z208" s="103">
        <f t="shared" si="44"/>
        <v>25296700</v>
      </c>
      <c r="AA208" s="288">
        <v>1</v>
      </c>
      <c r="AB208" s="57">
        <f t="shared" si="41"/>
        <v>-25296700</v>
      </c>
      <c r="AC208" s="106"/>
      <c r="AD208" s="38"/>
      <c r="AE208" s="38"/>
      <c r="AF208" s="38"/>
      <c r="AG208" s="38"/>
      <c r="AH208" s="967">
        <f>V208</f>
        <v>25296700</v>
      </c>
      <c r="AI208" s="38"/>
      <c r="AJ208" s="38"/>
    </row>
    <row r="209" spans="1:36" s="54" customFormat="1" ht="31.5">
      <c r="A209" s="842"/>
      <c r="C209" s="50"/>
      <c r="D209" s="72"/>
      <c r="E209" s="51"/>
      <c r="F209" s="51"/>
      <c r="G209" s="155"/>
      <c r="H209" s="103"/>
      <c r="I209" s="103"/>
      <c r="J209" s="276" t="s">
        <v>2569</v>
      </c>
      <c r="K209" s="77" t="s">
        <v>2847</v>
      </c>
      <c r="L209" s="250" t="s">
        <v>2836</v>
      </c>
      <c r="M209" s="72" t="s">
        <v>2570</v>
      </c>
      <c r="N209" s="51">
        <v>8432539</v>
      </c>
      <c r="O209" s="51"/>
      <c r="P209" s="51">
        <f t="shared" si="38"/>
        <v>8432539</v>
      </c>
      <c r="Q209" s="51"/>
      <c r="R209" s="51"/>
      <c r="S209" s="51"/>
      <c r="T209" s="51"/>
      <c r="U209" s="51"/>
      <c r="V209" s="281">
        <f>P209</f>
        <v>8432539</v>
      </c>
      <c r="W209" s="140" t="s">
        <v>3549</v>
      </c>
      <c r="X209" s="141">
        <v>42720</v>
      </c>
      <c r="Y209" s="141">
        <v>42724</v>
      </c>
      <c r="Z209" s="103">
        <f t="shared" si="44"/>
        <v>8432539</v>
      </c>
      <c r="AA209" s="288">
        <v>1</v>
      </c>
      <c r="AB209" s="433">
        <f t="shared" si="41"/>
        <v>-8432539</v>
      </c>
      <c r="AC209" s="106"/>
    </row>
    <row r="210" spans="1:36" s="767" customFormat="1">
      <c r="A210" s="843"/>
      <c r="B210" s="853"/>
      <c r="E210" s="844"/>
      <c r="F210" s="844"/>
      <c r="G210" s="850">
        <f>G186</f>
        <v>3293961000</v>
      </c>
      <c r="H210" s="844"/>
      <c r="I210" s="844"/>
      <c r="J210" s="854"/>
      <c r="K210" s="855"/>
      <c r="L210" s="856"/>
      <c r="M210" s="857"/>
      <c r="N210" s="844">
        <f>SUM(N186:N209)</f>
        <v>1254127332</v>
      </c>
      <c r="O210" s="844">
        <f t="shared" ref="O210:V210" si="45">SUM(O186:O209)</f>
        <v>2039833668</v>
      </c>
      <c r="P210" s="844">
        <f t="shared" si="45"/>
        <v>3293961000</v>
      </c>
      <c r="Q210" s="844">
        <f t="shared" si="45"/>
        <v>0</v>
      </c>
      <c r="R210" s="844">
        <f t="shared" si="45"/>
        <v>0</v>
      </c>
      <c r="S210" s="844">
        <f t="shared" si="45"/>
        <v>0</v>
      </c>
      <c r="T210" s="844">
        <f t="shared" si="45"/>
        <v>0</v>
      </c>
      <c r="U210" s="844">
        <f t="shared" si="45"/>
        <v>0</v>
      </c>
      <c r="V210" s="844">
        <f t="shared" si="45"/>
        <v>3293961000</v>
      </c>
      <c r="W210" s="845"/>
      <c r="X210" s="846"/>
      <c r="Y210" s="846"/>
      <c r="Z210" s="844">
        <f>SUM(Z186:Z209)</f>
        <v>3293961000</v>
      </c>
      <c r="AA210" s="847"/>
      <c r="AB210" s="756">
        <f t="shared" ref="AB210:AB217" si="46">+G210-P210</f>
        <v>0</v>
      </c>
      <c r="AC210" s="848"/>
    </row>
    <row r="211" spans="1:36" s="54" customFormat="1" ht="47.25">
      <c r="A211" s="561"/>
      <c r="B211" s="564"/>
      <c r="C211" s="50" t="s">
        <v>1011</v>
      </c>
      <c r="D211" s="54" t="s">
        <v>1013</v>
      </c>
      <c r="E211" s="51">
        <v>1273595000</v>
      </c>
      <c r="F211" s="51"/>
      <c r="G211" s="155">
        <f>E211+F211</f>
        <v>1273595000</v>
      </c>
      <c r="H211" s="381" t="s">
        <v>1162</v>
      </c>
      <c r="I211" s="73">
        <v>42493</v>
      </c>
      <c r="J211" s="276" t="s">
        <v>1146</v>
      </c>
      <c r="K211" s="248" t="s">
        <v>1788</v>
      </c>
      <c r="L211" s="250" t="s">
        <v>1789</v>
      </c>
      <c r="M211" s="72" t="s">
        <v>1147</v>
      </c>
      <c r="N211" s="51">
        <v>290400000</v>
      </c>
      <c r="O211" s="51"/>
      <c r="P211" s="262">
        <f t="shared" ref="P211:P217" si="47">N211+O211</f>
        <v>290400000</v>
      </c>
      <c r="Q211" s="51"/>
      <c r="R211" s="51"/>
      <c r="S211" s="51"/>
      <c r="T211" s="51"/>
      <c r="U211" s="51"/>
      <c r="V211" s="281">
        <f t="shared" ref="V211:V217" si="48">P211</f>
        <v>290400000</v>
      </c>
      <c r="W211" s="140" t="s">
        <v>2359</v>
      </c>
      <c r="X211" s="141">
        <v>42619</v>
      </c>
      <c r="Y211" s="141">
        <v>42622</v>
      </c>
      <c r="Z211" s="103">
        <f t="shared" ref="Z211:Z217" si="49">V211</f>
        <v>290400000</v>
      </c>
      <c r="AA211" s="288">
        <v>1</v>
      </c>
      <c r="AB211" s="433">
        <f t="shared" si="46"/>
        <v>983195000</v>
      </c>
      <c r="AC211" s="106"/>
      <c r="AD211" s="38"/>
      <c r="AE211" s="38"/>
      <c r="AF211" s="38"/>
      <c r="AG211" s="38"/>
      <c r="AH211" s="38"/>
      <c r="AI211" s="38"/>
      <c r="AJ211" s="38"/>
    </row>
    <row r="212" spans="1:36" s="451" customFormat="1" ht="31.5">
      <c r="A212" s="561"/>
      <c r="B212" s="564"/>
      <c r="C212" s="290"/>
      <c r="E212" s="344"/>
      <c r="F212" s="344"/>
      <c r="G212" s="345"/>
      <c r="H212" s="51" t="s">
        <v>1657</v>
      </c>
      <c r="I212" s="73">
        <v>42545</v>
      </c>
      <c r="J212" s="276" t="s">
        <v>1640</v>
      </c>
      <c r="K212" s="248" t="s">
        <v>1933</v>
      </c>
      <c r="L212" s="346" t="s">
        <v>1934</v>
      </c>
      <c r="M212" s="72" t="s">
        <v>1641</v>
      </c>
      <c r="N212" s="344">
        <v>187000000</v>
      </c>
      <c r="O212" s="344"/>
      <c r="P212" s="262">
        <f t="shared" si="47"/>
        <v>187000000</v>
      </c>
      <c r="Q212" s="344"/>
      <c r="R212" s="344"/>
      <c r="S212" s="344"/>
      <c r="T212" s="344"/>
      <c r="U212" s="344"/>
      <c r="V212" s="281">
        <f t="shared" si="48"/>
        <v>187000000</v>
      </c>
      <c r="W212" s="349" t="s">
        <v>2535</v>
      </c>
      <c r="X212" s="350">
        <v>42635</v>
      </c>
      <c r="Y212" s="350">
        <v>42641</v>
      </c>
      <c r="Z212" s="264">
        <f t="shared" si="49"/>
        <v>187000000</v>
      </c>
      <c r="AA212" s="288">
        <v>1</v>
      </c>
      <c r="AB212" s="433">
        <f t="shared" si="46"/>
        <v>-187000000</v>
      </c>
      <c r="AC212" s="352"/>
      <c r="AD212" s="38"/>
      <c r="AE212" s="38"/>
      <c r="AF212" s="38"/>
      <c r="AG212" s="38"/>
      <c r="AH212" s="38"/>
      <c r="AI212" s="38"/>
      <c r="AJ212" s="38"/>
    </row>
    <row r="213" spans="1:36" s="451" customFormat="1" ht="31.5">
      <c r="A213" s="561"/>
      <c r="B213" s="564"/>
      <c r="C213" s="290"/>
      <c r="E213" s="344"/>
      <c r="F213" s="344"/>
      <c r="G213" s="345"/>
      <c r="H213" s="51" t="s">
        <v>1886</v>
      </c>
      <c r="I213" s="73">
        <v>42566</v>
      </c>
      <c r="J213" s="276" t="s">
        <v>1871</v>
      </c>
      <c r="K213" s="248" t="s">
        <v>2565</v>
      </c>
      <c r="L213" s="346" t="s">
        <v>2187</v>
      </c>
      <c r="M213" s="72" t="s">
        <v>1872</v>
      </c>
      <c r="N213" s="344">
        <v>269500000</v>
      </c>
      <c r="O213" s="344"/>
      <c r="P213" s="262">
        <f t="shared" si="47"/>
        <v>269500000</v>
      </c>
      <c r="Q213" s="344"/>
      <c r="R213" s="344"/>
      <c r="S213" s="344"/>
      <c r="T213" s="344"/>
      <c r="U213" s="344"/>
      <c r="V213" s="281">
        <f t="shared" si="48"/>
        <v>269500000</v>
      </c>
      <c r="W213" s="349" t="s">
        <v>3058</v>
      </c>
      <c r="X213" s="350">
        <v>42675</v>
      </c>
      <c r="Y213" s="350">
        <v>42678</v>
      </c>
      <c r="Z213" s="103">
        <f t="shared" si="49"/>
        <v>269500000</v>
      </c>
      <c r="AA213" s="288">
        <v>1</v>
      </c>
      <c r="AB213" s="433">
        <f t="shared" si="46"/>
        <v>-269500000</v>
      </c>
      <c r="AC213" s="352"/>
      <c r="AD213" s="38"/>
      <c r="AE213" s="38"/>
      <c r="AF213" s="38"/>
      <c r="AG213" s="967">
        <f>V213</f>
        <v>269500000</v>
      </c>
      <c r="AH213" s="38"/>
      <c r="AI213" s="38"/>
      <c r="AJ213" s="38"/>
    </row>
    <row r="214" spans="1:36" s="451" customFormat="1" ht="47.25">
      <c r="A214" s="561"/>
      <c r="B214" s="564"/>
      <c r="C214" s="290"/>
      <c r="E214" s="344"/>
      <c r="F214" s="344"/>
      <c r="G214" s="345"/>
      <c r="H214" s="51" t="s">
        <v>2012</v>
      </c>
      <c r="I214" s="73">
        <v>42586</v>
      </c>
      <c r="J214" s="276" t="s">
        <v>2006</v>
      </c>
      <c r="K214" s="248" t="s">
        <v>2186</v>
      </c>
      <c r="L214" s="346" t="s">
        <v>2187</v>
      </c>
      <c r="M214" s="72" t="s">
        <v>2007</v>
      </c>
      <c r="N214" s="344">
        <v>282700000</v>
      </c>
      <c r="O214" s="344"/>
      <c r="P214" s="262">
        <f t="shared" si="47"/>
        <v>282700000</v>
      </c>
      <c r="Q214" s="344"/>
      <c r="R214" s="344"/>
      <c r="S214" s="344"/>
      <c r="T214" s="344"/>
      <c r="U214" s="344"/>
      <c r="V214" s="281">
        <f t="shared" si="48"/>
        <v>282700000</v>
      </c>
      <c r="W214" s="349" t="s">
        <v>3044</v>
      </c>
      <c r="X214" s="350">
        <v>42671</v>
      </c>
      <c r="Y214" s="350">
        <v>42678</v>
      </c>
      <c r="Z214" s="264">
        <f t="shared" si="49"/>
        <v>282700000</v>
      </c>
      <c r="AA214" s="351">
        <v>1</v>
      </c>
      <c r="AB214" s="433">
        <f t="shared" si="46"/>
        <v>-282700000</v>
      </c>
      <c r="AC214" s="352"/>
      <c r="AD214" s="38"/>
      <c r="AE214" s="38"/>
      <c r="AF214" s="38"/>
      <c r="AG214" s="967">
        <f>V214</f>
        <v>282700000</v>
      </c>
      <c r="AH214" s="38"/>
      <c r="AI214" s="38"/>
      <c r="AJ214" s="38"/>
    </row>
    <row r="215" spans="1:36" s="451" customFormat="1" ht="47.25">
      <c r="A215" s="561"/>
      <c r="B215" s="564"/>
      <c r="C215" s="290"/>
      <c r="E215" s="344"/>
      <c r="F215" s="344"/>
      <c r="G215" s="345"/>
      <c r="H215" s="381" t="s">
        <v>2326</v>
      </c>
      <c r="I215" s="73">
        <v>42626</v>
      </c>
      <c r="J215" s="276" t="s">
        <v>2307</v>
      </c>
      <c r="K215" s="248" t="s">
        <v>2848</v>
      </c>
      <c r="L215" s="1486" t="s">
        <v>1803</v>
      </c>
      <c r="M215" s="72" t="s">
        <v>2308</v>
      </c>
      <c r="N215" s="344">
        <v>167200000</v>
      </c>
      <c r="O215" s="344"/>
      <c r="P215" s="262">
        <f t="shared" si="47"/>
        <v>167200000</v>
      </c>
      <c r="Q215" s="344"/>
      <c r="R215" s="344"/>
      <c r="S215" s="344"/>
      <c r="T215" s="344"/>
      <c r="U215" s="344"/>
      <c r="V215" s="281">
        <f t="shared" si="48"/>
        <v>167200000</v>
      </c>
      <c r="W215" s="326" t="s">
        <v>3446</v>
      </c>
      <c r="X215" s="327">
        <v>42718</v>
      </c>
      <c r="Y215" s="327">
        <v>42720</v>
      </c>
      <c r="Z215" s="1421">
        <f t="shared" si="49"/>
        <v>167200000</v>
      </c>
      <c r="AA215" s="1627">
        <v>1</v>
      </c>
      <c r="AB215" s="433">
        <f t="shared" si="46"/>
        <v>-167200000</v>
      </c>
      <c r="AC215" s="352"/>
      <c r="AD215" s="38"/>
      <c r="AE215" s="38"/>
      <c r="AF215" s="38"/>
      <c r="AG215" s="38"/>
      <c r="AH215" s="967">
        <f>V215</f>
        <v>167200000</v>
      </c>
      <c r="AI215" s="38"/>
      <c r="AJ215" s="38"/>
    </row>
    <row r="216" spans="1:36" s="451" customFormat="1" ht="47.25">
      <c r="A216" s="561"/>
      <c r="B216" s="564"/>
      <c r="C216" s="290"/>
      <c r="E216" s="344"/>
      <c r="F216" s="344"/>
      <c r="G216" s="345"/>
      <c r="H216" s="381" t="s">
        <v>2835</v>
      </c>
      <c r="I216" s="73"/>
      <c r="J216" s="276" t="s">
        <v>2569</v>
      </c>
      <c r="K216" s="454" t="s">
        <v>2847</v>
      </c>
      <c r="L216" s="250" t="s">
        <v>2836</v>
      </c>
      <c r="M216" s="72" t="s">
        <v>2570</v>
      </c>
      <c r="N216" s="344">
        <v>14767193</v>
      </c>
      <c r="O216" s="344"/>
      <c r="P216" s="262">
        <f t="shared" si="47"/>
        <v>14767193</v>
      </c>
      <c r="Q216" s="344"/>
      <c r="R216" s="344"/>
      <c r="S216" s="344"/>
      <c r="T216" s="344"/>
      <c r="U216" s="344"/>
      <c r="V216" s="281">
        <f t="shared" si="48"/>
        <v>14767193</v>
      </c>
      <c r="W216" s="140" t="s">
        <v>3549</v>
      </c>
      <c r="X216" s="141">
        <v>42720</v>
      </c>
      <c r="Y216" s="141">
        <v>42724</v>
      </c>
      <c r="Z216" s="103">
        <f t="shared" si="49"/>
        <v>14767193</v>
      </c>
      <c r="AA216" s="288">
        <v>1</v>
      </c>
      <c r="AB216" s="433">
        <f t="shared" si="46"/>
        <v>-14767193</v>
      </c>
      <c r="AC216" s="352"/>
    </row>
    <row r="217" spans="1:36" s="451" customFormat="1" ht="47.25">
      <c r="A217" s="561"/>
      <c r="B217" s="564"/>
      <c r="C217" s="290"/>
      <c r="E217" s="344"/>
      <c r="F217" s="344"/>
      <c r="G217" s="345"/>
      <c r="H217" s="381"/>
      <c r="I217" s="73"/>
      <c r="J217" s="276"/>
      <c r="K217" s="454" t="s">
        <v>3470</v>
      </c>
      <c r="L217" s="250" t="s">
        <v>265</v>
      </c>
      <c r="M217" s="72" t="s">
        <v>3471</v>
      </c>
      <c r="N217" s="344">
        <v>41250000</v>
      </c>
      <c r="O217" s="344"/>
      <c r="P217" s="262">
        <f t="shared" si="47"/>
        <v>41250000</v>
      </c>
      <c r="Q217" s="344"/>
      <c r="R217" s="344"/>
      <c r="S217" s="344"/>
      <c r="T217" s="344"/>
      <c r="U217" s="344"/>
      <c r="V217" s="281">
        <f t="shared" si="48"/>
        <v>41250000</v>
      </c>
      <c r="W217" s="349" t="s">
        <v>3206</v>
      </c>
      <c r="X217" s="350">
        <v>42698</v>
      </c>
      <c r="Y217" s="350">
        <v>42704</v>
      </c>
      <c r="Z217" s="1421">
        <f t="shared" si="49"/>
        <v>41250000</v>
      </c>
      <c r="AA217" s="288">
        <v>1</v>
      </c>
      <c r="AB217" s="433">
        <f t="shared" si="46"/>
        <v>-41250000</v>
      </c>
      <c r="AC217" s="352"/>
    </row>
    <row r="218" spans="1:36" s="54" customFormat="1">
      <c r="A218" s="842"/>
      <c r="B218" s="560"/>
      <c r="C218" s="50"/>
      <c r="E218" s="51"/>
      <c r="F218" s="51"/>
      <c r="G218" s="155"/>
      <c r="H218" s="381"/>
      <c r="I218" s="73"/>
      <c r="J218" s="276"/>
      <c r="K218" s="248"/>
      <c r="L218" s="250" t="s">
        <v>3469</v>
      </c>
      <c r="M218" s="72"/>
      <c r="N218" s="51"/>
      <c r="O218" s="51"/>
      <c r="P218" s="51"/>
      <c r="Q218" s="51"/>
      <c r="R218" s="51"/>
      <c r="S218" s="51"/>
      <c r="T218" s="51"/>
      <c r="U218" s="51"/>
      <c r="V218" s="281"/>
      <c r="W218" s="140"/>
      <c r="X218" s="141"/>
      <c r="Y218" s="141"/>
      <c r="Z218" s="103"/>
      <c r="AA218" s="288"/>
      <c r="AB218" s="433"/>
      <c r="AC218" s="106"/>
    </row>
    <row r="219" spans="1:36" s="1014" customFormat="1">
      <c r="A219" s="843"/>
      <c r="B219" s="1084"/>
      <c r="C219" s="767" t="str">
        <f>C211</f>
        <v>PRK.2016.WKT-4.3.53213.64</v>
      </c>
      <c r="E219" s="844"/>
      <c r="F219" s="1085"/>
      <c r="G219" s="850">
        <f>G211</f>
        <v>1273595000</v>
      </c>
      <c r="H219" s="844"/>
      <c r="I219" s="844"/>
      <c r="J219" s="1086"/>
      <c r="K219" s="1087"/>
      <c r="L219" s="1088"/>
      <c r="M219" s="1089"/>
      <c r="N219" s="844">
        <f>SUM(N211:N218)</f>
        <v>1252817193</v>
      </c>
      <c r="O219" s="844">
        <f t="shared" ref="O219:V219" si="50">SUM(O211:O218)</f>
        <v>0</v>
      </c>
      <c r="P219" s="844">
        <f t="shared" si="50"/>
        <v>1252817193</v>
      </c>
      <c r="Q219" s="844">
        <f t="shared" si="50"/>
        <v>0</v>
      </c>
      <c r="R219" s="844">
        <f t="shared" si="50"/>
        <v>0</v>
      </c>
      <c r="S219" s="844">
        <f t="shared" si="50"/>
        <v>0</v>
      </c>
      <c r="T219" s="844">
        <f t="shared" si="50"/>
        <v>0</v>
      </c>
      <c r="U219" s="844">
        <f t="shared" si="50"/>
        <v>0</v>
      </c>
      <c r="V219" s="844">
        <f t="shared" si="50"/>
        <v>1252817193</v>
      </c>
      <c r="W219" s="845"/>
      <c r="X219" s="846"/>
      <c r="Y219" s="846"/>
      <c r="Z219" s="844">
        <f>SUM(Z211:Z218)</f>
        <v>1252817193</v>
      </c>
      <c r="AA219" s="847"/>
      <c r="AB219" s="844">
        <f>SUM(AB211:AB218)</f>
        <v>20777807</v>
      </c>
      <c r="AC219" s="848"/>
    </row>
    <row r="220" spans="1:36" s="54" customFormat="1" ht="31.5">
      <c r="A220" s="561"/>
      <c r="B220" s="564"/>
      <c r="C220" s="50" t="s">
        <v>1010</v>
      </c>
      <c r="D220" s="54" t="s">
        <v>1014</v>
      </c>
      <c r="E220" s="449">
        <v>900000000</v>
      </c>
      <c r="F220" s="262"/>
      <c r="G220" s="155">
        <f>E220+F220</f>
        <v>900000000</v>
      </c>
      <c r="H220" s="51" t="s">
        <v>1252</v>
      </c>
      <c r="I220" s="73">
        <v>42500</v>
      </c>
      <c r="J220" s="276" t="s">
        <v>1166</v>
      </c>
      <c r="K220" s="454" t="s">
        <v>1742</v>
      </c>
      <c r="L220" s="331" t="s">
        <v>1743</v>
      </c>
      <c r="M220" s="325" t="s">
        <v>1889</v>
      </c>
      <c r="N220" s="262">
        <v>293976852</v>
      </c>
      <c r="O220" s="262"/>
      <c r="P220" s="262">
        <f>N220+O220</f>
        <v>293976852</v>
      </c>
      <c r="Q220" s="262"/>
      <c r="R220" s="262"/>
      <c r="S220" s="262"/>
      <c r="T220" s="262"/>
      <c r="U220" s="262"/>
      <c r="V220" s="455">
        <f>P220</f>
        <v>293976852</v>
      </c>
      <c r="W220" s="140" t="s">
        <v>2359</v>
      </c>
      <c r="X220" s="141">
        <v>42619</v>
      </c>
      <c r="Y220" s="141">
        <v>42622</v>
      </c>
      <c r="Z220" s="103">
        <f>V220</f>
        <v>293976852</v>
      </c>
      <c r="AA220" s="288">
        <v>1</v>
      </c>
      <c r="AB220" s="433">
        <f>+G220-P220</f>
        <v>606023148</v>
      </c>
      <c r="AC220" s="109"/>
      <c r="AD220" s="38"/>
      <c r="AE220" s="38"/>
      <c r="AF220" s="38"/>
      <c r="AG220" s="38"/>
      <c r="AH220" s="38"/>
      <c r="AI220" s="38"/>
      <c r="AJ220" s="38"/>
    </row>
    <row r="221" spans="1:36" s="54" customFormat="1" ht="47.25">
      <c r="A221" s="561"/>
      <c r="B221" s="564"/>
      <c r="E221" s="103"/>
      <c r="F221" s="51"/>
      <c r="G221" s="155"/>
      <c r="H221" s="51" t="s">
        <v>1925</v>
      </c>
      <c r="I221" s="73">
        <v>42520</v>
      </c>
      <c r="J221" s="276" t="s">
        <v>1902</v>
      </c>
      <c r="K221" s="454" t="s">
        <v>2181</v>
      </c>
      <c r="L221" s="250" t="s">
        <v>1741</v>
      </c>
      <c r="M221" s="72" t="s">
        <v>1903</v>
      </c>
      <c r="N221" s="262">
        <v>293975000</v>
      </c>
      <c r="O221" s="51"/>
      <c r="P221" s="262">
        <f>N221+O221</f>
        <v>293975000</v>
      </c>
      <c r="Q221" s="51"/>
      <c r="R221" s="51"/>
      <c r="S221" s="51"/>
      <c r="T221" s="51"/>
      <c r="U221" s="51"/>
      <c r="V221" s="281">
        <f>P221</f>
        <v>293975000</v>
      </c>
      <c r="W221" s="140" t="s">
        <v>2535</v>
      </c>
      <c r="X221" s="141">
        <v>42635</v>
      </c>
      <c r="Y221" s="141">
        <v>42641</v>
      </c>
      <c r="Z221" s="103">
        <f>V221</f>
        <v>293975000</v>
      </c>
      <c r="AA221" s="288">
        <v>1</v>
      </c>
      <c r="AB221" s="433">
        <f>+G221-P221</f>
        <v>-293975000</v>
      </c>
      <c r="AC221" s="106"/>
      <c r="AD221" s="38"/>
      <c r="AE221" s="38"/>
      <c r="AF221" s="38"/>
      <c r="AG221" s="38"/>
      <c r="AH221" s="38"/>
      <c r="AI221" s="38"/>
      <c r="AJ221" s="38"/>
    </row>
    <row r="222" spans="1:36" s="54" customFormat="1" ht="31.5">
      <c r="A222" s="561"/>
      <c r="B222" s="564"/>
      <c r="E222" s="264"/>
      <c r="F222" s="344"/>
      <c r="G222" s="345"/>
      <c r="H222" s="51" t="s">
        <v>2143</v>
      </c>
      <c r="I222" s="1116">
        <v>42608</v>
      </c>
      <c r="J222" s="276" t="s">
        <v>2109</v>
      </c>
      <c r="K222" s="454" t="s">
        <v>2524</v>
      </c>
      <c r="L222" s="346" t="s">
        <v>1747</v>
      </c>
      <c r="M222" s="72" t="s">
        <v>2110</v>
      </c>
      <c r="N222" s="262">
        <v>293975000</v>
      </c>
      <c r="O222" s="344"/>
      <c r="P222" s="262">
        <f>N222+O222</f>
        <v>293975000</v>
      </c>
      <c r="Q222" s="344"/>
      <c r="R222" s="344"/>
      <c r="S222" s="344"/>
      <c r="T222" s="344"/>
      <c r="U222" s="344"/>
      <c r="V222" s="348">
        <f>P222</f>
        <v>293975000</v>
      </c>
      <c r="W222" s="349" t="s">
        <v>3446</v>
      </c>
      <c r="X222" s="350">
        <v>42718</v>
      </c>
      <c r="Y222" s="350">
        <v>42720</v>
      </c>
      <c r="Z222" s="103">
        <f>V222</f>
        <v>293975000</v>
      </c>
      <c r="AA222" s="288">
        <v>1</v>
      </c>
      <c r="AB222" s="433">
        <f>+G222-P222</f>
        <v>-293975000</v>
      </c>
      <c r="AC222" s="352"/>
      <c r="AD222" s="38"/>
      <c r="AE222" s="38"/>
      <c r="AF222" s="38"/>
      <c r="AG222" s="38"/>
      <c r="AH222" s="967">
        <f>V222</f>
        <v>293975000</v>
      </c>
      <c r="AI222" s="38"/>
      <c r="AJ222" s="38"/>
    </row>
    <row r="223" spans="1:36" s="54" customFormat="1" ht="31.5">
      <c r="A223" s="561"/>
      <c r="B223" s="564"/>
      <c r="E223" s="264"/>
      <c r="F223" s="344"/>
      <c r="G223" s="345"/>
      <c r="H223" s="344"/>
      <c r="I223" s="1116"/>
      <c r="J223" s="276" t="s">
        <v>2569</v>
      </c>
      <c r="K223" s="454" t="s">
        <v>2847</v>
      </c>
      <c r="L223" s="250" t="s">
        <v>2836</v>
      </c>
      <c r="M223" s="72" t="s">
        <v>2570</v>
      </c>
      <c r="N223" s="344">
        <v>12071768</v>
      </c>
      <c r="O223" s="344"/>
      <c r="P223" s="262">
        <f>N223+O223</f>
        <v>12071768</v>
      </c>
      <c r="Q223" s="344"/>
      <c r="R223" s="344"/>
      <c r="S223" s="344"/>
      <c r="T223" s="344"/>
      <c r="U223" s="344"/>
      <c r="V223" s="348">
        <f>P223</f>
        <v>12071768</v>
      </c>
      <c r="W223" s="140" t="s">
        <v>3549</v>
      </c>
      <c r="X223" s="141">
        <v>42720</v>
      </c>
      <c r="Y223" s="141">
        <v>42724</v>
      </c>
      <c r="Z223" s="103">
        <f>V223</f>
        <v>12071768</v>
      </c>
      <c r="AA223" s="288">
        <v>1</v>
      </c>
      <c r="AB223" s="433">
        <f>+G223-P223</f>
        <v>-12071768</v>
      </c>
      <c r="AC223" s="352"/>
    </row>
    <row r="224" spans="1:36" s="755" customFormat="1">
      <c r="A224" s="843"/>
      <c r="B224" s="749"/>
      <c r="C224" s="755" t="str">
        <f>C220</f>
        <v>PRK.2016.WKT-4.3.53213.65</v>
      </c>
      <c r="E224" s="844">
        <f>E220</f>
        <v>900000000</v>
      </c>
      <c r="F224" s="844"/>
      <c r="G224" s="850">
        <f>G220</f>
        <v>900000000</v>
      </c>
      <c r="H224" s="844"/>
      <c r="I224" s="844"/>
      <c r="J224" s="854"/>
      <c r="K224" s="855"/>
      <c r="L224" s="856"/>
      <c r="M224" s="857"/>
      <c r="N224" s="844">
        <f>SUM(N220:N223)</f>
        <v>893998620</v>
      </c>
      <c r="O224" s="844">
        <f>SUM(O220:O223)</f>
        <v>0</v>
      </c>
      <c r="P224" s="844">
        <f>SUM(P220:P223)</f>
        <v>893998620</v>
      </c>
      <c r="Q224" s="844">
        <f>SUM(Q220:Q222)</f>
        <v>0</v>
      </c>
      <c r="R224" s="844">
        <f>SUM(R220:R222)</f>
        <v>0</v>
      </c>
      <c r="S224" s="844">
        <f>SUM(S220:S222)</f>
        <v>0</v>
      </c>
      <c r="T224" s="844">
        <f>SUM(T220:T222)</f>
        <v>0</v>
      </c>
      <c r="U224" s="844">
        <f>SUM(U220:U222)</f>
        <v>0</v>
      </c>
      <c r="V224" s="844">
        <f>SUM(V220:V223)</f>
        <v>893998620</v>
      </c>
      <c r="W224" s="845"/>
      <c r="X224" s="846"/>
      <c r="Y224" s="846"/>
      <c r="Z224" s="844">
        <f>SUM(Z220:Z223)</f>
        <v>893998620</v>
      </c>
      <c r="AA224" s="847"/>
      <c r="AB224" s="844">
        <f>SUM(AB220:AB223)</f>
        <v>6001380</v>
      </c>
      <c r="AC224" s="848"/>
    </row>
    <row r="225" spans="1:36" s="54" customFormat="1" ht="16.5" thickBot="1">
      <c r="A225" s="561"/>
      <c r="E225" s="264"/>
      <c r="F225" s="344"/>
      <c r="G225" s="345"/>
      <c r="H225" s="264"/>
      <c r="I225" s="264"/>
      <c r="J225" s="563"/>
      <c r="K225" s="256"/>
      <c r="L225" s="346"/>
      <c r="M225" s="347"/>
      <c r="N225" s="344"/>
      <c r="O225" s="344"/>
      <c r="P225" s="344"/>
      <c r="Q225" s="344"/>
      <c r="R225" s="344"/>
      <c r="S225" s="344"/>
      <c r="T225" s="344"/>
      <c r="U225" s="344"/>
      <c r="V225" s="348"/>
      <c r="W225" s="349"/>
      <c r="X225" s="350"/>
      <c r="Y225" s="350"/>
      <c r="Z225" s="264"/>
      <c r="AA225" s="351"/>
      <c r="AB225" s="366"/>
      <c r="AC225" s="352"/>
    </row>
    <row r="226" spans="1:36" s="340" customFormat="1" ht="15.75" customHeight="1" thickBot="1">
      <c r="A226" s="2741" t="str">
        <f>B186</f>
        <v>007.KIT/AO/BRU/2016/M</v>
      </c>
      <c r="B226" s="2742"/>
      <c r="C226" s="2742"/>
      <c r="D226" s="2743"/>
      <c r="E226" s="333">
        <f>SUM(E186:E220)</f>
        <v>5467556000</v>
      </c>
      <c r="F226" s="333">
        <f>SUM(F186:F220)</f>
        <v>0</v>
      </c>
      <c r="G226" s="333">
        <f>SUM(+G210+G219+G220)</f>
        <v>5467556000</v>
      </c>
      <c r="H226" s="333"/>
      <c r="I226" s="333"/>
      <c r="J226" s="334"/>
      <c r="K226" s="336"/>
      <c r="L226" s="336"/>
      <c r="M226" s="337"/>
      <c r="N226" s="333">
        <f>N210+N219+N224</f>
        <v>3400943145</v>
      </c>
      <c r="O226" s="333">
        <f t="shared" ref="O226:V226" si="51">O210+O219+O224</f>
        <v>2039833668</v>
      </c>
      <c r="P226" s="333">
        <f t="shared" si="51"/>
        <v>5440776813</v>
      </c>
      <c r="Q226" s="333">
        <f t="shared" si="51"/>
        <v>0</v>
      </c>
      <c r="R226" s="333">
        <f t="shared" si="51"/>
        <v>0</v>
      </c>
      <c r="S226" s="333">
        <f t="shared" si="51"/>
        <v>0</v>
      </c>
      <c r="T226" s="333">
        <f t="shared" si="51"/>
        <v>0</v>
      </c>
      <c r="U226" s="333">
        <f t="shared" si="51"/>
        <v>0</v>
      </c>
      <c r="V226" s="333">
        <f t="shared" si="51"/>
        <v>5440776813</v>
      </c>
      <c r="W226" s="338"/>
      <c r="X226" s="339"/>
      <c r="Y226" s="339"/>
      <c r="Z226" s="333">
        <f>Z210+Z219+Z224</f>
        <v>5440776813</v>
      </c>
      <c r="AA226" s="333"/>
      <c r="AB226" s="333">
        <f>AB210+AB219+AB224</f>
        <v>26779187</v>
      </c>
      <c r="AC226" s="338"/>
    </row>
    <row r="227" spans="1:36" s="54" customFormat="1" ht="15.75" customHeight="1">
      <c r="A227" s="80"/>
      <c r="B227" s="80"/>
      <c r="C227" s="80"/>
      <c r="D227" s="80"/>
      <c r="E227" s="110"/>
      <c r="F227" s="110"/>
      <c r="G227" s="240"/>
      <c r="H227" s="110"/>
      <c r="I227" s="110"/>
      <c r="J227" s="275"/>
      <c r="K227" s="111"/>
      <c r="L227" s="111"/>
      <c r="M227" s="112"/>
      <c r="N227" s="110"/>
      <c r="O227" s="110"/>
      <c r="P227" s="110"/>
      <c r="Q227" s="110"/>
      <c r="R227" s="110"/>
      <c r="S227" s="110"/>
      <c r="T227" s="110"/>
      <c r="U227" s="110"/>
      <c r="V227" s="103"/>
      <c r="W227" s="135"/>
      <c r="X227" s="114"/>
      <c r="Y227" s="114"/>
      <c r="Z227" s="110"/>
      <c r="AA227" s="110"/>
      <c r="AB227" s="110"/>
      <c r="AC227" s="113"/>
    </row>
    <row r="228" spans="1:36" s="54" customFormat="1" ht="47.25">
      <c r="A228" s="81">
        <v>8</v>
      </c>
      <c r="B228" s="50" t="s">
        <v>1860</v>
      </c>
      <c r="C228" s="50" t="s">
        <v>1861</v>
      </c>
      <c r="D228" s="72" t="s">
        <v>1862</v>
      </c>
      <c r="E228" s="103"/>
      <c r="F228" s="51">
        <v>2815314670</v>
      </c>
      <c r="G228" s="155">
        <f>E228+F228</f>
        <v>2815314670</v>
      </c>
      <c r="H228" s="381" t="s">
        <v>1887</v>
      </c>
      <c r="I228" s="73">
        <v>42566</v>
      </c>
      <c r="J228" s="276" t="s">
        <v>1867</v>
      </c>
      <c r="K228" s="454" t="s">
        <v>2179</v>
      </c>
      <c r="L228" s="346" t="s">
        <v>2180</v>
      </c>
      <c r="M228" s="347" t="s">
        <v>1868</v>
      </c>
      <c r="N228" s="344">
        <v>219315807</v>
      </c>
      <c r="O228" s="344"/>
      <c r="P228" s="51">
        <f t="shared" ref="P228:P246" si="52">N228+O228</f>
        <v>219315807</v>
      </c>
      <c r="Q228" s="344"/>
      <c r="R228" s="344"/>
      <c r="S228" s="344"/>
      <c r="T228" s="344"/>
      <c r="U228" s="344"/>
      <c r="V228" s="348">
        <f t="shared" ref="V228:V234" si="53">P228</f>
        <v>219315807</v>
      </c>
      <c r="W228" s="349" t="s">
        <v>3175</v>
      </c>
      <c r="X228" s="350">
        <v>42691</v>
      </c>
      <c r="Y228" s="350">
        <v>42697</v>
      </c>
      <c r="Z228" s="1421">
        <f t="shared" ref="Z228:Z235" si="54">V228</f>
        <v>219315807</v>
      </c>
      <c r="AA228" s="351">
        <v>1</v>
      </c>
      <c r="AB228" s="433">
        <f t="shared" ref="AB228:AB248" si="55">+G228-P228</f>
        <v>2595998863</v>
      </c>
      <c r="AC228" s="106"/>
      <c r="AD228" s="38"/>
      <c r="AE228" s="38"/>
      <c r="AF228" s="38"/>
      <c r="AG228" s="967">
        <f>V228</f>
        <v>219315807</v>
      </c>
      <c r="AH228" s="967"/>
      <c r="AI228" s="38"/>
      <c r="AJ228" s="38"/>
    </row>
    <row r="229" spans="1:36" s="54" customFormat="1" ht="47.25">
      <c r="A229" s="561"/>
      <c r="B229" s="153" t="s">
        <v>1859</v>
      </c>
      <c r="C229" s="50"/>
      <c r="D229" s="343"/>
      <c r="E229" s="264"/>
      <c r="F229" s="344"/>
      <c r="G229" s="345"/>
      <c r="H229" s="381" t="s">
        <v>1888</v>
      </c>
      <c r="I229" s="73">
        <v>42566</v>
      </c>
      <c r="J229" s="276" t="s">
        <v>1869</v>
      </c>
      <c r="K229" s="77" t="s">
        <v>2495</v>
      </c>
      <c r="L229" s="346" t="s">
        <v>2496</v>
      </c>
      <c r="M229" s="347" t="s">
        <v>1870</v>
      </c>
      <c r="N229" s="344">
        <v>27500000</v>
      </c>
      <c r="O229" s="344"/>
      <c r="P229" s="51">
        <f t="shared" si="52"/>
        <v>27500000</v>
      </c>
      <c r="Q229" s="344"/>
      <c r="R229" s="344"/>
      <c r="S229" s="344"/>
      <c r="T229" s="344"/>
      <c r="U229" s="344"/>
      <c r="V229" s="348">
        <f t="shared" si="53"/>
        <v>27500000</v>
      </c>
      <c r="W229" s="1421" t="s">
        <v>3060</v>
      </c>
      <c r="X229" s="1422">
        <v>42678</v>
      </c>
      <c r="Y229" s="1422">
        <v>42684</v>
      </c>
      <c r="Z229" s="1421">
        <f t="shared" si="54"/>
        <v>27500000</v>
      </c>
      <c r="AA229" s="1627">
        <v>1</v>
      </c>
      <c r="AB229" s="433">
        <f t="shared" si="55"/>
        <v>-27500000</v>
      </c>
      <c r="AC229" s="352"/>
      <c r="AD229" s="38"/>
      <c r="AE229" s="38"/>
      <c r="AF229" s="38"/>
      <c r="AG229" s="38"/>
      <c r="AH229" s="967">
        <f>F229</f>
        <v>0</v>
      </c>
      <c r="AI229" s="38"/>
      <c r="AJ229" s="38"/>
    </row>
    <row r="230" spans="1:36" s="54" customFormat="1" ht="47.25">
      <c r="A230" s="561"/>
      <c r="B230" s="564">
        <v>42550</v>
      </c>
      <c r="C230" s="50"/>
      <c r="D230" s="343"/>
      <c r="E230" s="264"/>
      <c r="F230" s="344"/>
      <c r="G230" s="345"/>
      <c r="H230" s="381" t="s">
        <v>1893</v>
      </c>
      <c r="I230" s="73">
        <v>42566</v>
      </c>
      <c r="J230" s="276" t="s">
        <v>1873</v>
      </c>
      <c r="K230" s="248" t="s">
        <v>2459</v>
      </c>
      <c r="L230" s="346" t="s">
        <v>2161</v>
      </c>
      <c r="M230" s="72" t="s">
        <v>1874</v>
      </c>
      <c r="N230" s="344">
        <v>204193000</v>
      </c>
      <c r="O230" s="344"/>
      <c r="P230" s="262">
        <f t="shared" si="52"/>
        <v>204193000</v>
      </c>
      <c r="Q230" s="344"/>
      <c r="R230" s="344"/>
      <c r="S230" s="344"/>
      <c r="T230" s="344"/>
      <c r="U230" s="344"/>
      <c r="V230" s="262">
        <f t="shared" si="53"/>
        <v>204193000</v>
      </c>
      <c r="W230" s="140" t="s">
        <v>2693</v>
      </c>
      <c r="X230" s="141">
        <v>42646</v>
      </c>
      <c r="Y230" s="141">
        <v>42650</v>
      </c>
      <c r="Z230" s="103">
        <f t="shared" si="54"/>
        <v>204193000</v>
      </c>
      <c r="AA230" s="288">
        <v>1</v>
      </c>
      <c r="AB230" s="433">
        <f t="shared" si="55"/>
        <v>-204193000</v>
      </c>
      <c r="AC230" s="352"/>
      <c r="AD230" s="38"/>
      <c r="AE230" s="38"/>
      <c r="AF230" s="38"/>
      <c r="AG230" s="967">
        <f>V230</f>
        <v>204193000</v>
      </c>
      <c r="AH230" s="38"/>
      <c r="AI230" s="38"/>
      <c r="AJ230" s="38"/>
    </row>
    <row r="231" spans="1:36" s="54" customFormat="1" ht="47.25">
      <c r="A231" s="561"/>
      <c r="C231" s="50"/>
      <c r="D231" s="343"/>
      <c r="E231" s="264"/>
      <c r="F231" s="344"/>
      <c r="G231" s="345"/>
      <c r="H231" s="381" t="s">
        <v>1924</v>
      </c>
      <c r="I231" s="1116">
        <v>42576</v>
      </c>
      <c r="J231" s="276" t="s">
        <v>1916</v>
      </c>
      <c r="K231" s="248" t="s">
        <v>2182</v>
      </c>
      <c r="L231" s="346" t="s">
        <v>2183</v>
      </c>
      <c r="M231" s="347" t="s">
        <v>1917</v>
      </c>
      <c r="N231" s="344">
        <v>188679700</v>
      </c>
      <c r="O231" s="344"/>
      <c r="P231" s="344">
        <f t="shared" si="52"/>
        <v>188679700</v>
      </c>
      <c r="Q231" s="344"/>
      <c r="R231" s="344"/>
      <c r="S231" s="344"/>
      <c r="T231" s="344"/>
      <c r="U231" s="344"/>
      <c r="V231" s="344">
        <f t="shared" si="53"/>
        <v>188679700</v>
      </c>
      <c r="W231" s="349" t="s">
        <v>3058</v>
      </c>
      <c r="X231" s="350">
        <v>42675</v>
      </c>
      <c r="Y231" s="350">
        <v>42678</v>
      </c>
      <c r="Z231" s="103">
        <f t="shared" si="54"/>
        <v>188679700</v>
      </c>
      <c r="AA231" s="288">
        <v>1</v>
      </c>
      <c r="AB231" s="366">
        <f t="shared" si="55"/>
        <v>-188679700</v>
      </c>
      <c r="AC231" s="352"/>
      <c r="AD231" s="38"/>
      <c r="AE231" s="38"/>
      <c r="AF231" s="38"/>
      <c r="AG231" s="967">
        <f>V231</f>
        <v>188679700</v>
      </c>
      <c r="AH231" s="38"/>
      <c r="AI231" s="38"/>
      <c r="AJ231" s="38"/>
    </row>
    <row r="232" spans="1:36" s="54" customFormat="1" ht="47.25">
      <c r="A232" s="561"/>
      <c r="C232" s="50"/>
      <c r="D232" s="343"/>
      <c r="E232" s="264"/>
      <c r="F232" s="344"/>
      <c r="G232" s="345"/>
      <c r="H232" s="381" t="s">
        <v>2014</v>
      </c>
      <c r="I232" s="73">
        <v>42586</v>
      </c>
      <c r="J232" s="276" t="s">
        <v>2008</v>
      </c>
      <c r="K232" s="454" t="s">
        <v>2174</v>
      </c>
      <c r="L232" s="346" t="s">
        <v>2175</v>
      </c>
      <c r="M232" s="347" t="s">
        <v>2009</v>
      </c>
      <c r="N232" s="344">
        <v>92054600</v>
      </c>
      <c r="O232" s="344"/>
      <c r="P232" s="344">
        <f t="shared" si="52"/>
        <v>92054600</v>
      </c>
      <c r="Q232" s="344"/>
      <c r="R232" s="344"/>
      <c r="S232" s="344"/>
      <c r="T232" s="344"/>
      <c r="U232" s="344"/>
      <c r="V232" s="344">
        <f t="shared" si="53"/>
        <v>92054600</v>
      </c>
      <c r="W232" s="140" t="s">
        <v>2693</v>
      </c>
      <c r="X232" s="141">
        <v>42646</v>
      </c>
      <c r="Y232" s="141">
        <v>42650</v>
      </c>
      <c r="Z232" s="103">
        <f t="shared" si="54"/>
        <v>92054600</v>
      </c>
      <c r="AA232" s="288">
        <v>1</v>
      </c>
      <c r="AB232" s="366">
        <f t="shared" si="55"/>
        <v>-92054600</v>
      </c>
      <c r="AC232" s="352"/>
      <c r="AD232" s="38"/>
      <c r="AE232" s="38"/>
      <c r="AF232" s="38"/>
      <c r="AG232" s="967">
        <f>V232</f>
        <v>92054600</v>
      </c>
      <c r="AH232" s="38"/>
      <c r="AI232" s="38"/>
      <c r="AJ232" s="38"/>
    </row>
    <row r="233" spans="1:36" s="54" customFormat="1" ht="47.25">
      <c r="A233" s="561"/>
      <c r="C233" s="50"/>
      <c r="D233" s="343"/>
      <c r="E233" s="264"/>
      <c r="F233" s="344"/>
      <c r="G233" s="345"/>
      <c r="H233" s="381" t="s">
        <v>2018</v>
      </c>
      <c r="I233" s="1116">
        <v>42590</v>
      </c>
      <c r="J233" s="276" t="s">
        <v>2016</v>
      </c>
      <c r="K233" s="454" t="s">
        <v>2177</v>
      </c>
      <c r="L233" s="346" t="s">
        <v>396</v>
      </c>
      <c r="M233" s="347" t="s">
        <v>2017</v>
      </c>
      <c r="N233" s="344">
        <v>52559100</v>
      </c>
      <c r="O233" s="344"/>
      <c r="P233" s="344">
        <f t="shared" si="52"/>
        <v>52559100</v>
      </c>
      <c r="Q233" s="344"/>
      <c r="R233" s="344"/>
      <c r="S233" s="344"/>
      <c r="T233" s="344"/>
      <c r="U233" s="344"/>
      <c r="V233" s="344">
        <f t="shared" si="53"/>
        <v>52559100</v>
      </c>
      <c r="W233" s="140" t="s">
        <v>2903</v>
      </c>
      <c r="X233" s="141">
        <v>42667</v>
      </c>
      <c r="Y233" s="141">
        <v>42671</v>
      </c>
      <c r="Z233" s="103">
        <f t="shared" si="54"/>
        <v>52559100</v>
      </c>
      <c r="AA233" s="288">
        <v>1</v>
      </c>
      <c r="AB233" s="366">
        <f t="shared" si="55"/>
        <v>-52559100</v>
      </c>
      <c r="AC233" s="352"/>
      <c r="AD233" s="38"/>
      <c r="AE233" s="38"/>
      <c r="AF233" s="38"/>
      <c r="AG233" s="967">
        <f>V233</f>
        <v>52559100</v>
      </c>
      <c r="AH233" s="38"/>
      <c r="AI233" s="38"/>
      <c r="AJ233" s="38"/>
    </row>
    <row r="234" spans="1:36" s="54" customFormat="1" ht="47.25">
      <c r="A234" s="561"/>
      <c r="C234" s="50"/>
      <c r="D234" s="343"/>
      <c r="E234" s="264"/>
      <c r="F234" s="344"/>
      <c r="G234" s="345"/>
      <c r="H234" s="381" t="s">
        <v>2054</v>
      </c>
      <c r="I234" s="1116">
        <v>42600</v>
      </c>
      <c r="J234" s="276" t="s">
        <v>2044</v>
      </c>
      <c r="K234" s="454" t="s">
        <v>3139</v>
      </c>
      <c r="L234" s="1664" t="s">
        <v>722</v>
      </c>
      <c r="M234" s="347" t="s">
        <v>2045</v>
      </c>
      <c r="N234" s="344">
        <v>257070000</v>
      </c>
      <c r="O234" s="344"/>
      <c r="P234" s="344">
        <f t="shared" si="52"/>
        <v>257070000</v>
      </c>
      <c r="Q234" s="344"/>
      <c r="R234" s="344"/>
      <c r="S234" s="344"/>
      <c r="T234" s="344"/>
      <c r="U234" s="344"/>
      <c r="V234" s="344">
        <f t="shared" si="53"/>
        <v>257070000</v>
      </c>
      <c r="W234" s="349" t="s">
        <v>3446</v>
      </c>
      <c r="X234" s="350">
        <v>42718</v>
      </c>
      <c r="Y234" s="350">
        <v>42720</v>
      </c>
      <c r="Z234" s="103">
        <f>V234</f>
        <v>257070000</v>
      </c>
      <c r="AA234" s="288">
        <v>1</v>
      </c>
      <c r="AB234" s="366">
        <f t="shared" si="55"/>
        <v>-257070000</v>
      </c>
      <c r="AC234" s="352"/>
      <c r="AD234" s="38"/>
      <c r="AE234" s="38"/>
      <c r="AF234" s="38"/>
      <c r="AG234" s="38"/>
      <c r="AH234" s="967">
        <f>P234</f>
        <v>257070000</v>
      </c>
      <c r="AI234" s="38"/>
      <c r="AJ234" s="38"/>
    </row>
    <row r="235" spans="1:36" s="54" customFormat="1" ht="47.25">
      <c r="A235" s="561"/>
      <c r="C235" s="50"/>
      <c r="D235" s="343"/>
      <c r="E235" s="264"/>
      <c r="F235" s="344"/>
      <c r="G235" s="345"/>
      <c r="H235" s="381" t="s">
        <v>2112</v>
      </c>
      <c r="I235" s="1116">
        <v>42607</v>
      </c>
      <c r="J235" s="276" t="s">
        <v>2088</v>
      </c>
      <c r="K235" s="171" t="s">
        <v>2510</v>
      </c>
      <c r="L235" s="346" t="s">
        <v>2511</v>
      </c>
      <c r="M235" s="347" t="s">
        <v>2089</v>
      </c>
      <c r="N235" s="344">
        <v>293930000</v>
      </c>
      <c r="O235" s="344"/>
      <c r="P235" s="344">
        <f t="shared" si="52"/>
        <v>293930000</v>
      </c>
      <c r="Q235" s="344"/>
      <c r="R235" s="344"/>
      <c r="S235" s="344"/>
      <c r="T235" s="344"/>
      <c r="U235" s="344"/>
      <c r="V235" s="344">
        <f>P235</f>
        <v>293930000</v>
      </c>
      <c r="W235" s="349" t="s">
        <v>3296</v>
      </c>
      <c r="X235" s="350">
        <v>42703</v>
      </c>
      <c r="Y235" s="350">
        <v>42706</v>
      </c>
      <c r="Z235" s="103">
        <f t="shared" si="54"/>
        <v>293930000</v>
      </c>
      <c r="AA235" s="288">
        <v>1</v>
      </c>
      <c r="AB235" s="366">
        <f t="shared" si="55"/>
        <v>-293930000</v>
      </c>
      <c r="AC235" s="352"/>
      <c r="AD235" s="38"/>
      <c r="AE235" s="38"/>
      <c r="AF235" s="38"/>
      <c r="AG235" s="38"/>
      <c r="AH235" s="967">
        <f>V235</f>
        <v>293930000</v>
      </c>
      <c r="AI235" s="38"/>
      <c r="AJ235" s="38"/>
    </row>
    <row r="236" spans="1:36" s="54" customFormat="1" ht="47.25">
      <c r="A236" s="561"/>
      <c r="C236" s="50"/>
      <c r="D236" s="343"/>
      <c r="E236" s="264"/>
      <c r="F236" s="344"/>
      <c r="G236" s="345"/>
      <c r="H236" s="381" t="s">
        <v>2333</v>
      </c>
      <c r="I236" s="1116">
        <v>42627</v>
      </c>
      <c r="J236" s="276" t="s">
        <v>2309</v>
      </c>
      <c r="K236" s="454" t="s">
        <v>3140</v>
      </c>
      <c r="L236" s="1664" t="s">
        <v>327</v>
      </c>
      <c r="M236" s="347" t="s">
        <v>2327</v>
      </c>
      <c r="N236" s="344"/>
      <c r="O236" s="344">
        <v>296890000</v>
      </c>
      <c r="P236" s="344">
        <f t="shared" si="52"/>
        <v>296890000</v>
      </c>
      <c r="Q236" s="344"/>
      <c r="R236" s="344"/>
      <c r="S236" s="344"/>
      <c r="T236" s="344"/>
      <c r="U236" s="344"/>
      <c r="V236" s="344">
        <f>P236</f>
        <v>296890000</v>
      </c>
      <c r="W236" s="349" t="s">
        <v>3649</v>
      </c>
      <c r="X236" s="350">
        <v>42728</v>
      </c>
      <c r="Y236" s="350">
        <v>42732</v>
      </c>
      <c r="Z236" s="103">
        <f>V236</f>
        <v>296890000</v>
      </c>
      <c r="AA236" s="288">
        <v>1</v>
      </c>
      <c r="AB236" s="366">
        <f t="shared" si="55"/>
        <v>-296890000</v>
      </c>
      <c r="AC236" s="352"/>
      <c r="AD236" s="38"/>
      <c r="AE236" s="38"/>
      <c r="AF236" s="38"/>
      <c r="AG236" s="38"/>
      <c r="AH236" s="967">
        <f>P236</f>
        <v>296890000</v>
      </c>
      <c r="AI236" s="38"/>
      <c r="AJ236" s="38"/>
    </row>
    <row r="237" spans="1:36" s="54" customFormat="1" ht="47.25">
      <c r="A237" s="561"/>
      <c r="C237" s="50"/>
      <c r="D237" s="343"/>
      <c r="E237" s="264"/>
      <c r="F237" s="344"/>
      <c r="G237" s="345"/>
      <c r="H237" s="381" t="s">
        <v>2334</v>
      </c>
      <c r="I237" s="1116">
        <v>42458</v>
      </c>
      <c r="J237" s="276" t="s">
        <v>2328</v>
      </c>
      <c r="K237" s="77" t="s">
        <v>3046</v>
      </c>
      <c r="L237" s="346" t="s">
        <v>265</v>
      </c>
      <c r="M237" s="347" t="s">
        <v>2329</v>
      </c>
      <c r="N237" s="344"/>
      <c r="O237" s="344">
        <v>56000000</v>
      </c>
      <c r="P237" s="344">
        <f t="shared" si="52"/>
        <v>56000000</v>
      </c>
      <c r="Q237" s="344"/>
      <c r="R237" s="344"/>
      <c r="S237" s="344"/>
      <c r="T237" s="344"/>
      <c r="U237" s="344"/>
      <c r="V237" s="344">
        <f t="shared" ref="V237:V246" si="56">P237</f>
        <v>56000000</v>
      </c>
      <c r="W237" s="349" t="s">
        <v>3200</v>
      </c>
      <c r="X237" s="350">
        <v>42698</v>
      </c>
      <c r="Y237" s="350">
        <v>42704</v>
      </c>
      <c r="Z237" s="103">
        <f>V237</f>
        <v>56000000</v>
      </c>
      <c r="AA237" s="288">
        <v>1</v>
      </c>
      <c r="AB237" s="366">
        <f>+G237-P237</f>
        <v>-56000000</v>
      </c>
      <c r="AC237" s="352"/>
      <c r="AD237" s="38"/>
      <c r="AE237" s="38"/>
      <c r="AF237" s="38"/>
      <c r="AG237" s="38"/>
      <c r="AH237" s="967">
        <f>V237</f>
        <v>56000000</v>
      </c>
      <c r="AI237" s="38"/>
      <c r="AJ237" s="38"/>
    </row>
    <row r="238" spans="1:36" s="54" customFormat="1" ht="47.25">
      <c r="A238" s="561"/>
      <c r="C238" s="50"/>
      <c r="D238" s="343"/>
      <c r="E238" s="264"/>
      <c r="F238" s="344"/>
      <c r="G238" s="345"/>
      <c r="H238" s="381" t="s">
        <v>2457</v>
      </c>
      <c r="I238" s="1116">
        <v>42641</v>
      </c>
      <c r="J238" s="276" t="s">
        <v>2452</v>
      </c>
      <c r="K238" s="171" t="s">
        <v>2837</v>
      </c>
      <c r="L238" s="1486" t="s">
        <v>346</v>
      </c>
      <c r="M238" s="347" t="s">
        <v>2453</v>
      </c>
      <c r="N238" s="344"/>
      <c r="O238" s="344">
        <v>294690000</v>
      </c>
      <c r="P238" s="344">
        <f t="shared" si="52"/>
        <v>294690000</v>
      </c>
      <c r="Q238" s="344"/>
      <c r="R238" s="344"/>
      <c r="S238" s="344"/>
      <c r="T238" s="344"/>
      <c r="U238" s="344"/>
      <c r="V238" s="344">
        <f>P238</f>
        <v>294690000</v>
      </c>
      <c r="W238" s="349" t="s">
        <v>3582</v>
      </c>
      <c r="X238" s="350">
        <v>42731</v>
      </c>
      <c r="Y238" s="350">
        <v>42734</v>
      </c>
      <c r="Z238" s="1421">
        <f>V238</f>
        <v>294690000</v>
      </c>
      <c r="AA238" s="1627">
        <v>1</v>
      </c>
      <c r="AB238" s="366">
        <f t="shared" si="55"/>
        <v>-294690000</v>
      </c>
      <c r="AC238" s="352"/>
      <c r="AD238" s="38"/>
      <c r="AE238" s="38"/>
      <c r="AF238" s="38"/>
      <c r="AG238" s="38"/>
      <c r="AH238" s="967">
        <f>P238</f>
        <v>294690000</v>
      </c>
      <c r="AI238" s="38"/>
      <c r="AJ238" s="38"/>
    </row>
    <row r="239" spans="1:36" s="54" customFormat="1" ht="47.25">
      <c r="A239" s="561"/>
      <c r="C239" s="50"/>
      <c r="D239" s="343"/>
      <c r="E239" s="264"/>
      <c r="F239" s="344"/>
      <c r="G239" s="345"/>
      <c r="H239" s="559" t="s">
        <v>2560</v>
      </c>
      <c r="I239" s="558">
        <v>42641</v>
      </c>
      <c r="J239" s="276" t="s">
        <v>2460</v>
      </c>
      <c r="K239" s="171" t="s">
        <v>2846</v>
      </c>
      <c r="L239" s="1486" t="s">
        <v>396</v>
      </c>
      <c r="M239" s="347" t="s">
        <v>2461</v>
      </c>
      <c r="N239" s="344"/>
      <c r="O239" s="344">
        <v>134967096</v>
      </c>
      <c r="P239" s="344">
        <f t="shared" si="52"/>
        <v>134967096</v>
      </c>
      <c r="Q239" s="344"/>
      <c r="R239" s="344"/>
      <c r="S239" s="344"/>
      <c r="T239" s="344"/>
      <c r="U239" s="344"/>
      <c r="V239" s="344">
        <f t="shared" si="56"/>
        <v>134967096</v>
      </c>
      <c r="W239" s="349" t="s">
        <v>3549</v>
      </c>
      <c r="X239" s="350">
        <v>42720</v>
      </c>
      <c r="Y239" s="350">
        <v>42724</v>
      </c>
      <c r="Z239" s="1421">
        <f>V239</f>
        <v>134967096</v>
      </c>
      <c r="AA239" s="1627">
        <v>1</v>
      </c>
      <c r="AB239" s="366">
        <f t="shared" si="55"/>
        <v>-134967096</v>
      </c>
      <c r="AC239" s="352"/>
      <c r="AD239" s="38"/>
      <c r="AE239" s="38"/>
      <c r="AF239" s="38"/>
      <c r="AG239" s="38"/>
      <c r="AH239" s="967">
        <f>P239</f>
        <v>134967096</v>
      </c>
      <c r="AI239" s="38"/>
      <c r="AJ239" s="38"/>
    </row>
    <row r="240" spans="1:36" s="54" customFormat="1" ht="47.25">
      <c r="A240" s="561"/>
      <c r="C240" s="50"/>
      <c r="D240" s="343"/>
      <c r="E240" s="264"/>
      <c r="F240" s="344"/>
      <c r="G240" s="345"/>
      <c r="H240" s="381" t="s">
        <v>2568</v>
      </c>
      <c r="I240" s="73">
        <v>42647</v>
      </c>
      <c r="J240" s="276" t="s">
        <v>2557</v>
      </c>
      <c r="K240" s="171" t="s">
        <v>2839</v>
      </c>
      <c r="L240" s="1486" t="s">
        <v>2511</v>
      </c>
      <c r="M240" s="347" t="s">
        <v>2558</v>
      </c>
      <c r="N240" s="344"/>
      <c r="O240" s="344">
        <v>132418000</v>
      </c>
      <c r="P240" s="344">
        <f t="shared" si="52"/>
        <v>132418000</v>
      </c>
      <c r="Q240" s="344"/>
      <c r="R240" s="344"/>
      <c r="S240" s="344"/>
      <c r="T240" s="344"/>
      <c r="U240" s="344"/>
      <c r="V240" s="344">
        <f t="shared" si="56"/>
        <v>132418000</v>
      </c>
      <c r="W240" s="349" t="s">
        <v>3296</v>
      </c>
      <c r="X240" s="350">
        <v>42703</v>
      </c>
      <c r="Y240" s="350">
        <v>42706</v>
      </c>
      <c r="Z240" s="103">
        <f>V240</f>
        <v>132418000</v>
      </c>
      <c r="AA240" s="288">
        <v>1</v>
      </c>
      <c r="AB240" s="366">
        <f t="shared" si="55"/>
        <v>-132418000</v>
      </c>
      <c r="AC240" s="352"/>
    </row>
    <row r="241" spans="1:36" s="54" customFormat="1" ht="47.25">
      <c r="A241" s="561"/>
      <c r="C241" s="50"/>
      <c r="D241" s="343"/>
      <c r="E241" s="264"/>
      <c r="F241" s="344"/>
      <c r="G241" s="345"/>
      <c r="H241" s="381" t="s">
        <v>2717</v>
      </c>
      <c r="I241" s="1444">
        <v>42657</v>
      </c>
      <c r="J241" s="276" t="s">
        <v>2587</v>
      </c>
      <c r="K241" s="171" t="s">
        <v>2844</v>
      </c>
      <c r="L241" s="1486" t="s">
        <v>1796</v>
      </c>
      <c r="M241" s="347" t="s">
        <v>2588</v>
      </c>
      <c r="N241" s="344">
        <v>152790000</v>
      </c>
      <c r="O241" s="344"/>
      <c r="P241" s="344">
        <f t="shared" si="52"/>
        <v>152790000</v>
      </c>
      <c r="Q241" s="344"/>
      <c r="R241" s="344"/>
      <c r="S241" s="344"/>
      <c r="T241" s="344"/>
      <c r="U241" s="344"/>
      <c r="V241" s="344">
        <f t="shared" si="56"/>
        <v>152790000</v>
      </c>
      <c r="W241" s="349"/>
      <c r="X241" s="350"/>
      <c r="Y241" s="350"/>
      <c r="Z241" s="264"/>
      <c r="AA241" s="351"/>
      <c r="AB241" s="366">
        <f t="shared" si="55"/>
        <v>-152790000</v>
      </c>
      <c r="AC241" s="352"/>
    </row>
    <row r="242" spans="1:36" s="54" customFormat="1" ht="47.25">
      <c r="A242" s="561"/>
      <c r="C242" s="50"/>
      <c r="D242" s="343"/>
      <c r="E242" s="264"/>
      <c r="F242" s="344"/>
      <c r="G242" s="345"/>
      <c r="H242" s="381" t="s">
        <v>2701</v>
      </c>
      <c r="I242" s="1444">
        <v>42654</v>
      </c>
      <c r="J242" s="276" t="s">
        <v>2589</v>
      </c>
      <c r="K242" s="171" t="s">
        <v>2842</v>
      </c>
      <c r="L242" s="1486" t="s">
        <v>722</v>
      </c>
      <c r="M242" s="347" t="s">
        <v>2590</v>
      </c>
      <c r="N242" s="344">
        <v>271502000</v>
      </c>
      <c r="O242" s="344"/>
      <c r="P242" s="344">
        <f t="shared" si="52"/>
        <v>271502000</v>
      </c>
      <c r="Q242" s="344"/>
      <c r="R242" s="344"/>
      <c r="S242" s="344"/>
      <c r="T242" s="344"/>
      <c r="U242" s="344"/>
      <c r="V242" s="344">
        <f t="shared" si="56"/>
        <v>271502000</v>
      </c>
      <c r="W242" s="349" t="s">
        <v>3582</v>
      </c>
      <c r="X242" s="350">
        <v>42731</v>
      </c>
      <c r="Y242" s="350">
        <v>42734</v>
      </c>
      <c r="Z242" s="1421">
        <f t="shared" ref="Z242:Z248" si="57">V242</f>
        <v>271502000</v>
      </c>
      <c r="AA242" s="1627">
        <v>1</v>
      </c>
      <c r="AB242" s="366">
        <f t="shared" si="55"/>
        <v>-271502000</v>
      </c>
      <c r="AC242" s="352"/>
    </row>
    <row r="243" spans="1:36" s="54" customFormat="1" ht="47.25">
      <c r="A243" s="561"/>
      <c r="C243" s="50"/>
      <c r="D243" s="343"/>
      <c r="E243" s="264"/>
      <c r="F243" s="344"/>
      <c r="G243" s="345"/>
      <c r="H243" s="381" t="s">
        <v>2699</v>
      </c>
      <c r="I243" s="1444">
        <v>42650</v>
      </c>
      <c r="J243" s="276" t="s">
        <v>2591</v>
      </c>
      <c r="K243" s="171" t="s">
        <v>2828</v>
      </c>
      <c r="L243" s="1484" t="s">
        <v>1906</v>
      </c>
      <c r="M243" s="347" t="s">
        <v>2592</v>
      </c>
      <c r="N243" s="344">
        <v>73887000</v>
      </c>
      <c r="O243" s="344"/>
      <c r="P243" s="344">
        <f t="shared" si="52"/>
        <v>73887000</v>
      </c>
      <c r="Q243" s="344"/>
      <c r="R243" s="344"/>
      <c r="S243" s="344"/>
      <c r="T243" s="344"/>
      <c r="U243" s="344"/>
      <c r="V243" s="344">
        <f t="shared" si="56"/>
        <v>73887000</v>
      </c>
      <c r="W243" s="326" t="s">
        <v>3446</v>
      </c>
      <c r="X243" s="327">
        <v>42718</v>
      </c>
      <c r="Y243" s="327">
        <v>42720</v>
      </c>
      <c r="Z243" s="1421">
        <f t="shared" si="57"/>
        <v>73887000</v>
      </c>
      <c r="AA243" s="1627">
        <v>1</v>
      </c>
      <c r="AB243" s="366">
        <f t="shared" si="55"/>
        <v>-73887000</v>
      </c>
      <c r="AC243" s="352"/>
    </row>
    <row r="244" spans="1:36" s="54" customFormat="1" ht="31.5">
      <c r="A244" s="561"/>
      <c r="C244" s="50"/>
      <c r="D244" s="343"/>
      <c r="E244" s="264"/>
      <c r="F244" s="344"/>
      <c r="G244" s="345"/>
      <c r="H244" s="1125"/>
      <c r="I244" s="1444"/>
      <c r="J244" s="276" t="s">
        <v>3118</v>
      </c>
      <c r="K244" s="1661" t="s">
        <v>3372</v>
      </c>
      <c r="L244" s="1698" t="s">
        <v>383</v>
      </c>
      <c r="M244" s="347" t="s">
        <v>2901</v>
      </c>
      <c r="N244" s="344">
        <v>6930000</v>
      </c>
      <c r="O244" s="344"/>
      <c r="P244" s="344">
        <f t="shared" si="52"/>
        <v>6930000</v>
      </c>
      <c r="Q244" s="344"/>
      <c r="R244" s="344"/>
      <c r="S244" s="344"/>
      <c r="T244" s="344"/>
      <c r="U244" s="344"/>
      <c r="V244" s="344">
        <f t="shared" si="56"/>
        <v>6930000</v>
      </c>
      <c r="W244" s="349" t="s">
        <v>3369</v>
      </c>
      <c r="X244" s="350">
        <v>42704</v>
      </c>
      <c r="Y244" s="350">
        <v>42710</v>
      </c>
      <c r="Z244" s="264">
        <f t="shared" si="57"/>
        <v>6930000</v>
      </c>
      <c r="AA244" s="351">
        <v>1</v>
      </c>
      <c r="AB244" s="366">
        <f t="shared" si="55"/>
        <v>-6930000</v>
      </c>
      <c r="AC244" s="352"/>
    </row>
    <row r="245" spans="1:36" s="54" customFormat="1" ht="31.5">
      <c r="A245" s="561"/>
      <c r="C245" s="50"/>
      <c r="D245" s="343"/>
      <c r="E245" s="264"/>
      <c r="F245" s="344"/>
      <c r="G245" s="345"/>
      <c r="H245" s="1125"/>
      <c r="I245" s="1444"/>
      <c r="J245" s="276" t="s">
        <v>3141</v>
      </c>
      <c r="K245" s="1661" t="s">
        <v>3167</v>
      </c>
      <c r="L245" s="1664" t="s">
        <v>3416</v>
      </c>
      <c r="M245" s="347" t="s">
        <v>3143</v>
      </c>
      <c r="N245" s="344"/>
      <c r="O245" s="344">
        <v>9922000</v>
      </c>
      <c r="P245" s="344">
        <f t="shared" si="52"/>
        <v>9922000</v>
      </c>
      <c r="Q245" s="344"/>
      <c r="R245" s="344"/>
      <c r="S245" s="344"/>
      <c r="T245" s="344"/>
      <c r="U245" s="344"/>
      <c r="V245" s="344">
        <f t="shared" si="56"/>
        <v>9922000</v>
      </c>
      <c r="W245" s="349" t="s">
        <v>3402</v>
      </c>
      <c r="X245" s="350">
        <v>42713</v>
      </c>
      <c r="Y245" s="350">
        <v>42718</v>
      </c>
      <c r="Z245" s="264">
        <f t="shared" si="57"/>
        <v>9922000</v>
      </c>
      <c r="AA245" s="351">
        <v>1</v>
      </c>
      <c r="AB245" s="366">
        <f t="shared" si="55"/>
        <v>-9922000</v>
      </c>
      <c r="AC245" s="352"/>
    </row>
    <row r="246" spans="1:36" s="54" customFormat="1" ht="31.5">
      <c r="A246" s="561"/>
      <c r="C246" s="50"/>
      <c r="D246" s="343"/>
      <c r="E246" s="264"/>
      <c r="F246" s="344"/>
      <c r="G246" s="345"/>
      <c r="H246" s="1125"/>
      <c r="I246" s="1444"/>
      <c r="J246" s="276" t="s">
        <v>3142</v>
      </c>
      <c r="K246" s="1661" t="s">
        <v>3113</v>
      </c>
      <c r="L246" s="1664" t="s">
        <v>3416</v>
      </c>
      <c r="M246" s="347" t="s">
        <v>3144</v>
      </c>
      <c r="N246" s="344"/>
      <c r="O246" s="344">
        <v>9922000</v>
      </c>
      <c r="P246" s="344">
        <f t="shared" si="52"/>
        <v>9922000</v>
      </c>
      <c r="Q246" s="344"/>
      <c r="R246" s="344"/>
      <c r="S246" s="344"/>
      <c r="T246" s="344"/>
      <c r="U246" s="344"/>
      <c r="V246" s="344">
        <f t="shared" si="56"/>
        <v>9922000</v>
      </c>
      <c r="W246" s="349" t="s">
        <v>3402</v>
      </c>
      <c r="X246" s="350">
        <v>42713</v>
      </c>
      <c r="Y246" s="350">
        <v>42718</v>
      </c>
      <c r="Z246" s="264">
        <f t="shared" si="57"/>
        <v>9922000</v>
      </c>
      <c r="AA246" s="351">
        <v>1</v>
      </c>
      <c r="AB246" s="366">
        <f t="shared" si="55"/>
        <v>-9922000</v>
      </c>
      <c r="AC246" s="352"/>
    </row>
    <row r="247" spans="1:36" s="54" customFormat="1" ht="31.5">
      <c r="A247" s="561"/>
      <c r="C247" s="50"/>
      <c r="D247" s="343"/>
      <c r="E247" s="264"/>
      <c r="F247" s="344"/>
      <c r="G247" s="345"/>
      <c r="H247" s="1125"/>
      <c r="I247" s="1444"/>
      <c r="J247" s="276" t="s">
        <v>3218</v>
      </c>
      <c r="K247" s="1661" t="s">
        <v>3114</v>
      </c>
      <c r="L247" s="1726" t="s">
        <v>3416</v>
      </c>
      <c r="M247" s="347" t="s">
        <v>3219</v>
      </c>
      <c r="N247" s="344"/>
      <c r="O247" s="344">
        <v>9922000</v>
      </c>
      <c r="P247" s="344">
        <f>N247+O247</f>
        <v>9922000</v>
      </c>
      <c r="Q247" s="344"/>
      <c r="R247" s="344"/>
      <c r="S247" s="344"/>
      <c r="T247" s="344"/>
      <c r="U247" s="344"/>
      <c r="V247" s="344">
        <f>P247</f>
        <v>9922000</v>
      </c>
      <c r="W247" s="349" t="s">
        <v>3528</v>
      </c>
      <c r="X247" s="350">
        <v>42719</v>
      </c>
      <c r="Y247" s="350">
        <v>42725</v>
      </c>
      <c r="Z247" s="264">
        <f t="shared" si="57"/>
        <v>9922000</v>
      </c>
      <c r="AA247" s="351">
        <v>1</v>
      </c>
      <c r="AB247" s="366">
        <f t="shared" si="55"/>
        <v>-9922000</v>
      </c>
      <c r="AC247" s="352"/>
    </row>
    <row r="248" spans="1:36" s="54" customFormat="1" ht="47.25">
      <c r="A248" s="561"/>
      <c r="C248" s="50"/>
      <c r="D248" s="343"/>
      <c r="E248" s="264"/>
      <c r="F248" s="344"/>
      <c r="G248" s="345"/>
      <c r="H248" s="381" t="s">
        <v>3304</v>
      </c>
      <c r="I248" s="1444">
        <v>42717</v>
      </c>
      <c r="J248" s="276" t="s">
        <v>3301</v>
      </c>
      <c r="K248" s="256" t="s">
        <v>3581</v>
      </c>
      <c r="L248" s="1726" t="s">
        <v>387</v>
      </c>
      <c r="M248" s="347" t="s">
        <v>3303</v>
      </c>
      <c r="N248" s="344"/>
      <c r="O248" s="344">
        <v>22333212</v>
      </c>
      <c r="P248" s="344">
        <f>N248+O248</f>
        <v>22333212</v>
      </c>
      <c r="Q248" s="344"/>
      <c r="R248" s="344"/>
      <c r="S248" s="344"/>
      <c r="T248" s="344"/>
      <c r="U248" s="344"/>
      <c r="V248" s="348">
        <f>P248</f>
        <v>22333212</v>
      </c>
      <c r="W248" s="349" t="s">
        <v>3546</v>
      </c>
      <c r="X248" s="350">
        <v>42728</v>
      </c>
      <c r="Y248" s="350">
        <v>42732</v>
      </c>
      <c r="Z248" s="264">
        <f t="shared" si="57"/>
        <v>22333212</v>
      </c>
      <c r="AA248" s="351">
        <v>1</v>
      </c>
      <c r="AB248" s="366">
        <f t="shared" si="55"/>
        <v>-22333212</v>
      </c>
      <c r="AC248" s="352"/>
    </row>
    <row r="249" spans="1:36" s="54" customFormat="1">
      <c r="A249" s="561"/>
      <c r="C249" s="50"/>
      <c r="D249" s="343"/>
      <c r="E249" s="264"/>
      <c r="F249" s="344"/>
      <c r="G249" s="345"/>
      <c r="H249" s="1125"/>
      <c r="I249" s="1444"/>
      <c r="J249" s="1699"/>
      <c r="K249" s="256"/>
      <c r="L249" s="1700"/>
      <c r="M249" s="347"/>
      <c r="N249" s="344"/>
      <c r="O249" s="344"/>
      <c r="P249" s="344"/>
      <c r="Q249" s="344"/>
      <c r="R249" s="344"/>
      <c r="S249" s="344"/>
      <c r="T249" s="344"/>
      <c r="U249" s="344"/>
      <c r="V249" s="348"/>
      <c r="W249" s="349"/>
      <c r="X249" s="350"/>
      <c r="Y249" s="350"/>
      <c r="Z249" s="264"/>
      <c r="AA249" s="351"/>
      <c r="AB249" s="366"/>
      <c r="AC249" s="352"/>
    </row>
    <row r="250" spans="1:36" s="772" customFormat="1">
      <c r="A250" s="843"/>
      <c r="C250" s="773" t="str">
        <f>C228</f>
        <v>PRK.2016.WKT-4.3.53212.257</v>
      </c>
      <c r="D250" s="1117"/>
      <c r="E250" s="844"/>
      <c r="F250" s="1085"/>
      <c r="G250" s="850">
        <f>G228</f>
        <v>2815314670</v>
      </c>
      <c r="H250" s="844"/>
      <c r="I250" s="844"/>
      <c r="J250" s="1086"/>
      <c r="K250" s="1087"/>
      <c r="L250" s="1088"/>
      <c r="M250" s="1089"/>
      <c r="N250" s="844">
        <f>SUM(N228:N248)</f>
        <v>1840411207</v>
      </c>
      <c r="O250" s="844">
        <f t="shared" ref="O250:V250" si="58">SUM(O228:O248)</f>
        <v>967064308</v>
      </c>
      <c r="P250" s="844">
        <f t="shared" si="58"/>
        <v>2807475515</v>
      </c>
      <c r="Q250" s="844">
        <f t="shared" si="58"/>
        <v>0</v>
      </c>
      <c r="R250" s="844">
        <f t="shared" si="58"/>
        <v>0</v>
      </c>
      <c r="S250" s="844">
        <f t="shared" si="58"/>
        <v>0</v>
      </c>
      <c r="T250" s="844">
        <f t="shared" si="58"/>
        <v>0</v>
      </c>
      <c r="U250" s="844">
        <f t="shared" si="58"/>
        <v>0</v>
      </c>
      <c r="V250" s="844">
        <f t="shared" si="58"/>
        <v>2807475515</v>
      </c>
      <c r="W250" s="845"/>
      <c r="X250" s="846"/>
      <c r="Y250" s="846"/>
      <c r="Z250" s="844">
        <f>SUM(Z228:Z248)</f>
        <v>2654685515</v>
      </c>
      <c r="AA250" s="847"/>
      <c r="AB250" s="844">
        <f>SUM(AB228:AB248)</f>
        <v>7839155</v>
      </c>
      <c r="AC250" s="848"/>
    </row>
    <row r="251" spans="1:36" s="54" customFormat="1" ht="47.25">
      <c r="A251" s="561"/>
      <c r="B251" s="564"/>
      <c r="C251" s="50" t="s">
        <v>1863</v>
      </c>
      <c r="D251" s="343" t="s">
        <v>1865</v>
      </c>
      <c r="E251" s="264"/>
      <c r="F251" s="344">
        <v>979737000</v>
      </c>
      <c r="G251" s="155">
        <f>E251+F251</f>
        <v>979737000</v>
      </c>
      <c r="H251" s="381" t="s">
        <v>2899</v>
      </c>
      <c r="I251" s="73">
        <v>42674</v>
      </c>
      <c r="J251" s="276" t="s">
        <v>2046</v>
      </c>
      <c r="K251" s="256" t="s">
        <v>3539</v>
      </c>
      <c r="L251" s="1726" t="s">
        <v>387</v>
      </c>
      <c r="M251" s="347" t="s">
        <v>2047</v>
      </c>
      <c r="N251" s="344"/>
      <c r="O251" s="344">
        <v>152008065</v>
      </c>
      <c r="P251" s="344">
        <f t="shared" ref="P251:P263" si="59">N251+O251</f>
        <v>152008065</v>
      </c>
      <c r="Q251" s="344"/>
      <c r="R251" s="344"/>
      <c r="S251" s="344"/>
      <c r="T251" s="344"/>
      <c r="U251" s="344"/>
      <c r="V251" s="348">
        <f>P251</f>
        <v>152008065</v>
      </c>
      <c r="W251" s="349" t="s">
        <v>3538</v>
      </c>
      <c r="X251" s="350">
        <v>42719</v>
      </c>
      <c r="Y251" s="350">
        <v>42724</v>
      </c>
      <c r="Z251" s="110">
        <f>V251</f>
        <v>152008065</v>
      </c>
      <c r="AA251" s="1324">
        <v>1</v>
      </c>
      <c r="AB251" s="433">
        <f t="shared" ref="AB251:AB269" si="60">+G251-P251</f>
        <v>827728935</v>
      </c>
      <c r="AC251" s="352"/>
      <c r="AD251" s="38"/>
      <c r="AE251" s="38"/>
      <c r="AF251" s="38"/>
      <c r="AG251" s="38"/>
      <c r="AH251" s="967">
        <f>V251</f>
        <v>152008065</v>
      </c>
      <c r="AI251" s="38"/>
      <c r="AJ251" s="38"/>
    </row>
    <row r="252" spans="1:36" s="54" customFormat="1" ht="47.25">
      <c r="A252" s="561"/>
      <c r="B252" s="564"/>
      <c r="C252" s="50"/>
      <c r="D252" s="343"/>
      <c r="E252" s="264"/>
      <c r="F252" s="344"/>
      <c r="G252" s="345"/>
      <c r="H252" s="381" t="s">
        <v>2957</v>
      </c>
      <c r="I252" s="73">
        <v>42674</v>
      </c>
      <c r="J252" s="276" t="s">
        <v>2048</v>
      </c>
      <c r="K252" s="171" t="s">
        <v>2531</v>
      </c>
      <c r="L252" s="346" t="s">
        <v>387</v>
      </c>
      <c r="M252" s="347" t="s">
        <v>2049</v>
      </c>
      <c r="N252" s="344"/>
      <c r="O252" s="344">
        <v>281385443</v>
      </c>
      <c r="P252" s="344">
        <f t="shared" si="59"/>
        <v>281385443</v>
      </c>
      <c r="Q252" s="344"/>
      <c r="R252" s="344"/>
      <c r="S252" s="344"/>
      <c r="T252" s="344"/>
      <c r="U252" s="344"/>
      <c r="V252" s="348">
        <f>P252</f>
        <v>281385443</v>
      </c>
      <c r="W252" s="349" t="s">
        <v>3538</v>
      </c>
      <c r="X252" s="350">
        <v>42719</v>
      </c>
      <c r="Y252" s="350">
        <v>42724</v>
      </c>
      <c r="Z252" s="110">
        <f>V252</f>
        <v>281385443</v>
      </c>
      <c r="AA252" s="1324">
        <v>1</v>
      </c>
      <c r="AB252" s="433">
        <f t="shared" si="60"/>
        <v>-281385443</v>
      </c>
      <c r="AC252" s="352"/>
      <c r="AD252" s="38"/>
      <c r="AE252" s="38"/>
      <c r="AF252" s="38"/>
      <c r="AG252" s="967">
        <f>V252</f>
        <v>281385443</v>
      </c>
      <c r="AH252" s="38"/>
      <c r="AI252" s="38"/>
      <c r="AJ252" s="38"/>
    </row>
    <row r="253" spans="1:36" s="54" customFormat="1" ht="47.25">
      <c r="A253" s="561"/>
      <c r="B253" s="564"/>
      <c r="C253" s="50"/>
      <c r="D253" s="343"/>
      <c r="E253" s="264"/>
      <c r="F253" s="344"/>
      <c r="G253" s="345"/>
      <c r="H253" s="381" t="s">
        <v>2423</v>
      </c>
      <c r="I253" s="1116">
        <v>42612</v>
      </c>
      <c r="J253" s="276" t="s">
        <v>2050</v>
      </c>
      <c r="K253" s="77" t="s">
        <v>2497</v>
      </c>
      <c r="L253" s="346" t="s">
        <v>396</v>
      </c>
      <c r="M253" s="347" t="s">
        <v>2051</v>
      </c>
      <c r="N253" s="344"/>
      <c r="O253" s="344">
        <v>22915750</v>
      </c>
      <c r="P253" s="344">
        <f t="shared" si="59"/>
        <v>22915750</v>
      </c>
      <c r="Q253" s="344"/>
      <c r="R253" s="344"/>
      <c r="S253" s="344"/>
      <c r="T253" s="344"/>
      <c r="U253" s="344"/>
      <c r="V253" s="348">
        <f>P253</f>
        <v>22915750</v>
      </c>
      <c r="W253" s="374" t="s">
        <v>3063</v>
      </c>
      <c r="X253" s="375">
        <v>42682</v>
      </c>
      <c r="Y253" s="375">
        <v>42685</v>
      </c>
      <c r="Z253" s="110">
        <f>V253</f>
        <v>22915750</v>
      </c>
      <c r="AA253" s="1324">
        <v>1</v>
      </c>
      <c r="AB253" s="433">
        <f t="shared" si="60"/>
        <v>-22915750</v>
      </c>
      <c r="AC253" s="352"/>
      <c r="AD253" s="38"/>
      <c r="AE253" s="38"/>
      <c r="AF253" s="38"/>
      <c r="AG253" s="967">
        <f>V253</f>
        <v>22915750</v>
      </c>
      <c r="AH253" s="38"/>
      <c r="AI253" s="38"/>
      <c r="AJ253" s="38"/>
    </row>
    <row r="254" spans="1:36" s="54" customFormat="1" ht="31.5">
      <c r="A254" s="561"/>
      <c r="B254" s="564"/>
      <c r="C254" s="50"/>
      <c r="D254" s="343"/>
      <c r="E254" s="264"/>
      <c r="F254" s="344"/>
      <c r="G254" s="345"/>
      <c r="H254" s="264"/>
      <c r="I254" s="264"/>
      <c r="J254" s="1719" t="s">
        <v>2052</v>
      </c>
      <c r="K254" s="1720" t="s">
        <v>2396</v>
      </c>
      <c r="L254" s="1721"/>
      <c r="M254" s="1722" t="s">
        <v>2053</v>
      </c>
      <c r="N254" s="344"/>
      <c r="O254" s="344">
        <v>0</v>
      </c>
      <c r="P254" s="344">
        <f t="shared" si="59"/>
        <v>0</v>
      </c>
      <c r="Q254" s="344"/>
      <c r="R254" s="344"/>
      <c r="S254" s="344"/>
      <c r="T254" s="344"/>
      <c r="U254" s="344"/>
      <c r="V254" s="348"/>
      <c r="W254" s="349"/>
      <c r="X254" s="350"/>
      <c r="Y254" s="350"/>
      <c r="Z254" s="264"/>
      <c r="AA254" s="351"/>
      <c r="AB254" s="433">
        <f t="shared" si="60"/>
        <v>0</v>
      </c>
      <c r="AC254" s="352"/>
      <c r="AD254" s="38"/>
      <c r="AE254" s="38"/>
      <c r="AF254" s="38"/>
      <c r="AG254" s="38"/>
      <c r="AH254" s="967">
        <f>P254</f>
        <v>0</v>
      </c>
      <c r="AI254" s="38"/>
      <c r="AJ254" s="38"/>
    </row>
    <row r="255" spans="1:36" s="54" customFormat="1" ht="31.5">
      <c r="A255" s="561"/>
      <c r="B255" s="564"/>
      <c r="C255" s="50"/>
      <c r="D255" s="343"/>
      <c r="E255" s="264"/>
      <c r="F255" s="344"/>
      <c r="G255" s="345"/>
      <c r="H255" s="264"/>
      <c r="I255" s="264"/>
      <c r="J255" s="276" t="s">
        <v>2240</v>
      </c>
      <c r="K255" s="256" t="s">
        <v>2642</v>
      </c>
      <c r="L255" s="346" t="s">
        <v>387</v>
      </c>
      <c r="M255" s="347" t="s">
        <v>2241</v>
      </c>
      <c r="N255" s="344"/>
      <c r="O255" s="344">
        <v>9491460</v>
      </c>
      <c r="P255" s="344">
        <f t="shared" si="59"/>
        <v>9491460</v>
      </c>
      <c r="Q255" s="344"/>
      <c r="R255" s="344"/>
      <c r="S255" s="344"/>
      <c r="T255" s="344"/>
      <c r="U255" s="344"/>
      <c r="V255" s="348">
        <f>P255</f>
        <v>9491460</v>
      </c>
      <c r="W255" s="349" t="s">
        <v>2643</v>
      </c>
      <c r="X255" s="350">
        <v>42642</v>
      </c>
      <c r="Y255" s="350">
        <v>42648</v>
      </c>
      <c r="Z255" s="264">
        <f t="shared" ref="Z255:Z260" si="61">V255</f>
        <v>9491460</v>
      </c>
      <c r="AA255" s="351">
        <v>1</v>
      </c>
      <c r="AB255" s="433">
        <f t="shared" si="60"/>
        <v>-9491460</v>
      </c>
      <c r="AC255" s="352"/>
      <c r="AD255" s="38"/>
      <c r="AE255" s="38"/>
      <c r="AF255" s="38"/>
      <c r="AG255" s="967"/>
      <c r="AH255" s="967">
        <f>V255</f>
        <v>9491460</v>
      </c>
      <c r="AI255" s="38"/>
      <c r="AJ255" s="38"/>
    </row>
    <row r="256" spans="1:36" s="54" customFormat="1" ht="47.25">
      <c r="A256" s="561"/>
      <c r="B256" s="564"/>
      <c r="C256" s="50"/>
      <c r="D256" s="343"/>
      <c r="E256" s="264"/>
      <c r="F256" s="344"/>
      <c r="G256" s="345"/>
      <c r="H256" s="381" t="s">
        <v>2323</v>
      </c>
      <c r="I256" s="1116">
        <v>42626</v>
      </c>
      <c r="J256" s="276" t="s">
        <v>2303</v>
      </c>
      <c r="K256" s="77" t="s">
        <v>2821</v>
      </c>
      <c r="L256" s="1475" t="s">
        <v>387</v>
      </c>
      <c r="M256" s="347" t="s">
        <v>2302</v>
      </c>
      <c r="N256" s="344"/>
      <c r="O256" s="344">
        <v>98068850</v>
      </c>
      <c r="P256" s="344">
        <f t="shared" si="59"/>
        <v>98068850</v>
      </c>
      <c r="Q256" s="344"/>
      <c r="R256" s="344"/>
      <c r="S256" s="344"/>
      <c r="T256" s="344"/>
      <c r="U256" s="344"/>
      <c r="V256" s="348">
        <f>P256</f>
        <v>98068850</v>
      </c>
      <c r="W256" s="349" t="s">
        <v>3175</v>
      </c>
      <c r="X256" s="350">
        <v>42691</v>
      </c>
      <c r="Y256" s="350">
        <v>42697</v>
      </c>
      <c r="Z256" s="264">
        <f t="shared" si="61"/>
        <v>98068850</v>
      </c>
      <c r="AA256" s="351">
        <v>1</v>
      </c>
      <c r="AB256" s="433">
        <f t="shared" si="60"/>
        <v>-98068850</v>
      </c>
      <c r="AC256" s="352"/>
      <c r="AD256" s="38"/>
      <c r="AE256" s="38"/>
      <c r="AF256" s="38"/>
      <c r="AG256" s="38"/>
      <c r="AH256" s="967">
        <f>P256</f>
        <v>98068850</v>
      </c>
      <c r="AI256" s="38"/>
      <c r="AJ256" s="38"/>
    </row>
    <row r="257" spans="1:36" s="54" customFormat="1" ht="31.5">
      <c r="A257" s="561"/>
      <c r="B257" s="564"/>
      <c r="C257" s="50"/>
      <c r="D257" s="343"/>
      <c r="E257" s="264"/>
      <c r="F257" s="344"/>
      <c r="G257" s="345"/>
      <c r="H257" s="1125"/>
      <c r="I257" s="1116"/>
      <c r="J257" s="276" t="s">
        <v>2445</v>
      </c>
      <c r="K257" s="256" t="s">
        <v>2785</v>
      </c>
      <c r="L257" s="1467" t="s">
        <v>387</v>
      </c>
      <c r="M257" s="347" t="s">
        <v>2447</v>
      </c>
      <c r="N257" s="344"/>
      <c r="O257" s="344">
        <v>9718500</v>
      </c>
      <c r="P257" s="344">
        <f t="shared" si="59"/>
        <v>9718500</v>
      </c>
      <c r="Q257" s="344"/>
      <c r="R257" s="344"/>
      <c r="S257" s="344"/>
      <c r="T257" s="344"/>
      <c r="U257" s="344"/>
      <c r="V257" s="348">
        <f>P257</f>
        <v>9718500</v>
      </c>
      <c r="W257" s="349" t="s">
        <v>2786</v>
      </c>
      <c r="X257" s="350">
        <v>42653</v>
      </c>
      <c r="Y257" s="350">
        <v>42656</v>
      </c>
      <c r="Z257" s="264">
        <f t="shared" si="61"/>
        <v>9718500</v>
      </c>
      <c r="AA257" s="351">
        <v>1</v>
      </c>
      <c r="AB257" s="433">
        <f t="shared" si="60"/>
        <v>-9718500</v>
      </c>
      <c r="AC257" s="352"/>
      <c r="AD257" s="38"/>
      <c r="AE257" s="38"/>
      <c r="AF257" s="38"/>
      <c r="AG257" s="967">
        <f>V257</f>
        <v>9718500</v>
      </c>
      <c r="AH257" s="38"/>
      <c r="AI257" s="38"/>
      <c r="AJ257" s="38"/>
    </row>
    <row r="258" spans="1:36" s="54" customFormat="1" ht="31.5">
      <c r="A258" s="561"/>
      <c r="B258" s="564"/>
      <c r="C258" s="50"/>
      <c r="D258" s="343"/>
      <c r="E258" s="264"/>
      <c r="F258" s="344"/>
      <c r="G258" s="345"/>
      <c r="H258" s="1125"/>
      <c r="I258" s="1116"/>
      <c r="J258" s="276" t="s">
        <v>2446</v>
      </c>
      <c r="K258" s="256" t="s">
        <v>2791</v>
      </c>
      <c r="L258" s="1467" t="s">
        <v>387</v>
      </c>
      <c r="M258" s="347" t="s">
        <v>2448</v>
      </c>
      <c r="N258" s="344"/>
      <c r="O258" s="344">
        <v>8580000</v>
      </c>
      <c r="P258" s="344">
        <f t="shared" si="59"/>
        <v>8580000</v>
      </c>
      <c r="Q258" s="344"/>
      <c r="R258" s="344"/>
      <c r="S258" s="344"/>
      <c r="T258" s="344"/>
      <c r="U258" s="344"/>
      <c r="V258" s="348">
        <f>P258</f>
        <v>8580000</v>
      </c>
      <c r="W258" s="349" t="s">
        <v>2786</v>
      </c>
      <c r="X258" s="350">
        <v>42653</v>
      </c>
      <c r="Y258" s="350">
        <v>42656</v>
      </c>
      <c r="Z258" s="264">
        <f t="shared" si="61"/>
        <v>8580000</v>
      </c>
      <c r="AA258" s="351">
        <v>1</v>
      </c>
      <c r="AB258" s="433">
        <f t="shared" si="60"/>
        <v>-8580000</v>
      </c>
      <c r="AC258" s="352"/>
      <c r="AD258" s="38"/>
      <c r="AE258" s="38"/>
      <c r="AF258" s="38"/>
      <c r="AG258" s="967">
        <f>V258</f>
        <v>8580000</v>
      </c>
      <c r="AH258" s="38"/>
      <c r="AI258" s="38"/>
      <c r="AJ258" s="38"/>
    </row>
    <row r="259" spans="1:36" s="54" customFormat="1" ht="31.5">
      <c r="A259" s="561"/>
      <c r="B259" s="564"/>
      <c r="C259" s="50"/>
      <c r="D259" s="343"/>
      <c r="E259" s="264"/>
      <c r="F259" s="344"/>
      <c r="G259" s="345"/>
      <c r="H259" s="1125"/>
      <c r="I259" s="1116"/>
      <c r="J259" s="276" t="s">
        <v>2596</v>
      </c>
      <c r="K259" s="256" t="s">
        <v>3051</v>
      </c>
      <c r="L259" s="346" t="s">
        <v>3039</v>
      </c>
      <c r="M259" s="347" t="s">
        <v>2597</v>
      </c>
      <c r="N259" s="344">
        <v>6658575</v>
      </c>
      <c r="O259" s="344"/>
      <c r="P259" s="344">
        <f t="shared" si="59"/>
        <v>6658575</v>
      </c>
      <c r="Q259" s="344"/>
      <c r="R259" s="344"/>
      <c r="S259" s="344"/>
      <c r="T259" s="344"/>
      <c r="U259" s="344"/>
      <c r="V259" s="348">
        <f>P259</f>
        <v>6658575</v>
      </c>
      <c r="W259" s="349" t="s">
        <v>3052</v>
      </c>
      <c r="X259" s="350">
        <v>42675</v>
      </c>
      <c r="Y259" s="350">
        <v>42682</v>
      </c>
      <c r="Z259" s="264">
        <f t="shared" si="61"/>
        <v>6658575</v>
      </c>
      <c r="AA259" s="351">
        <v>1</v>
      </c>
      <c r="AB259" s="433">
        <f t="shared" si="60"/>
        <v>-6658575</v>
      </c>
      <c r="AC259" s="352"/>
    </row>
    <row r="260" spans="1:36" s="54" customFormat="1" ht="31.5">
      <c r="A260" s="561"/>
      <c r="B260" s="564"/>
      <c r="C260" s="50"/>
      <c r="D260" s="343"/>
      <c r="E260" s="264"/>
      <c r="F260" s="344"/>
      <c r="G260" s="345"/>
      <c r="H260" s="1125"/>
      <c r="I260" s="1116"/>
      <c r="J260" s="276" t="s">
        <v>2598</v>
      </c>
      <c r="K260" s="256" t="s">
        <v>3743</v>
      </c>
      <c r="L260" s="1729" t="s">
        <v>3039</v>
      </c>
      <c r="M260" s="347" t="s">
        <v>2599</v>
      </c>
      <c r="N260" s="344">
        <v>7109400</v>
      </c>
      <c r="O260" s="344"/>
      <c r="P260" s="344">
        <f t="shared" si="59"/>
        <v>7109400</v>
      </c>
      <c r="Q260" s="344"/>
      <c r="R260" s="344"/>
      <c r="S260" s="344"/>
      <c r="T260" s="344"/>
      <c r="U260" s="344"/>
      <c r="V260" s="348">
        <f t="shared" ref="V260:V269" si="62">P260</f>
        <v>7109400</v>
      </c>
      <c r="W260" s="349" t="s">
        <v>3032</v>
      </c>
      <c r="X260" s="350">
        <v>42670</v>
      </c>
      <c r="Y260" s="350">
        <v>42676</v>
      </c>
      <c r="Z260" s="264">
        <f t="shared" si="61"/>
        <v>7109400</v>
      </c>
      <c r="AA260" s="351">
        <v>1</v>
      </c>
      <c r="AB260" s="433">
        <f t="shared" si="60"/>
        <v>-7109400</v>
      </c>
      <c r="AC260" s="352"/>
    </row>
    <row r="261" spans="1:36" s="54" customFormat="1" ht="31.5">
      <c r="A261" s="561"/>
      <c r="B261" s="564"/>
      <c r="C261" s="50"/>
      <c r="D261" s="343"/>
      <c r="E261" s="264"/>
      <c r="F261" s="344"/>
      <c r="G261" s="345"/>
      <c r="H261" s="1125"/>
      <c r="I261" s="1116"/>
      <c r="J261" s="276" t="s">
        <v>2600</v>
      </c>
      <c r="K261" s="256" t="s">
        <v>3054</v>
      </c>
      <c r="L261" s="1563" t="s">
        <v>3039</v>
      </c>
      <c r="M261" s="347" t="s">
        <v>2602</v>
      </c>
      <c r="N261" s="344">
        <v>8292075</v>
      </c>
      <c r="O261" s="344"/>
      <c r="P261" s="344">
        <f t="shared" si="59"/>
        <v>8292075</v>
      </c>
      <c r="Q261" s="344"/>
      <c r="R261" s="344"/>
      <c r="S261" s="344"/>
      <c r="T261" s="344"/>
      <c r="U261" s="344"/>
      <c r="V261" s="348">
        <f t="shared" si="62"/>
        <v>8292075</v>
      </c>
      <c r="W261" s="349" t="s">
        <v>3052</v>
      </c>
      <c r="X261" s="350">
        <v>42675</v>
      </c>
      <c r="Y261" s="350">
        <v>42682</v>
      </c>
      <c r="Z261" s="264">
        <f t="shared" ref="Z261:Z267" si="63">V261</f>
        <v>8292075</v>
      </c>
      <c r="AA261" s="351">
        <v>1</v>
      </c>
      <c r="AB261" s="433">
        <f t="shared" si="60"/>
        <v>-8292075</v>
      </c>
      <c r="AC261" s="352"/>
    </row>
    <row r="262" spans="1:36" s="54" customFormat="1" ht="31.5">
      <c r="A262" s="561"/>
      <c r="B262" s="564"/>
      <c r="C262" s="50"/>
      <c r="D262" s="343"/>
      <c r="E262" s="264"/>
      <c r="F262" s="344"/>
      <c r="G262" s="345"/>
      <c r="H262" s="1125"/>
      <c r="I262" s="1116"/>
      <c r="J262" s="276" t="s">
        <v>2601</v>
      </c>
      <c r="K262" s="256" t="s">
        <v>3053</v>
      </c>
      <c r="L262" s="1563" t="s">
        <v>3039</v>
      </c>
      <c r="M262" s="347" t="s">
        <v>2603</v>
      </c>
      <c r="N262" s="344">
        <v>10000000</v>
      </c>
      <c r="O262" s="344"/>
      <c r="P262" s="344">
        <f t="shared" si="59"/>
        <v>10000000</v>
      </c>
      <c r="Q262" s="344"/>
      <c r="R262" s="344"/>
      <c r="S262" s="344"/>
      <c r="T262" s="344"/>
      <c r="U262" s="344"/>
      <c r="V262" s="348">
        <f t="shared" si="62"/>
        <v>10000000</v>
      </c>
      <c r="W262" s="349" t="s">
        <v>3052</v>
      </c>
      <c r="X262" s="350">
        <v>42675</v>
      </c>
      <c r="Y262" s="350">
        <v>42682</v>
      </c>
      <c r="Z262" s="264">
        <f t="shared" si="63"/>
        <v>10000000</v>
      </c>
      <c r="AA262" s="351">
        <v>1</v>
      </c>
      <c r="AB262" s="433">
        <f t="shared" si="60"/>
        <v>-10000000</v>
      </c>
      <c r="AC262" s="352"/>
    </row>
    <row r="263" spans="1:36" s="54" customFormat="1" ht="31.5">
      <c r="A263" s="561"/>
      <c r="B263" s="564"/>
      <c r="C263" s="50"/>
      <c r="D263" s="343"/>
      <c r="E263" s="264"/>
      <c r="F263" s="344"/>
      <c r="G263" s="345"/>
      <c r="H263" s="1125"/>
      <c r="I263" s="1116"/>
      <c r="J263" s="276" t="s">
        <v>2776</v>
      </c>
      <c r="K263" s="256"/>
      <c r="L263" s="1664" t="s">
        <v>265</v>
      </c>
      <c r="M263" s="347" t="s">
        <v>2777</v>
      </c>
      <c r="N263" s="344"/>
      <c r="O263" s="344">
        <v>9996800</v>
      </c>
      <c r="P263" s="344">
        <f t="shared" si="59"/>
        <v>9996800</v>
      </c>
      <c r="Q263" s="344"/>
      <c r="R263" s="344"/>
      <c r="S263" s="344"/>
      <c r="T263" s="344"/>
      <c r="U263" s="344"/>
      <c r="V263" s="348">
        <f t="shared" si="62"/>
        <v>9996800</v>
      </c>
      <c r="W263" s="349" t="s">
        <v>3168</v>
      </c>
      <c r="X263" s="350">
        <v>42690</v>
      </c>
      <c r="Y263" s="350">
        <v>42697</v>
      </c>
      <c r="Z263" s="264">
        <f t="shared" si="63"/>
        <v>9996800</v>
      </c>
      <c r="AA263" s="351">
        <v>1</v>
      </c>
      <c r="AB263" s="433">
        <f t="shared" si="60"/>
        <v>-9996800</v>
      </c>
      <c r="AC263" s="352"/>
    </row>
    <row r="264" spans="1:36" s="54" customFormat="1" ht="31.5">
      <c r="A264" s="561"/>
      <c r="B264" s="564"/>
      <c r="C264" s="50"/>
      <c r="D264" s="343"/>
      <c r="E264" s="264"/>
      <c r="F264" s="344"/>
      <c r="G264" s="345"/>
      <c r="H264" s="1125"/>
      <c r="I264" s="1116"/>
      <c r="J264" s="276" t="s">
        <v>2778</v>
      </c>
      <c r="K264" s="1653" t="s">
        <v>2785</v>
      </c>
      <c r="L264" s="346" t="s">
        <v>3111</v>
      </c>
      <c r="M264" s="347" t="s">
        <v>2779</v>
      </c>
      <c r="N264" s="344"/>
      <c r="O264" s="344">
        <v>9996800</v>
      </c>
      <c r="P264" s="344">
        <f t="shared" ref="P264:P269" si="64">N264+O264</f>
        <v>9996800</v>
      </c>
      <c r="Q264" s="344"/>
      <c r="R264" s="344"/>
      <c r="S264" s="344"/>
      <c r="T264" s="344"/>
      <c r="U264" s="344"/>
      <c r="V264" s="348">
        <f t="shared" si="62"/>
        <v>9996800</v>
      </c>
      <c r="W264" s="140" t="s">
        <v>3112</v>
      </c>
      <c r="X264" s="141">
        <v>42685</v>
      </c>
      <c r="Y264" s="307">
        <v>42691</v>
      </c>
      <c r="Z264" s="103">
        <f t="shared" si="63"/>
        <v>9996800</v>
      </c>
      <c r="AA264" s="288">
        <v>1</v>
      </c>
      <c r="AB264" s="433">
        <f t="shared" si="60"/>
        <v>-9996800</v>
      </c>
      <c r="AC264" s="352"/>
    </row>
    <row r="265" spans="1:36" s="54" customFormat="1" ht="31.5">
      <c r="A265" s="561"/>
      <c r="B265" s="564"/>
      <c r="C265" s="50"/>
      <c r="D265" s="343"/>
      <c r="E265" s="264"/>
      <c r="F265" s="344"/>
      <c r="G265" s="345"/>
      <c r="H265" s="1125"/>
      <c r="I265" s="1116"/>
      <c r="J265" s="276" t="s">
        <v>2783</v>
      </c>
      <c r="K265" s="1674" t="s">
        <v>2790</v>
      </c>
      <c r="L265" s="1674" t="s">
        <v>3204</v>
      </c>
      <c r="M265" s="347" t="s">
        <v>2784</v>
      </c>
      <c r="N265" s="344"/>
      <c r="O265" s="344">
        <v>9790000</v>
      </c>
      <c r="P265" s="344">
        <f t="shared" si="64"/>
        <v>9790000</v>
      </c>
      <c r="Q265" s="344"/>
      <c r="R265" s="344"/>
      <c r="S265" s="344"/>
      <c r="T265" s="344"/>
      <c r="U265" s="344"/>
      <c r="V265" s="348">
        <f t="shared" si="62"/>
        <v>9790000</v>
      </c>
      <c r="W265" s="349" t="s">
        <v>3203</v>
      </c>
      <c r="X265" s="350">
        <v>42698</v>
      </c>
      <c r="Y265" s="350">
        <v>42704</v>
      </c>
      <c r="Z265" s="103">
        <f t="shared" si="63"/>
        <v>9790000</v>
      </c>
      <c r="AA265" s="288">
        <v>1</v>
      </c>
      <c r="AB265" s="433">
        <f t="shared" si="60"/>
        <v>-9790000</v>
      </c>
      <c r="AC265" s="352"/>
    </row>
    <row r="266" spans="1:36" s="54" customFormat="1" ht="47.25">
      <c r="A266" s="561"/>
      <c r="B266" s="564"/>
      <c r="C266" s="50"/>
      <c r="D266" s="343"/>
      <c r="E266" s="264"/>
      <c r="F266" s="344"/>
      <c r="G266" s="345"/>
      <c r="H266" s="381" t="s">
        <v>3027</v>
      </c>
      <c r="I266" s="1116">
        <v>42689</v>
      </c>
      <c r="J266" s="276" t="s">
        <v>2994</v>
      </c>
      <c r="K266" s="256" t="s">
        <v>3576</v>
      </c>
      <c r="L266" s="1726" t="s">
        <v>2161</v>
      </c>
      <c r="M266" s="347" t="s">
        <v>2995</v>
      </c>
      <c r="N266" s="344"/>
      <c r="O266" s="344">
        <v>73049900</v>
      </c>
      <c r="P266" s="344">
        <f t="shared" si="64"/>
        <v>73049900</v>
      </c>
      <c r="Q266" s="344"/>
      <c r="R266" s="344"/>
      <c r="S266" s="344"/>
      <c r="T266" s="344"/>
      <c r="U266" s="344"/>
      <c r="V266" s="348">
        <f t="shared" si="62"/>
        <v>73049900</v>
      </c>
      <c r="W266" s="349" t="s">
        <v>3555</v>
      </c>
      <c r="X266" s="350">
        <v>42724</v>
      </c>
      <c r="Y266" s="350">
        <v>42731</v>
      </c>
      <c r="Z266" s="103">
        <f t="shared" si="63"/>
        <v>73049900</v>
      </c>
      <c r="AA266" s="288">
        <v>1</v>
      </c>
      <c r="AB266" s="433">
        <f t="shared" si="60"/>
        <v>-73049900</v>
      </c>
      <c r="AC266" s="352"/>
    </row>
    <row r="267" spans="1:36" s="54" customFormat="1" ht="47.25">
      <c r="A267" s="561"/>
      <c r="B267" s="564"/>
      <c r="C267" s="50"/>
      <c r="D267" s="343"/>
      <c r="E267" s="264"/>
      <c r="F267" s="344"/>
      <c r="G267" s="345"/>
      <c r="H267" s="381" t="s">
        <v>3028</v>
      </c>
      <c r="I267" s="1116">
        <v>42689</v>
      </c>
      <c r="J267" s="276" t="s">
        <v>2996</v>
      </c>
      <c r="K267" s="256" t="s">
        <v>3577</v>
      </c>
      <c r="L267" s="1726" t="s">
        <v>2161</v>
      </c>
      <c r="M267" s="347" t="s">
        <v>2997</v>
      </c>
      <c r="N267" s="344"/>
      <c r="O267" s="344">
        <v>44770000</v>
      </c>
      <c r="P267" s="344">
        <f t="shared" si="64"/>
        <v>44770000</v>
      </c>
      <c r="Q267" s="344"/>
      <c r="R267" s="344"/>
      <c r="S267" s="344"/>
      <c r="T267" s="344"/>
      <c r="U267" s="344"/>
      <c r="V267" s="348">
        <f t="shared" si="62"/>
        <v>44770000</v>
      </c>
      <c r="W267" s="349" t="s">
        <v>3555</v>
      </c>
      <c r="X267" s="350">
        <v>42724</v>
      </c>
      <c r="Y267" s="350">
        <v>42731</v>
      </c>
      <c r="Z267" s="103">
        <f t="shared" si="63"/>
        <v>44770000</v>
      </c>
      <c r="AA267" s="288">
        <v>1</v>
      </c>
      <c r="AB267" s="433">
        <f t="shared" si="60"/>
        <v>-44770000</v>
      </c>
      <c r="AC267" s="352"/>
    </row>
    <row r="268" spans="1:36" s="54" customFormat="1" ht="47.25">
      <c r="A268" s="561"/>
      <c r="B268" s="564"/>
      <c r="C268" s="50"/>
      <c r="D268" s="343"/>
      <c r="E268" s="264"/>
      <c r="F268" s="344"/>
      <c r="G268" s="345"/>
      <c r="H268" s="381" t="s">
        <v>3278</v>
      </c>
      <c r="I268" s="1116">
        <v>42709</v>
      </c>
      <c r="J268" s="1690" t="s">
        <v>3240</v>
      </c>
      <c r="K268" s="256" t="s">
        <v>3648</v>
      </c>
      <c r="L268" s="1729" t="s">
        <v>1749</v>
      </c>
      <c r="M268" s="347" t="s">
        <v>3241</v>
      </c>
      <c r="N268" s="344">
        <v>28688000</v>
      </c>
      <c r="O268" s="344"/>
      <c r="P268" s="344">
        <f t="shared" si="64"/>
        <v>28688000</v>
      </c>
      <c r="Q268" s="344"/>
      <c r="R268" s="344"/>
      <c r="S268" s="344"/>
      <c r="T268" s="344"/>
      <c r="U268" s="344"/>
      <c r="V268" s="348">
        <f t="shared" si="62"/>
        <v>28688000</v>
      </c>
      <c r="W268" s="349" t="s">
        <v>3649</v>
      </c>
      <c r="X268" s="350">
        <v>42728</v>
      </c>
      <c r="Y268" s="350">
        <v>42732</v>
      </c>
      <c r="Z268" s="103">
        <f>V268</f>
        <v>28688000</v>
      </c>
      <c r="AA268" s="288">
        <v>1</v>
      </c>
      <c r="AB268" s="433">
        <f t="shared" si="60"/>
        <v>-28688000</v>
      </c>
      <c r="AC268" s="352"/>
    </row>
    <row r="269" spans="1:36" s="54" customFormat="1" ht="47.25">
      <c r="A269" s="561"/>
      <c r="B269" s="564"/>
      <c r="C269" s="50"/>
      <c r="D269" s="343"/>
      <c r="E269" s="264"/>
      <c r="F269" s="344"/>
      <c r="G269" s="345"/>
      <c r="H269" s="381" t="s">
        <v>3306</v>
      </c>
      <c r="I269" s="1444">
        <v>42717</v>
      </c>
      <c r="J269" s="1695" t="s">
        <v>3305</v>
      </c>
      <c r="K269" s="256" t="s">
        <v>3578</v>
      </c>
      <c r="L269" s="1726" t="s">
        <v>387</v>
      </c>
      <c r="M269" s="347" t="s">
        <v>3302</v>
      </c>
      <c r="N269" s="344">
        <v>74854593</v>
      </c>
      <c r="O269" s="344"/>
      <c r="P269" s="344">
        <f t="shared" si="64"/>
        <v>74854593</v>
      </c>
      <c r="Q269" s="344"/>
      <c r="R269" s="344"/>
      <c r="S269" s="344"/>
      <c r="T269" s="344"/>
      <c r="U269" s="344"/>
      <c r="V269" s="348">
        <f t="shared" si="62"/>
        <v>74854593</v>
      </c>
      <c r="W269" s="349" t="s">
        <v>586</v>
      </c>
      <c r="X269" s="350">
        <v>42731</v>
      </c>
      <c r="Y269" s="350">
        <v>42734</v>
      </c>
      <c r="Z269" s="103">
        <f>V269</f>
        <v>74854593</v>
      </c>
      <c r="AA269" s="288">
        <v>1</v>
      </c>
      <c r="AB269" s="433">
        <f t="shared" si="60"/>
        <v>-74854593</v>
      </c>
      <c r="AC269" s="352"/>
    </row>
    <row r="270" spans="1:36" s="755" customFormat="1">
      <c r="A270" s="843"/>
      <c r="B270" s="749"/>
      <c r="C270" s="773" t="str">
        <f>C251</f>
        <v>PRK.2016.WKT-4.3.53212.258</v>
      </c>
      <c r="D270" s="1171"/>
      <c r="E270" s="844"/>
      <c r="F270" s="844"/>
      <c r="G270" s="850">
        <f>G251</f>
        <v>979737000</v>
      </c>
      <c r="H270" s="844"/>
      <c r="I270" s="844"/>
      <c r="J270" s="854"/>
      <c r="K270" s="855"/>
      <c r="L270" s="856"/>
      <c r="M270" s="857"/>
      <c r="N270" s="844">
        <f>SUM(N251:N269)</f>
        <v>135602643</v>
      </c>
      <c r="O270" s="844">
        <f t="shared" ref="O270:V270" si="65">SUM(O251:O269)</f>
        <v>729771568</v>
      </c>
      <c r="P270" s="844">
        <f t="shared" si="65"/>
        <v>865374211</v>
      </c>
      <c r="Q270" s="844">
        <f t="shared" si="65"/>
        <v>0</v>
      </c>
      <c r="R270" s="844">
        <f t="shared" si="65"/>
        <v>0</v>
      </c>
      <c r="S270" s="844">
        <f t="shared" si="65"/>
        <v>0</v>
      </c>
      <c r="T270" s="844">
        <f t="shared" si="65"/>
        <v>0</v>
      </c>
      <c r="U270" s="844">
        <f t="shared" si="65"/>
        <v>0</v>
      </c>
      <c r="V270" s="844">
        <f t="shared" si="65"/>
        <v>865374211</v>
      </c>
      <c r="W270" s="845"/>
      <c r="X270" s="846"/>
      <c r="Y270" s="846"/>
      <c r="Z270" s="844">
        <f>SUM(Z251:Z269)</f>
        <v>865374211</v>
      </c>
      <c r="AA270" s="847"/>
      <c r="AB270" s="844">
        <f>SUM(AB251:AB269)</f>
        <v>114362789</v>
      </c>
      <c r="AC270" s="848"/>
    </row>
    <row r="271" spans="1:36" s="54" customFormat="1">
      <c r="A271" s="561"/>
      <c r="B271" s="564"/>
      <c r="C271" s="50"/>
      <c r="D271" s="343"/>
      <c r="E271" s="264"/>
      <c r="F271" s="344"/>
      <c r="G271" s="345"/>
      <c r="H271" s="264"/>
      <c r="I271" s="264"/>
      <c r="J271" s="563"/>
      <c r="K271" s="256"/>
      <c r="L271" s="346"/>
      <c r="M271" s="347"/>
      <c r="N271" s="344"/>
      <c r="O271" s="344"/>
      <c r="P271" s="344"/>
      <c r="Q271" s="344"/>
      <c r="R271" s="344"/>
      <c r="S271" s="344"/>
      <c r="T271" s="344"/>
      <c r="U271" s="344"/>
      <c r="V271" s="348"/>
      <c r="W271" s="349"/>
      <c r="X271" s="350"/>
      <c r="Y271" s="350"/>
      <c r="Z271" s="264"/>
      <c r="AA271" s="351"/>
      <c r="AB271" s="366"/>
      <c r="AC271" s="352"/>
    </row>
    <row r="272" spans="1:36" s="54" customFormat="1" ht="47.25">
      <c r="A272" s="561"/>
      <c r="B272" s="564"/>
      <c r="C272" s="50" t="s">
        <v>1864</v>
      </c>
      <c r="D272" s="343" t="s">
        <v>1866</v>
      </c>
      <c r="E272" s="264"/>
      <c r="F272" s="344">
        <v>811650400</v>
      </c>
      <c r="G272" s="155">
        <f>E272+F272</f>
        <v>811650400</v>
      </c>
      <c r="H272" s="264"/>
      <c r="I272" s="264"/>
      <c r="J272" s="563"/>
      <c r="K272" s="256" t="s">
        <v>3579</v>
      </c>
      <c r="L272" s="1726" t="s">
        <v>424</v>
      </c>
      <c r="M272" s="347" t="s">
        <v>3580</v>
      </c>
      <c r="N272" s="344"/>
      <c r="O272" s="344">
        <v>811650400</v>
      </c>
      <c r="P272" s="344">
        <f>N272+O272</f>
        <v>811650400</v>
      </c>
      <c r="Q272" s="344"/>
      <c r="R272" s="344"/>
      <c r="S272" s="344"/>
      <c r="T272" s="344"/>
      <c r="U272" s="344"/>
      <c r="V272" s="348">
        <f>P272</f>
        <v>811650400</v>
      </c>
      <c r="W272" s="349" t="s">
        <v>586</v>
      </c>
      <c r="X272" s="350">
        <v>42731</v>
      </c>
      <c r="Y272" s="350">
        <v>42734</v>
      </c>
      <c r="Z272" s="103">
        <f>V272</f>
        <v>811650400</v>
      </c>
      <c r="AA272" s="288">
        <v>1</v>
      </c>
      <c r="AB272" s="433">
        <f>+G272-P272</f>
        <v>0</v>
      </c>
      <c r="AC272" s="352"/>
    </row>
    <row r="273" spans="1:36" s="54" customFormat="1">
      <c r="A273" s="561"/>
      <c r="B273" s="798"/>
      <c r="C273" s="50"/>
      <c r="D273" s="343"/>
      <c r="E273" s="264"/>
      <c r="F273" s="344"/>
      <c r="G273" s="345"/>
      <c r="H273" s="264"/>
      <c r="I273" s="264"/>
      <c r="J273" s="563"/>
      <c r="K273" s="256"/>
      <c r="L273" s="346"/>
      <c r="M273" s="347"/>
      <c r="N273" s="344"/>
      <c r="O273" s="344"/>
      <c r="P273" s="344"/>
      <c r="Q273" s="344"/>
      <c r="R273" s="344"/>
      <c r="S273" s="344"/>
      <c r="T273" s="344"/>
      <c r="U273" s="344"/>
      <c r="V273" s="348"/>
      <c r="W273" s="349"/>
      <c r="X273" s="350"/>
      <c r="Y273" s="350"/>
      <c r="Z273" s="264"/>
      <c r="AA273" s="351"/>
      <c r="AB273" s="366"/>
      <c r="AC273" s="352"/>
    </row>
    <row r="274" spans="1:36" s="54" customFormat="1">
      <c r="A274" s="561"/>
      <c r="B274" s="798"/>
      <c r="C274" s="50"/>
      <c r="D274" s="343"/>
      <c r="E274" s="264"/>
      <c r="F274" s="344"/>
      <c r="G274" s="345"/>
      <c r="H274" s="264"/>
      <c r="I274" s="264"/>
      <c r="J274" s="563"/>
      <c r="K274" s="256"/>
      <c r="L274" s="346"/>
      <c r="M274" s="347"/>
      <c r="N274" s="344"/>
      <c r="O274" s="344"/>
      <c r="P274" s="344"/>
      <c r="Q274" s="344"/>
      <c r="R274" s="344"/>
      <c r="S274" s="344"/>
      <c r="T274" s="344"/>
      <c r="U274" s="344"/>
      <c r="V274" s="348"/>
      <c r="W274" s="349"/>
      <c r="X274" s="350"/>
      <c r="Y274" s="350"/>
      <c r="Z274" s="264"/>
      <c r="AA274" s="351"/>
      <c r="AB274" s="366"/>
      <c r="AC274" s="352"/>
    </row>
    <row r="275" spans="1:36" s="54" customFormat="1">
      <c r="A275" s="561"/>
      <c r="B275" s="798"/>
      <c r="C275" s="50"/>
      <c r="D275" s="343"/>
      <c r="E275" s="264"/>
      <c r="F275" s="344"/>
      <c r="G275" s="345"/>
      <c r="H275" s="264"/>
      <c r="I275" s="264"/>
      <c r="J275" s="563"/>
      <c r="K275" s="256"/>
      <c r="L275" s="346"/>
      <c r="M275" s="347"/>
      <c r="N275" s="344"/>
      <c r="O275" s="344"/>
      <c r="P275" s="344"/>
      <c r="Q275" s="344"/>
      <c r="R275" s="344"/>
      <c r="S275" s="344"/>
      <c r="T275" s="344"/>
      <c r="U275" s="344"/>
      <c r="V275" s="348"/>
      <c r="W275" s="349"/>
      <c r="X275" s="350"/>
      <c r="Y275" s="350"/>
      <c r="Z275" s="264"/>
      <c r="AA275" s="351"/>
      <c r="AB275" s="366"/>
      <c r="AC275" s="352"/>
    </row>
    <row r="276" spans="1:36" s="54" customFormat="1" ht="16.5" thickBot="1">
      <c r="A276" s="561"/>
      <c r="B276" s="564"/>
      <c r="C276" s="50"/>
      <c r="D276" s="343"/>
      <c r="E276" s="264"/>
      <c r="F276" s="344"/>
      <c r="G276" s="345"/>
      <c r="H276" s="264"/>
      <c r="I276" s="264"/>
      <c r="J276" s="563"/>
      <c r="K276" s="256"/>
      <c r="L276" s="346"/>
      <c r="M276" s="347"/>
      <c r="N276" s="344"/>
      <c r="O276" s="344"/>
      <c r="P276" s="344"/>
      <c r="Q276" s="344"/>
      <c r="R276" s="344"/>
      <c r="S276" s="344"/>
      <c r="T276" s="344"/>
      <c r="U276" s="344"/>
      <c r="V276" s="348"/>
      <c r="W276" s="349"/>
      <c r="X276" s="350"/>
      <c r="Y276" s="350"/>
      <c r="Z276" s="264"/>
      <c r="AA276" s="351"/>
      <c r="AB276" s="366"/>
      <c r="AC276" s="352"/>
    </row>
    <row r="277" spans="1:36" s="340" customFormat="1" ht="15.75" customHeight="1" thickBot="1">
      <c r="A277" s="2741" t="str">
        <f>B228</f>
        <v>008.KIT/AO/BRU/2016/M</v>
      </c>
      <c r="B277" s="2742"/>
      <c r="C277" s="2742"/>
      <c r="D277" s="2743"/>
      <c r="E277" s="333">
        <f>+E228+E251+E272</f>
        <v>0</v>
      </c>
      <c r="F277" s="333">
        <f>+F228+F251+F272</f>
        <v>4606702070</v>
      </c>
      <c r="G277" s="333">
        <f>+G228+G251+G272</f>
        <v>4606702070</v>
      </c>
      <c r="H277" s="333"/>
      <c r="I277" s="333"/>
      <c r="J277" s="334"/>
      <c r="K277" s="335"/>
      <c r="L277" s="336"/>
      <c r="M277" s="337"/>
      <c r="N277" s="333">
        <f t="shared" ref="N277:V277" si="66">N250+N270+N272</f>
        <v>1976013850</v>
      </c>
      <c r="O277" s="333">
        <f t="shared" si="66"/>
        <v>2508486276</v>
      </c>
      <c r="P277" s="333">
        <f t="shared" si="66"/>
        <v>4484500126</v>
      </c>
      <c r="Q277" s="333">
        <f t="shared" si="66"/>
        <v>0</v>
      </c>
      <c r="R277" s="333">
        <f t="shared" si="66"/>
        <v>0</v>
      </c>
      <c r="S277" s="333">
        <f t="shared" si="66"/>
        <v>0</v>
      </c>
      <c r="T277" s="333">
        <f t="shared" si="66"/>
        <v>0</v>
      </c>
      <c r="U277" s="333">
        <f t="shared" si="66"/>
        <v>0</v>
      </c>
      <c r="V277" s="333">
        <f t="shared" si="66"/>
        <v>4484500126</v>
      </c>
      <c r="W277" s="338"/>
      <c r="X277" s="339"/>
      <c r="Y277" s="339"/>
      <c r="Z277" s="333">
        <f>Z250+Z270+Z272</f>
        <v>4331710126</v>
      </c>
      <c r="AA277" s="333"/>
      <c r="AB277" s="333">
        <f>AB250+AB270+AB272</f>
        <v>122201944</v>
      </c>
      <c r="AC277" s="338"/>
    </row>
    <row r="278" spans="1:36" s="54" customFormat="1" ht="15.75" customHeight="1">
      <c r="A278" s="80"/>
      <c r="B278" s="80"/>
      <c r="C278" s="80"/>
      <c r="D278" s="80"/>
      <c r="E278" s="110"/>
      <c r="F278" s="110"/>
      <c r="G278" s="240"/>
      <c r="H278" s="110"/>
      <c r="I278" s="110"/>
      <c r="J278" s="275"/>
      <c r="K278" s="111"/>
      <c r="L278" s="111"/>
      <c r="M278" s="112"/>
      <c r="N278" s="110"/>
      <c r="O278" s="110"/>
      <c r="P278" s="110"/>
      <c r="Q278" s="110"/>
      <c r="R278" s="110"/>
      <c r="S278" s="110"/>
      <c r="T278" s="110"/>
      <c r="U278" s="110"/>
      <c r="V278" s="103"/>
      <c r="W278" s="135"/>
      <c r="X278" s="114"/>
      <c r="Y278" s="114"/>
      <c r="Z278" s="110"/>
      <c r="AA278" s="110"/>
      <c r="AB278" s="110"/>
      <c r="AC278" s="113"/>
    </row>
    <row r="279" spans="1:36" s="54" customFormat="1" ht="31.5">
      <c r="A279" s="81">
        <v>9</v>
      </c>
      <c r="B279" s="50" t="s">
        <v>2244</v>
      </c>
      <c r="C279" s="50" t="s">
        <v>2246</v>
      </c>
      <c r="D279" s="72" t="s">
        <v>2247</v>
      </c>
      <c r="E279" s="103"/>
      <c r="F279" s="51">
        <v>12351000</v>
      </c>
      <c r="G279" s="155">
        <f>E279+F279</f>
        <v>12351000</v>
      </c>
      <c r="H279" s="51"/>
      <c r="I279" s="73"/>
      <c r="J279" s="276" t="s">
        <v>2886</v>
      </c>
      <c r="K279" s="454"/>
      <c r="L279" s="346"/>
      <c r="M279" s="347" t="s">
        <v>2887</v>
      </c>
      <c r="N279" s="571">
        <v>12351000</v>
      </c>
      <c r="O279" s="344"/>
      <c r="P279" s="51">
        <f>N279+O279</f>
        <v>12351000</v>
      </c>
      <c r="Q279" s="344"/>
      <c r="R279" s="344"/>
      <c r="S279" s="344"/>
      <c r="T279" s="344"/>
      <c r="U279" s="344"/>
      <c r="V279" s="348">
        <f>P279</f>
        <v>12351000</v>
      </c>
      <c r="W279" s="349" t="s">
        <v>3538</v>
      </c>
      <c r="X279" s="350">
        <v>42719</v>
      </c>
      <c r="Y279" s="350">
        <v>42724</v>
      </c>
      <c r="Z279" s="264">
        <f>V279</f>
        <v>12351000</v>
      </c>
      <c r="AA279" s="351">
        <v>1</v>
      </c>
      <c r="AB279" s="433">
        <f t="shared" ref="AB279:AB305" si="67">+G279-P279</f>
        <v>0</v>
      </c>
      <c r="AC279" s="106"/>
    </row>
    <row r="280" spans="1:36" s="54" customFormat="1">
      <c r="A280" s="561"/>
      <c r="B280" s="153" t="s">
        <v>2245</v>
      </c>
      <c r="C280" s="50"/>
      <c r="D280" s="343"/>
      <c r="E280" s="264"/>
      <c r="F280" s="344"/>
      <c r="G280" s="345"/>
      <c r="H280" s="51"/>
      <c r="I280" s="73"/>
      <c r="J280" s="276"/>
      <c r="K280" s="256"/>
      <c r="L280" s="346"/>
      <c r="M280" s="347"/>
      <c r="N280" s="344"/>
      <c r="O280" s="344"/>
      <c r="P280" s="51">
        <f>N280+O280</f>
        <v>0</v>
      </c>
      <c r="Q280" s="344"/>
      <c r="R280" s="344"/>
      <c r="S280" s="344"/>
      <c r="T280" s="344"/>
      <c r="U280" s="344"/>
      <c r="V280" s="348"/>
      <c r="W280" s="349"/>
      <c r="X280" s="350"/>
      <c r="Y280" s="350"/>
      <c r="Z280" s="264"/>
      <c r="AA280" s="351"/>
      <c r="AB280" s="433">
        <f t="shared" si="67"/>
        <v>0</v>
      </c>
      <c r="AC280" s="352"/>
    </row>
    <row r="281" spans="1:36" s="54" customFormat="1" ht="31.5">
      <c r="A281" s="561"/>
      <c r="B281" s="564">
        <v>42607</v>
      </c>
      <c r="C281" s="50" t="s">
        <v>2248</v>
      </c>
      <c r="D281" s="72" t="s">
        <v>2249</v>
      </c>
      <c r="E281" s="103"/>
      <c r="F281" s="51">
        <v>19682000</v>
      </c>
      <c r="G281" s="155">
        <f>E281+F281</f>
        <v>19682000</v>
      </c>
      <c r="H281" s="51"/>
      <c r="I281" s="73"/>
      <c r="J281" s="276" t="s">
        <v>2886</v>
      </c>
      <c r="K281" s="256"/>
      <c r="L281" s="346"/>
      <c r="M281" s="347" t="s">
        <v>2887</v>
      </c>
      <c r="N281" s="571">
        <v>19682000</v>
      </c>
      <c r="O281" s="344"/>
      <c r="P281" s="51">
        <f>N281+O281</f>
        <v>19682000</v>
      </c>
      <c r="Q281" s="344"/>
      <c r="R281" s="344"/>
      <c r="S281" s="344"/>
      <c r="T281" s="344"/>
      <c r="U281" s="344"/>
      <c r="V281" s="348">
        <f>P281</f>
        <v>19682000</v>
      </c>
      <c r="W281" s="349" t="s">
        <v>3538</v>
      </c>
      <c r="X281" s="350">
        <v>42719</v>
      </c>
      <c r="Y281" s="350">
        <v>42724</v>
      </c>
      <c r="Z281" s="264">
        <f>V281</f>
        <v>19682000</v>
      </c>
      <c r="AA281" s="351">
        <v>1</v>
      </c>
      <c r="AB281" s="433">
        <f t="shared" si="67"/>
        <v>0</v>
      </c>
      <c r="AC281" s="352"/>
    </row>
    <row r="282" spans="1:36" s="54" customFormat="1">
      <c r="A282" s="561"/>
      <c r="B282" s="798"/>
      <c r="C282" s="50"/>
      <c r="D282" s="343"/>
      <c r="E282" s="264"/>
      <c r="F282" s="344"/>
      <c r="G282" s="345"/>
      <c r="H282" s="51"/>
      <c r="I282" s="73"/>
      <c r="J282" s="276"/>
      <c r="K282" s="256"/>
      <c r="L282" s="346"/>
      <c r="M282" s="347"/>
      <c r="N282" s="344"/>
      <c r="O282" s="344"/>
      <c r="P282" s="262"/>
      <c r="Q282" s="344"/>
      <c r="R282" s="344"/>
      <c r="S282" s="344"/>
      <c r="T282" s="344"/>
      <c r="U282" s="344"/>
      <c r="V282" s="348"/>
      <c r="W282" s="349"/>
      <c r="X282" s="350"/>
      <c r="Y282" s="350"/>
      <c r="Z282" s="264"/>
      <c r="AA282" s="351"/>
      <c r="AB282" s="433">
        <f t="shared" si="67"/>
        <v>0</v>
      </c>
      <c r="AC282" s="352"/>
    </row>
    <row r="283" spans="1:36" s="54" customFormat="1" ht="31.5">
      <c r="A283" s="561"/>
      <c r="B283" s="798"/>
      <c r="C283" s="50" t="s">
        <v>2250</v>
      </c>
      <c r="D283" s="72" t="s">
        <v>2251</v>
      </c>
      <c r="E283" s="103"/>
      <c r="F283" s="51">
        <v>25560000</v>
      </c>
      <c r="G283" s="155">
        <f>E283+F283</f>
        <v>25560000</v>
      </c>
      <c r="H283" s="51"/>
      <c r="I283" s="73"/>
      <c r="J283" s="276" t="s">
        <v>2439</v>
      </c>
      <c r="K283" s="256" t="s">
        <v>2787</v>
      </c>
      <c r="L283" s="346" t="s">
        <v>2788</v>
      </c>
      <c r="M283" s="347" t="s">
        <v>2442</v>
      </c>
      <c r="N283" s="344"/>
      <c r="O283" s="344">
        <v>9856000</v>
      </c>
      <c r="P283" s="344">
        <f>N283+O283</f>
        <v>9856000</v>
      </c>
      <c r="Q283" s="344"/>
      <c r="R283" s="344"/>
      <c r="S283" s="344"/>
      <c r="T283" s="344"/>
      <c r="U283" s="344"/>
      <c r="V283" s="348">
        <f>P283</f>
        <v>9856000</v>
      </c>
      <c r="W283" s="349" t="s">
        <v>2786</v>
      </c>
      <c r="X283" s="350">
        <v>42653</v>
      </c>
      <c r="Y283" s="350">
        <v>42656</v>
      </c>
      <c r="Z283" s="264">
        <f>V283</f>
        <v>9856000</v>
      </c>
      <c r="AA283" s="351">
        <v>1</v>
      </c>
      <c r="AB283" s="433">
        <f t="shared" si="67"/>
        <v>15704000</v>
      </c>
      <c r="AC283" s="352"/>
      <c r="AD283" s="38"/>
      <c r="AE283" s="38"/>
      <c r="AF283" s="38"/>
      <c r="AG283" s="967">
        <f>V283</f>
        <v>9856000</v>
      </c>
      <c r="AH283" s="38"/>
      <c r="AI283" s="38"/>
      <c r="AJ283" s="38"/>
    </row>
    <row r="284" spans="1:36" s="54" customFormat="1" ht="31.5">
      <c r="A284" s="561"/>
      <c r="B284" s="798"/>
      <c r="C284" s="50"/>
      <c r="D284" s="343"/>
      <c r="E284" s="264"/>
      <c r="F284" s="344"/>
      <c r="G284" s="345"/>
      <c r="H284" s="51"/>
      <c r="I284" s="73"/>
      <c r="J284" s="276" t="s">
        <v>2440</v>
      </c>
      <c r="K284" s="256" t="s">
        <v>2789</v>
      </c>
      <c r="L284" s="1467" t="s">
        <v>2788</v>
      </c>
      <c r="M284" s="347" t="s">
        <v>2443</v>
      </c>
      <c r="N284" s="344"/>
      <c r="O284" s="344">
        <v>7396400</v>
      </c>
      <c r="P284" s="344">
        <f>N284+O284</f>
        <v>7396400</v>
      </c>
      <c r="Q284" s="344"/>
      <c r="R284" s="344"/>
      <c r="S284" s="344"/>
      <c r="T284" s="344"/>
      <c r="U284" s="344"/>
      <c r="V284" s="348">
        <f>P284</f>
        <v>7396400</v>
      </c>
      <c r="W284" s="349" t="s">
        <v>2786</v>
      </c>
      <c r="X284" s="350">
        <v>42653</v>
      </c>
      <c r="Y284" s="350">
        <v>42656</v>
      </c>
      <c r="Z284" s="264">
        <f>V284</f>
        <v>7396400</v>
      </c>
      <c r="AA284" s="351">
        <v>1</v>
      </c>
      <c r="AB284" s="433">
        <f t="shared" si="67"/>
        <v>-7396400</v>
      </c>
      <c r="AC284" s="352"/>
      <c r="AD284" s="38"/>
      <c r="AE284" s="38"/>
      <c r="AF284" s="38"/>
      <c r="AG284" s="967">
        <f>V284</f>
        <v>7396400</v>
      </c>
      <c r="AH284" s="38"/>
      <c r="AI284" s="38"/>
      <c r="AJ284" s="38"/>
    </row>
    <row r="285" spans="1:36" s="54" customFormat="1" ht="31.5">
      <c r="A285" s="561"/>
      <c r="B285" s="798"/>
      <c r="C285" s="50"/>
      <c r="D285" s="343"/>
      <c r="E285" s="264"/>
      <c r="F285" s="344"/>
      <c r="G285" s="345"/>
      <c r="H285" s="51"/>
      <c r="I285" s="73"/>
      <c r="J285" s="276" t="s">
        <v>2441</v>
      </c>
      <c r="K285" s="256" t="s">
        <v>2790</v>
      </c>
      <c r="L285" s="1467" t="s">
        <v>2788</v>
      </c>
      <c r="M285" s="347" t="s">
        <v>2444</v>
      </c>
      <c r="N285" s="344"/>
      <c r="O285" s="344">
        <v>6782050</v>
      </c>
      <c r="P285" s="344">
        <f>N285+O285</f>
        <v>6782050</v>
      </c>
      <c r="Q285" s="344"/>
      <c r="R285" s="344"/>
      <c r="S285" s="344"/>
      <c r="T285" s="344"/>
      <c r="U285" s="344"/>
      <c r="V285" s="348">
        <f>P285</f>
        <v>6782050</v>
      </c>
      <c r="W285" s="349" t="s">
        <v>2786</v>
      </c>
      <c r="X285" s="350">
        <v>42653</v>
      </c>
      <c r="Y285" s="350">
        <v>42656</v>
      </c>
      <c r="Z285" s="264">
        <f>V285</f>
        <v>6782050</v>
      </c>
      <c r="AA285" s="351">
        <v>1</v>
      </c>
      <c r="AB285" s="433">
        <f t="shared" si="67"/>
        <v>-6782050</v>
      </c>
      <c r="AC285" s="352"/>
      <c r="AD285" s="38"/>
      <c r="AE285" s="38"/>
      <c r="AF285" s="38"/>
      <c r="AG285" s="967">
        <f>V285</f>
        <v>6782050</v>
      </c>
      <c r="AH285" s="38"/>
      <c r="AI285" s="38"/>
      <c r="AJ285" s="38"/>
    </row>
    <row r="286" spans="1:36" s="54" customFormat="1" ht="31.5">
      <c r="A286" s="561"/>
      <c r="B286" s="798"/>
      <c r="C286" s="50"/>
      <c r="D286" s="343"/>
      <c r="E286" s="264"/>
      <c r="F286" s="344"/>
      <c r="G286" s="345"/>
      <c r="H286" s="51"/>
      <c r="I286" s="73"/>
      <c r="J286" s="276" t="s">
        <v>2886</v>
      </c>
      <c r="K286" s="256"/>
      <c r="L286" s="1506"/>
      <c r="M286" s="347" t="s">
        <v>2887</v>
      </c>
      <c r="N286" s="1734">
        <v>1525550</v>
      </c>
      <c r="O286" s="344"/>
      <c r="P286" s="344">
        <f>N286+O286</f>
        <v>1525550</v>
      </c>
      <c r="Q286" s="344"/>
      <c r="R286" s="344"/>
      <c r="S286" s="344"/>
      <c r="T286" s="344"/>
      <c r="U286" s="344"/>
      <c r="V286" s="348">
        <f>P286</f>
        <v>1525550</v>
      </c>
      <c r="W286" s="349" t="s">
        <v>3538</v>
      </c>
      <c r="X286" s="350">
        <v>42719</v>
      </c>
      <c r="Y286" s="350">
        <v>42724</v>
      </c>
      <c r="Z286" s="264">
        <f>V286</f>
        <v>1525550</v>
      </c>
      <c r="AA286" s="351">
        <v>1</v>
      </c>
      <c r="AB286" s="433"/>
      <c r="AC286" s="352"/>
      <c r="AD286" s="38"/>
      <c r="AE286" s="38"/>
      <c r="AF286" s="38"/>
      <c r="AG286" s="967"/>
      <c r="AH286" s="38"/>
      <c r="AI286" s="38"/>
      <c r="AJ286" s="38"/>
    </row>
    <row r="287" spans="1:36" s="755" customFormat="1">
      <c r="A287" s="843"/>
      <c r="B287" s="1314"/>
      <c r="C287" s="773" t="str">
        <f>C283</f>
        <v>PRK.2016.WKT-4.3.53222.117</v>
      </c>
      <c r="D287" s="1171"/>
      <c r="E287" s="844"/>
      <c r="F287" s="844"/>
      <c r="G287" s="850">
        <f>G283</f>
        <v>25560000</v>
      </c>
      <c r="H287" s="748"/>
      <c r="I287" s="788"/>
      <c r="J287" s="1315"/>
      <c r="K287" s="855"/>
      <c r="L287" s="856"/>
      <c r="M287" s="857"/>
      <c r="N287" s="844">
        <f>SUM(N283:N286)</f>
        <v>1525550</v>
      </c>
      <c r="O287" s="844">
        <f t="shared" ref="O287:V287" si="68">SUM(O283:O286)</f>
        <v>24034450</v>
      </c>
      <c r="P287" s="844">
        <f t="shared" si="68"/>
        <v>25560000</v>
      </c>
      <c r="Q287" s="844">
        <f t="shared" si="68"/>
        <v>0</v>
      </c>
      <c r="R287" s="844">
        <f t="shared" si="68"/>
        <v>0</v>
      </c>
      <c r="S287" s="844">
        <f t="shared" si="68"/>
        <v>0</v>
      </c>
      <c r="T287" s="844">
        <f t="shared" si="68"/>
        <v>0</v>
      </c>
      <c r="U287" s="844">
        <f t="shared" si="68"/>
        <v>0</v>
      </c>
      <c r="V287" s="844">
        <f t="shared" si="68"/>
        <v>25560000</v>
      </c>
      <c r="W287" s="845"/>
      <c r="X287" s="846"/>
      <c r="Y287" s="846"/>
      <c r="Z287" s="844">
        <f>SUM(Z283:Z286)</f>
        <v>25560000</v>
      </c>
      <c r="AA287" s="847"/>
      <c r="AB287" s="756">
        <f t="shared" si="67"/>
        <v>0</v>
      </c>
      <c r="AC287" s="848"/>
    </row>
    <row r="288" spans="1:36" s="54" customFormat="1">
      <c r="A288" s="561"/>
      <c r="B288" s="798"/>
      <c r="C288" s="50"/>
      <c r="D288" s="343"/>
      <c r="E288" s="264"/>
      <c r="F288" s="344"/>
      <c r="G288" s="345"/>
      <c r="H288" s="51"/>
      <c r="I288" s="73"/>
      <c r="J288" s="276"/>
      <c r="K288" s="256"/>
      <c r="L288" s="346"/>
      <c r="M288" s="347"/>
      <c r="N288" s="344"/>
      <c r="O288" s="344"/>
      <c r="P288" s="262"/>
      <c r="Q288" s="344"/>
      <c r="R288" s="344"/>
      <c r="S288" s="344"/>
      <c r="T288" s="344"/>
      <c r="U288" s="344"/>
      <c r="V288" s="348"/>
      <c r="W288" s="349"/>
      <c r="X288" s="350"/>
      <c r="Y288" s="350"/>
      <c r="Z288" s="264"/>
      <c r="AA288" s="351"/>
      <c r="AB288" s="433">
        <f t="shared" si="67"/>
        <v>0</v>
      </c>
      <c r="AC288" s="352"/>
    </row>
    <row r="289" spans="1:29" s="54" customFormat="1" ht="31.5">
      <c r="A289" s="561"/>
      <c r="B289" s="798"/>
      <c r="C289" s="50" t="s">
        <v>2252</v>
      </c>
      <c r="D289" s="72" t="s">
        <v>2253</v>
      </c>
      <c r="E289" s="103"/>
      <c r="F289" s="51">
        <v>37316000</v>
      </c>
      <c r="G289" s="155">
        <f>E289+F289</f>
        <v>37316000</v>
      </c>
      <c r="H289" s="51"/>
      <c r="I289" s="73"/>
      <c r="J289" s="276" t="s">
        <v>2604</v>
      </c>
      <c r="K289" s="256" t="s">
        <v>3038</v>
      </c>
      <c r="L289" s="346" t="s">
        <v>3039</v>
      </c>
      <c r="M289" s="347" t="s">
        <v>2606</v>
      </c>
      <c r="N289" s="344">
        <v>8547000</v>
      </c>
      <c r="O289" s="344"/>
      <c r="P289" s="344">
        <f>N289+O289</f>
        <v>8547000</v>
      </c>
      <c r="Q289" s="344"/>
      <c r="R289" s="344"/>
      <c r="S289" s="344"/>
      <c r="T289" s="344"/>
      <c r="U289" s="344"/>
      <c r="V289" s="348">
        <f>P289</f>
        <v>8547000</v>
      </c>
      <c r="W289" s="374" t="s">
        <v>3032</v>
      </c>
      <c r="X289" s="375">
        <v>42670</v>
      </c>
      <c r="Y289" s="375">
        <v>42676</v>
      </c>
      <c r="Z289" s="110">
        <f>V289</f>
        <v>8547000</v>
      </c>
      <c r="AA289" s="376">
        <v>1</v>
      </c>
      <c r="AB289" s="433">
        <f t="shared" si="67"/>
        <v>28769000</v>
      </c>
      <c r="AC289" s="352"/>
    </row>
    <row r="290" spans="1:29" s="54" customFormat="1" ht="31.5">
      <c r="A290" s="561"/>
      <c r="B290" s="798"/>
      <c r="C290" s="50"/>
      <c r="D290" s="343"/>
      <c r="E290" s="264"/>
      <c r="F290" s="344"/>
      <c r="G290" s="345"/>
      <c r="H290" s="51"/>
      <c r="I290" s="73"/>
      <c r="J290" s="276" t="s">
        <v>2605</v>
      </c>
      <c r="K290" s="256" t="s">
        <v>3258</v>
      </c>
      <c r="L290" s="1563" t="s">
        <v>3039</v>
      </c>
      <c r="M290" s="347" t="s">
        <v>2607</v>
      </c>
      <c r="N290" s="344">
        <v>8561300</v>
      </c>
      <c r="O290" s="344"/>
      <c r="P290" s="344">
        <f>N290+O290</f>
        <v>8561300</v>
      </c>
      <c r="Q290" s="344"/>
      <c r="R290" s="344"/>
      <c r="S290" s="344"/>
      <c r="T290" s="344"/>
      <c r="U290" s="344"/>
      <c r="V290" s="348">
        <f>P290</f>
        <v>8561300</v>
      </c>
      <c r="W290" s="349" t="s">
        <v>3052</v>
      </c>
      <c r="X290" s="350">
        <v>42675</v>
      </c>
      <c r="Y290" s="350">
        <v>42682</v>
      </c>
      <c r="Z290" s="264">
        <f>V290</f>
        <v>8561300</v>
      </c>
      <c r="AA290" s="351">
        <v>1</v>
      </c>
      <c r="AB290" s="433">
        <f t="shared" si="67"/>
        <v>-8561300</v>
      </c>
      <c r="AC290" s="352"/>
    </row>
    <row r="291" spans="1:29" s="54" customFormat="1" ht="47.25">
      <c r="A291" s="561"/>
      <c r="B291" s="798"/>
      <c r="C291" s="50"/>
      <c r="D291" s="343"/>
      <c r="E291" s="264"/>
      <c r="F291" s="344"/>
      <c r="G291" s="345"/>
      <c r="H291" s="381" t="s">
        <v>2898</v>
      </c>
      <c r="I291" s="73">
        <v>42674</v>
      </c>
      <c r="J291" s="276" t="s">
        <v>2886</v>
      </c>
      <c r="K291" s="256"/>
      <c r="L291" s="1506"/>
      <c r="M291" s="347" t="s">
        <v>2887</v>
      </c>
      <c r="N291" s="1734">
        <v>19974050</v>
      </c>
      <c r="O291" s="344"/>
      <c r="P291" s="344">
        <f>N291+O291</f>
        <v>19974050</v>
      </c>
      <c r="Q291" s="344"/>
      <c r="R291" s="344"/>
      <c r="S291" s="344"/>
      <c r="T291" s="344"/>
      <c r="U291" s="344"/>
      <c r="V291" s="348">
        <f>P291</f>
        <v>19974050</v>
      </c>
      <c r="W291" s="349" t="s">
        <v>3538</v>
      </c>
      <c r="X291" s="350">
        <v>42719</v>
      </c>
      <c r="Y291" s="350">
        <v>42724</v>
      </c>
      <c r="Z291" s="264">
        <f>V291</f>
        <v>19974050</v>
      </c>
      <c r="AA291" s="351">
        <v>1</v>
      </c>
      <c r="AB291" s="433"/>
      <c r="AC291" s="352"/>
    </row>
    <row r="292" spans="1:29" s="755" customFormat="1">
      <c r="A292" s="843"/>
      <c r="B292" s="1314"/>
      <c r="C292" s="773" t="str">
        <f>C289</f>
        <v>PRK.2016.WKT-4.3.53222.118</v>
      </c>
      <c r="D292" s="1171"/>
      <c r="E292" s="844"/>
      <c r="F292" s="844"/>
      <c r="G292" s="850">
        <f>G289</f>
        <v>37316000</v>
      </c>
      <c r="H292" s="748"/>
      <c r="I292" s="788"/>
      <c r="J292" s="1315"/>
      <c r="K292" s="855"/>
      <c r="L292" s="856"/>
      <c r="M292" s="857"/>
      <c r="N292" s="844">
        <f>SUM(N289:N291)</f>
        <v>37082350</v>
      </c>
      <c r="O292" s="844">
        <f t="shared" ref="O292:V292" si="69">SUM(O289:O291)</f>
        <v>0</v>
      </c>
      <c r="P292" s="844">
        <f t="shared" si="69"/>
        <v>37082350</v>
      </c>
      <c r="Q292" s="844">
        <f t="shared" si="69"/>
        <v>0</v>
      </c>
      <c r="R292" s="844">
        <f t="shared" si="69"/>
        <v>0</v>
      </c>
      <c r="S292" s="844">
        <f t="shared" si="69"/>
        <v>0</v>
      </c>
      <c r="T292" s="844">
        <f t="shared" si="69"/>
        <v>0</v>
      </c>
      <c r="U292" s="844">
        <f t="shared" si="69"/>
        <v>0</v>
      </c>
      <c r="V292" s="844">
        <f t="shared" si="69"/>
        <v>37082350</v>
      </c>
      <c r="W292" s="845"/>
      <c r="X292" s="846"/>
      <c r="Y292" s="846"/>
      <c r="Z292" s="844">
        <f>SUM(Z289:Z291)</f>
        <v>37082350</v>
      </c>
      <c r="AA292" s="847"/>
      <c r="AB292" s="756">
        <f t="shared" si="67"/>
        <v>233650</v>
      </c>
      <c r="AC292" s="848"/>
    </row>
    <row r="293" spans="1:29" s="54" customFormat="1">
      <c r="A293" s="561"/>
      <c r="B293" s="798"/>
      <c r="C293" s="50"/>
      <c r="D293" s="343"/>
      <c r="E293" s="264"/>
      <c r="F293" s="344"/>
      <c r="G293" s="345"/>
      <c r="H293" s="51"/>
      <c r="I293" s="73"/>
      <c r="J293" s="276"/>
      <c r="K293" s="256"/>
      <c r="L293" s="346"/>
      <c r="M293" s="347"/>
      <c r="N293" s="344"/>
      <c r="O293" s="344"/>
      <c r="P293" s="262"/>
      <c r="Q293" s="344"/>
      <c r="R293" s="344"/>
      <c r="S293" s="344"/>
      <c r="T293" s="344"/>
      <c r="U293" s="344"/>
      <c r="V293" s="348"/>
      <c r="W293" s="349"/>
      <c r="X293" s="350"/>
      <c r="Y293" s="350"/>
      <c r="Z293" s="264"/>
      <c r="AA293" s="351"/>
      <c r="AB293" s="433">
        <f t="shared" si="67"/>
        <v>0</v>
      </c>
      <c r="AC293" s="352"/>
    </row>
    <row r="294" spans="1:29" s="54" customFormat="1">
      <c r="A294" s="561"/>
      <c r="B294" s="798"/>
      <c r="C294" s="50" t="s">
        <v>2254</v>
      </c>
      <c r="D294" s="72" t="s">
        <v>2255</v>
      </c>
      <c r="E294" s="103"/>
      <c r="F294" s="51">
        <v>41982000</v>
      </c>
      <c r="G294" s="155">
        <f>E294+F294</f>
        <v>41982000</v>
      </c>
      <c r="H294" s="51"/>
      <c r="I294" s="73"/>
      <c r="J294" s="276"/>
      <c r="K294" s="256"/>
      <c r="L294" s="346"/>
      <c r="M294" s="347"/>
      <c r="N294" s="344"/>
      <c r="O294" s="344"/>
      <c r="P294" s="262"/>
      <c r="Q294" s="344"/>
      <c r="R294" s="344"/>
      <c r="S294" s="344"/>
      <c r="T294" s="344"/>
      <c r="U294" s="344"/>
      <c r="V294" s="348"/>
      <c r="W294" s="349"/>
      <c r="X294" s="350"/>
      <c r="Y294" s="350"/>
      <c r="Z294" s="264"/>
      <c r="AA294" s="351"/>
      <c r="AB294" s="433">
        <f t="shared" si="67"/>
        <v>41982000</v>
      </c>
      <c r="AC294" s="352"/>
    </row>
    <row r="295" spans="1:29" s="54" customFormat="1">
      <c r="A295" s="561"/>
      <c r="B295" s="798"/>
      <c r="C295" s="50"/>
      <c r="D295" s="343"/>
      <c r="E295" s="264"/>
      <c r="F295" s="344"/>
      <c r="G295" s="345"/>
      <c r="H295" s="51"/>
      <c r="I295" s="73"/>
      <c r="J295" s="276"/>
      <c r="K295" s="256"/>
      <c r="L295" s="346"/>
      <c r="M295" s="347"/>
      <c r="N295" s="344"/>
      <c r="O295" s="344"/>
      <c r="P295" s="262"/>
      <c r="Q295" s="344"/>
      <c r="R295" s="344"/>
      <c r="S295" s="344"/>
      <c r="T295" s="344"/>
      <c r="U295" s="344"/>
      <c r="V295" s="348"/>
      <c r="W295" s="349"/>
      <c r="X295" s="350"/>
      <c r="Y295" s="350"/>
      <c r="Z295" s="264"/>
      <c r="AA295" s="351"/>
      <c r="AB295" s="433">
        <f t="shared" si="67"/>
        <v>0</v>
      </c>
      <c r="AC295" s="352"/>
    </row>
    <row r="296" spans="1:29" s="54" customFormat="1" ht="31.5">
      <c r="A296" s="561"/>
      <c r="B296" s="798"/>
      <c r="C296" s="50" t="s">
        <v>2256</v>
      </c>
      <c r="D296" s="72" t="s">
        <v>2257</v>
      </c>
      <c r="E296" s="103"/>
      <c r="F296" s="51">
        <v>281773000</v>
      </c>
      <c r="G296" s="155">
        <f>E296+F296</f>
        <v>281773000</v>
      </c>
      <c r="H296" s="51"/>
      <c r="I296" s="73"/>
      <c r="J296" s="1367" t="s">
        <v>2585</v>
      </c>
      <c r="K296" s="256" t="s">
        <v>3036</v>
      </c>
      <c r="L296" s="1563" t="s">
        <v>387</v>
      </c>
      <c r="M296" s="347" t="s">
        <v>2586</v>
      </c>
      <c r="N296" s="344">
        <v>6534000</v>
      </c>
      <c r="O296" s="344"/>
      <c r="P296" s="344">
        <f t="shared" ref="P296:P302" si="70">N296+O296</f>
        <v>6534000</v>
      </c>
      <c r="Q296" s="344"/>
      <c r="R296" s="344"/>
      <c r="S296" s="344"/>
      <c r="T296" s="344"/>
      <c r="U296" s="344"/>
      <c r="V296" s="348">
        <f t="shared" ref="V296:V302" si="71">P296</f>
        <v>6534000</v>
      </c>
      <c r="W296" s="349" t="s">
        <v>3032</v>
      </c>
      <c r="X296" s="350">
        <v>42670</v>
      </c>
      <c r="Y296" s="350">
        <v>42676</v>
      </c>
      <c r="Z296" s="264">
        <f>V296</f>
        <v>6534000</v>
      </c>
      <c r="AA296" s="351">
        <v>1</v>
      </c>
      <c r="AB296" s="433">
        <f t="shared" si="67"/>
        <v>275239000</v>
      </c>
      <c r="AC296" s="352"/>
    </row>
    <row r="297" spans="1:29" s="54" customFormat="1" ht="47.25">
      <c r="A297" s="561"/>
      <c r="B297" s="798"/>
      <c r="C297" s="50"/>
      <c r="D297" s="343"/>
      <c r="E297" s="264"/>
      <c r="F297" s="344"/>
      <c r="G297" s="345"/>
      <c r="H297" s="381" t="s">
        <v>2897</v>
      </c>
      <c r="I297" s="73">
        <v>42674</v>
      </c>
      <c r="J297" s="1367" t="s">
        <v>2880</v>
      </c>
      <c r="K297" s="256" t="s">
        <v>3744</v>
      </c>
      <c r="L297" s="1729" t="s">
        <v>3745</v>
      </c>
      <c r="M297" s="347" t="s">
        <v>2879</v>
      </c>
      <c r="N297" s="344"/>
      <c r="O297" s="344">
        <v>71225000</v>
      </c>
      <c r="P297" s="344">
        <f t="shared" si="70"/>
        <v>71225000</v>
      </c>
      <c r="Q297" s="344"/>
      <c r="R297" s="344"/>
      <c r="S297" s="344"/>
      <c r="T297" s="344"/>
      <c r="U297" s="344"/>
      <c r="V297" s="348">
        <f t="shared" si="71"/>
        <v>71225000</v>
      </c>
      <c r="W297" s="349"/>
      <c r="X297" s="350"/>
      <c r="Y297" s="350"/>
      <c r="Z297" s="264"/>
      <c r="AA297" s="351"/>
      <c r="AB297" s="433">
        <f t="shared" si="67"/>
        <v>-71225000</v>
      </c>
      <c r="AC297" s="352"/>
    </row>
    <row r="298" spans="1:29" s="54" customFormat="1" ht="47.25">
      <c r="A298" s="561"/>
      <c r="B298" s="798"/>
      <c r="C298" s="50"/>
      <c r="D298" s="343"/>
      <c r="E298" s="264"/>
      <c r="F298" s="344"/>
      <c r="G298" s="345"/>
      <c r="H298" s="381" t="s">
        <v>2956</v>
      </c>
      <c r="I298" s="73">
        <v>42677</v>
      </c>
      <c r="J298" s="1367" t="s">
        <v>2954</v>
      </c>
      <c r="K298" s="256" t="s">
        <v>3746</v>
      </c>
      <c r="L298" s="1729" t="s">
        <v>3747</v>
      </c>
      <c r="M298" s="347" t="s">
        <v>2955</v>
      </c>
      <c r="N298" s="344"/>
      <c r="O298" s="344">
        <v>118030000</v>
      </c>
      <c r="P298" s="344">
        <f t="shared" si="70"/>
        <v>118030000</v>
      </c>
      <c r="Q298" s="344"/>
      <c r="R298" s="344"/>
      <c r="S298" s="344"/>
      <c r="T298" s="344"/>
      <c r="U298" s="344"/>
      <c r="V298" s="348">
        <f t="shared" si="71"/>
        <v>118030000</v>
      </c>
      <c r="W298" s="349"/>
      <c r="X298" s="350"/>
      <c r="Y298" s="350"/>
      <c r="Z298" s="264"/>
      <c r="AA298" s="351"/>
      <c r="AB298" s="433">
        <f t="shared" si="67"/>
        <v>-118030000</v>
      </c>
      <c r="AC298" s="352"/>
    </row>
    <row r="299" spans="1:29" s="54" customFormat="1" ht="31.5">
      <c r="A299" s="561"/>
      <c r="B299" s="798"/>
      <c r="C299" s="50"/>
      <c r="D299" s="343"/>
      <c r="E299" s="264"/>
      <c r="F299" s="344"/>
      <c r="G299" s="345"/>
      <c r="H299" s="381"/>
      <c r="I299" s="73"/>
      <c r="J299" s="1367" t="s">
        <v>3186</v>
      </c>
      <c r="K299" s="256"/>
      <c r="L299" s="1670"/>
      <c r="M299" s="347" t="s">
        <v>3189</v>
      </c>
      <c r="N299" s="344"/>
      <c r="O299" s="344">
        <v>9900000</v>
      </c>
      <c r="P299" s="344">
        <f t="shared" si="70"/>
        <v>9900000</v>
      </c>
      <c r="Q299" s="344"/>
      <c r="R299" s="344"/>
      <c r="S299" s="344"/>
      <c r="T299" s="344"/>
      <c r="U299" s="344"/>
      <c r="V299" s="348">
        <f t="shared" si="71"/>
        <v>9900000</v>
      </c>
      <c r="W299" s="374" t="s">
        <v>3528</v>
      </c>
      <c r="X299" s="375">
        <v>42719</v>
      </c>
      <c r="Y299" s="375">
        <v>42725</v>
      </c>
      <c r="Z299" s="110">
        <f>V299</f>
        <v>9900000</v>
      </c>
      <c r="AA299" s="376">
        <v>1</v>
      </c>
      <c r="AB299" s="433">
        <f t="shared" si="67"/>
        <v>-9900000</v>
      </c>
      <c r="AC299" s="352"/>
    </row>
    <row r="300" spans="1:29" s="54" customFormat="1" ht="31.5">
      <c r="A300" s="561"/>
      <c r="B300" s="798"/>
      <c r="C300" s="50"/>
      <c r="D300" s="343"/>
      <c r="E300" s="264"/>
      <c r="F300" s="344"/>
      <c r="G300" s="345"/>
      <c r="H300" s="381"/>
      <c r="I300" s="73"/>
      <c r="J300" s="1367" t="s">
        <v>3187</v>
      </c>
      <c r="K300" s="256"/>
      <c r="L300" s="1670"/>
      <c r="M300" s="347" t="s">
        <v>3190</v>
      </c>
      <c r="N300" s="344"/>
      <c r="O300" s="344">
        <v>5170000</v>
      </c>
      <c r="P300" s="344">
        <f t="shared" si="70"/>
        <v>5170000</v>
      </c>
      <c r="Q300" s="344"/>
      <c r="R300" s="344"/>
      <c r="S300" s="344"/>
      <c r="T300" s="344"/>
      <c r="U300" s="344"/>
      <c r="V300" s="348">
        <f t="shared" si="71"/>
        <v>5170000</v>
      </c>
      <c r="W300" s="374" t="s">
        <v>3528</v>
      </c>
      <c r="X300" s="375">
        <v>42719</v>
      </c>
      <c r="Y300" s="375">
        <v>42725</v>
      </c>
      <c r="Z300" s="110">
        <f>V300</f>
        <v>5170000</v>
      </c>
      <c r="AA300" s="376">
        <v>1</v>
      </c>
      <c r="AB300" s="433">
        <f t="shared" si="67"/>
        <v>-5170000</v>
      </c>
      <c r="AC300" s="352"/>
    </row>
    <row r="301" spans="1:29" s="54" customFormat="1">
      <c r="A301" s="561"/>
      <c r="B301" s="798"/>
      <c r="C301" s="50"/>
      <c r="D301" s="343"/>
      <c r="E301" s="264"/>
      <c r="F301" s="344"/>
      <c r="G301" s="345"/>
      <c r="H301" s="381"/>
      <c r="I301" s="73"/>
      <c r="J301" s="1367" t="s">
        <v>3188</v>
      </c>
      <c r="K301" s="256"/>
      <c r="L301" s="1670"/>
      <c r="M301" s="347" t="s">
        <v>3191</v>
      </c>
      <c r="N301" s="344"/>
      <c r="O301" s="344">
        <v>4620000</v>
      </c>
      <c r="P301" s="344">
        <f t="shared" si="70"/>
        <v>4620000</v>
      </c>
      <c r="Q301" s="344"/>
      <c r="R301" s="344"/>
      <c r="S301" s="344"/>
      <c r="T301" s="344"/>
      <c r="U301" s="344"/>
      <c r="V301" s="348">
        <f t="shared" si="71"/>
        <v>4620000</v>
      </c>
      <c r="W301" s="374" t="s">
        <v>3528</v>
      </c>
      <c r="X301" s="375">
        <v>42719</v>
      </c>
      <c r="Y301" s="375">
        <v>42725</v>
      </c>
      <c r="Z301" s="110">
        <f>V301</f>
        <v>4620000</v>
      </c>
      <c r="AA301" s="376">
        <v>1</v>
      </c>
      <c r="AB301" s="433">
        <f t="shared" si="67"/>
        <v>-4620000</v>
      </c>
      <c r="AC301" s="352"/>
    </row>
    <row r="302" spans="1:29" s="54" customFormat="1" ht="47.25">
      <c r="A302" s="561"/>
      <c r="B302" s="798"/>
      <c r="C302" s="50"/>
      <c r="D302" s="343"/>
      <c r="E302" s="264"/>
      <c r="F302" s="344"/>
      <c r="G302" s="345"/>
      <c r="H302" s="381" t="s">
        <v>3298</v>
      </c>
      <c r="I302" s="73">
        <v>42717</v>
      </c>
      <c r="J302" s="1367" t="s">
        <v>3274</v>
      </c>
      <c r="K302" s="256" t="s">
        <v>3651</v>
      </c>
      <c r="L302" s="1729" t="s">
        <v>387</v>
      </c>
      <c r="M302" s="347" t="s">
        <v>3275</v>
      </c>
      <c r="N302" s="344">
        <v>65598093</v>
      </c>
      <c r="O302" s="344"/>
      <c r="P302" s="344">
        <f t="shared" si="70"/>
        <v>65598093</v>
      </c>
      <c r="Q302" s="344"/>
      <c r="R302" s="344"/>
      <c r="S302" s="344"/>
      <c r="T302" s="344"/>
      <c r="U302" s="344"/>
      <c r="V302" s="348">
        <f t="shared" si="71"/>
        <v>65598093</v>
      </c>
      <c r="W302" s="349" t="s">
        <v>3649</v>
      </c>
      <c r="X302" s="350">
        <v>42728</v>
      </c>
      <c r="Y302" s="350">
        <v>42732</v>
      </c>
      <c r="Z302" s="1637">
        <f>V302</f>
        <v>65598093</v>
      </c>
      <c r="AA302" s="1627">
        <v>1</v>
      </c>
      <c r="AB302" s="433">
        <f t="shared" si="67"/>
        <v>-65598093</v>
      </c>
      <c r="AC302" s="352"/>
    </row>
    <row r="303" spans="1:29" s="755" customFormat="1">
      <c r="A303" s="843"/>
      <c r="B303" s="1314"/>
      <c r="C303" s="773" t="str">
        <f>C296</f>
        <v>PRK.2016.WKT-4.3.53225.142</v>
      </c>
      <c r="D303" s="1171"/>
      <c r="E303" s="844"/>
      <c r="F303" s="844"/>
      <c r="G303" s="850">
        <f>G296</f>
        <v>281773000</v>
      </c>
      <c r="H303" s="748"/>
      <c r="I303" s="788"/>
      <c r="J303" s="1315"/>
      <c r="K303" s="855"/>
      <c r="L303" s="856"/>
      <c r="M303" s="857"/>
      <c r="N303" s="844">
        <f>SUM(N296:N302)</f>
        <v>72132093</v>
      </c>
      <c r="O303" s="844">
        <f t="shared" ref="O303:V303" si="72">SUM(O296:O302)</f>
        <v>208945000</v>
      </c>
      <c r="P303" s="844">
        <f t="shared" si="72"/>
        <v>281077093</v>
      </c>
      <c r="Q303" s="844">
        <f t="shared" si="72"/>
        <v>0</v>
      </c>
      <c r="R303" s="844">
        <f t="shared" si="72"/>
        <v>0</v>
      </c>
      <c r="S303" s="844">
        <f t="shared" si="72"/>
        <v>0</v>
      </c>
      <c r="T303" s="844">
        <f t="shared" si="72"/>
        <v>0</v>
      </c>
      <c r="U303" s="844">
        <f t="shared" si="72"/>
        <v>0</v>
      </c>
      <c r="V303" s="844">
        <f t="shared" si="72"/>
        <v>281077093</v>
      </c>
      <c r="W303" s="845"/>
      <c r="X303" s="846"/>
      <c r="Y303" s="846"/>
      <c r="Z303" s="844">
        <f>SUM(Z296:Z302)</f>
        <v>91822093</v>
      </c>
      <c r="AA303" s="847"/>
      <c r="AB303" s="756">
        <f t="shared" si="67"/>
        <v>695907</v>
      </c>
      <c r="AC303" s="848"/>
    </row>
    <row r="304" spans="1:29" s="54" customFormat="1" ht="16.5" thickBot="1">
      <c r="A304" s="561"/>
      <c r="B304" s="564"/>
      <c r="C304" s="50"/>
      <c r="D304" s="343"/>
      <c r="E304" s="264"/>
      <c r="F304" s="344"/>
      <c r="G304" s="345"/>
      <c r="H304" s="51"/>
      <c r="I304" s="73"/>
      <c r="J304" s="276"/>
      <c r="K304" s="256"/>
      <c r="L304" s="346"/>
      <c r="M304" s="72"/>
      <c r="N304" s="344">
        <v>0</v>
      </c>
      <c r="O304" s="344"/>
      <c r="P304" s="262">
        <f>N304+O304</f>
        <v>0</v>
      </c>
      <c r="Q304" s="344"/>
      <c r="R304" s="344"/>
      <c r="S304" s="344"/>
      <c r="T304" s="344"/>
      <c r="U304" s="344"/>
      <c r="V304" s="262">
        <f>T304+U304</f>
        <v>0</v>
      </c>
      <c r="W304" s="349"/>
      <c r="X304" s="350"/>
      <c r="Y304" s="350"/>
      <c r="Z304" s="264"/>
      <c r="AA304" s="351"/>
      <c r="AB304" s="57">
        <f t="shared" si="67"/>
        <v>0</v>
      </c>
      <c r="AC304" s="352"/>
    </row>
    <row r="305" spans="1:34" s="340" customFormat="1" ht="15.75" customHeight="1" thickBot="1">
      <c r="A305" s="2741" t="str">
        <f>B279</f>
        <v>009.KIT/AO/BRU/2016/M</v>
      </c>
      <c r="B305" s="2742"/>
      <c r="C305" s="2742"/>
      <c r="D305" s="2743"/>
      <c r="E305" s="333">
        <f>+E279+E281+E283+E289+E294+E296</f>
        <v>0</v>
      </c>
      <c r="F305" s="333">
        <f>+F279+F281+F283+F289+F294+F296</f>
        <v>418664000</v>
      </c>
      <c r="G305" s="333">
        <f>+G279+G281+G283+G289+G294+G296</f>
        <v>418664000</v>
      </c>
      <c r="H305" s="333">
        <f>+H279+H281+H283+H289+H294+H296</f>
        <v>0</v>
      </c>
      <c r="I305" s="333"/>
      <c r="J305" s="334"/>
      <c r="K305" s="335"/>
      <c r="L305" s="336"/>
      <c r="M305" s="337"/>
      <c r="N305" s="333">
        <f t="shared" ref="N305:V305" si="73">+N279+N281+N287+N292+N294+N303</f>
        <v>142772993</v>
      </c>
      <c r="O305" s="333">
        <f t="shared" si="73"/>
        <v>232979450</v>
      </c>
      <c r="P305" s="333">
        <f t="shared" si="73"/>
        <v>375752443</v>
      </c>
      <c r="Q305" s="333">
        <f t="shared" si="73"/>
        <v>0</v>
      </c>
      <c r="R305" s="333">
        <f t="shared" si="73"/>
        <v>0</v>
      </c>
      <c r="S305" s="333">
        <f t="shared" si="73"/>
        <v>0</v>
      </c>
      <c r="T305" s="333">
        <f t="shared" si="73"/>
        <v>0</v>
      </c>
      <c r="U305" s="333">
        <f t="shared" si="73"/>
        <v>0</v>
      </c>
      <c r="V305" s="333">
        <f t="shared" si="73"/>
        <v>375752443</v>
      </c>
      <c r="W305" s="338"/>
      <c r="X305" s="339"/>
      <c r="Y305" s="339"/>
      <c r="Z305" s="333">
        <f>+Z279+Z281+Z287+Z292+Z294+Z303</f>
        <v>186497443</v>
      </c>
      <c r="AA305" s="333"/>
      <c r="AB305" s="1227">
        <f t="shared" si="67"/>
        <v>42911557</v>
      </c>
      <c r="AC305" s="338"/>
    </row>
    <row r="306" spans="1:34" s="54" customFormat="1" ht="15.75" customHeight="1">
      <c r="A306" s="80"/>
      <c r="B306" s="80"/>
      <c r="C306" s="80"/>
      <c r="D306" s="80"/>
      <c r="E306" s="110"/>
      <c r="F306" s="110"/>
      <c r="G306" s="240"/>
      <c r="H306" s="110"/>
      <c r="I306" s="110"/>
      <c r="J306" s="275"/>
      <c r="K306" s="111"/>
      <c r="L306" s="111"/>
      <c r="M306" s="112"/>
      <c r="N306" s="110"/>
      <c r="O306" s="110"/>
      <c r="P306" s="110"/>
      <c r="Q306" s="110"/>
      <c r="R306" s="110"/>
      <c r="S306" s="110"/>
      <c r="T306" s="110"/>
      <c r="U306" s="110"/>
      <c r="V306" s="103"/>
      <c r="W306" s="135"/>
      <c r="X306" s="114"/>
      <c r="Y306" s="114"/>
      <c r="Z306" s="110"/>
      <c r="AA306" s="110"/>
      <c r="AB306" s="110"/>
      <c r="AC306" s="113"/>
    </row>
    <row r="307" spans="1:34" s="54" customFormat="1" ht="47.25">
      <c r="A307" s="81">
        <v>10</v>
      </c>
      <c r="B307" s="50" t="s">
        <v>2417</v>
      </c>
      <c r="C307" s="50" t="s">
        <v>2419</v>
      </c>
      <c r="D307" s="72" t="s">
        <v>2421</v>
      </c>
      <c r="E307" s="51">
        <v>600030200</v>
      </c>
      <c r="F307" s="51">
        <v>0</v>
      </c>
      <c r="G307" s="155">
        <f>E307+F307</f>
        <v>600030200</v>
      </c>
      <c r="H307" s="381" t="s">
        <v>2750</v>
      </c>
      <c r="I307" s="73">
        <v>42661</v>
      </c>
      <c r="J307" s="1367" t="s">
        <v>2556</v>
      </c>
      <c r="K307" s="454" t="s">
        <v>2845</v>
      </c>
      <c r="L307" s="1486" t="s">
        <v>1743</v>
      </c>
      <c r="M307" s="347" t="s">
        <v>2428</v>
      </c>
      <c r="N307" s="344">
        <v>293975000</v>
      </c>
      <c r="O307" s="344"/>
      <c r="P307" s="51">
        <f>N307+O307</f>
        <v>293975000</v>
      </c>
      <c r="Q307" s="344"/>
      <c r="R307" s="344"/>
      <c r="S307" s="344"/>
      <c r="T307" s="344"/>
      <c r="U307" s="344"/>
      <c r="V307" s="348">
        <f>P307</f>
        <v>293975000</v>
      </c>
      <c r="W307" s="1637" t="s">
        <v>3549</v>
      </c>
      <c r="X307" s="1638">
        <v>42720</v>
      </c>
      <c r="Y307" s="1638">
        <v>42724</v>
      </c>
      <c r="Z307" s="1637">
        <f>V307</f>
        <v>293975000</v>
      </c>
      <c r="AA307" s="1627">
        <v>1</v>
      </c>
      <c r="AB307" s="433">
        <f t="shared" ref="AB307:AB318" si="74">+G307-P307</f>
        <v>306055200</v>
      </c>
      <c r="AC307" s="106"/>
    </row>
    <row r="308" spans="1:34" s="54" customFormat="1" ht="47.25">
      <c r="A308" s="561"/>
      <c r="B308" s="153" t="s">
        <v>2418</v>
      </c>
      <c r="C308" s="50"/>
      <c r="D308" s="343"/>
      <c r="E308" s="344"/>
      <c r="F308" s="344"/>
      <c r="G308" s="345"/>
      <c r="H308" s="381" t="s">
        <v>2436</v>
      </c>
      <c r="I308" s="73">
        <v>42634</v>
      </c>
      <c r="J308" s="276" t="s">
        <v>2427</v>
      </c>
      <c r="K308" s="454" t="s">
        <v>2525</v>
      </c>
      <c r="L308" s="346" t="s">
        <v>1906</v>
      </c>
      <c r="M308" s="347" t="s">
        <v>2429</v>
      </c>
      <c r="N308" s="344">
        <v>293975000</v>
      </c>
      <c r="O308" s="344"/>
      <c r="P308" s="51">
        <f>N308+O308</f>
        <v>293975000</v>
      </c>
      <c r="Q308" s="344"/>
      <c r="R308" s="344"/>
      <c r="S308" s="344"/>
      <c r="T308" s="344"/>
      <c r="U308" s="344"/>
      <c r="V308" s="348">
        <f>P308</f>
        <v>293975000</v>
      </c>
      <c r="W308" s="349" t="s">
        <v>3649</v>
      </c>
      <c r="X308" s="350">
        <v>42728</v>
      </c>
      <c r="Y308" s="350">
        <v>42732</v>
      </c>
      <c r="Z308" s="1637">
        <f>V308</f>
        <v>293975000</v>
      </c>
      <c r="AA308" s="1627">
        <v>1</v>
      </c>
      <c r="AB308" s="433">
        <f t="shared" si="74"/>
        <v>-293975000</v>
      </c>
      <c r="AC308" s="352"/>
      <c r="AH308" s="958">
        <f>V308</f>
        <v>293975000</v>
      </c>
    </row>
    <row r="309" spans="1:34" s="54" customFormat="1" ht="31.5">
      <c r="A309" s="561"/>
      <c r="B309" s="798"/>
      <c r="C309" s="50"/>
      <c r="D309" s="343"/>
      <c r="E309" s="344"/>
      <c r="F309" s="344"/>
      <c r="G309" s="345"/>
      <c r="H309" s="381"/>
      <c r="I309" s="73"/>
      <c r="J309" s="276" t="s">
        <v>2988</v>
      </c>
      <c r="K309" s="256" t="s">
        <v>3370</v>
      </c>
      <c r="L309" s="1530" t="s">
        <v>3371</v>
      </c>
      <c r="M309" s="347" t="s">
        <v>2989</v>
      </c>
      <c r="N309" s="344">
        <v>8217000</v>
      </c>
      <c r="O309" s="344"/>
      <c r="P309" s="51">
        <f>N309+O309</f>
        <v>8217000</v>
      </c>
      <c r="Q309" s="344"/>
      <c r="R309" s="344"/>
      <c r="S309" s="344"/>
      <c r="T309" s="344"/>
      <c r="U309" s="344"/>
      <c r="V309" s="348">
        <f>P309</f>
        <v>8217000</v>
      </c>
      <c r="W309" s="349" t="s">
        <v>3369</v>
      </c>
      <c r="X309" s="350">
        <v>42704</v>
      </c>
      <c r="Y309" s="350">
        <v>42710</v>
      </c>
      <c r="Z309" s="264">
        <f>V309</f>
        <v>8217000</v>
      </c>
      <c r="AA309" s="351">
        <v>1</v>
      </c>
      <c r="AB309" s="433">
        <f t="shared" si="74"/>
        <v>-8217000</v>
      </c>
      <c r="AC309" s="352"/>
      <c r="AH309" s="958"/>
    </row>
    <row r="310" spans="1:34" s="772" customFormat="1">
      <c r="A310" s="843"/>
      <c r="B310" s="1309">
        <v>42627</v>
      </c>
      <c r="C310" s="773" t="str">
        <f>C307</f>
        <v>PRK.2016.WKT-4.9.53211.357</v>
      </c>
      <c r="D310" s="1117"/>
      <c r="E310" s="1085"/>
      <c r="F310" s="1085"/>
      <c r="G310" s="850">
        <f>G307</f>
        <v>600030200</v>
      </c>
      <c r="H310" s="1310"/>
      <c r="I310" s="1007"/>
      <c r="J310" s="1311"/>
      <c r="K310" s="1087"/>
      <c r="L310" s="1088"/>
      <c r="M310" s="1089"/>
      <c r="N310" s="844">
        <f>SUM(N307:N309)</f>
        <v>596167000</v>
      </c>
      <c r="O310" s="844">
        <f t="shared" ref="O310:U310" si="75">SUM(O307:O308)</f>
        <v>0</v>
      </c>
      <c r="P310" s="844">
        <f>SUM(P307:P309)</f>
        <v>596167000</v>
      </c>
      <c r="Q310" s="844">
        <f t="shared" si="75"/>
        <v>0</v>
      </c>
      <c r="R310" s="844">
        <f t="shared" si="75"/>
        <v>0</v>
      </c>
      <c r="S310" s="844">
        <f t="shared" si="75"/>
        <v>0</v>
      </c>
      <c r="T310" s="844">
        <f t="shared" si="75"/>
        <v>0</v>
      </c>
      <c r="U310" s="844">
        <f t="shared" si="75"/>
        <v>0</v>
      </c>
      <c r="V310" s="844">
        <f>SUM(V307:V309)</f>
        <v>596167000</v>
      </c>
      <c r="W310" s="845"/>
      <c r="X310" s="846"/>
      <c r="Y310" s="846"/>
      <c r="Z310" s="844">
        <f>SUM(Z307:Z309)</f>
        <v>596167000</v>
      </c>
      <c r="AA310" s="847"/>
      <c r="AB310" s="756">
        <f t="shared" si="74"/>
        <v>3863200</v>
      </c>
      <c r="AC310" s="848"/>
    </row>
    <row r="311" spans="1:34" s="54" customFormat="1">
      <c r="A311" s="561"/>
      <c r="B311" s="153"/>
      <c r="C311" s="50"/>
      <c r="D311" s="343"/>
      <c r="E311" s="344"/>
      <c r="F311" s="344"/>
      <c r="G311" s="345"/>
      <c r="H311" s="51"/>
      <c r="I311" s="73"/>
      <c r="J311" s="276"/>
      <c r="K311" s="256"/>
      <c r="L311" s="346"/>
      <c r="M311" s="347"/>
      <c r="N311" s="344">
        <v>0</v>
      </c>
      <c r="O311" s="344"/>
      <c r="P311" s="51">
        <f>N311+O311</f>
        <v>0</v>
      </c>
      <c r="Q311" s="344"/>
      <c r="R311" s="344"/>
      <c r="S311" s="344"/>
      <c r="T311" s="344"/>
      <c r="U311" s="344"/>
      <c r="V311" s="348"/>
      <c r="W311" s="349"/>
      <c r="X311" s="350"/>
      <c r="Y311" s="350"/>
      <c r="Z311" s="264"/>
      <c r="AA311" s="351"/>
      <c r="AB311" s="433">
        <f t="shared" si="74"/>
        <v>0</v>
      </c>
      <c r="AC311" s="352"/>
    </row>
    <row r="312" spans="1:34" s="54" customFormat="1" ht="47.25">
      <c r="A312" s="561"/>
      <c r="B312" s="564"/>
      <c r="C312" s="50" t="s">
        <v>2420</v>
      </c>
      <c r="D312" s="72" t="s">
        <v>2422</v>
      </c>
      <c r="E312" s="51">
        <v>367656696</v>
      </c>
      <c r="F312" s="51">
        <v>0</v>
      </c>
      <c r="G312" s="155">
        <f>E312+F312</f>
        <v>367656696</v>
      </c>
      <c r="H312" s="381" t="s">
        <v>2438</v>
      </c>
      <c r="I312" s="73">
        <v>42634</v>
      </c>
      <c r="J312" s="276" t="s">
        <v>2426</v>
      </c>
      <c r="K312" s="454" t="s">
        <v>2526</v>
      </c>
      <c r="L312" s="346" t="s">
        <v>2527</v>
      </c>
      <c r="M312" s="347" t="s">
        <v>2430</v>
      </c>
      <c r="N312" s="344">
        <v>268000370</v>
      </c>
      <c r="O312" s="344"/>
      <c r="P312" s="51">
        <f>N312+O312</f>
        <v>268000370</v>
      </c>
      <c r="Q312" s="344"/>
      <c r="R312" s="344"/>
      <c r="S312" s="344"/>
      <c r="T312" s="344"/>
      <c r="U312" s="344"/>
      <c r="V312" s="348">
        <f>P312</f>
        <v>268000370</v>
      </c>
      <c r="W312" s="1637" t="s">
        <v>3200</v>
      </c>
      <c r="X312" s="1638">
        <v>42698</v>
      </c>
      <c r="Y312" s="1638">
        <v>42704</v>
      </c>
      <c r="Z312" s="1637">
        <f>V312</f>
        <v>268000370</v>
      </c>
      <c r="AA312" s="1627">
        <v>1</v>
      </c>
      <c r="AB312" s="433">
        <f t="shared" si="74"/>
        <v>99656326</v>
      </c>
      <c r="AC312" s="352"/>
    </row>
    <row r="313" spans="1:34" s="54" customFormat="1" ht="47.25">
      <c r="A313" s="561"/>
      <c r="B313" s="564"/>
      <c r="C313" s="50"/>
      <c r="D313" s="343"/>
      <c r="E313" s="344"/>
      <c r="F313" s="344"/>
      <c r="G313" s="345"/>
      <c r="H313" s="381" t="s">
        <v>2567</v>
      </c>
      <c r="I313" s="73">
        <v>42647</v>
      </c>
      <c r="J313" s="276" t="s">
        <v>2566</v>
      </c>
      <c r="K313" s="454" t="s">
        <v>2827</v>
      </c>
      <c r="L313" s="1484" t="s">
        <v>715</v>
      </c>
      <c r="M313" s="347" t="s">
        <v>2553</v>
      </c>
      <c r="N313" s="344">
        <v>97666800</v>
      </c>
      <c r="O313" s="344"/>
      <c r="P313" s="262">
        <f>N313+O313</f>
        <v>97666800</v>
      </c>
      <c r="Q313" s="344"/>
      <c r="R313" s="344"/>
      <c r="S313" s="344"/>
      <c r="T313" s="344"/>
      <c r="U313" s="344"/>
      <c r="V313" s="348">
        <f>P313</f>
        <v>97666800</v>
      </c>
      <c r="W313" s="1637" t="s">
        <v>3540</v>
      </c>
      <c r="X313" s="1638">
        <v>42719</v>
      </c>
      <c r="Y313" s="1638">
        <v>42724</v>
      </c>
      <c r="Z313" s="1637">
        <f>V313</f>
        <v>97666800</v>
      </c>
      <c r="AA313" s="1627">
        <v>1</v>
      </c>
      <c r="AB313" s="433">
        <f t="shared" si="74"/>
        <v>-97666800</v>
      </c>
      <c r="AC313" s="352"/>
    </row>
    <row r="314" spans="1:34" s="54" customFormat="1" ht="31.5">
      <c r="A314" s="561"/>
      <c r="B314" s="798"/>
      <c r="C314" s="50"/>
      <c r="D314" s="343"/>
      <c r="E314" s="344"/>
      <c r="F314" s="344"/>
      <c r="G314" s="345"/>
      <c r="H314" s="381"/>
      <c r="I314" s="73"/>
      <c r="J314" s="1367" t="s">
        <v>3299</v>
      </c>
      <c r="K314" s="256"/>
      <c r="L314" s="1696"/>
      <c r="M314" s="347" t="s">
        <v>3300</v>
      </c>
      <c r="N314" s="344">
        <v>1469600</v>
      </c>
      <c r="O314" s="344"/>
      <c r="P314" s="51">
        <f>N314+O314</f>
        <v>1469600</v>
      </c>
      <c r="Q314" s="344"/>
      <c r="R314" s="344"/>
      <c r="S314" s="344"/>
      <c r="T314" s="344"/>
      <c r="U314" s="344"/>
      <c r="V314" s="348">
        <f>P314</f>
        <v>1469600</v>
      </c>
      <c r="W314" s="349" t="s">
        <v>3546</v>
      </c>
      <c r="X314" s="350">
        <v>42728</v>
      </c>
      <c r="Y314" s="350">
        <v>42732</v>
      </c>
      <c r="Z314" s="1637">
        <f>V314</f>
        <v>1469600</v>
      </c>
      <c r="AA314" s="1627">
        <v>1</v>
      </c>
      <c r="AB314" s="433">
        <f t="shared" si="74"/>
        <v>-1469600</v>
      </c>
      <c r="AC314" s="352"/>
    </row>
    <row r="315" spans="1:34" s="755" customFormat="1">
      <c r="A315" s="843"/>
      <c r="B315" s="749"/>
      <c r="C315" s="773" t="str">
        <f>C312</f>
        <v>PRK.2016.WKT-4.9.53211.358</v>
      </c>
      <c r="D315" s="1171"/>
      <c r="E315" s="844"/>
      <c r="F315" s="844"/>
      <c r="G315" s="850">
        <f>G312</f>
        <v>367656696</v>
      </c>
      <c r="H315" s="1365"/>
      <c r="I315" s="788"/>
      <c r="J315" s="1315"/>
      <c r="K315" s="855"/>
      <c r="L315" s="856"/>
      <c r="M315" s="857"/>
      <c r="N315" s="844">
        <f>SUM(N312:N314)</f>
        <v>367136770</v>
      </c>
      <c r="O315" s="844">
        <f t="shared" ref="O315:V315" si="76">SUM(O312:O314)</f>
        <v>0</v>
      </c>
      <c r="P315" s="844">
        <f t="shared" si="76"/>
        <v>367136770</v>
      </c>
      <c r="Q315" s="844">
        <f t="shared" si="76"/>
        <v>0</v>
      </c>
      <c r="R315" s="844">
        <f t="shared" si="76"/>
        <v>0</v>
      </c>
      <c r="S315" s="844">
        <f t="shared" si="76"/>
        <v>0</v>
      </c>
      <c r="T315" s="844">
        <f t="shared" si="76"/>
        <v>0</v>
      </c>
      <c r="U315" s="844">
        <f t="shared" si="76"/>
        <v>0</v>
      </c>
      <c r="V315" s="844">
        <f t="shared" si="76"/>
        <v>367136770</v>
      </c>
      <c r="W315" s="845"/>
      <c r="X315" s="846"/>
      <c r="Y315" s="846"/>
      <c r="Z315" s="844">
        <f>SUM(Z312:Z314)</f>
        <v>367136770</v>
      </c>
      <c r="AA315" s="847"/>
      <c r="AB315" s="1364">
        <f t="shared" si="74"/>
        <v>519926</v>
      </c>
      <c r="AC315" s="848"/>
    </row>
    <row r="316" spans="1:34" s="54" customFormat="1">
      <c r="A316" s="561"/>
      <c r="B316" s="798"/>
      <c r="C316" s="50"/>
      <c r="D316" s="343"/>
      <c r="E316" s="264"/>
      <c r="F316" s="344"/>
      <c r="G316" s="345"/>
      <c r="H316" s="51"/>
      <c r="I316" s="73"/>
      <c r="J316" s="276"/>
      <c r="K316" s="256"/>
      <c r="L316" s="346"/>
      <c r="M316" s="347"/>
      <c r="N316" s="344"/>
      <c r="O316" s="344"/>
      <c r="P316" s="262"/>
      <c r="Q316" s="344"/>
      <c r="R316" s="344"/>
      <c r="S316" s="344"/>
      <c r="T316" s="344"/>
      <c r="U316" s="344"/>
      <c r="V316" s="348"/>
      <c r="W316" s="349"/>
      <c r="X316" s="350"/>
      <c r="Y316" s="350"/>
      <c r="Z316" s="264"/>
      <c r="AA316" s="351"/>
      <c r="AB316" s="433">
        <f t="shared" si="74"/>
        <v>0</v>
      </c>
      <c r="AC316" s="352"/>
    </row>
    <row r="317" spans="1:34" s="54" customFormat="1" ht="16.5" thickBot="1">
      <c r="A317" s="561"/>
      <c r="B317" s="564"/>
      <c r="C317" s="50"/>
      <c r="D317" s="343"/>
      <c r="E317" s="264"/>
      <c r="F317" s="344"/>
      <c r="G317" s="345"/>
      <c r="H317" s="51"/>
      <c r="I317" s="73"/>
      <c r="J317" s="276"/>
      <c r="K317" s="256"/>
      <c r="L317" s="346"/>
      <c r="M317" s="72"/>
      <c r="N317" s="344">
        <v>0</v>
      </c>
      <c r="O317" s="344"/>
      <c r="P317" s="262">
        <f>N317+O317</f>
        <v>0</v>
      </c>
      <c r="Q317" s="344"/>
      <c r="R317" s="344"/>
      <c r="S317" s="344"/>
      <c r="T317" s="344"/>
      <c r="U317" s="344"/>
      <c r="V317" s="262">
        <f>T317+U317</f>
        <v>0</v>
      </c>
      <c r="W317" s="349"/>
      <c r="X317" s="350"/>
      <c r="Y317" s="350"/>
      <c r="Z317" s="264"/>
      <c r="AA317" s="351"/>
      <c r="AB317" s="57">
        <f t="shared" si="74"/>
        <v>0</v>
      </c>
      <c r="AC317" s="352"/>
    </row>
    <row r="318" spans="1:34" s="340" customFormat="1" ht="15.75" customHeight="1" thickBot="1">
      <c r="A318" s="2741" t="str">
        <f>B307</f>
        <v>010.KIT/AO/BRU/2016/M</v>
      </c>
      <c r="B318" s="2742"/>
      <c r="C318" s="2742"/>
      <c r="D318" s="2743"/>
      <c r="E318" s="333">
        <f>+E307+E312</f>
        <v>967686896</v>
      </c>
      <c r="F318" s="333">
        <f>+F307+F312</f>
        <v>0</v>
      </c>
      <c r="G318" s="333">
        <f>+G307+G312</f>
        <v>967686896</v>
      </c>
      <c r="H318" s="333"/>
      <c r="I318" s="333"/>
      <c r="J318" s="334"/>
      <c r="K318" s="335"/>
      <c r="L318" s="336"/>
      <c r="M318" s="337"/>
      <c r="N318" s="333">
        <f>+N310+N315</f>
        <v>963303770</v>
      </c>
      <c r="O318" s="333">
        <f t="shared" ref="O318:V318" si="77">+O310+O315</f>
        <v>0</v>
      </c>
      <c r="P318" s="333">
        <f t="shared" si="77"/>
        <v>963303770</v>
      </c>
      <c r="Q318" s="333">
        <f t="shared" si="77"/>
        <v>0</v>
      </c>
      <c r="R318" s="333">
        <f t="shared" si="77"/>
        <v>0</v>
      </c>
      <c r="S318" s="333">
        <f t="shared" si="77"/>
        <v>0</v>
      </c>
      <c r="T318" s="333">
        <f t="shared" si="77"/>
        <v>0</v>
      </c>
      <c r="U318" s="333">
        <f t="shared" si="77"/>
        <v>0</v>
      </c>
      <c r="V318" s="333">
        <f t="shared" si="77"/>
        <v>963303770</v>
      </c>
      <c r="W318" s="338"/>
      <c r="X318" s="339"/>
      <c r="Y318" s="339"/>
      <c r="Z318" s="333">
        <f>+Z310+Z315</f>
        <v>963303770</v>
      </c>
      <c r="AA318" s="333"/>
      <c r="AB318" s="1227">
        <f t="shared" si="74"/>
        <v>4383126</v>
      </c>
      <c r="AC318" s="338"/>
    </row>
    <row r="319" spans="1:34" s="54" customFormat="1" ht="47.25">
      <c r="A319" s="81">
        <v>11</v>
      </c>
      <c r="B319" s="50" t="s">
        <v>2867</v>
      </c>
      <c r="C319" s="50" t="s">
        <v>2869</v>
      </c>
      <c r="D319" s="72" t="s">
        <v>2870</v>
      </c>
      <c r="E319" s="51"/>
      <c r="F319" s="51">
        <v>1955351553</v>
      </c>
      <c r="G319" s="155">
        <f>E319+F319</f>
        <v>1955351553</v>
      </c>
      <c r="H319" s="381" t="s">
        <v>3005</v>
      </c>
      <c r="I319" s="73">
        <v>42684</v>
      </c>
      <c r="J319" s="1367" t="s">
        <v>2958</v>
      </c>
      <c r="K319" s="454" t="s">
        <v>3242</v>
      </c>
      <c r="L319" s="1490" t="s">
        <v>396</v>
      </c>
      <c r="M319" s="347" t="s">
        <v>2959</v>
      </c>
      <c r="N319" s="344"/>
      <c r="O319" s="344">
        <v>289506025</v>
      </c>
      <c r="P319" s="51">
        <f t="shared" ref="P319:P329" si="78">N319+O319</f>
        <v>289506025</v>
      </c>
      <c r="Q319" s="344"/>
      <c r="R319" s="344"/>
      <c r="S319" s="344"/>
      <c r="T319" s="344"/>
      <c r="U319" s="344"/>
      <c r="V319" s="1724">
        <f t="shared" ref="V319:V329" si="79">P319</f>
        <v>289506025</v>
      </c>
      <c r="W319" s="349" t="s">
        <v>3547</v>
      </c>
      <c r="X319" s="350">
        <v>42728</v>
      </c>
      <c r="Y319" s="350">
        <v>42734</v>
      </c>
      <c r="Z319" s="264">
        <f>V319</f>
        <v>289506025</v>
      </c>
      <c r="AA319" s="351">
        <v>1</v>
      </c>
      <c r="AB319" s="433">
        <f t="shared" ref="AB319:AB341" si="80">+G319-P319</f>
        <v>1665845528</v>
      </c>
      <c r="AC319" s="106"/>
    </row>
    <row r="320" spans="1:34" s="54" customFormat="1" ht="47.25">
      <c r="A320" s="561"/>
      <c r="B320" s="153" t="s">
        <v>2868</v>
      </c>
      <c r="C320" s="50"/>
      <c r="D320" s="343"/>
      <c r="E320" s="344"/>
      <c r="F320" s="344"/>
      <c r="G320" s="345"/>
      <c r="H320" s="381" t="s">
        <v>3004</v>
      </c>
      <c r="I320" s="73">
        <v>42684</v>
      </c>
      <c r="J320" s="1367" t="s">
        <v>2960</v>
      </c>
      <c r="K320" s="454" t="s">
        <v>3243</v>
      </c>
      <c r="L320" s="1528" t="s">
        <v>3249</v>
      </c>
      <c r="M320" s="347" t="s">
        <v>2961</v>
      </c>
      <c r="N320" s="344">
        <v>118800000</v>
      </c>
      <c r="O320" s="344"/>
      <c r="P320" s="51">
        <f t="shared" si="78"/>
        <v>118800000</v>
      </c>
      <c r="Q320" s="344"/>
      <c r="R320" s="344"/>
      <c r="S320" s="344"/>
      <c r="T320" s="344"/>
      <c r="U320" s="344"/>
      <c r="V320" s="1724">
        <f t="shared" si="79"/>
        <v>118800000</v>
      </c>
      <c r="W320" s="349"/>
      <c r="X320" s="350"/>
      <c r="Y320" s="350"/>
      <c r="Z320" s="264"/>
      <c r="AA320" s="351"/>
      <c r="AB320" s="433">
        <f t="shared" si="80"/>
        <v>-118800000</v>
      </c>
      <c r="AC320" s="352"/>
    </row>
    <row r="321" spans="1:34" s="54" customFormat="1" ht="47.25">
      <c r="A321" s="561"/>
      <c r="B321" s="564">
        <v>42664</v>
      </c>
      <c r="C321" s="50"/>
      <c r="D321" s="343"/>
      <c r="E321" s="344"/>
      <c r="F321" s="344"/>
      <c r="G321" s="345"/>
      <c r="H321" s="381" t="s">
        <v>3003</v>
      </c>
      <c r="I321" s="73">
        <v>42684</v>
      </c>
      <c r="J321" s="1367" t="s">
        <v>2962</v>
      </c>
      <c r="K321" s="454" t="s">
        <v>3244</v>
      </c>
      <c r="L321" s="1528" t="s">
        <v>2183</v>
      </c>
      <c r="M321" s="347" t="s">
        <v>2963</v>
      </c>
      <c r="N321" s="344">
        <v>292427275</v>
      </c>
      <c r="O321" s="344"/>
      <c r="P321" s="51">
        <f t="shared" si="78"/>
        <v>292427275</v>
      </c>
      <c r="Q321" s="344"/>
      <c r="R321" s="344"/>
      <c r="S321" s="344"/>
      <c r="T321" s="344"/>
      <c r="U321" s="344"/>
      <c r="V321" s="1724">
        <f t="shared" si="79"/>
        <v>292427275</v>
      </c>
      <c r="W321" s="349" t="s">
        <v>3548</v>
      </c>
      <c r="X321" s="350">
        <v>42732</v>
      </c>
      <c r="Y321" s="350">
        <v>42734</v>
      </c>
      <c r="Z321" s="264">
        <f>V321</f>
        <v>292427275</v>
      </c>
      <c r="AA321" s="351">
        <v>1</v>
      </c>
      <c r="AB321" s="433">
        <f t="shared" si="80"/>
        <v>-292427275</v>
      </c>
      <c r="AC321" s="352"/>
    </row>
    <row r="322" spans="1:34" s="54" customFormat="1" ht="47.25">
      <c r="A322" s="561"/>
      <c r="B322" s="50"/>
      <c r="C322" s="50"/>
      <c r="D322" s="343"/>
      <c r="E322" s="344"/>
      <c r="F322" s="344"/>
      <c r="G322" s="345"/>
      <c r="H322" s="381" t="s">
        <v>3002</v>
      </c>
      <c r="I322" s="73">
        <v>42684</v>
      </c>
      <c r="J322" s="1367" t="s">
        <v>2964</v>
      </c>
      <c r="K322" s="454" t="s">
        <v>3245</v>
      </c>
      <c r="L322" s="1528" t="s">
        <v>3250</v>
      </c>
      <c r="M322" s="347" t="s">
        <v>2965</v>
      </c>
      <c r="N322" s="344">
        <v>152088970</v>
      </c>
      <c r="O322" s="344"/>
      <c r="P322" s="51">
        <f t="shared" si="78"/>
        <v>152088970</v>
      </c>
      <c r="Q322" s="344"/>
      <c r="R322" s="344"/>
      <c r="S322" s="344"/>
      <c r="T322" s="344"/>
      <c r="U322" s="344"/>
      <c r="V322" s="1724">
        <f t="shared" si="79"/>
        <v>152088970</v>
      </c>
      <c r="W322" s="349" t="s">
        <v>3548</v>
      </c>
      <c r="X322" s="350">
        <v>42732</v>
      </c>
      <c r="Y322" s="350">
        <v>42734</v>
      </c>
      <c r="Z322" s="264">
        <f>V322</f>
        <v>152088970</v>
      </c>
      <c r="AA322" s="351">
        <v>1</v>
      </c>
      <c r="AB322" s="433">
        <f t="shared" si="80"/>
        <v>-152088970</v>
      </c>
      <c r="AC322" s="352"/>
    </row>
    <row r="323" spans="1:34" s="54" customFormat="1" ht="47.25">
      <c r="A323" s="561"/>
      <c r="B323" s="50"/>
      <c r="C323" s="50"/>
      <c r="D323" s="343"/>
      <c r="E323" s="344"/>
      <c r="F323" s="344"/>
      <c r="G323" s="345"/>
      <c r="H323" s="381" t="s">
        <v>3001</v>
      </c>
      <c r="I323" s="73">
        <v>42684</v>
      </c>
      <c r="J323" s="1367" t="s">
        <v>2966</v>
      </c>
      <c r="K323" s="454" t="s">
        <v>3748</v>
      </c>
      <c r="L323" s="1528" t="s">
        <v>3251</v>
      </c>
      <c r="M323" s="347" t="s">
        <v>2967</v>
      </c>
      <c r="N323" s="344"/>
      <c r="O323" s="344">
        <v>241500000</v>
      </c>
      <c r="P323" s="51">
        <f t="shared" si="78"/>
        <v>241500000</v>
      </c>
      <c r="Q323" s="344"/>
      <c r="R323" s="344"/>
      <c r="S323" s="344"/>
      <c r="T323" s="344"/>
      <c r="U323" s="344"/>
      <c r="V323" s="1724">
        <f t="shared" si="79"/>
        <v>241500000</v>
      </c>
      <c r="W323" s="349"/>
      <c r="X323" s="350"/>
      <c r="Y323" s="350"/>
      <c r="Z323" s="264"/>
      <c r="AA323" s="351"/>
      <c r="AB323" s="433">
        <f t="shared" si="80"/>
        <v>-241500000</v>
      </c>
      <c r="AC323" s="352"/>
    </row>
    <row r="324" spans="1:34" s="54" customFormat="1" ht="47.25">
      <c r="A324" s="561"/>
      <c r="B324" s="50"/>
      <c r="C324" s="50"/>
      <c r="D324" s="343"/>
      <c r="E324" s="344"/>
      <c r="F324" s="344"/>
      <c r="G324" s="345"/>
      <c r="H324" s="381" t="s">
        <v>3000</v>
      </c>
      <c r="I324" s="73">
        <v>42684</v>
      </c>
      <c r="J324" s="1367" t="s">
        <v>2968</v>
      </c>
      <c r="K324" s="454" t="s">
        <v>3246</v>
      </c>
      <c r="L324" s="1528" t="s">
        <v>3252</v>
      </c>
      <c r="M324" s="347" t="s">
        <v>2969</v>
      </c>
      <c r="N324" s="344"/>
      <c r="O324" s="344">
        <v>72043300</v>
      </c>
      <c r="P324" s="51">
        <f t="shared" si="78"/>
        <v>72043300</v>
      </c>
      <c r="Q324" s="344"/>
      <c r="R324" s="344"/>
      <c r="S324" s="344"/>
      <c r="T324" s="344"/>
      <c r="U324" s="344"/>
      <c r="V324" s="1724">
        <f t="shared" si="79"/>
        <v>72043300</v>
      </c>
      <c r="W324" s="349"/>
      <c r="X324" s="350"/>
      <c r="Y324" s="350"/>
      <c r="Z324" s="264"/>
      <c r="AA324" s="351"/>
      <c r="AB324" s="433">
        <f t="shared" si="80"/>
        <v>-72043300</v>
      </c>
      <c r="AC324" s="352"/>
    </row>
    <row r="325" spans="1:34" s="54" customFormat="1" ht="47.25">
      <c r="A325" s="561"/>
      <c r="B325" s="50"/>
      <c r="C325" s="50"/>
      <c r="D325" s="343"/>
      <c r="E325" s="344"/>
      <c r="F325" s="344"/>
      <c r="G325" s="345"/>
      <c r="H325" s="381" t="s">
        <v>2999</v>
      </c>
      <c r="I325" s="73">
        <v>42684</v>
      </c>
      <c r="J325" s="1367" t="s">
        <v>2970</v>
      </c>
      <c r="K325" s="454" t="s">
        <v>3247</v>
      </c>
      <c r="L325" s="1528" t="s">
        <v>1747</v>
      </c>
      <c r="M325" s="347" t="s">
        <v>2971</v>
      </c>
      <c r="N325" s="344">
        <v>200717000</v>
      </c>
      <c r="O325" s="344"/>
      <c r="P325" s="51">
        <f t="shared" si="78"/>
        <v>200717000</v>
      </c>
      <c r="Q325" s="344"/>
      <c r="R325" s="344"/>
      <c r="S325" s="344"/>
      <c r="T325" s="344"/>
      <c r="U325" s="344"/>
      <c r="V325" s="1724">
        <f t="shared" si="79"/>
        <v>200717000</v>
      </c>
      <c r="W325" s="349" t="s">
        <v>3613</v>
      </c>
      <c r="X325" s="350">
        <v>42732</v>
      </c>
      <c r="Y325" s="350">
        <v>42734</v>
      </c>
      <c r="Z325" s="264">
        <f>V325</f>
        <v>200717000</v>
      </c>
      <c r="AA325" s="351">
        <v>1</v>
      </c>
      <c r="AB325" s="433">
        <f t="shared" si="80"/>
        <v>-200717000</v>
      </c>
      <c r="AC325" s="352"/>
    </row>
    <row r="326" spans="1:34" s="54" customFormat="1" ht="47.25">
      <c r="A326" s="561"/>
      <c r="B326" s="50"/>
      <c r="C326" s="50"/>
      <c r="D326" s="343"/>
      <c r="E326" s="344"/>
      <c r="F326" s="344"/>
      <c r="G326" s="345"/>
      <c r="H326" s="381" t="s">
        <v>2998</v>
      </c>
      <c r="I326" s="73">
        <v>42684</v>
      </c>
      <c r="J326" s="1367" t="s">
        <v>2972</v>
      </c>
      <c r="K326" s="454" t="s">
        <v>3650</v>
      </c>
      <c r="L326" s="1528" t="s">
        <v>715</v>
      </c>
      <c r="M326" s="347" t="s">
        <v>2973</v>
      </c>
      <c r="N326" s="344">
        <v>297388850</v>
      </c>
      <c r="O326" s="344"/>
      <c r="P326" s="51">
        <f t="shared" si="78"/>
        <v>297388850</v>
      </c>
      <c r="Q326" s="344"/>
      <c r="R326" s="344"/>
      <c r="S326" s="344"/>
      <c r="T326" s="344"/>
      <c r="U326" s="344"/>
      <c r="V326" s="1724">
        <f t="shared" si="79"/>
        <v>297388850</v>
      </c>
      <c r="W326" s="349" t="s">
        <v>3649</v>
      </c>
      <c r="X326" s="350">
        <v>42728</v>
      </c>
      <c r="Y326" s="350">
        <v>42732</v>
      </c>
      <c r="Z326" s="1637">
        <f>V326</f>
        <v>297388850</v>
      </c>
      <c r="AA326" s="1627">
        <v>1</v>
      </c>
      <c r="AB326" s="433">
        <f t="shared" si="80"/>
        <v>-297388850</v>
      </c>
      <c r="AC326" s="352"/>
    </row>
    <row r="327" spans="1:34" s="54" customFormat="1" ht="47.25">
      <c r="A327" s="561"/>
      <c r="B327" s="50"/>
      <c r="C327" s="50"/>
      <c r="D327" s="343"/>
      <c r="E327" s="344"/>
      <c r="F327" s="344"/>
      <c r="G327" s="345"/>
      <c r="H327" s="381" t="s">
        <v>3025</v>
      </c>
      <c r="I327" s="73">
        <v>42689</v>
      </c>
      <c r="J327" s="1367" t="s">
        <v>2990</v>
      </c>
      <c r="K327" s="454" t="s">
        <v>3684</v>
      </c>
      <c r="L327" s="1528" t="s">
        <v>362</v>
      </c>
      <c r="M327" s="347" t="s">
        <v>2991</v>
      </c>
      <c r="N327" s="344"/>
      <c r="O327" s="344">
        <v>68750000</v>
      </c>
      <c r="P327" s="51">
        <f t="shared" si="78"/>
        <v>68750000</v>
      </c>
      <c r="Q327" s="344"/>
      <c r="R327" s="344"/>
      <c r="S327" s="344"/>
      <c r="T327" s="344"/>
      <c r="U327" s="344"/>
      <c r="V327" s="348">
        <f t="shared" si="79"/>
        <v>68750000</v>
      </c>
      <c r="W327" s="349" t="s">
        <v>586</v>
      </c>
      <c r="X327" s="350">
        <v>42731</v>
      </c>
      <c r="Y327" s="350">
        <v>42734</v>
      </c>
      <c r="Z327" s="264">
        <f>V327</f>
        <v>68750000</v>
      </c>
      <c r="AA327" s="351">
        <v>1</v>
      </c>
      <c r="AB327" s="433">
        <f t="shared" si="80"/>
        <v>-68750000</v>
      </c>
      <c r="AC327" s="352"/>
    </row>
    <row r="328" spans="1:34" s="54" customFormat="1" ht="47.25">
      <c r="A328" s="561"/>
      <c r="B328" s="50"/>
      <c r="C328" s="50"/>
      <c r="D328" s="343"/>
      <c r="E328" s="344"/>
      <c r="F328" s="344"/>
      <c r="G328" s="345"/>
      <c r="H328" s="381" t="s">
        <v>3026</v>
      </c>
      <c r="I328" s="73">
        <v>42689</v>
      </c>
      <c r="J328" s="1367" t="s">
        <v>2992</v>
      </c>
      <c r="K328" s="454" t="s">
        <v>3248</v>
      </c>
      <c r="L328" s="1528" t="s">
        <v>1803</v>
      </c>
      <c r="M328" s="347" t="s">
        <v>2993</v>
      </c>
      <c r="N328" s="344">
        <v>48702500</v>
      </c>
      <c r="O328" s="344"/>
      <c r="P328" s="51">
        <f t="shared" si="78"/>
        <v>48702500</v>
      </c>
      <c r="Q328" s="344"/>
      <c r="R328" s="344"/>
      <c r="S328" s="344"/>
      <c r="T328" s="344"/>
      <c r="U328" s="344"/>
      <c r="V328" s="348">
        <f t="shared" si="79"/>
        <v>48702500</v>
      </c>
      <c r="W328" s="349" t="s">
        <v>3612</v>
      </c>
      <c r="X328" s="350">
        <v>42728</v>
      </c>
      <c r="Y328" s="350">
        <v>42731</v>
      </c>
      <c r="Z328" s="264">
        <f>V328</f>
        <v>48702500</v>
      </c>
      <c r="AA328" s="351">
        <v>1</v>
      </c>
      <c r="AB328" s="433">
        <f t="shared" si="80"/>
        <v>-48702500</v>
      </c>
      <c r="AC328" s="352"/>
    </row>
    <row r="329" spans="1:34" s="54" customFormat="1" ht="31.5">
      <c r="A329" s="561"/>
      <c r="B329" s="50"/>
      <c r="C329" s="50"/>
      <c r="D329" s="343"/>
      <c r="E329" s="344"/>
      <c r="F329" s="344"/>
      <c r="G329" s="345"/>
      <c r="H329" s="381"/>
      <c r="I329" s="73"/>
      <c r="J329" s="1367" t="s">
        <v>3159</v>
      </c>
      <c r="K329" s="454" t="s">
        <v>3497</v>
      </c>
      <c r="L329" s="1528" t="s">
        <v>383</v>
      </c>
      <c r="M329" s="347" t="s">
        <v>2973</v>
      </c>
      <c r="N329" s="344">
        <v>152786700</v>
      </c>
      <c r="O329" s="344"/>
      <c r="P329" s="51">
        <f t="shared" si="78"/>
        <v>152786700</v>
      </c>
      <c r="Q329" s="344"/>
      <c r="R329" s="344"/>
      <c r="S329" s="344"/>
      <c r="T329" s="344"/>
      <c r="U329" s="344"/>
      <c r="V329" s="348">
        <f t="shared" si="79"/>
        <v>152786700</v>
      </c>
      <c r="W329" s="349" t="s">
        <v>3547</v>
      </c>
      <c r="X329" s="350">
        <v>42728</v>
      </c>
      <c r="Y329" s="350">
        <v>42734</v>
      </c>
      <c r="Z329" s="264">
        <f>V329</f>
        <v>152786700</v>
      </c>
      <c r="AA329" s="351">
        <v>1</v>
      </c>
      <c r="AB329" s="433">
        <f t="shared" si="80"/>
        <v>-152786700</v>
      </c>
      <c r="AC329" s="352"/>
    </row>
    <row r="330" spans="1:34" s="54" customFormat="1">
      <c r="A330" s="561"/>
      <c r="B330" s="50"/>
      <c r="C330" s="50"/>
      <c r="D330" s="343"/>
      <c r="E330" s="344"/>
      <c r="F330" s="344"/>
      <c r="G330" s="345"/>
      <c r="H330" s="381"/>
      <c r="I330" s="73"/>
      <c r="J330" s="1367"/>
      <c r="K330" s="454"/>
      <c r="L330" s="1528"/>
      <c r="M330" s="347"/>
      <c r="N330" s="344"/>
      <c r="O330" s="344"/>
      <c r="P330" s="51"/>
      <c r="Q330" s="344"/>
      <c r="R330" s="344"/>
      <c r="S330" s="344"/>
      <c r="T330" s="344"/>
      <c r="U330" s="344"/>
      <c r="V330" s="348"/>
      <c r="W330" s="349"/>
      <c r="X330" s="350"/>
      <c r="Y330" s="350"/>
      <c r="Z330" s="264"/>
      <c r="AA330" s="351"/>
      <c r="AB330" s="433"/>
      <c r="AC330" s="352"/>
    </row>
    <row r="331" spans="1:34" s="755" customFormat="1">
      <c r="A331" s="843"/>
      <c r="B331" s="773"/>
      <c r="C331" s="773" t="str">
        <f>C319</f>
        <v>PRK.2016.WKT-4.3.53213.106</v>
      </c>
      <c r="D331" s="1171"/>
      <c r="E331" s="844"/>
      <c r="F331" s="844"/>
      <c r="G331" s="850">
        <f>G319</f>
        <v>1955351553</v>
      </c>
      <c r="H331" s="1365"/>
      <c r="I331" s="788"/>
      <c r="J331" s="1315"/>
      <c r="K331" s="1335"/>
      <c r="L331" s="856"/>
      <c r="M331" s="857"/>
      <c r="N331" s="844">
        <f>SUM(N319:N330)</f>
        <v>1262911295</v>
      </c>
      <c r="O331" s="844">
        <f t="shared" ref="O331:V331" si="81">SUM(O319:O330)</f>
        <v>671799325</v>
      </c>
      <c r="P331" s="844">
        <f t="shared" si="81"/>
        <v>1934710620</v>
      </c>
      <c r="Q331" s="844">
        <f t="shared" si="81"/>
        <v>0</v>
      </c>
      <c r="R331" s="844">
        <f t="shared" si="81"/>
        <v>0</v>
      </c>
      <c r="S331" s="844">
        <f t="shared" si="81"/>
        <v>0</v>
      </c>
      <c r="T331" s="844">
        <f t="shared" si="81"/>
        <v>0</v>
      </c>
      <c r="U331" s="844">
        <f t="shared" si="81"/>
        <v>0</v>
      </c>
      <c r="V331" s="844">
        <f t="shared" si="81"/>
        <v>1934710620</v>
      </c>
      <c r="W331" s="845"/>
      <c r="X331" s="846"/>
      <c r="Y331" s="846"/>
      <c r="Z331" s="844">
        <f>SUM(Z319:Z330)</f>
        <v>1502367320</v>
      </c>
      <c r="AA331" s="847"/>
      <c r="AB331" s="756">
        <f t="shared" si="80"/>
        <v>20640933</v>
      </c>
      <c r="AC331" s="848"/>
    </row>
    <row r="332" spans="1:34" s="54" customFormat="1">
      <c r="A332" s="561"/>
      <c r="B332" s="153"/>
      <c r="C332" s="50"/>
      <c r="D332" s="343"/>
      <c r="E332" s="344"/>
      <c r="F332" s="344"/>
      <c r="G332" s="345"/>
      <c r="H332" s="381"/>
      <c r="I332" s="73"/>
      <c r="J332" s="276"/>
      <c r="K332" s="454"/>
      <c r="L332" s="1490"/>
      <c r="M332" s="347"/>
      <c r="N332" s="344"/>
      <c r="O332" s="344"/>
      <c r="P332" s="51">
        <f t="shared" ref="P332:P338" si="82">N332+O332</f>
        <v>0</v>
      </c>
      <c r="Q332" s="344"/>
      <c r="R332" s="344"/>
      <c r="S332" s="344"/>
      <c r="T332" s="344"/>
      <c r="U332" s="344"/>
      <c r="V332" s="348">
        <f t="shared" ref="V332:V338" si="83">P332</f>
        <v>0</v>
      </c>
      <c r="W332" s="349"/>
      <c r="X332" s="350"/>
      <c r="Y332" s="350"/>
      <c r="Z332" s="264"/>
      <c r="AA332" s="351"/>
      <c r="AB332" s="433">
        <f t="shared" si="80"/>
        <v>0</v>
      </c>
      <c r="AC332" s="352"/>
      <c r="AH332" s="958">
        <f>V332</f>
        <v>0</v>
      </c>
    </row>
    <row r="333" spans="1:34" s="1406" customFormat="1" ht="47.25">
      <c r="A333" s="1491"/>
      <c r="B333" s="564"/>
      <c r="C333" s="50" t="s">
        <v>3496</v>
      </c>
      <c r="D333" s="72" t="s">
        <v>2871</v>
      </c>
      <c r="E333" s="1492"/>
      <c r="F333" s="1492">
        <v>1066063300</v>
      </c>
      <c r="G333" s="155">
        <f>E333+F333</f>
        <v>1066063300</v>
      </c>
      <c r="H333" s="381" t="s">
        <v>3030</v>
      </c>
      <c r="I333" s="1493">
        <v>42689</v>
      </c>
      <c r="J333" s="1367" t="s">
        <v>2974</v>
      </c>
      <c r="K333" s="1494" t="s">
        <v>3254</v>
      </c>
      <c r="L333" s="1495" t="s">
        <v>1796</v>
      </c>
      <c r="M333" s="1496" t="s">
        <v>2975</v>
      </c>
      <c r="N333" s="1497"/>
      <c r="O333" s="1777">
        <v>293590000</v>
      </c>
      <c r="P333" s="51">
        <f t="shared" si="82"/>
        <v>293590000</v>
      </c>
      <c r="Q333" s="1497">
        <f>SUM(Q319:Q332)</f>
        <v>0</v>
      </c>
      <c r="R333" s="1497">
        <f>SUM(R319:R332)</f>
        <v>0</v>
      </c>
      <c r="S333" s="1497">
        <f>SUM(S319:S332)</f>
        <v>0</v>
      </c>
      <c r="T333" s="1497">
        <f>SUM(T319:T332)</f>
        <v>0</v>
      </c>
      <c r="U333" s="1497">
        <f>SUM(U319:U332)</f>
        <v>0</v>
      </c>
      <c r="V333" s="1777">
        <f t="shared" si="83"/>
        <v>293590000</v>
      </c>
      <c r="W333" s="1498"/>
      <c r="X333" s="1499"/>
      <c r="Y333" s="1499"/>
      <c r="Z333" s="1497"/>
      <c r="AA333" s="1500"/>
      <c r="AB333" s="1501">
        <f t="shared" si="80"/>
        <v>772473300</v>
      </c>
      <c r="AC333" s="1502"/>
    </row>
    <row r="334" spans="1:34" s="54" customFormat="1" ht="47.25">
      <c r="A334" s="561"/>
      <c r="B334" s="153"/>
      <c r="C334" s="50"/>
      <c r="D334" s="343"/>
      <c r="E334" s="344"/>
      <c r="F334" s="344"/>
      <c r="G334" s="345"/>
      <c r="H334" s="381" t="s">
        <v>3149</v>
      </c>
      <c r="I334" s="73">
        <v>42698</v>
      </c>
      <c r="J334" s="1367" t="s">
        <v>3132</v>
      </c>
      <c r="K334" s="1494" t="s">
        <v>3495</v>
      </c>
      <c r="L334" s="1490" t="s">
        <v>336</v>
      </c>
      <c r="M334" s="347" t="s">
        <v>3128</v>
      </c>
      <c r="N334" s="344">
        <v>166694748</v>
      </c>
      <c r="O334" s="344"/>
      <c r="P334" s="51">
        <f t="shared" si="82"/>
        <v>166694748</v>
      </c>
      <c r="Q334" s="344"/>
      <c r="R334" s="344"/>
      <c r="S334" s="344"/>
      <c r="T334" s="344"/>
      <c r="U334" s="344"/>
      <c r="V334" s="1724">
        <f t="shared" si="83"/>
        <v>166694748</v>
      </c>
      <c r="W334" s="349" t="s">
        <v>3649</v>
      </c>
      <c r="X334" s="350">
        <v>42728</v>
      </c>
      <c r="Y334" s="350">
        <v>42732</v>
      </c>
      <c r="Z334" s="1637">
        <f>V334</f>
        <v>166694748</v>
      </c>
      <c r="AA334" s="1627">
        <v>1</v>
      </c>
      <c r="AB334" s="433">
        <f t="shared" si="80"/>
        <v>-166694748</v>
      </c>
      <c r="AC334" s="352"/>
    </row>
    <row r="335" spans="1:34" s="54" customFormat="1" ht="47.25">
      <c r="A335" s="561"/>
      <c r="B335" s="798"/>
      <c r="C335" s="50"/>
      <c r="D335" s="343"/>
      <c r="E335" s="344"/>
      <c r="F335" s="344"/>
      <c r="G335" s="345"/>
      <c r="H335" s="381" t="s">
        <v>3150</v>
      </c>
      <c r="I335" s="73">
        <v>42698</v>
      </c>
      <c r="J335" s="1367" t="s">
        <v>3133</v>
      </c>
      <c r="K335" s="256" t="s">
        <v>3749</v>
      </c>
      <c r="L335" s="1663" t="s">
        <v>3253</v>
      </c>
      <c r="M335" s="347" t="s">
        <v>3135</v>
      </c>
      <c r="N335" s="344">
        <v>285780000</v>
      </c>
      <c r="O335" s="344"/>
      <c r="P335" s="51">
        <f t="shared" si="82"/>
        <v>285780000</v>
      </c>
      <c r="Q335" s="344"/>
      <c r="R335" s="344"/>
      <c r="S335" s="344"/>
      <c r="T335" s="344"/>
      <c r="U335" s="344"/>
      <c r="V335" s="1724">
        <f t="shared" si="83"/>
        <v>285780000</v>
      </c>
      <c r="W335" s="349"/>
      <c r="X335" s="350"/>
      <c r="Y335" s="350"/>
      <c r="Z335" s="264"/>
      <c r="AA335" s="351"/>
      <c r="AB335" s="433">
        <f t="shared" si="80"/>
        <v>-285780000</v>
      </c>
      <c r="AC335" s="352"/>
    </row>
    <row r="336" spans="1:34" s="54" customFormat="1" ht="47.25">
      <c r="A336" s="561"/>
      <c r="B336" s="798"/>
      <c r="C336" s="50"/>
      <c r="D336" s="343"/>
      <c r="E336" s="344"/>
      <c r="F336" s="344"/>
      <c r="G336" s="345"/>
      <c r="H336" s="381" t="s">
        <v>3153</v>
      </c>
      <c r="I336" s="73">
        <v>42698</v>
      </c>
      <c r="J336" s="1367" t="s">
        <v>3136</v>
      </c>
      <c r="K336" s="256" t="s">
        <v>3750</v>
      </c>
      <c r="L336" s="1664" t="s">
        <v>346</v>
      </c>
      <c r="M336" s="347" t="s">
        <v>3137</v>
      </c>
      <c r="N336" s="344"/>
      <c r="O336" s="344">
        <v>135135000</v>
      </c>
      <c r="P336" s="51">
        <f t="shared" si="82"/>
        <v>135135000</v>
      </c>
      <c r="Q336" s="344"/>
      <c r="R336" s="344"/>
      <c r="S336" s="344"/>
      <c r="T336" s="344"/>
      <c r="U336" s="344"/>
      <c r="V336" s="1724">
        <f t="shared" si="83"/>
        <v>135135000</v>
      </c>
      <c r="W336" s="349"/>
      <c r="X336" s="350"/>
      <c r="Y336" s="350"/>
      <c r="Z336" s="264"/>
      <c r="AA336" s="351"/>
      <c r="AB336" s="433">
        <f t="shared" si="80"/>
        <v>-135135000</v>
      </c>
      <c r="AC336" s="352"/>
    </row>
    <row r="337" spans="1:29" s="54" customFormat="1" ht="47.25">
      <c r="A337" s="561"/>
      <c r="B337" s="798"/>
      <c r="C337" s="50"/>
      <c r="D337" s="343"/>
      <c r="E337" s="344"/>
      <c r="F337" s="344"/>
      <c r="G337" s="345"/>
      <c r="H337" s="381" t="s">
        <v>3273</v>
      </c>
      <c r="I337" s="73">
        <v>42699</v>
      </c>
      <c r="J337" s="1367" t="s">
        <v>3228</v>
      </c>
      <c r="K337" s="1494" t="s">
        <v>3498</v>
      </c>
      <c r="L337" s="1679" t="s">
        <v>396</v>
      </c>
      <c r="M337" s="347" t="s">
        <v>3229</v>
      </c>
      <c r="N337" s="344">
        <v>92394408</v>
      </c>
      <c r="O337" s="344"/>
      <c r="P337" s="51">
        <f t="shared" si="82"/>
        <v>92394408</v>
      </c>
      <c r="Q337" s="344"/>
      <c r="R337" s="344"/>
      <c r="S337" s="344"/>
      <c r="T337" s="344"/>
      <c r="U337" s="344"/>
      <c r="V337" s="348">
        <f t="shared" si="83"/>
        <v>92394408</v>
      </c>
      <c r="W337" s="349" t="s">
        <v>3547</v>
      </c>
      <c r="X337" s="350">
        <v>42728</v>
      </c>
      <c r="Y337" s="350">
        <v>42734</v>
      </c>
      <c r="Z337" s="264">
        <f>V337</f>
        <v>92394408</v>
      </c>
      <c r="AA337" s="351">
        <v>1</v>
      </c>
      <c r="AB337" s="433">
        <f t="shared" si="80"/>
        <v>-92394408</v>
      </c>
      <c r="AC337" s="352"/>
    </row>
    <row r="338" spans="1:29" s="54" customFormat="1" ht="47.25">
      <c r="A338" s="561"/>
      <c r="B338" s="798"/>
      <c r="C338" s="50"/>
      <c r="D338" s="343"/>
      <c r="E338" s="344"/>
      <c r="F338" s="344"/>
      <c r="G338" s="345"/>
      <c r="H338" s="381" t="s">
        <v>3271</v>
      </c>
      <c r="I338" s="73">
        <v>42699</v>
      </c>
      <c r="J338" s="1367" t="s">
        <v>3232</v>
      </c>
      <c r="K338" s="1494" t="s">
        <v>3494</v>
      </c>
      <c r="L338" s="1656" t="s">
        <v>383</v>
      </c>
      <c r="M338" s="347" t="s">
        <v>3233</v>
      </c>
      <c r="N338" s="344"/>
      <c r="O338" s="344">
        <v>86423700</v>
      </c>
      <c r="P338" s="51">
        <f t="shared" si="82"/>
        <v>86423700</v>
      </c>
      <c r="Q338" s="344"/>
      <c r="R338" s="344"/>
      <c r="S338" s="344"/>
      <c r="T338" s="344"/>
      <c r="U338" s="344"/>
      <c r="V338" s="348">
        <f t="shared" si="83"/>
        <v>86423700</v>
      </c>
      <c r="W338" s="349" t="s">
        <v>3547</v>
      </c>
      <c r="X338" s="350">
        <v>42728</v>
      </c>
      <c r="Y338" s="350">
        <v>42734</v>
      </c>
      <c r="Z338" s="264">
        <f>V338</f>
        <v>86423700</v>
      </c>
      <c r="AA338" s="351">
        <v>1</v>
      </c>
      <c r="AB338" s="433">
        <f t="shared" si="80"/>
        <v>-86423700</v>
      </c>
      <c r="AC338" s="352"/>
    </row>
    <row r="339" spans="1:29" s="755" customFormat="1">
      <c r="A339" s="843"/>
      <c r="B339" s="1314"/>
      <c r="C339" s="773" t="str">
        <f>C333</f>
        <v>PRK.2016.WKT-4.3.53225.151</v>
      </c>
      <c r="D339" s="1171"/>
      <c r="E339" s="844"/>
      <c r="F339" s="844"/>
      <c r="G339" s="850">
        <f>G333</f>
        <v>1066063300</v>
      </c>
      <c r="H339" s="748"/>
      <c r="I339" s="788"/>
      <c r="J339" s="1315"/>
      <c r="K339" s="855"/>
      <c r="L339" s="856"/>
      <c r="M339" s="857"/>
      <c r="N339" s="844">
        <f>SUM(N333:N338)</f>
        <v>544869156</v>
      </c>
      <c r="O339" s="844">
        <f>SUM(O333:O338)</f>
        <v>515148700</v>
      </c>
      <c r="P339" s="844">
        <f>SUM(P333:P338)</f>
        <v>1060017856</v>
      </c>
      <c r="Q339" s="844">
        <f t="shared" ref="Q339:V339" si="84">SUM(Q333:Q338)</f>
        <v>0</v>
      </c>
      <c r="R339" s="844">
        <f t="shared" si="84"/>
        <v>0</v>
      </c>
      <c r="S339" s="844">
        <f t="shared" si="84"/>
        <v>0</v>
      </c>
      <c r="T339" s="844">
        <f t="shared" si="84"/>
        <v>0</v>
      </c>
      <c r="U339" s="844">
        <f t="shared" si="84"/>
        <v>0</v>
      </c>
      <c r="V339" s="844">
        <f t="shared" si="84"/>
        <v>1060017856</v>
      </c>
      <c r="W339" s="845"/>
      <c r="X339" s="846"/>
      <c r="Y339" s="846"/>
      <c r="Z339" s="844">
        <f>SUM(Z333:Z338)</f>
        <v>345512856</v>
      </c>
      <c r="AA339" s="847"/>
      <c r="AB339" s="756">
        <f t="shared" si="80"/>
        <v>6045444</v>
      </c>
      <c r="AC339" s="848"/>
    </row>
    <row r="340" spans="1:29" s="54" customFormat="1" ht="16.5" thickBot="1">
      <c r="A340" s="561"/>
      <c r="B340" s="564"/>
      <c r="C340" s="50"/>
      <c r="D340" s="72"/>
      <c r="E340" s="51"/>
      <c r="F340" s="51"/>
      <c r="G340" s="155"/>
      <c r="H340" s="381"/>
      <c r="I340" s="73"/>
      <c r="J340" s="276"/>
      <c r="K340" s="454"/>
      <c r="L340" s="1490"/>
      <c r="M340" s="347"/>
      <c r="N340" s="344"/>
      <c r="O340" s="344"/>
      <c r="P340" s="51">
        <f>N340+O340</f>
        <v>0</v>
      </c>
      <c r="Q340" s="344"/>
      <c r="R340" s="344"/>
      <c r="S340" s="344"/>
      <c r="T340" s="344"/>
      <c r="U340" s="344"/>
      <c r="V340" s="348">
        <f>P340</f>
        <v>0</v>
      </c>
      <c r="W340" s="349"/>
      <c r="X340" s="350"/>
      <c r="Y340" s="350"/>
      <c r="Z340" s="264"/>
      <c r="AA340" s="351"/>
      <c r="AB340" s="433">
        <f t="shared" si="80"/>
        <v>0</v>
      </c>
      <c r="AC340" s="352"/>
    </row>
    <row r="341" spans="1:29" s="340" customFormat="1" ht="15.75" customHeight="1" thickBot="1">
      <c r="A341" s="2741" t="str">
        <f>B319</f>
        <v>011.KIT/AO/BRU/2016/M</v>
      </c>
      <c r="B341" s="2742"/>
      <c r="C341" s="2742"/>
      <c r="D341" s="2743"/>
      <c r="E341" s="333">
        <f>+E319+E333</f>
        <v>0</v>
      </c>
      <c r="F341" s="333">
        <f>+F319+F333</f>
        <v>3021414853</v>
      </c>
      <c r="G341" s="333">
        <f>+G319+G333</f>
        <v>3021414853</v>
      </c>
      <c r="H341" s="333"/>
      <c r="I341" s="333"/>
      <c r="J341" s="334"/>
      <c r="K341" s="335"/>
      <c r="L341" s="336"/>
      <c r="M341" s="337"/>
      <c r="N341" s="333">
        <f t="shared" ref="N341:V341" si="85">+N331+N339</f>
        <v>1807780451</v>
      </c>
      <c r="O341" s="333">
        <f t="shared" si="85"/>
        <v>1186948025</v>
      </c>
      <c r="P341" s="333">
        <f t="shared" si="85"/>
        <v>2994728476</v>
      </c>
      <c r="Q341" s="333">
        <f t="shared" si="85"/>
        <v>0</v>
      </c>
      <c r="R341" s="333">
        <f t="shared" si="85"/>
        <v>0</v>
      </c>
      <c r="S341" s="333">
        <f t="shared" si="85"/>
        <v>0</v>
      </c>
      <c r="T341" s="333">
        <f t="shared" si="85"/>
        <v>0</v>
      </c>
      <c r="U341" s="333">
        <f t="shared" si="85"/>
        <v>0</v>
      </c>
      <c r="V341" s="333">
        <f t="shared" si="85"/>
        <v>2994728476</v>
      </c>
      <c r="W341" s="338"/>
      <c r="X341" s="339"/>
      <c r="Y341" s="339"/>
      <c r="Z341" s="333">
        <f>+Z331+Z333</f>
        <v>1502367320</v>
      </c>
      <c r="AA341" s="333"/>
      <c r="AB341" s="1227">
        <f t="shared" si="80"/>
        <v>26686377</v>
      </c>
      <c r="AC341" s="338"/>
    </row>
    <row r="342" spans="1:29" s="54" customFormat="1" ht="47.25">
      <c r="A342" s="81">
        <v>12</v>
      </c>
      <c r="B342" s="50" t="s">
        <v>3073</v>
      </c>
      <c r="C342" s="50" t="s">
        <v>3075</v>
      </c>
      <c r="D342" s="72" t="s">
        <v>3076</v>
      </c>
      <c r="E342" s="51">
        <v>458949436</v>
      </c>
      <c r="F342" s="51">
        <v>0</v>
      </c>
      <c r="G342" s="155">
        <f>E342+F342</f>
        <v>458949436</v>
      </c>
      <c r="H342" s="381" t="s">
        <v>3151</v>
      </c>
      <c r="I342" s="73">
        <v>42698</v>
      </c>
      <c r="J342" s="1367" t="s">
        <v>3134</v>
      </c>
      <c r="K342" s="454" t="s">
        <v>3738</v>
      </c>
      <c r="L342" s="1729" t="s">
        <v>1749</v>
      </c>
      <c r="M342" s="347" t="s">
        <v>3131</v>
      </c>
      <c r="N342" s="344">
        <v>201224100</v>
      </c>
      <c r="O342" s="344"/>
      <c r="P342" s="51">
        <f>N342+O342</f>
        <v>201224100</v>
      </c>
      <c r="Q342" s="344"/>
      <c r="R342" s="344"/>
      <c r="S342" s="344"/>
      <c r="T342" s="344"/>
      <c r="U342" s="344"/>
      <c r="V342" s="348">
        <f>P342</f>
        <v>201224100</v>
      </c>
      <c r="W342" s="349" t="s">
        <v>3548</v>
      </c>
      <c r="X342" s="350">
        <v>42732</v>
      </c>
      <c r="Y342" s="350">
        <v>42734</v>
      </c>
      <c r="Z342" s="264">
        <f>V342</f>
        <v>201224100</v>
      </c>
      <c r="AA342" s="351">
        <v>1</v>
      </c>
      <c r="AB342" s="433">
        <f t="shared" ref="AB342:AB353" si="86">+G342-P342</f>
        <v>257725336</v>
      </c>
      <c r="AC342" s="106"/>
    </row>
    <row r="343" spans="1:29" s="54" customFormat="1" ht="47.25">
      <c r="A343" s="561"/>
      <c r="B343" s="153" t="s">
        <v>3074</v>
      </c>
      <c r="C343" s="50"/>
      <c r="D343" s="343"/>
      <c r="E343" s="344"/>
      <c r="F343" s="344"/>
      <c r="G343" s="345"/>
      <c r="H343" s="381" t="s">
        <v>3227</v>
      </c>
      <c r="I343" s="73">
        <v>42694</v>
      </c>
      <c r="J343" s="1367" t="s">
        <v>3214</v>
      </c>
      <c r="K343" s="454" t="s">
        <v>3739</v>
      </c>
      <c r="L343" s="1729" t="s">
        <v>2161</v>
      </c>
      <c r="M343" s="347" t="s">
        <v>3216</v>
      </c>
      <c r="N343" s="344">
        <v>178506900</v>
      </c>
      <c r="O343" s="344"/>
      <c r="P343" s="51">
        <f>N343+O343</f>
        <v>178506900</v>
      </c>
      <c r="Q343" s="344"/>
      <c r="R343" s="344"/>
      <c r="S343" s="344"/>
      <c r="T343" s="344"/>
      <c r="U343" s="344"/>
      <c r="V343" s="348">
        <f>P343</f>
        <v>178506900</v>
      </c>
      <c r="W343" s="349" t="s">
        <v>3548</v>
      </c>
      <c r="X343" s="350">
        <v>42732</v>
      </c>
      <c r="Y343" s="350">
        <v>42734</v>
      </c>
      <c r="Z343" s="264">
        <f>V343</f>
        <v>178506900</v>
      </c>
      <c r="AA343" s="351">
        <v>1</v>
      </c>
      <c r="AB343" s="433">
        <f t="shared" si="86"/>
        <v>-178506900</v>
      </c>
      <c r="AC343" s="352"/>
    </row>
    <row r="344" spans="1:29" s="54" customFormat="1" ht="47.25">
      <c r="A344" s="561"/>
      <c r="B344" s="564">
        <v>42684</v>
      </c>
      <c r="C344" s="50"/>
      <c r="D344" s="343"/>
      <c r="E344" s="344"/>
      <c r="F344" s="344"/>
      <c r="G344" s="345"/>
      <c r="H344" s="381" t="s">
        <v>3222</v>
      </c>
      <c r="I344" s="73">
        <v>42704</v>
      </c>
      <c r="J344" s="1367" t="s">
        <v>3215</v>
      </c>
      <c r="K344" s="454" t="s">
        <v>3751</v>
      </c>
      <c r="L344" s="1729" t="s">
        <v>1745</v>
      </c>
      <c r="M344" s="347" t="s">
        <v>3217</v>
      </c>
      <c r="N344" s="344">
        <v>77932000</v>
      </c>
      <c r="O344" s="344"/>
      <c r="P344" s="51">
        <f>N344+O344</f>
        <v>77932000</v>
      </c>
      <c r="Q344" s="344"/>
      <c r="R344" s="344"/>
      <c r="S344" s="344"/>
      <c r="T344" s="344"/>
      <c r="U344" s="344"/>
      <c r="V344" s="348">
        <f>P344</f>
        <v>77932000</v>
      </c>
      <c r="W344" s="349"/>
      <c r="X344" s="350"/>
      <c r="Y344" s="350"/>
      <c r="Z344" s="264"/>
      <c r="AA344" s="351"/>
      <c r="AB344" s="433">
        <f t="shared" si="86"/>
        <v>-77932000</v>
      </c>
      <c r="AC344" s="352"/>
    </row>
    <row r="345" spans="1:29" s="54" customFormat="1" ht="16.5" thickBot="1">
      <c r="A345" s="561"/>
      <c r="B345" s="50"/>
      <c r="C345" s="50"/>
      <c r="D345" s="343"/>
      <c r="E345" s="344"/>
      <c r="F345" s="344"/>
      <c r="G345" s="345"/>
      <c r="H345" s="381"/>
      <c r="I345" s="73"/>
      <c r="J345" s="1367"/>
      <c r="K345" s="454"/>
      <c r="L345" s="1634"/>
      <c r="M345" s="347"/>
      <c r="N345" s="344"/>
      <c r="O345" s="344"/>
      <c r="P345" s="51">
        <f>N345+O345</f>
        <v>0</v>
      </c>
      <c r="Q345" s="344"/>
      <c r="R345" s="344"/>
      <c r="S345" s="344"/>
      <c r="T345" s="344"/>
      <c r="U345" s="344"/>
      <c r="V345" s="348"/>
      <c r="W345" s="349"/>
      <c r="X345" s="350"/>
      <c r="Y345" s="350"/>
      <c r="Z345" s="264"/>
      <c r="AA345" s="351"/>
      <c r="AB345" s="433">
        <f t="shared" si="86"/>
        <v>0</v>
      </c>
      <c r="AC345" s="352"/>
    </row>
    <row r="346" spans="1:29" s="340" customFormat="1" ht="15.75" customHeight="1" thickBot="1">
      <c r="A346" s="2741" t="str">
        <f>B342</f>
        <v>012.KIT/AO/BRU/2016/M</v>
      </c>
      <c r="B346" s="2742"/>
      <c r="C346" s="2742"/>
      <c r="D346" s="2743"/>
      <c r="E346" s="333">
        <f>E342</f>
        <v>458949436</v>
      </c>
      <c r="F346" s="333">
        <f>F342</f>
        <v>0</v>
      </c>
      <c r="G346" s="333">
        <f>G342</f>
        <v>458949436</v>
      </c>
      <c r="H346" s="333"/>
      <c r="I346" s="333"/>
      <c r="J346" s="334"/>
      <c r="K346" s="335"/>
      <c r="L346" s="336"/>
      <c r="M346" s="337"/>
      <c r="N346" s="333">
        <f>SUM(N342:N345)</f>
        <v>457663000</v>
      </c>
      <c r="O346" s="333">
        <f>SUM(O342:O345)</f>
        <v>0</v>
      </c>
      <c r="P346" s="333">
        <f>SUM(P342:P345)</f>
        <v>457663000</v>
      </c>
      <c r="Q346" s="333">
        <f>+Q342</f>
        <v>0</v>
      </c>
      <c r="R346" s="333">
        <f>+R342</f>
        <v>0</v>
      </c>
      <c r="S346" s="333">
        <f>+S342</f>
        <v>0</v>
      </c>
      <c r="T346" s="333">
        <f>+T342</f>
        <v>0</v>
      </c>
      <c r="U346" s="333">
        <f>+U342</f>
        <v>0</v>
      </c>
      <c r="V346" s="333">
        <f>SUM(V342:V345)</f>
        <v>457663000</v>
      </c>
      <c r="W346" s="338"/>
      <c r="X346" s="339"/>
      <c r="Y346" s="339"/>
      <c r="Z346" s="333">
        <f>SUM(Z342:Z345)</f>
        <v>379731000</v>
      </c>
      <c r="AA346" s="333"/>
      <c r="AB346" s="1227">
        <f t="shared" si="86"/>
        <v>1286436</v>
      </c>
      <c r="AC346" s="338"/>
    </row>
    <row r="347" spans="1:29" s="54" customFormat="1" ht="47.25">
      <c r="A347" s="81">
        <v>13</v>
      </c>
      <c r="B347" s="50" t="s">
        <v>3322</v>
      </c>
      <c r="C347" s="50" t="s">
        <v>3324</v>
      </c>
      <c r="D347" s="72" t="s">
        <v>3325</v>
      </c>
      <c r="E347" s="51">
        <v>1188034824</v>
      </c>
      <c r="F347" s="51">
        <v>0</v>
      </c>
      <c r="G347" s="155">
        <f>E347+F347</f>
        <v>1188034824</v>
      </c>
      <c r="H347" s="381" t="s">
        <v>3354</v>
      </c>
      <c r="I347" s="73">
        <v>42719</v>
      </c>
      <c r="J347" s="1367" t="s">
        <v>3327</v>
      </c>
      <c r="K347" s="454" t="s">
        <v>3641</v>
      </c>
      <c r="L347" s="1729" t="s">
        <v>396</v>
      </c>
      <c r="M347" s="347" t="s">
        <v>3326</v>
      </c>
      <c r="N347" s="344">
        <v>0</v>
      </c>
      <c r="O347" s="344">
        <v>75476720</v>
      </c>
      <c r="P347" s="51">
        <f t="shared" ref="P347:P352" si="87">N347+O347</f>
        <v>75476720</v>
      </c>
      <c r="Q347" s="344"/>
      <c r="R347" s="344"/>
      <c r="S347" s="344"/>
      <c r="T347" s="344"/>
      <c r="U347" s="344"/>
      <c r="V347" s="348">
        <f t="shared" ref="V347:V352" si="88">P347</f>
        <v>75476720</v>
      </c>
      <c r="W347" s="349" t="s">
        <v>3547</v>
      </c>
      <c r="X347" s="350">
        <v>42728</v>
      </c>
      <c r="Y347" s="350">
        <v>42734</v>
      </c>
      <c r="Z347" s="264">
        <f>V347</f>
        <v>75476720</v>
      </c>
      <c r="AA347" s="351">
        <v>1</v>
      </c>
      <c r="AB347" s="433">
        <f t="shared" si="86"/>
        <v>1112558104</v>
      </c>
      <c r="AC347" s="106"/>
    </row>
    <row r="348" spans="1:29" s="54" customFormat="1" ht="47.25">
      <c r="A348" s="561"/>
      <c r="B348" s="153" t="s">
        <v>3323</v>
      </c>
      <c r="C348" s="50"/>
      <c r="D348" s="343"/>
      <c r="E348" s="344"/>
      <c r="F348" s="344"/>
      <c r="G348" s="345"/>
      <c r="H348" s="381" t="s">
        <v>3350</v>
      </c>
      <c r="I348" s="73">
        <v>42719</v>
      </c>
      <c r="J348" s="1367" t="s">
        <v>3330</v>
      </c>
      <c r="K348" s="454" t="s">
        <v>3752</v>
      </c>
      <c r="L348" s="1729" t="s">
        <v>3251</v>
      </c>
      <c r="M348" s="347" t="s">
        <v>3331</v>
      </c>
      <c r="N348" s="344"/>
      <c r="O348" s="344">
        <v>242000000</v>
      </c>
      <c r="P348" s="51">
        <f t="shared" si="87"/>
        <v>242000000</v>
      </c>
      <c r="Q348" s="344"/>
      <c r="R348" s="344"/>
      <c r="S348" s="344"/>
      <c r="T348" s="344"/>
      <c r="U348" s="344"/>
      <c r="V348" s="348">
        <f t="shared" si="88"/>
        <v>242000000</v>
      </c>
      <c r="W348" s="349"/>
      <c r="X348" s="350"/>
      <c r="Y348" s="350"/>
      <c r="Z348" s="264"/>
      <c r="AA348" s="351"/>
      <c r="AB348" s="433">
        <f t="shared" si="86"/>
        <v>-242000000</v>
      </c>
      <c r="AC348" s="352"/>
    </row>
    <row r="349" spans="1:29" s="54" customFormat="1" ht="47.25">
      <c r="A349" s="561"/>
      <c r="B349" s="564">
        <v>42710</v>
      </c>
      <c r="C349" s="50"/>
      <c r="D349" s="343"/>
      <c r="E349" s="344"/>
      <c r="F349" s="344"/>
      <c r="G349" s="345"/>
      <c r="H349" s="381" t="s">
        <v>3351</v>
      </c>
      <c r="I349" s="73">
        <v>42719</v>
      </c>
      <c r="J349" s="1367" t="s">
        <v>3332</v>
      </c>
      <c r="K349" s="454" t="s">
        <v>3754</v>
      </c>
      <c r="L349" s="1729" t="s">
        <v>3251</v>
      </c>
      <c r="M349" s="347" t="s">
        <v>3333</v>
      </c>
      <c r="N349" s="344"/>
      <c r="O349" s="344">
        <v>221806915</v>
      </c>
      <c r="P349" s="51">
        <f t="shared" si="87"/>
        <v>221806915</v>
      </c>
      <c r="Q349" s="344"/>
      <c r="R349" s="344"/>
      <c r="S349" s="344"/>
      <c r="T349" s="344"/>
      <c r="U349" s="344"/>
      <c r="V349" s="348">
        <f t="shared" si="88"/>
        <v>221806915</v>
      </c>
      <c r="W349" s="349"/>
      <c r="X349" s="350"/>
      <c r="Y349" s="350"/>
      <c r="Z349" s="264"/>
      <c r="AA349" s="351"/>
      <c r="AB349" s="433">
        <f t="shared" si="86"/>
        <v>-221806915</v>
      </c>
      <c r="AC349" s="352"/>
    </row>
    <row r="350" spans="1:29" s="54" customFormat="1" ht="47.25">
      <c r="A350" s="561"/>
      <c r="B350" s="564"/>
      <c r="C350" s="50"/>
      <c r="D350" s="343"/>
      <c r="E350" s="344"/>
      <c r="F350" s="344"/>
      <c r="G350" s="345"/>
      <c r="H350" s="381" t="s">
        <v>3352</v>
      </c>
      <c r="I350" s="73">
        <v>42719</v>
      </c>
      <c r="J350" s="1367" t="s">
        <v>3334</v>
      </c>
      <c r="K350" s="454" t="s">
        <v>3755</v>
      </c>
      <c r="L350" s="1729" t="s">
        <v>3756</v>
      </c>
      <c r="M350" s="347" t="s">
        <v>3333</v>
      </c>
      <c r="N350" s="344"/>
      <c r="O350" s="344">
        <v>189938628</v>
      </c>
      <c r="P350" s="51">
        <f t="shared" si="87"/>
        <v>189938628</v>
      </c>
      <c r="Q350" s="344"/>
      <c r="R350" s="344"/>
      <c r="S350" s="344"/>
      <c r="T350" s="344"/>
      <c r="U350" s="344"/>
      <c r="V350" s="348">
        <f t="shared" si="88"/>
        <v>189938628</v>
      </c>
      <c r="W350" s="349"/>
      <c r="X350" s="350"/>
      <c r="Y350" s="350"/>
      <c r="Z350" s="264"/>
      <c r="AA350" s="351"/>
      <c r="AB350" s="433">
        <f t="shared" si="86"/>
        <v>-189938628</v>
      </c>
      <c r="AC350" s="352"/>
    </row>
    <row r="351" spans="1:29" s="54" customFormat="1" ht="47.25">
      <c r="A351" s="561"/>
      <c r="B351" s="564"/>
      <c r="C351" s="50"/>
      <c r="D351" s="343"/>
      <c r="E351" s="344"/>
      <c r="F351" s="344"/>
      <c r="G351" s="345"/>
      <c r="H351" s="381" t="s">
        <v>3353</v>
      </c>
      <c r="I351" s="73">
        <v>42719</v>
      </c>
      <c r="J351" s="1367" t="s">
        <v>3335</v>
      </c>
      <c r="K351" s="454" t="s">
        <v>3757</v>
      </c>
      <c r="L351" s="1729" t="s">
        <v>3756</v>
      </c>
      <c r="M351" s="347" t="s">
        <v>3336</v>
      </c>
      <c r="N351" s="344"/>
      <c r="O351" s="344">
        <v>282197766</v>
      </c>
      <c r="P351" s="51">
        <f t="shared" si="87"/>
        <v>282197766</v>
      </c>
      <c r="Q351" s="344"/>
      <c r="R351" s="344"/>
      <c r="S351" s="344"/>
      <c r="T351" s="344"/>
      <c r="U351" s="344"/>
      <c r="V351" s="348">
        <f t="shared" si="88"/>
        <v>282197766</v>
      </c>
      <c r="W351" s="349"/>
      <c r="X351" s="350"/>
      <c r="Y351" s="350"/>
      <c r="Z351" s="264"/>
      <c r="AA351" s="351"/>
      <c r="AB351" s="433">
        <f t="shared" si="86"/>
        <v>-282197766</v>
      </c>
      <c r="AC351" s="352"/>
    </row>
    <row r="352" spans="1:29" s="54" customFormat="1" ht="48" thickBot="1">
      <c r="A352" s="561"/>
      <c r="B352" s="50"/>
      <c r="C352" s="50"/>
      <c r="D352" s="343"/>
      <c r="E352" s="344"/>
      <c r="F352" s="344"/>
      <c r="G352" s="345"/>
      <c r="H352" s="381" t="s">
        <v>3349</v>
      </c>
      <c r="I352" s="73">
        <v>42719</v>
      </c>
      <c r="J352" s="1367" t="s">
        <v>3337</v>
      </c>
      <c r="K352" s="454" t="s">
        <v>3753</v>
      </c>
      <c r="L352" s="1729" t="s">
        <v>3251</v>
      </c>
      <c r="M352" s="347" t="s">
        <v>3338</v>
      </c>
      <c r="N352" s="344"/>
      <c r="O352" s="344">
        <v>176231572</v>
      </c>
      <c r="P352" s="51">
        <f t="shared" si="87"/>
        <v>176231572</v>
      </c>
      <c r="Q352" s="344"/>
      <c r="R352" s="344"/>
      <c r="S352" s="344"/>
      <c r="T352" s="344"/>
      <c r="U352" s="344"/>
      <c r="V352" s="348">
        <f t="shared" si="88"/>
        <v>176231572</v>
      </c>
      <c r="W352" s="349"/>
      <c r="X352" s="350"/>
      <c r="Y352" s="350"/>
      <c r="Z352" s="264"/>
      <c r="AA352" s="351"/>
      <c r="AB352" s="433">
        <f t="shared" si="86"/>
        <v>-176231572</v>
      </c>
      <c r="AC352" s="352"/>
    </row>
    <row r="353" spans="1:29" s="340" customFormat="1" ht="15.75" customHeight="1" thickBot="1">
      <c r="A353" s="2741" t="str">
        <f>B347</f>
        <v>013.KIT/AO/BRU/2016/M</v>
      </c>
      <c r="B353" s="2742"/>
      <c r="C353" s="2742"/>
      <c r="D353" s="2743"/>
      <c r="E353" s="333">
        <f>E347</f>
        <v>1188034824</v>
      </c>
      <c r="F353" s="333">
        <f>F347</f>
        <v>0</v>
      </c>
      <c r="G353" s="333">
        <f>G347</f>
        <v>1188034824</v>
      </c>
      <c r="H353" s="333"/>
      <c r="I353" s="333"/>
      <c r="J353" s="334"/>
      <c r="K353" s="335"/>
      <c r="L353" s="336"/>
      <c r="M353" s="337"/>
      <c r="N353" s="333">
        <f>SUM(N347:N352)</f>
        <v>0</v>
      </c>
      <c r="O353" s="333">
        <f>SUM(O347:O352)</f>
        <v>1187651601</v>
      </c>
      <c r="P353" s="333">
        <f>SUM(P347:P352)</f>
        <v>1187651601</v>
      </c>
      <c r="Q353" s="333">
        <f t="shared" ref="Q353:V353" si="89">SUM(Q347:Q352)</f>
        <v>0</v>
      </c>
      <c r="R353" s="333">
        <f t="shared" si="89"/>
        <v>0</v>
      </c>
      <c r="S353" s="333">
        <f t="shared" si="89"/>
        <v>0</v>
      </c>
      <c r="T353" s="333">
        <f t="shared" si="89"/>
        <v>0</v>
      </c>
      <c r="U353" s="333">
        <f t="shared" si="89"/>
        <v>0</v>
      </c>
      <c r="V353" s="333">
        <f t="shared" si="89"/>
        <v>1187651601</v>
      </c>
      <c r="W353" s="338"/>
      <c r="X353" s="339"/>
      <c r="Y353" s="339"/>
      <c r="Z353" s="333">
        <f>SUM(Z347:Z352)</f>
        <v>75476720</v>
      </c>
      <c r="AA353" s="333"/>
      <c r="AB353" s="1227">
        <f t="shared" si="86"/>
        <v>383223</v>
      </c>
      <c r="AC353" s="338"/>
    </row>
    <row r="354" spans="1:29" ht="15.75" customHeight="1" thickBot="1">
      <c r="A354" s="2735" t="s">
        <v>44</v>
      </c>
      <c r="B354" s="2736"/>
      <c r="C354" s="2736"/>
      <c r="D354" s="2737"/>
      <c r="E354" s="84">
        <f>+E33+E128+E138+E145+E150+E184+E226+E277+E305+E318+E341+E346+E353</f>
        <v>14259647414</v>
      </c>
      <c r="F354" s="84">
        <f>+F33+F128+F138+F145+F150+F184+F226+F277+F305+F318+F341+F346+F353</f>
        <v>17915720744</v>
      </c>
      <c r="G354" s="84">
        <f>+G33+G128+G138+G145+G150+G184+G226+G277+G305+G318+G341+G346+G353</f>
        <v>32955231229</v>
      </c>
      <c r="H354" s="84"/>
      <c r="I354" s="84"/>
      <c r="J354" s="84"/>
      <c r="K354" s="84"/>
      <c r="L354" s="84"/>
      <c r="M354" s="84"/>
      <c r="N354" s="84">
        <f t="shared" ref="N354:V354" si="90">+N33+N128+N138+N145+N150+N184+N226+N277+N305+N318+N341+N346+N353</f>
        <v>16221267615</v>
      </c>
      <c r="O354" s="84">
        <f t="shared" si="90"/>
        <v>15453933465.85944</v>
      </c>
      <c r="P354" s="84">
        <f t="shared" si="90"/>
        <v>31675787380.85944</v>
      </c>
      <c r="Q354" s="84">
        <f t="shared" si="90"/>
        <v>0</v>
      </c>
      <c r="R354" s="84">
        <f t="shared" si="90"/>
        <v>0</v>
      </c>
      <c r="S354" s="84">
        <f t="shared" si="90"/>
        <v>0</v>
      </c>
      <c r="T354" s="84">
        <f t="shared" si="90"/>
        <v>0</v>
      </c>
      <c r="U354" s="84">
        <f t="shared" si="90"/>
        <v>0</v>
      </c>
      <c r="V354" s="84">
        <f t="shared" si="90"/>
        <v>31675787380.85944</v>
      </c>
      <c r="W354" s="84"/>
      <c r="X354" s="84"/>
      <c r="Y354" s="84"/>
      <c r="Z354" s="84">
        <f>+Z33+Z128+Z138+Z145+Z150+Z184+Z226+Z277+Z305+Z318+Z341+Z346+Z353</f>
        <v>28651274343.85944</v>
      </c>
      <c r="AA354" s="84"/>
      <c r="AB354" s="84">
        <f>+AB33+AB128+AB138+AB145+AB150+AB184+AB226+AB277+AB305+AB318+AB341+AB346+AB353</f>
        <v>499580777.14055872</v>
      </c>
      <c r="AC354" s="84"/>
    </row>
    <row r="355" spans="1:29" ht="15.75" customHeight="1">
      <c r="M355" s="92"/>
    </row>
    <row r="356" spans="1:29">
      <c r="W356" s="79">
        <f>W357-X357</f>
        <v>0</v>
      </c>
    </row>
    <row r="357" spans="1:29">
      <c r="B357" s="2" t="s">
        <v>1351</v>
      </c>
      <c r="G357" s="79">
        <f>G354-G128</f>
        <v>25345544860</v>
      </c>
      <c r="N357" s="79">
        <f t="shared" ref="N357:V357" si="91">N354-N128</f>
        <v>10357965249</v>
      </c>
      <c r="O357" s="79">
        <f t="shared" si="91"/>
        <v>14517182225.85944</v>
      </c>
      <c r="P357" s="79">
        <f t="shared" si="91"/>
        <v>24875147474.85944</v>
      </c>
      <c r="Q357" s="79">
        <f t="shared" si="91"/>
        <v>0</v>
      </c>
      <c r="R357" s="79">
        <f t="shared" si="91"/>
        <v>0</v>
      </c>
      <c r="S357" s="79">
        <f t="shared" si="91"/>
        <v>0</v>
      </c>
      <c r="T357" s="79">
        <f t="shared" si="91"/>
        <v>0</v>
      </c>
      <c r="U357" s="79">
        <f t="shared" si="91"/>
        <v>0</v>
      </c>
      <c r="V357" s="79">
        <f t="shared" si="91"/>
        <v>24875147474.85944</v>
      </c>
      <c r="W357" s="79">
        <f>P357-V357</f>
        <v>0</v>
      </c>
      <c r="X357" s="79"/>
      <c r="Y357" s="535">
        <f>SUM(V357:X357)</f>
        <v>24875147474.85944</v>
      </c>
      <c r="Z357" s="79">
        <f>Z354-Z128</f>
        <v>21850634437.85944</v>
      </c>
      <c r="AB357" s="79">
        <f>AB354-AB128</f>
        <v>470397385.14055872</v>
      </c>
    </row>
    <row r="358" spans="1:29">
      <c r="B358" s="2" t="s">
        <v>1352</v>
      </c>
      <c r="G358" s="79">
        <f>G128</f>
        <v>7609686369</v>
      </c>
      <c r="N358" s="79">
        <f t="shared" ref="N358:V358" si="92">N128</f>
        <v>5863302366</v>
      </c>
      <c r="O358" s="79">
        <f t="shared" si="92"/>
        <v>936751240</v>
      </c>
      <c r="P358" s="79">
        <f t="shared" si="92"/>
        <v>6800639906</v>
      </c>
      <c r="Q358" s="79">
        <f t="shared" si="92"/>
        <v>0</v>
      </c>
      <c r="R358" s="79">
        <f t="shared" si="92"/>
        <v>0</v>
      </c>
      <c r="S358" s="79">
        <f t="shared" si="92"/>
        <v>0</v>
      </c>
      <c r="T358" s="79">
        <f t="shared" si="92"/>
        <v>0</v>
      </c>
      <c r="U358" s="79">
        <f t="shared" si="92"/>
        <v>0</v>
      </c>
      <c r="V358" s="79">
        <f t="shared" si="92"/>
        <v>6800639906</v>
      </c>
      <c r="W358" s="79">
        <f>P358-V358</f>
        <v>0</v>
      </c>
      <c r="Y358" s="535">
        <f>Y357-P357</f>
        <v>0</v>
      </c>
      <c r="Z358" s="79">
        <f>Z128</f>
        <v>6800639906</v>
      </c>
      <c r="AB358" s="79">
        <f>AB128</f>
        <v>29183392</v>
      </c>
    </row>
  </sheetData>
  <mergeCells count="45">
    <mergeCell ref="A353:D353"/>
    <mergeCell ref="A346:D346"/>
    <mergeCell ref="A354:D354"/>
    <mergeCell ref="A145:D145"/>
    <mergeCell ref="W9:W10"/>
    <mergeCell ref="A277:D277"/>
    <mergeCell ref="J9:J10"/>
    <mergeCell ref="T9:U9"/>
    <mergeCell ref="A226:D226"/>
    <mergeCell ref="A5:AC5"/>
    <mergeCell ref="A6:N6"/>
    <mergeCell ref="A8:A10"/>
    <mergeCell ref="B8:G8"/>
    <mergeCell ref="H8:I9"/>
    <mergeCell ref="J8:U8"/>
    <mergeCell ref="V8:V10"/>
    <mergeCell ref="W8:X8"/>
    <mergeCell ref="C9:C10"/>
    <mergeCell ref="B9:B10"/>
    <mergeCell ref="D9:D10"/>
    <mergeCell ref="E9:G9"/>
    <mergeCell ref="X9:X10"/>
    <mergeCell ref="AE8:AF9"/>
    <mergeCell ref="AG8:AI9"/>
    <mergeCell ref="AJ8:AJ10"/>
    <mergeCell ref="Y8:AA8"/>
    <mergeCell ref="AC8:AC10"/>
    <mergeCell ref="Z9:Z10"/>
    <mergeCell ref="Y9:Y10"/>
    <mergeCell ref="AD8:AD10"/>
    <mergeCell ref="A33:D33"/>
    <mergeCell ref="A305:D305"/>
    <mergeCell ref="N9:P9"/>
    <mergeCell ref="Q9:S9"/>
    <mergeCell ref="W11:Z11"/>
    <mergeCell ref="A184:D184"/>
    <mergeCell ref="A138:D138"/>
    <mergeCell ref="A128:D128"/>
    <mergeCell ref="A150:D150"/>
    <mergeCell ref="A341:D341"/>
    <mergeCell ref="H171:H175"/>
    <mergeCell ref="I171:I175"/>
    <mergeCell ref="J171:J175"/>
    <mergeCell ref="M171:M175"/>
    <mergeCell ref="A318:D3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AZ409"/>
  <sheetViews>
    <sheetView topLeftCell="O5" zoomScale="80" zoomScaleNormal="80" workbookViewId="0">
      <pane ySplit="6" topLeftCell="A363" activePane="bottomLeft" state="frozen"/>
      <selection activeCell="V5" sqref="V5"/>
      <selection pane="bottomLeft" activeCell="Z376" sqref="Z376"/>
    </sheetView>
  </sheetViews>
  <sheetFormatPr defaultColWidth="32.42578125" defaultRowHeight="15.75"/>
  <cols>
    <col min="1" max="1" width="4.85546875" style="2" customWidth="1"/>
    <col min="2" max="2" width="31.28515625" style="2" bestFit="1" customWidth="1"/>
    <col min="3" max="3" width="32.5703125" style="89" customWidth="1"/>
    <col min="4" max="4" width="48.42578125" style="89" customWidth="1"/>
    <col min="5" max="5" width="17.42578125" style="2" customWidth="1"/>
    <col min="6" max="7" width="18.28515625" style="2" bestFit="1" customWidth="1"/>
    <col min="8" max="8" width="22.140625" style="2" customWidth="1"/>
    <col min="9" max="9" width="18" style="2" customWidth="1"/>
    <col min="10" max="10" width="28.7109375" style="2" bestFit="1" customWidth="1"/>
    <col min="11" max="11" width="31.42578125" style="2" customWidth="1"/>
    <col min="12" max="12" width="25.85546875" style="1255" customWidth="1"/>
    <col min="13" max="13" width="73.28515625" style="89" customWidth="1"/>
    <col min="14" max="14" width="18.140625" style="2" customWidth="1"/>
    <col min="15" max="16" width="19.7109375" style="2" customWidth="1"/>
    <col min="17" max="21" width="19.7109375" style="2" hidden="1" customWidth="1"/>
    <col min="22" max="22" width="19.7109375" style="2" customWidth="1"/>
    <col min="23" max="23" width="32.140625" style="1577" customWidth="1"/>
    <col min="24" max="24" width="21.5703125" style="1577" customWidth="1"/>
    <col min="25" max="25" width="21.7109375" style="1577" customWidth="1"/>
    <col min="26" max="26" width="18.28515625" style="1577" customWidth="1"/>
    <col min="27" max="27" width="10.140625" style="2" bestFit="1" customWidth="1"/>
    <col min="28" max="28" width="19.140625" style="2" bestFit="1" customWidth="1"/>
    <col min="29" max="29" width="22" style="2" bestFit="1" customWidth="1"/>
    <col min="30" max="31" width="14.42578125" style="2" hidden="1" customWidth="1"/>
    <col min="32" max="32" width="16.42578125" style="2" hidden="1" customWidth="1"/>
    <col min="33" max="35" width="17.5703125" style="2" hidden="1" customWidth="1"/>
    <col min="36" max="36" width="14.42578125" style="2" hidden="1" customWidth="1"/>
    <col min="37" max="37" width="17.5703125" style="2" hidden="1" customWidth="1"/>
    <col min="38" max="38" width="15.28515625" style="2" hidden="1" customWidth="1"/>
    <col min="39" max="39" width="16.85546875" style="2" hidden="1" customWidth="1"/>
    <col min="40" max="45" width="15.28515625" style="2" hidden="1" customWidth="1"/>
    <col min="46" max="46" width="32.42578125" style="40"/>
    <col min="47" max="16384" width="32.42578125" style="2"/>
  </cols>
  <sheetData>
    <row r="1" spans="1:5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291"/>
      <c r="M1" s="1"/>
      <c r="N1" s="1"/>
      <c r="O1" s="1"/>
    </row>
    <row r="2" spans="1:52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291"/>
      <c r="M2" s="1"/>
      <c r="N2" s="1"/>
      <c r="O2" s="1"/>
    </row>
    <row r="3" spans="1:52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291"/>
      <c r="M3" s="1"/>
      <c r="N3" s="1"/>
      <c r="O3" s="1"/>
    </row>
    <row r="4" spans="1:52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291"/>
      <c r="M4" s="1"/>
      <c r="N4" s="1"/>
      <c r="O4" s="1"/>
    </row>
    <row r="5" spans="1:52" ht="15.75" customHeight="1">
      <c r="A5" s="2656" t="s">
        <v>572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  <c r="AB5" s="2656"/>
      <c r="AC5" s="2656"/>
    </row>
    <row r="6" spans="1:52" ht="15.75" customHeight="1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  <c r="N6" s="2657"/>
      <c r="O6" s="314"/>
    </row>
    <row r="7" spans="1:52" ht="15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291"/>
      <c r="M7" s="1"/>
      <c r="N7" s="1"/>
      <c r="O7" s="1"/>
    </row>
    <row r="8" spans="1:52" ht="15.75" customHeight="1" thickBot="1">
      <c r="A8" s="2658" t="s">
        <v>3</v>
      </c>
      <c r="B8" s="2661" t="s">
        <v>4</v>
      </c>
      <c r="C8" s="2662"/>
      <c r="D8" s="2662"/>
      <c r="E8" s="2662"/>
      <c r="F8" s="2662"/>
      <c r="G8" s="2663"/>
      <c r="H8" s="2664" t="s">
        <v>5</v>
      </c>
      <c r="I8" s="2665"/>
      <c r="J8" s="2661" t="s">
        <v>6</v>
      </c>
      <c r="K8" s="2662"/>
      <c r="L8" s="2662"/>
      <c r="M8" s="2662"/>
      <c r="N8" s="2662"/>
      <c r="O8" s="2662"/>
      <c r="P8" s="2662"/>
      <c r="Q8" s="2662"/>
      <c r="R8" s="2662"/>
      <c r="S8" s="2662"/>
      <c r="T8" s="2662"/>
      <c r="U8" s="2663"/>
      <c r="V8" s="2671" t="s">
        <v>7</v>
      </c>
      <c r="W8" s="2673" t="s">
        <v>8</v>
      </c>
      <c r="X8" s="2673"/>
      <c r="Y8" s="2668" t="s">
        <v>9</v>
      </c>
      <c r="Z8" s="2669"/>
      <c r="AA8" s="2670"/>
      <c r="AB8" s="4" t="s">
        <v>10</v>
      </c>
      <c r="AC8" s="2674" t="s">
        <v>11</v>
      </c>
      <c r="AD8" s="2696" t="s">
        <v>12</v>
      </c>
      <c r="AE8" s="2697"/>
      <c r="AF8" s="2697"/>
      <c r="AG8" s="2697"/>
      <c r="AH8" s="2697"/>
      <c r="AI8" s="2697"/>
      <c r="AJ8" s="2697"/>
      <c r="AK8" s="2697"/>
      <c r="AL8" s="2677" t="s">
        <v>13</v>
      </c>
      <c r="AM8" s="2678"/>
      <c r="AN8" s="2678"/>
      <c r="AO8" s="2678"/>
      <c r="AP8" s="2678"/>
      <c r="AQ8" s="2678"/>
      <c r="AR8" s="2678"/>
      <c r="AS8" s="2679"/>
      <c r="AT8" s="2690" t="s">
        <v>2571</v>
      </c>
      <c r="AU8" s="2710" t="s">
        <v>2572</v>
      </c>
      <c r="AV8" s="2698"/>
      <c r="AW8" s="2686" t="s">
        <v>2573</v>
      </c>
      <c r="AX8" s="2687"/>
      <c r="AY8" s="2687"/>
      <c r="AZ8" s="2690" t="s">
        <v>2578</v>
      </c>
    </row>
    <row r="9" spans="1:52" ht="15.75" customHeight="1" thickBot="1">
      <c r="A9" s="2659"/>
      <c r="B9" s="2658" t="s">
        <v>48</v>
      </c>
      <c r="C9" s="2671" t="s">
        <v>46</v>
      </c>
      <c r="D9" s="2658" t="s">
        <v>14</v>
      </c>
      <c r="E9" s="2706" t="s">
        <v>15</v>
      </c>
      <c r="F9" s="2721"/>
      <c r="G9" s="2722"/>
      <c r="H9" s="2666"/>
      <c r="I9" s="2667"/>
      <c r="J9" s="2658" t="s">
        <v>16</v>
      </c>
      <c r="K9" s="5"/>
      <c r="L9" s="1327"/>
      <c r="M9" s="5"/>
      <c r="N9" s="2706" t="s">
        <v>17</v>
      </c>
      <c r="O9" s="2707"/>
      <c r="P9" s="2708"/>
      <c r="Q9" s="2680" t="s">
        <v>18</v>
      </c>
      <c r="R9" s="2681"/>
      <c r="S9" s="2709"/>
      <c r="T9" s="2680" t="s">
        <v>19</v>
      </c>
      <c r="U9" s="2681"/>
      <c r="V9" s="2682"/>
      <c r="W9" s="2690" t="s">
        <v>20</v>
      </c>
      <c r="X9" s="2674" t="s">
        <v>21</v>
      </c>
      <c r="Y9" s="2713" t="s">
        <v>22</v>
      </c>
      <c r="Z9" s="2698" t="s">
        <v>15</v>
      </c>
      <c r="AA9" s="1561" t="s">
        <v>23</v>
      </c>
      <c r="AB9" s="7"/>
      <c r="AC9" s="2675"/>
      <c r="AD9" s="8"/>
      <c r="AE9" s="9"/>
      <c r="AF9" s="9"/>
      <c r="AG9" s="9"/>
      <c r="AH9" s="9"/>
      <c r="AI9" s="9"/>
      <c r="AJ9" s="9"/>
      <c r="AK9" s="9"/>
      <c r="AL9" s="2683" t="s">
        <v>24</v>
      </c>
      <c r="AM9" s="2684"/>
      <c r="AN9" s="2684"/>
      <c r="AO9" s="2685"/>
      <c r="AP9" s="2683" t="s">
        <v>25</v>
      </c>
      <c r="AQ9" s="2684"/>
      <c r="AR9" s="2684"/>
      <c r="AS9" s="2685"/>
      <c r="AT9" s="2691"/>
      <c r="AU9" s="2711"/>
      <c r="AV9" s="2712"/>
      <c r="AW9" s="2688"/>
      <c r="AX9" s="2689"/>
      <c r="AY9" s="2689"/>
      <c r="AZ9" s="2691"/>
    </row>
    <row r="10" spans="1:52" ht="15.75" customHeight="1" thickBot="1">
      <c r="A10" s="2660"/>
      <c r="B10" s="2660"/>
      <c r="C10" s="2672"/>
      <c r="D10" s="2660"/>
      <c r="E10" s="11" t="s">
        <v>30</v>
      </c>
      <c r="F10" s="11" t="s">
        <v>31</v>
      </c>
      <c r="G10" s="11" t="s">
        <v>32</v>
      </c>
      <c r="H10" s="10" t="s">
        <v>26</v>
      </c>
      <c r="I10" s="10" t="s">
        <v>27</v>
      </c>
      <c r="J10" s="2660"/>
      <c r="K10" s="10" t="s">
        <v>49</v>
      </c>
      <c r="L10" s="1293" t="s">
        <v>29</v>
      </c>
      <c r="M10" s="10" t="s">
        <v>28</v>
      </c>
      <c r="N10" s="11" t="s">
        <v>30</v>
      </c>
      <c r="O10" s="11" t="s">
        <v>31</v>
      </c>
      <c r="P10" s="12" t="s">
        <v>32</v>
      </c>
      <c r="Q10" s="12" t="s">
        <v>33</v>
      </c>
      <c r="R10" s="12" t="s">
        <v>30</v>
      </c>
      <c r="S10" s="12" t="s">
        <v>31</v>
      </c>
      <c r="T10" s="12" t="s">
        <v>33</v>
      </c>
      <c r="U10" s="13" t="s">
        <v>34</v>
      </c>
      <c r="V10" s="2672"/>
      <c r="W10" s="2692"/>
      <c r="X10" s="2676"/>
      <c r="Y10" s="2714"/>
      <c r="Z10" s="2699"/>
      <c r="AA10" s="1562" t="s">
        <v>35</v>
      </c>
      <c r="AB10" s="12" t="s">
        <v>36</v>
      </c>
      <c r="AC10" s="2676"/>
      <c r="AD10" s="2700" t="s">
        <v>37</v>
      </c>
      <c r="AE10" s="2701"/>
      <c r="AF10" s="2701"/>
      <c r="AG10" s="2702"/>
      <c r="AH10" s="2700" t="s">
        <v>38</v>
      </c>
      <c r="AI10" s="2701"/>
      <c r="AJ10" s="2701"/>
      <c r="AK10" s="2701"/>
      <c r="AL10" s="15" t="s">
        <v>39</v>
      </c>
      <c r="AM10" s="15" t="s">
        <v>40</v>
      </c>
      <c r="AN10" s="15" t="s">
        <v>41</v>
      </c>
      <c r="AO10" s="15" t="s">
        <v>42</v>
      </c>
      <c r="AP10" s="15" t="s">
        <v>39</v>
      </c>
      <c r="AQ10" s="15" t="s">
        <v>40</v>
      </c>
      <c r="AR10" s="15" t="s">
        <v>41</v>
      </c>
      <c r="AS10" s="457" t="s">
        <v>42</v>
      </c>
      <c r="AT10" s="2692"/>
      <c r="AU10" s="16" t="s">
        <v>3</v>
      </c>
      <c r="AV10" s="16" t="s">
        <v>2574</v>
      </c>
      <c r="AW10" s="16" t="s">
        <v>2575</v>
      </c>
      <c r="AX10" s="16" t="s">
        <v>2576</v>
      </c>
      <c r="AY10" s="16" t="s">
        <v>2577</v>
      </c>
      <c r="AZ10" s="2692"/>
    </row>
    <row r="11" spans="1:52" ht="15.75" customHeight="1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/>
      <c r="J11" s="10"/>
      <c r="K11" s="10">
        <v>5</v>
      </c>
      <c r="L11" s="1293"/>
      <c r="M11" s="10">
        <v>6</v>
      </c>
      <c r="N11" s="10">
        <v>8</v>
      </c>
      <c r="O11" s="10"/>
      <c r="P11" s="16">
        <v>9</v>
      </c>
      <c r="Q11" s="312"/>
      <c r="R11" s="312"/>
      <c r="S11" s="312"/>
      <c r="T11" s="312"/>
      <c r="U11" s="312"/>
      <c r="V11" s="312"/>
      <c r="W11" s="2765">
        <v>10</v>
      </c>
      <c r="X11" s="2766"/>
      <c r="Y11" s="2766"/>
      <c r="Z11" s="2767"/>
      <c r="AA11" s="313"/>
      <c r="AB11" s="16">
        <v>10</v>
      </c>
      <c r="AC11" s="16">
        <v>11</v>
      </c>
      <c r="AD11" s="19" t="s">
        <v>39</v>
      </c>
      <c r="AE11" s="19" t="s">
        <v>40</v>
      </c>
      <c r="AF11" s="19" t="s">
        <v>41</v>
      </c>
      <c r="AG11" s="19" t="s">
        <v>42</v>
      </c>
      <c r="AH11" s="19" t="s">
        <v>39</v>
      </c>
      <c r="AI11" s="19" t="s">
        <v>40</v>
      </c>
      <c r="AJ11" s="19" t="s">
        <v>41</v>
      </c>
      <c r="AK11" s="20" t="s">
        <v>42</v>
      </c>
      <c r="AL11" s="21"/>
      <c r="AM11" s="21"/>
      <c r="AN11" s="21"/>
      <c r="AO11" s="21"/>
      <c r="AP11" s="21"/>
      <c r="AQ11" s="21"/>
      <c r="AR11" s="21"/>
      <c r="AS11" s="458"/>
      <c r="AT11" s="16"/>
      <c r="AU11" s="19"/>
      <c r="AV11" s="19"/>
      <c r="AW11" s="19"/>
      <c r="AX11" s="19"/>
      <c r="AY11" s="19"/>
      <c r="AZ11" s="16"/>
    </row>
    <row r="12" spans="1:52" ht="15.75" customHeight="1">
      <c r="A12" s="95"/>
      <c r="B12" s="95"/>
      <c r="C12" s="95"/>
      <c r="D12" s="95"/>
      <c r="E12" s="95"/>
      <c r="F12" s="95"/>
      <c r="G12" s="95"/>
      <c r="H12" s="95"/>
      <c r="I12" s="95"/>
      <c r="J12" s="93"/>
      <c r="K12" s="5"/>
      <c r="L12" s="1327"/>
      <c r="M12" s="5"/>
      <c r="N12" s="96"/>
      <c r="O12" s="96"/>
      <c r="P12" s="97"/>
      <c r="Q12" s="9"/>
      <c r="R12" s="9"/>
      <c r="S12" s="9"/>
      <c r="T12" s="9"/>
      <c r="U12" s="9"/>
      <c r="V12" s="136"/>
      <c r="W12" s="1578"/>
      <c r="X12" s="1578"/>
      <c r="Y12" s="1578"/>
      <c r="Z12" s="1579"/>
      <c r="AA12" s="97"/>
      <c r="AB12" s="97"/>
      <c r="AC12" s="7"/>
      <c r="AD12" s="98"/>
      <c r="AE12" s="98"/>
      <c r="AF12" s="98"/>
      <c r="AG12" s="98"/>
      <c r="AH12" s="98"/>
      <c r="AI12" s="98"/>
      <c r="AJ12" s="98"/>
      <c r="AK12" s="99"/>
      <c r="AL12" s="78"/>
      <c r="AM12" s="78"/>
      <c r="AN12" s="78"/>
      <c r="AO12" s="78"/>
      <c r="AP12" s="78"/>
      <c r="AQ12" s="78"/>
      <c r="AR12" s="78"/>
      <c r="AS12" s="459"/>
      <c r="AT12" s="342"/>
      <c r="AU12" s="1381"/>
      <c r="AV12" s="1381"/>
      <c r="AW12" s="1381"/>
      <c r="AX12" s="1381"/>
      <c r="AY12" s="1381"/>
      <c r="AZ12" s="342"/>
    </row>
    <row r="13" spans="1:52" ht="47.25">
      <c r="A13" s="291">
        <v>1</v>
      </c>
      <c r="B13" s="153" t="s">
        <v>573</v>
      </c>
      <c r="C13" s="24"/>
      <c r="D13" s="25" t="s">
        <v>574</v>
      </c>
      <c r="E13" s="26">
        <v>2591517000</v>
      </c>
      <c r="F13" s="26"/>
      <c r="G13" s="26">
        <f>E13+F13</f>
        <v>2591517000</v>
      </c>
      <c r="H13" s="26"/>
      <c r="I13" s="26"/>
      <c r="J13" s="126"/>
      <c r="K13" s="27" t="s">
        <v>1028</v>
      </c>
      <c r="L13" s="71" t="s">
        <v>1032</v>
      </c>
      <c r="M13" s="130" t="s">
        <v>1030</v>
      </c>
      <c r="N13" s="128"/>
      <c r="O13" s="128">
        <v>48017750</v>
      </c>
      <c r="P13" s="29">
        <f t="shared" ref="P13:P20" si="0">N13+O13</f>
        <v>48017750</v>
      </c>
      <c r="Q13" s="30"/>
      <c r="R13" s="30"/>
      <c r="S13" s="30"/>
      <c r="T13" s="30"/>
      <c r="U13" s="30"/>
      <c r="V13" s="36">
        <f t="shared" ref="V13:V20" si="1">P13</f>
        <v>48017750</v>
      </c>
      <c r="W13" s="1580" t="s">
        <v>557</v>
      </c>
      <c r="X13" s="1581"/>
      <c r="Y13" s="1581">
        <v>42397</v>
      </c>
      <c r="Z13" s="1580">
        <f>V13</f>
        <v>48017750</v>
      </c>
      <c r="AA13" s="288">
        <v>1</v>
      </c>
      <c r="AB13" s="30">
        <f>+G13-P13</f>
        <v>2543499250</v>
      </c>
      <c r="AC13" s="32"/>
      <c r="AD13" s="32"/>
      <c r="AE13" s="32"/>
      <c r="AF13" s="32"/>
      <c r="AG13" s="32"/>
      <c r="AH13" s="32"/>
      <c r="AI13" s="32"/>
      <c r="AJ13" s="32"/>
      <c r="AK13" s="33"/>
      <c r="AL13" s="32"/>
      <c r="AM13" s="32"/>
      <c r="AN13" s="32"/>
      <c r="AO13" s="32"/>
      <c r="AP13" s="32"/>
      <c r="AQ13" s="32"/>
      <c r="AR13" s="32"/>
      <c r="AS13" s="33"/>
      <c r="AT13" s="38"/>
      <c r="AU13" s="38"/>
      <c r="AV13" s="38"/>
      <c r="AW13" s="38"/>
      <c r="AX13" s="38"/>
      <c r="AY13" s="38"/>
      <c r="AZ13" s="38"/>
    </row>
    <row r="14" spans="1:52" ht="31.5">
      <c r="A14" s="22"/>
      <c r="B14" s="153" t="s">
        <v>925</v>
      </c>
      <c r="C14" s="24"/>
      <c r="D14" s="25"/>
      <c r="E14" s="26"/>
      <c r="F14" s="26"/>
      <c r="G14" s="26"/>
      <c r="H14" s="26"/>
      <c r="I14" s="26"/>
      <c r="J14" s="126"/>
      <c r="K14" s="34" t="s">
        <v>1029</v>
      </c>
      <c r="L14" s="248" t="s">
        <v>1032</v>
      </c>
      <c r="M14" s="131" t="s">
        <v>1031</v>
      </c>
      <c r="N14" s="499"/>
      <c r="O14" s="499">
        <v>44663300</v>
      </c>
      <c r="P14" s="29">
        <f t="shared" si="0"/>
        <v>44663300</v>
      </c>
      <c r="Q14" s="36"/>
      <c r="R14" s="36"/>
      <c r="S14" s="36"/>
      <c r="T14" s="36"/>
      <c r="U14" s="36"/>
      <c r="V14" s="36">
        <f t="shared" si="1"/>
        <v>44663300</v>
      </c>
      <c r="W14" s="1580" t="s">
        <v>557</v>
      </c>
      <c r="X14" s="1582"/>
      <c r="Y14" s="1581">
        <v>42397</v>
      </c>
      <c r="Z14" s="1580">
        <f>V14</f>
        <v>44663300</v>
      </c>
      <c r="AA14" s="288">
        <v>1</v>
      </c>
      <c r="AB14" s="30">
        <f t="shared" ref="AB14:AB43" si="2">+G14-P14</f>
        <v>-44663300</v>
      </c>
      <c r="AC14" s="38"/>
      <c r="AD14" s="38"/>
      <c r="AE14" s="38"/>
      <c r="AF14" s="38"/>
      <c r="AG14" s="38"/>
      <c r="AH14" s="38"/>
      <c r="AI14" s="38"/>
      <c r="AJ14" s="38"/>
      <c r="AK14" s="39"/>
      <c r="AL14" s="38"/>
      <c r="AM14" s="38"/>
      <c r="AN14" s="38"/>
      <c r="AO14" s="38"/>
      <c r="AP14" s="38"/>
      <c r="AQ14" s="38"/>
      <c r="AR14" s="38"/>
      <c r="AS14" s="39"/>
      <c r="AU14" s="40"/>
    </row>
    <row r="15" spans="1:52" ht="31.5">
      <c r="A15" s="22"/>
      <c r="B15" s="564">
        <v>42444</v>
      </c>
      <c r="C15" s="24"/>
      <c r="D15" s="25"/>
      <c r="E15" s="26"/>
      <c r="F15" s="26"/>
      <c r="G15" s="26"/>
      <c r="H15" s="26"/>
      <c r="I15" s="26"/>
      <c r="J15" s="126"/>
      <c r="K15" s="34" t="s">
        <v>1033</v>
      </c>
      <c r="L15" s="248" t="s">
        <v>1035</v>
      </c>
      <c r="M15" s="131" t="s">
        <v>1036</v>
      </c>
      <c r="N15" s="499">
        <v>264051645</v>
      </c>
      <c r="O15" s="499"/>
      <c r="P15" s="29">
        <f t="shared" si="0"/>
        <v>264051645</v>
      </c>
      <c r="Q15" s="36"/>
      <c r="R15" s="36"/>
      <c r="S15" s="36"/>
      <c r="T15" s="36"/>
      <c r="U15" s="36"/>
      <c r="V15" s="36">
        <f t="shared" si="1"/>
        <v>264051645</v>
      </c>
      <c r="W15" s="1580" t="s">
        <v>1038</v>
      </c>
      <c r="X15" s="1582"/>
      <c r="Y15" s="1581">
        <v>42410</v>
      </c>
      <c r="Z15" s="1580">
        <f t="shared" ref="Z15:Z20" si="3">V15</f>
        <v>264051645</v>
      </c>
      <c r="AA15" s="288">
        <v>1</v>
      </c>
      <c r="AB15" s="30">
        <f t="shared" si="2"/>
        <v>-264051645</v>
      </c>
      <c r="AC15" s="38"/>
      <c r="AD15" s="38"/>
      <c r="AE15" s="38"/>
      <c r="AF15" s="38"/>
      <c r="AG15" s="38"/>
      <c r="AH15" s="38"/>
      <c r="AI15" s="38"/>
      <c r="AJ15" s="38"/>
      <c r="AK15" s="39"/>
      <c r="AL15" s="38"/>
      <c r="AM15" s="38"/>
      <c r="AN15" s="38"/>
      <c r="AO15" s="38"/>
      <c r="AP15" s="38"/>
      <c r="AQ15" s="38"/>
      <c r="AR15" s="38"/>
      <c r="AS15" s="39"/>
      <c r="AU15" s="40"/>
    </row>
    <row r="16" spans="1:52" ht="31.5">
      <c r="A16" s="22"/>
      <c r="B16" s="798"/>
      <c r="C16" s="24"/>
      <c r="D16" s="25"/>
      <c r="E16" s="26"/>
      <c r="F16" s="26"/>
      <c r="G16" s="26"/>
      <c r="H16" s="26"/>
      <c r="I16" s="26"/>
      <c r="J16" s="126"/>
      <c r="K16" s="34" t="s">
        <v>1034</v>
      </c>
      <c r="L16" s="248" t="s">
        <v>1035</v>
      </c>
      <c r="M16" s="131" t="s">
        <v>1037</v>
      </c>
      <c r="N16" s="499">
        <v>60222305</v>
      </c>
      <c r="O16" s="499"/>
      <c r="P16" s="29">
        <f t="shared" si="0"/>
        <v>60222305</v>
      </c>
      <c r="Q16" s="36"/>
      <c r="R16" s="36"/>
      <c r="S16" s="36"/>
      <c r="T16" s="36"/>
      <c r="U16" s="36"/>
      <c r="V16" s="36">
        <f t="shared" si="1"/>
        <v>60222305</v>
      </c>
      <c r="W16" s="1580" t="s">
        <v>1038</v>
      </c>
      <c r="X16" s="1582"/>
      <c r="Y16" s="1581">
        <v>42410</v>
      </c>
      <c r="Z16" s="1580">
        <f t="shared" si="3"/>
        <v>60222305</v>
      </c>
      <c r="AA16" s="288">
        <v>1</v>
      </c>
      <c r="AB16" s="30">
        <f t="shared" si="2"/>
        <v>-60222305</v>
      </c>
      <c r="AC16" s="38"/>
      <c r="AD16" s="38"/>
      <c r="AE16" s="38"/>
      <c r="AF16" s="38"/>
      <c r="AG16" s="38"/>
      <c r="AH16" s="38"/>
      <c r="AI16" s="38"/>
      <c r="AJ16" s="38"/>
      <c r="AK16" s="39"/>
      <c r="AL16" s="38"/>
      <c r="AM16" s="38"/>
      <c r="AN16" s="38"/>
      <c r="AO16" s="38"/>
      <c r="AP16" s="38"/>
      <c r="AQ16" s="38"/>
      <c r="AR16" s="38"/>
      <c r="AS16" s="39"/>
      <c r="AU16" s="40"/>
    </row>
    <row r="17" spans="1:47" ht="31.5">
      <c r="A17" s="22"/>
      <c r="B17" s="798"/>
      <c r="C17" s="24"/>
      <c r="D17" s="25"/>
      <c r="E17" s="26"/>
      <c r="F17" s="26"/>
      <c r="G17" s="26"/>
      <c r="H17" s="26"/>
      <c r="I17" s="26"/>
      <c r="J17" s="126"/>
      <c r="K17" s="34" t="s">
        <v>1078</v>
      </c>
      <c r="L17" s="248" t="s">
        <v>1035</v>
      </c>
      <c r="M17" s="131" t="s">
        <v>1079</v>
      </c>
      <c r="N17" s="499">
        <v>61799650</v>
      </c>
      <c r="O17" s="35"/>
      <c r="P17" s="29">
        <f t="shared" si="0"/>
        <v>61799650</v>
      </c>
      <c r="Q17" s="36"/>
      <c r="R17" s="36"/>
      <c r="S17" s="36"/>
      <c r="T17" s="36"/>
      <c r="U17" s="36"/>
      <c r="V17" s="36">
        <f t="shared" si="1"/>
        <v>61799650</v>
      </c>
      <c r="W17" s="1580" t="s">
        <v>590</v>
      </c>
      <c r="X17" s="1582">
        <v>42446</v>
      </c>
      <c r="Y17" s="1581">
        <v>42472</v>
      </c>
      <c r="Z17" s="1580">
        <f t="shared" si="3"/>
        <v>61799650</v>
      </c>
      <c r="AA17" s="288">
        <v>1</v>
      </c>
      <c r="AB17" s="30">
        <f t="shared" si="2"/>
        <v>-61799650</v>
      </c>
      <c r="AC17" s="38"/>
      <c r="AD17" s="38"/>
      <c r="AE17" s="38"/>
      <c r="AF17" s="38"/>
      <c r="AG17" s="38"/>
      <c r="AH17" s="38"/>
      <c r="AI17" s="38"/>
      <c r="AJ17" s="38"/>
      <c r="AK17" s="39"/>
      <c r="AL17" s="38"/>
      <c r="AM17" s="38"/>
      <c r="AN17" s="38"/>
      <c r="AO17" s="38"/>
      <c r="AP17" s="38"/>
      <c r="AQ17" s="38"/>
      <c r="AR17" s="38"/>
      <c r="AS17" s="39"/>
      <c r="AU17" s="40"/>
    </row>
    <row r="18" spans="1:47" ht="31.5">
      <c r="A18" s="22"/>
      <c r="B18" s="798"/>
      <c r="C18" s="24"/>
      <c r="D18" s="25"/>
      <c r="E18" s="26"/>
      <c r="F18" s="26"/>
      <c r="G18" s="26"/>
      <c r="H18" s="26"/>
      <c r="I18" s="26"/>
      <c r="J18" s="126"/>
      <c r="K18" s="34" t="s">
        <v>1085</v>
      </c>
      <c r="L18" s="248" t="s">
        <v>1086</v>
      </c>
      <c r="M18" s="131" t="s">
        <v>1087</v>
      </c>
      <c r="N18" s="499">
        <v>145699125</v>
      </c>
      <c r="O18" s="35"/>
      <c r="P18" s="29">
        <f t="shared" si="0"/>
        <v>145699125</v>
      </c>
      <c r="Q18" s="36"/>
      <c r="R18" s="36"/>
      <c r="S18" s="36"/>
      <c r="T18" s="36"/>
      <c r="U18" s="36"/>
      <c r="V18" s="36">
        <f t="shared" si="1"/>
        <v>145699125</v>
      </c>
      <c r="W18" s="1580" t="s">
        <v>961</v>
      </c>
      <c r="X18" s="1582">
        <v>42468</v>
      </c>
      <c r="Y18" s="1581">
        <v>42474</v>
      </c>
      <c r="Z18" s="1580">
        <f t="shared" si="3"/>
        <v>145699125</v>
      </c>
      <c r="AA18" s="288">
        <v>1</v>
      </c>
      <c r="AB18" s="30">
        <f t="shared" si="2"/>
        <v>-145699125</v>
      </c>
      <c r="AC18" s="38"/>
      <c r="AD18" s="38"/>
      <c r="AE18" s="38"/>
      <c r="AF18" s="38"/>
      <c r="AG18" s="38"/>
      <c r="AH18" s="38"/>
      <c r="AI18" s="38"/>
      <c r="AJ18" s="38"/>
      <c r="AK18" s="39"/>
      <c r="AL18" s="38"/>
      <c r="AM18" s="38"/>
      <c r="AN18" s="38"/>
      <c r="AO18" s="38"/>
      <c r="AP18" s="38"/>
      <c r="AQ18" s="38"/>
      <c r="AR18" s="38"/>
      <c r="AS18" s="39"/>
      <c r="AU18" s="40"/>
    </row>
    <row r="19" spans="1:47" ht="31.5">
      <c r="A19" s="22"/>
      <c r="B19" s="798"/>
      <c r="C19" s="24"/>
      <c r="D19" s="25"/>
      <c r="E19" s="26"/>
      <c r="F19" s="26"/>
      <c r="G19" s="26"/>
      <c r="H19" s="26"/>
      <c r="I19" s="26"/>
      <c r="J19" s="126"/>
      <c r="K19" s="34" t="s">
        <v>1101</v>
      </c>
      <c r="L19" s="248" t="s">
        <v>1086</v>
      </c>
      <c r="M19" s="131" t="s">
        <v>1103</v>
      </c>
      <c r="N19" s="499">
        <v>51152750</v>
      </c>
      <c r="O19" s="35"/>
      <c r="P19" s="29">
        <f t="shared" si="0"/>
        <v>51152750</v>
      </c>
      <c r="Q19" s="36"/>
      <c r="R19" s="36"/>
      <c r="S19" s="36"/>
      <c r="T19" s="36"/>
      <c r="U19" s="36"/>
      <c r="V19" s="36">
        <f t="shared" si="1"/>
        <v>51152750</v>
      </c>
      <c r="W19" s="1580" t="s">
        <v>969</v>
      </c>
      <c r="X19" s="1582">
        <v>42468</v>
      </c>
      <c r="Y19" s="1581">
        <v>42475</v>
      </c>
      <c r="Z19" s="1580">
        <f t="shared" si="3"/>
        <v>51152750</v>
      </c>
      <c r="AA19" s="288">
        <v>1</v>
      </c>
      <c r="AB19" s="30">
        <f t="shared" si="2"/>
        <v>-51152750</v>
      </c>
      <c r="AC19" s="38"/>
      <c r="AD19" s="38"/>
      <c r="AE19" s="38"/>
      <c r="AF19" s="38"/>
      <c r="AG19" s="38"/>
      <c r="AH19" s="38"/>
      <c r="AI19" s="38"/>
      <c r="AJ19" s="38"/>
      <c r="AK19" s="39"/>
      <c r="AL19" s="38"/>
      <c r="AM19" s="38"/>
      <c r="AN19" s="38"/>
      <c r="AO19" s="38"/>
      <c r="AP19" s="38"/>
      <c r="AQ19" s="38"/>
      <c r="AR19" s="38"/>
      <c r="AS19" s="39"/>
      <c r="AU19" s="40"/>
    </row>
    <row r="20" spans="1:47" ht="31.5">
      <c r="A20" s="22"/>
      <c r="C20" s="42"/>
      <c r="D20" s="43"/>
      <c r="E20" s="26"/>
      <c r="F20" s="26"/>
      <c r="G20" s="26"/>
      <c r="H20" s="26"/>
      <c r="I20" s="26"/>
      <c r="J20" s="126"/>
      <c r="K20" s="44" t="s">
        <v>1102</v>
      </c>
      <c r="L20" s="248" t="s">
        <v>1086</v>
      </c>
      <c r="M20" s="132" t="s">
        <v>1104</v>
      </c>
      <c r="N20" s="801">
        <v>61799650</v>
      </c>
      <c r="O20" s="45"/>
      <c r="P20" s="29">
        <f t="shared" si="0"/>
        <v>61799650</v>
      </c>
      <c r="Q20" s="36"/>
      <c r="R20" s="36"/>
      <c r="S20" s="36"/>
      <c r="T20" s="36"/>
      <c r="U20" s="36"/>
      <c r="V20" s="36">
        <f t="shared" si="1"/>
        <v>61799650</v>
      </c>
      <c r="W20" s="1580" t="s">
        <v>969</v>
      </c>
      <c r="X20" s="1582">
        <v>42468</v>
      </c>
      <c r="Y20" s="1581">
        <v>42475</v>
      </c>
      <c r="Z20" s="1580">
        <f t="shared" si="3"/>
        <v>61799650</v>
      </c>
      <c r="AA20" s="288">
        <v>1</v>
      </c>
      <c r="AB20" s="30">
        <f t="shared" si="2"/>
        <v>-61799650</v>
      </c>
      <c r="AC20" s="47"/>
      <c r="AD20" s="38"/>
      <c r="AE20" s="38"/>
      <c r="AF20" s="48"/>
      <c r="AG20" s="48"/>
      <c r="AH20" s="49" t="e">
        <f>P20-#REF!</f>
        <v>#REF!</v>
      </c>
      <c r="AI20" s="38"/>
      <c r="AJ20" s="38"/>
      <c r="AK20" s="39"/>
      <c r="AL20" s="38"/>
      <c r="AM20" s="38"/>
      <c r="AN20" s="38"/>
      <c r="AO20" s="38"/>
      <c r="AP20" s="38"/>
      <c r="AQ20" s="38"/>
      <c r="AR20" s="38"/>
      <c r="AS20" s="39"/>
      <c r="AU20" s="40"/>
    </row>
    <row r="21" spans="1:47" ht="31.5">
      <c r="A21" s="22"/>
      <c r="C21" s="167"/>
      <c r="D21" s="168"/>
      <c r="E21" s="169"/>
      <c r="F21" s="169"/>
      <c r="G21" s="26"/>
      <c r="H21" s="170"/>
      <c r="I21" s="169"/>
      <c r="J21" s="170"/>
      <c r="K21" s="171" t="s">
        <v>1314</v>
      </c>
      <c r="L21" s="454" t="s">
        <v>1086</v>
      </c>
      <c r="M21" s="403" t="s">
        <v>1317</v>
      </c>
      <c r="N21" s="1033">
        <v>426188620</v>
      </c>
      <c r="O21" s="1033"/>
      <c r="P21" s="172">
        <v>426188620</v>
      </c>
      <c r="Q21" s="173"/>
      <c r="R21" s="173"/>
      <c r="S21" s="173"/>
      <c r="T21" s="173"/>
      <c r="U21" s="173"/>
      <c r="V21" s="177">
        <v>426188620</v>
      </c>
      <c r="W21" s="1583" t="s">
        <v>1318</v>
      </c>
      <c r="X21" s="1584">
        <v>42494</v>
      </c>
      <c r="Y21" s="1585">
        <v>42502</v>
      </c>
      <c r="Z21" s="1586">
        <v>426188620</v>
      </c>
      <c r="AA21" s="288">
        <v>1</v>
      </c>
      <c r="AB21" s="30">
        <f t="shared" si="2"/>
        <v>-426188620</v>
      </c>
      <c r="AC21" s="1036"/>
      <c r="AD21" s="175"/>
      <c r="AE21" s="175"/>
      <c r="AF21" s="176"/>
      <c r="AG21" s="176"/>
      <c r="AH21" s="177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U21" s="40"/>
    </row>
    <row r="22" spans="1:47" ht="31.5">
      <c r="A22" s="22"/>
      <c r="C22" s="167"/>
      <c r="D22" s="168"/>
      <c r="E22" s="169"/>
      <c r="F22" s="169"/>
      <c r="G22" s="26"/>
      <c r="H22" s="170"/>
      <c r="I22" s="169"/>
      <c r="J22" s="170"/>
      <c r="K22" s="171" t="s">
        <v>2123</v>
      </c>
      <c r="L22" s="454" t="s">
        <v>1086</v>
      </c>
      <c r="M22" s="1195" t="s">
        <v>2124</v>
      </c>
      <c r="N22" s="1033">
        <v>102305500</v>
      </c>
      <c r="O22" s="1033"/>
      <c r="P22" s="172">
        <f>+N22+O22</f>
        <v>102305500</v>
      </c>
      <c r="Q22" s="173"/>
      <c r="R22" s="173"/>
      <c r="S22" s="173"/>
      <c r="T22" s="173"/>
      <c r="U22" s="173"/>
      <c r="V22" s="177">
        <f t="shared" ref="V22:V33" si="4">P22</f>
        <v>102305500</v>
      </c>
      <c r="W22" s="1583" t="s">
        <v>2125</v>
      </c>
      <c r="X22" s="1584">
        <v>42580</v>
      </c>
      <c r="Y22" s="1585">
        <v>42585</v>
      </c>
      <c r="Z22" s="1586">
        <f t="shared" ref="Z22:Z33" si="5">V22</f>
        <v>102305500</v>
      </c>
      <c r="AA22" s="288">
        <v>1</v>
      </c>
      <c r="AB22" s="30">
        <f t="shared" si="2"/>
        <v>-102305500</v>
      </c>
      <c r="AC22" s="1036"/>
      <c r="AD22" s="175"/>
      <c r="AE22" s="175"/>
      <c r="AF22" s="176"/>
      <c r="AG22" s="176"/>
      <c r="AH22" s="177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175"/>
      <c r="AU22" s="40"/>
    </row>
    <row r="23" spans="1:47" ht="31.5">
      <c r="A23" s="22"/>
      <c r="C23" s="167"/>
      <c r="D23" s="168"/>
      <c r="E23" s="169"/>
      <c r="F23" s="169"/>
      <c r="G23" s="26"/>
      <c r="H23" s="170"/>
      <c r="I23" s="169"/>
      <c r="J23" s="170"/>
      <c r="K23" s="171" t="s">
        <v>2128</v>
      </c>
      <c r="L23" s="454" t="s">
        <v>1086</v>
      </c>
      <c r="M23" s="1195" t="s">
        <v>2129</v>
      </c>
      <c r="N23" s="1199">
        <v>203829340</v>
      </c>
      <c r="O23" s="1033"/>
      <c r="P23" s="172">
        <f>+N23+O23</f>
        <v>203829340</v>
      </c>
      <c r="Q23" s="173"/>
      <c r="R23" s="173"/>
      <c r="S23" s="173"/>
      <c r="T23" s="173"/>
      <c r="U23" s="173"/>
      <c r="V23" s="177">
        <f t="shared" si="4"/>
        <v>203829340</v>
      </c>
      <c r="W23" s="1583" t="s">
        <v>2130</v>
      </c>
      <c r="X23" s="1584">
        <v>42585</v>
      </c>
      <c r="Y23" s="1585">
        <v>42587</v>
      </c>
      <c r="Z23" s="1586">
        <f t="shared" si="5"/>
        <v>203829340</v>
      </c>
      <c r="AA23" s="288">
        <v>1</v>
      </c>
      <c r="AB23" s="30">
        <f>+G23-P23</f>
        <v>-203829340</v>
      </c>
      <c r="AC23" s="1036"/>
      <c r="AD23" s="175"/>
      <c r="AE23" s="175"/>
      <c r="AF23" s="176"/>
      <c r="AG23" s="176"/>
      <c r="AH23" s="177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U23" s="40"/>
    </row>
    <row r="24" spans="1:47" ht="31.5">
      <c r="A24" s="22"/>
      <c r="C24" s="167"/>
      <c r="D24" s="168"/>
      <c r="E24" s="169"/>
      <c r="F24" s="169"/>
      <c r="G24" s="26"/>
      <c r="H24" s="170"/>
      <c r="I24" s="169"/>
      <c r="J24" s="170"/>
      <c r="K24" s="171" t="s">
        <v>2136</v>
      </c>
      <c r="L24" s="454" t="s">
        <v>1086</v>
      </c>
      <c r="M24" s="1195" t="s">
        <v>2137</v>
      </c>
      <c r="N24" s="1200">
        <v>435453590</v>
      </c>
      <c r="O24" s="1033"/>
      <c r="P24" s="172">
        <f>+N24+O24</f>
        <v>435453590</v>
      </c>
      <c r="Q24" s="173"/>
      <c r="R24" s="173"/>
      <c r="S24" s="173"/>
      <c r="T24" s="173"/>
      <c r="U24" s="173"/>
      <c r="V24" s="177">
        <f t="shared" si="4"/>
        <v>435453590</v>
      </c>
      <c r="W24" s="1583" t="s">
        <v>2140</v>
      </c>
      <c r="X24" s="1584">
        <v>42600</v>
      </c>
      <c r="Y24" s="1585">
        <v>42605</v>
      </c>
      <c r="Z24" s="1586">
        <f t="shared" si="5"/>
        <v>435453590</v>
      </c>
      <c r="AA24" s="288">
        <v>1</v>
      </c>
      <c r="AB24" s="30">
        <f>+G24-P24</f>
        <v>-435453590</v>
      </c>
      <c r="AC24" s="1036"/>
      <c r="AD24" s="175"/>
      <c r="AE24" s="175"/>
      <c r="AF24" s="176"/>
      <c r="AG24" s="176"/>
      <c r="AH24" s="177"/>
      <c r="AI24" s="175"/>
      <c r="AJ24" s="175"/>
      <c r="AK24" s="175"/>
      <c r="AL24" s="175"/>
      <c r="AM24" s="175"/>
      <c r="AN24" s="175"/>
      <c r="AO24" s="175"/>
      <c r="AP24" s="175"/>
      <c r="AQ24" s="175"/>
      <c r="AR24" s="175"/>
      <c r="AS24" s="175"/>
      <c r="AU24" s="40"/>
    </row>
    <row r="25" spans="1:47" ht="31.5">
      <c r="A25" s="22"/>
      <c r="C25" s="167"/>
      <c r="D25" s="168"/>
      <c r="E25" s="169"/>
      <c r="F25" s="169"/>
      <c r="G25" s="26"/>
      <c r="H25" s="170"/>
      <c r="I25" s="169"/>
      <c r="J25" s="170"/>
      <c r="K25" s="171" t="s">
        <v>2138</v>
      </c>
      <c r="L25" s="454" t="s">
        <v>1086</v>
      </c>
      <c r="M25" s="1195" t="s">
        <v>2139</v>
      </c>
      <c r="N25" s="1200">
        <v>116559300</v>
      </c>
      <c r="O25" s="1033"/>
      <c r="P25" s="172">
        <f>+N25+O25</f>
        <v>116559300</v>
      </c>
      <c r="Q25" s="173"/>
      <c r="R25" s="173"/>
      <c r="S25" s="173"/>
      <c r="T25" s="173"/>
      <c r="U25" s="173"/>
      <c r="V25" s="177">
        <f t="shared" si="4"/>
        <v>116559300</v>
      </c>
      <c r="W25" s="1583" t="s">
        <v>2140</v>
      </c>
      <c r="X25" s="1584">
        <v>42600</v>
      </c>
      <c r="Y25" s="1585">
        <v>42605</v>
      </c>
      <c r="Z25" s="1586">
        <f t="shared" si="5"/>
        <v>116559300</v>
      </c>
      <c r="AA25" s="288">
        <v>1</v>
      </c>
      <c r="AB25" s="30">
        <f>+G25-P25</f>
        <v>-116559300</v>
      </c>
      <c r="AC25" s="1036"/>
      <c r="AD25" s="175"/>
      <c r="AE25" s="175"/>
      <c r="AF25" s="176"/>
      <c r="AG25" s="176"/>
      <c r="AH25" s="177"/>
      <c r="AI25" s="175"/>
      <c r="AJ25" s="175"/>
      <c r="AK25" s="175"/>
      <c r="AL25" s="175"/>
      <c r="AM25" s="175"/>
      <c r="AN25" s="175"/>
      <c r="AO25" s="175"/>
      <c r="AP25" s="175"/>
      <c r="AQ25" s="175"/>
      <c r="AR25" s="175"/>
      <c r="AS25" s="175"/>
      <c r="AU25" s="40"/>
    </row>
    <row r="26" spans="1:47" ht="30">
      <c r="A26" s="22"/>
      <c r="C26" s="167"/>
      <c r="D26" s="168"/>
      <c r="E26" s="169"/>
      <c r="F26" s="169"/>
      <c r="G26" s="26"/>
      <c r="H26" s="170"/>
      <c r="I26" s="169"/>
      <c r="J26" s="170"/>
      <c r="K26" s="1228" t="s">
        <v>2281</v>
      </c>
      <c r="L26" s="454" t="s">
        <v>1086</v>
      </c>
      <c r="M26" s="1229" t="s">
        <v>2282</v>
      </c>
      <c r="N26" s="447">
        <v>51115075</v>
      </c>
      <c r="O26" s="1033"/>
      <c r="P26" s="172">
        <f>+N26+O26</f>
        <v>51115075</v>
      </c>
      <c r="Q26" s="173"/>
      <c r="R26" s="173"/>
      <c r="S26" s="173"/>
      <c r="T26" s="173"/>
      <c r="U26" s="173"/>
      <c r="V26" s="177">
        <f t="shared" si="4"/>
        <v>51115075</v>
      </c>
      <c r="W26" s="1583" t="s">
        <v>2276</v>
      </c>
      <c r="X26" s="1584">
        <v>42608</v>
      </c>
      <c r="Y26" s="1585">
        <v>42615</v>
      </c>
      <c r="Z26" s="1586">
        <f t="shared" si="5"/>
        <v>51115075</v>
      </c>
      <c r="AA26" s="288">
        <v>1</v>
      </c>
      <c r="AB26" s="30">
        <f>+G26-P26</f>
        <v>-51115075</v>
      </c>
      <c r="AC26" s="1036"/>
      <c r="AD26" s="175"/>
      <c r="AE26" s="175"/>
      <c r="AF26" s="176"/>
      <c r="AG26" s="176"/>
      <c r="AH26" s="177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U26" s="40"/>
    </row>
    <row r="27" spans="1:47" ht="47.25">
      <c r="A27" s="22"/>
      <c r="C27" s="167"/>
      <c r="D27" s="168"/>
      <c r="E27" s="169"/>
      <c r="F27" s="169"/>
      <c r="G27" s="26"/>
      <c r="H27" s="381" t="s">
        <v>1509</v>
      </c>
      <c r="I27" s="73">
        <v>42520</v>
      </c>
      <c r="J27" s="170" t="s">
        <v>1436</v>
      </c>
      <c r="K27" s="1575" t="s">
        <v>3048</v>
      </c>
      <c r="L27" s="1574" t="s">
        <v>1086</v>
      </c>
      <c r="M27" s="403" t="s">
        <v>1437</v>
      </c>
      <c r="N27" s="919">
        <v>74372650</v>
      </c>
      <c r="O27" s="1033"/>
      <c r="P27" s="172">
        <f t="shared" ref="P27:P43" si="6">N27+O27</f>
        <v>74372650</v>
      </c>
      <c r="Q27" s="173"/>
      <c r="R27" s="173"/>
      <c r="S27" s="173"/>
      <c r="T27" s="173"/>
      <c r="U27" s="173"/>
      <c r="V27" s="177">
        <f t="shared" si="4"/>
        <v>74372650</v>
      </c>
      <c r="W27" s="1583" t="s">
        <v>3045</v>
      </c>
      <c r="X27" s="1584">
        <v>42671</v>
      </c>
      <c r="Y27" s="1585">
        <v>42676</v>
      </c>
      <c r="Z27" s="1586">
        <f t="shared" si="5"/>
        <v>74372650</v>
      </c>
      <c r="AA27" s="288">
        <v>1</v>
      </c>
      <c r="AB27" s="30">
        <f t="shared" si="2"/>
        <v>-74372650</v>
      </c>
      <c r="AC27" s="1036"/>
      <c r="AD27" s="175"/>
      <c r="AE27" s="175"/>
      <c r="AF27" s="176"/>
      <c r="AG27" s="176"/>
      <c r="AH27" s="177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75"/>
      <c r="AU27" s="40"/>
    </row>
    <row r="28" spans="1:47" ht="47.25">
      <c r="A28" s="22"/>
      <c r="C28" s="167"/>
      <c r="D28" s="168"/>
      <c r="E28" s="169"/>
      <c r="F28" s="169"/>
      <c r="G28" s="26"/>
      <c r="H28" s="381" t="s">
        <v>1510</v>
      </c>
      <c r="I28" s="73">
        <v>42520</v>
      </c>
      <c r="J28" s="170" t="s">
        <v>1438</v>
      </c>
      <c r="K28" s="1397" t="s">
        <v>2656</v>
      </c>
      <c r="L28" s="454" t="s">
        <v>1035</v>
      </c>
      <c r="M28" s="403" t="s">
        <v>1442</v>
      </c>
      <c r="N28" s="919">
        <v>171401945</v>
      </c>
      <c r="O28" s="1033"/>
      <c r="P28" s="172">
        <f t="shared" si="6"/>
        <v>171401945</v>
      </c>
      <c r="Q28" s="173"/>
      <c r="R28" s="173"/>
      <c r="S28" s="173"/>
      <c r="T28" s="173"/>
      <c r="U28" s="173"/>
      <c r="V28" s="177">
        <f t="shared" si="4"/>
        <v>171401945</v>
      </c>
      <c r="W28" s="1583" t="s">
        <v>3050</v>
      </c>
      <c r="X28" s="1587">
        <v>42642</v>
      </c>
      <c r="Y28" s="1588">
        <v>42648</v>
      </c>
      <c r="Z28" s="1589">
        <f t="shared" si="5"/>
        <v>171401945</v>
      </c>
      <c r="AA28" s="1190">
        <v>1</v>
      </c>
      <c r="AB28" s="49">
        <f t="shared" si="2"/>
        <v>-171401945</v>
      </c>
      <c r="AC28" s="1036"/>
      <c r="AD28" s="175"/>
      <c r="AE28" s="175"/>
      <c r="AF28" s="176"/>
      <c r="AG28" s="176"/>
      <c r="AH28" s="177"/>
      <c r="AI28" s="175"/>
      <c r="AJ28" s="175"/>
      <c r="AK28" s="175"/>
      <c r="AL28" s="175"/>
      <c r="AM28" s="175"/>
      <c r="AN28" s="175"/>
      <c r="AO28" s="175"/>
      <c r="AP28" s="175"/>
      <c r="AQ28" s="175"/>
      <c r="AR28" s="175"/>
      <c r="AS28" s="175"/>
      <c r="AU28" s="40"/>
    </row>
    <row r="29" spans="1:47" ht="47.25">
      <c r="A29" s="22"/>
      <c r="C29" s="167"/>
      <c r="D29" s="168"/>
      <c r="E29" s="169"/>
      <c r="F29" s="169"/>
      <c r="G29" s="26"/>
      <c r="H29" s="381" t="s">
        <v>1508</v>
      </c>
      <c r="I29" s="73">
        <v>42520</v>
      </c>
      <c r="J29" s="170" t="s">
        <v>1439</v>
      </c>
      <c r="K29" s="1576" t="s">
        <v>3049</v>
      </c>
      <c r="L29" s="1574" t="s">
        <v>1086</v>
      </c>
      <c r="M29" s="403" t="s">
        <v>1443</v>
      </c>
      <c r="N29" s="919">
        <v>143607035</v>
      </c>
      <c r="O29" s="1033"/>
      <c r="P29" s="172">
        <f t="shared" si="6"/>
        <v>143607035</v>
      </c>
      <c r="Q29" s="173"/>
      <c r="R29" s="173"/>
      <c r="S29" s="173"/>
      <c r="T29" s="173"/>
      <c r="U29" s="173"/>
      <c r="V29" s="177">
        <f t="shared" si="4"/>
        <v>143607035</v>
      </c>
      <c r="W29" s="1583" t="s">
        <v>3045</v>
      </c>
      <c r="X29" s="1584">
        <v>42671</v>
      </c>
      <c r="Y29" s="1585">
        <v>42676</v>
      </c>
      <c r="Z29" s="1586">
        <f t="shared" si="5"/>
        <v>143607035</v>
      </c>
      <c r="AA29" s="288">
        <v>1</v>
      </c>
      <c r="AB29" s="49">
        <f t="shared" si="2"/>
        <v>-143607035</v>
      </c>
      <c r="AC29" s="1036"/>
      <c r="AD29" s="175"/>
      <c r="AE29" s="175"/>
      <c r="AF29" s="176"/>
      <c r="AG29" s="176"/>
      <c r="AH29" s="177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U29" s="40"/>
    </row>
    <row r="30" spans="1:47" ht="47.25">
      <c r="A30" s="22"/>
      <c r="C30" s="167"/>
      <c r="D30" s="168"/>
      <c r="E30" s="169"/>
      <c r="F30" s="169"/>
      <c r="G30" s="26"/>
      <c r="H30" s="381" t="s">
        <v>1507</v>
      </c>
      <c r="I30" s="73">
        <v>42520</v>
      </c>
      <c r="J30" s="170" t="s">
        <v>1440</v>
      </c>
      <c r="K30" s="1397" t="s">
        <v>2657</v>
      </c>
      <c r="L30" s="454" t="s">
        <v>1035</v>
      </c>
      <c r="M30" s="403" t="s">
        <v>1444</v>
      </c>
      <c r="N30" s="919">
        <v>127881875</v>
      </c>
      <c r="O30" s="1034"/>
      <c r="P30" s="172">
        <f t="shared" si="6"/>
        <v>127881875</v>
      </c>
      <c r="Q30" s="173"/>
      <c r="R30" s="173"/>
      <c r="S30" s="173"/>
      <c r="T30" s="173"/>
      <c r="U30" s="173"/>
      <c r="V30" s="177">
        <f t="shared" si="4"/>
        <v>127881875</v>
      </c>
      <c r="W30" s="1583" t="s">
        <v>3050</v>
      </c>
      <c r="X30" s="1587">
        <v>42642</v>
      </c>
      <c r="Y30" s="1588">
        <v>42648</v>
      </c>
      <c r="Z30" s="1589">
        <f t="shared" si="5"/>
        <v>127881875</v>
      </c>
      <c r="AA30" s="1190">
        <v>1</v>
      </c>
      <c r="AB30" s="49">
        <f t="shared" si="2"/>
        <v>-127881875</v>
      </c>
      <c r="AC30" s="1036"/>
      <c r="AD30" s="175"/>
      <c r="AE30" s="175"/>
      <c r="AF30" s="176"/>
      <c r="AG30" s="176"/>
      <c r="AH30" s="177"/>
      <c r="AI30" s="175"/>
      <c r="AJ30" s="175"/>
      <c r="AK30" s="175"/>
      <c r="AL30" s="175"/>
      <c r="AM30" s="175"/>
      <c r="AN30" s="175"/>
      <c r="AO30" s="175"/>
      <c r="AP30" s="175"/>
      <c r="AQ30" s="175"/>
      <c r="AR30" s="175"/>
      <c r="AS30" s="175"/>
      <c r="AU30" s="40"/>
    </row>
    <row r="31" spans="1:47" ht="47.25">
      <c r="A31" s="22"/>
      <c r="C31" s="167"/>
      <c r="D31" s="168"/>
      <c r="E31" s="169"/>
      <c r="F31" s="169"/>
      <c r="G31" s="170"/>
      <c r="H31" s="381" t="s">
        <v>1506</v>
      </c>
      <c r="I31" s="73">
        <v>42520</v>
      </c>
      <c r="J31" s="170" t="s">
        <v>1441</v>
      </c>
      <c r="K31" s="1575" t="s">
        <v>3047</v>
      </c>
      <c r="L31" s="1574" t="s">
        <v>1086</v>
      </c>
      <c r="M31" s="403" t="s">
        <v>1447</v>
      </c>
      <c r="N31" s="919">
        <v>174838950</v>
      </c>
      <c r="O31" s="1034"/>
      <c r="P31" s="172">
        <f t="shared" si="6"/>
        <v>174838950</v>
      </c>
      <c r="Q31" s="173"/>
      <c r="R31" s="173"/>
      <c r="S31" s="173"/>
      <c r="T31" s="173"/>
      <c r="U31" s="173"/>
      <c r="V31" s="177">
        <f t="shared" si="4"/>
        <v>174838950</v>
      </c>
      <c r="W31" s="1583" t="s">
        <v>3045</v>
      </c>
      <c r="X31" s="1584">
        <v>42671</v>
      </c>
      <c r="Y31" s="1585">
        <v>42676</v>
      </c>
      <c r="Z31" s="1586">
        <f t="shared" si="5"/>
        <v>174838950</v>
      </c>
      <c r="AA31" s="288">
        <v>1</v>
      </c>
      <c r="AB31" s="174">
        <f t="shared" si="2"/>
        <v>-174838950</v>
      </c>
      <c r="AC31" s="1036"/>
      <c r="AD31" s="175"/>
      <c r="AE31" s="175"/>
      <c r="AF31" s="176"/>
      <c r="AG31" s="176"/>
      <c r="AH31" s="177"/>
      <c r="AI31" s="175"/>
      <c r="AJ31" s="175"/>
      <c r="AK31" s="175"/>
      <c r="AL31" s="175"/>
      <c r="AM31" s="175"/>
      <c r="AN31" s="175"/>
      <c r="AO31" s="175"/>
      <c r="AP31" s="175"/>
      <c r="AQ31" s="175"/>
      <c r="AR31" s="175"/>
      <c r="AS31" s="175"/>
      <c r="AU31" s="40"/>
    </row>
    <row r="32" spans="1:47" ht="47.25">
      <c r="A32" s="22"/>
      <c r="C32" s="167"/>
      <c r="D32" s="168"/>
      <c r="E32" s="169"/>
      <c r="F32" s="169"/>
      <c r="G32" s="170"/>
      <c r="H32" s="381" t="s">
        <v>1502</v>
      </c>
      <c r="I32" s="73">
        <v>42520</v>
      </c>
      <c r="J32" s="170" t="s">
        <v>1500</v>
      </c>
      <c r="K32" s="1575" t="s">
        <v>3061</v>
      </c>
      <c r="L32" s="1574" t="s">
        <v>1086</v>
      </c>
      <c r="M32" s="403" t="s">
        <v>1501</v>
      </c>
      <c r="N32" s="919"/>
      <c r="O32" s="1034">
        <v>60043500</v>
      </c>
      <c r="P32" s="172">
        <f t="shared" si="6"/>
        <v>60043500</v>
      </c>
      <c r="Q32" s="173"/>
      <c r="R32" s="173"/>
      <c r="S32" s="173"/>
      <c r="T32" s="173"/>
      <c r="U32" s="173"/>
      <c r="V32" s="177">
        <f t="shared" si="4"/>
        <v>60043500</v>
      </c>
      <c r="W32" s="1583" t="s">
        <v>3060</v>
      </c>
      <c r="X32" s="1590">
        <v>42678</v>
      </c>
      <c r="Y32" s="1591">
        <v>42684</v>
      </c>
      <c r="Z32" s="1586">
        <f t="shared" si="5"/>
        <v>60043500</v>
      </c>
      <c r="AA32" s="288">
        <v>1</v>
      </c>
      <c r="AB32" s="174">
        <f t="shared" si="2"/>
        <v>-60043500</v>
      </c>
      <c r="AC32" s="1036"/>
      <c r="AD32" s="175"/>
      <c r="AE32" s="175"/>
      <c r="AF32" s="176"/>
      <c r="AG32" s="176"/>
      <c r="AH32" s="177"/>
      <c r="AI32" s="175"/>
      <c r="AJ32" s="175"/>
      <c r="AK32" s="175"/>
      <c r="AL32" s="175"/>
      <c r="AM32" s="175"/>
      <c r="AN32" s="175"/>
      <c r="AO32" s="175"/>
      <c r="AP32" s="175"/>
      <c r="AQ32" s="175"/>
      <c r="AR32" s="175"/>
      <c r="AS32" s="175"/>
      <c r="AU32" s="40"/>
    </row>
    <row r="33" spans="1:49" ht="47.25">
      <c r="A33" s="22"/>
      <c r="C33" s="167"/>
      <c r="D33" s="168"/>
      <c r="E33" s="169"/>
      <c r="F33" s="169"/>
      <c r="G33" s="170"/>
      <c r="H33" s="381" t="s">
        <v>1894</v>
      </c>
      <c r="I33" s="1120">
        <v>42566</v>
      </c>
      <c r="J33" s="719" t="s">
        <v>1875</v>
      </c>
      <c r="K33" s="171" t="s">
        <v>2499</v>
      </c>
      <c r="L33" s="454" t="s">
        <v>2509</v>
      </c>
      <c r="M33" s="403" t="s">
        <v>1876</v>
      </c>
      <c r="N33" s="919">
        <v>88000000</v>
      </c>
      <c r="O33" s="1034"/>
      <c r="P33" s="172">
        <f t="shared" si="6"/>
        <v>88000000</v>
      </c>
      <c r="Q33" s="173"/>
      <c r="R33" s="173"/>
      <c r="S33" s="173"/>
      <c r="T33" s="173"/>
      <c r="U33" s="173"/>
      <c r="V33" s="177">
        <f t="shared" si="4"/>
        <v>88000000</v>
      </c>
      <c r="W33" s="349" t="s">
        <v>3058</v>
      </c>
      <c r="X33" s="350">
        <v>42675</v>
      </c>
      <c r="Y33" s="350">
        <v>42678</v>
      </c>
      <c r="Z33" s="103">
        <f t="shared" si="5"/>
        <v>88000000</v>
      </c>
      <c r="AA33" s="288">
        <v>1</v>
      </c>
      <c r="AB33" s="174">
        <f t="shared" si="2"/>
        <v>-88000000</v>
      </c>
      <c r="AC33" s="1036"/>
      <c r="AD33" s="175"/>
      <c r="AE33" s="175"/>
      <c r="AF33" s="176"/>
      <c r="AG33" s="176"/>
      <c r="AH33" s="177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U33" s="40"/>
    </row>
    <row r="34" spans="1:49" ht="47.25">
      <c r="A34" s="22"/>
      <c r="C34" s="167"/>
      <c r="D34" s="168"/>
      <c r="E34" s="169"/>
      <c r="F34" s="169"/>
      <c r="G34" s="170"/>
      <c r="H34" s="381" t="s">
        <v>2091</v>
      </c>
      <c r="I34" s="1120">
        <v>42606</v>
      </c>
      <c r="J34" s="719" t="s">
        <v>2057</v>
      </c>
      <c r="K34" s="171" t="s">
        <v>2500</v>
      </c>
      <c r="L34" s="454" t="s">
        <v>1035</v>
      </c>
      <c r="M34" s="403" t="s">
        <v>2058</v>
      </c>
      <c r="N34" s="919"/>
      <c r="O34" s="1034">
        <v>85002500</v>
      </c>
      <c r="P34" s="172">
        <f t="shared" si="6"/>
        <v>85002500</v>
      </c>
      <c r="Q34" s="173"/>
      <c r="R34" s="173"/>
      <c r="S34" s="173"/>
      <c r="T34" s="173"/>
      <c r="U34" s="173"/>
      <c r="V34" s="177"/>
      <c r="W34" s="1583"/>
      <c r="X34" s="1590"/>
      <c r="Y34" s="1591"/>
      <c r="Z34" s="1586"/>
      <c r="AA34" s="1035"/>
      <c r="AB34" s="174">
        <f t="shared" si="2"/>
        <v>-85002500</v>
      </c>
      <c r="AC34" s="1036"/>
      <c r="AD34" s="175"/>
      <c r="AE34" s="175"/>
      <c r="AF34" s="176"/>
      <c r="AG34" s="176"/>
      <c r="AH34" s="177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U34" s="40"/>
    </row>
    <row r="35" spans="1:49" ht="47.25">
      <c r="A35" s="1177"/>
      <c r="B35" s="1178"/>
      <c r="C35" s="167"/>
      <c r="D35" s="1179"/>
      <c r="E35" s="1180"/>
      <c r="F35" s="1180"/>
      <c r="G35" s="1181"/>
      <c r="H35" s="1193" t="s">
        <v>2116</v>
      </c>
      <c r="I35" s="1182">
        <v>42607</v>
      </c>
      <c r="J35" s="1183" t="s">
        <v>2093</v>
      </c>
      <c r="K35" s="171" t="s">
        <v>2504</v>
      </c>
      <c r="L35" s="454" t="s">
        <v>1035</v>
      </c>
      <c r="M35" s="1184" t="s">
        <v>2092</v>
      </c>
      <c r="N35" s="1185">
        <v>203829340</v>
      </c>
      <c r="O35" s="1186"/>
      <c r="P35" s="1187">
        <f t="shared" si="6"/>
        <v>203829340</v>
      </c>
      <c r="Q35" s="1188"/>
      <c r="R35" s="1188"/>
      <c r="S35" s="1188"/>
      <c r="T35" s="1188"/>
      <c r="U35" s="1188"/>
      <c r="V35" s="1189"/>
      <c r="W35" s="1592"/>
      <c r="X35" s="1593"/>
      <c r="Y35" s="1594"/>
      <c r="Z35" s="1589"/>
      <c r="AA35" s="1190"/>
      <c r="AB35" s="1191">
        <f t="shared" si="2"/>
        <v>-203829340</v>
      </c>
      <c r="AC35" s="1192"/>
      <c r="AD35" s="175"/>
      <c r="AE35" s="175"/>
      <c r="AF35" s="176"/>
      <c r="AG35" s="176"/>
      <c r="AH35" s="177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U35" s="40"/>
    </row>
    <row r="36" spans="1:49" ht="47.25">
      <c r="A36" s="1177"/>
      <c r="B36" s="1178"/>
      <c r="C36" s="167"/>
      <c r="D36" s="1179"/>
      <c r="E36" s="1180"/>
      <c r="F36" s="1180"/>
      <c r="G36" s="1181"/>
      <c r="H36" s="1193" t="s">
        <v>2115</v>
      </c>
      <c r="I36" s="1182">
        <v>42607</v>
      </c>
      <c r="J36" s="1183" t="s">
        <v>2094</v>
      </c>
      <c r="K36" s="171" t="s">
        <v>2503</v>
      </c>
      <c r="L36" s="454" t="s">
        <v>1035</v>
      </c>
      <c r="M36" s="1184" t="s">
        <v>2095</v>
      </c>
      <c r="N36" s="1185">
        <v>41692365</v>
      </c>
      <c r="O36" s="1186"/>
      <c r="P36" s="1187">
        <f t="shared" si="6"/>
        <v>41692365</v>
      </c>
      <c r="Q36" s="1188"/>
      <c r="R36" s="1188"/>
      <c r="S36" s="1188"/>
      <c r="T36" s="1188"/>
      <c r="U36" s="1188"/>
      <c r="V36" s="1189"/>
      <c r="W36" s="1592"/>
      <c r="X36" s="1593"/>
      <c r="Y36" s="1594"/>
      <c r="Z36" s="1589"/>
      <c r="AA36" s="1190"/>
      <c r="AB36" s="1191">
        <f t="shared" si="2"/>
        <v>-41692365</v>
      </c>
      <c r="AC36" s="1192"/>
      <c r="AD36" s="175"/>
      <c r="AE36" s="175"/>
      <c r="AF36" s="176"/>
      <c r="AG36" s="176"/>
      <c r="AH36" s="177"/>
      <c r="AI36" s="175"/>
      <c r="AJ36" s="175"/>
      <c r="AK36" s="175"/>
      <c r="AL36" s="175"/>
      <c r="AM36" s="175"/>
      <c r="AN36" s="175"/>
      <c r="AO36" s="175"/>
      <c r="AP36" s="175"/>
      <c r="AQ36" s="175"/>
      <c r="AR36" s="175"/>
      <c r="AS36" s="175"/>
      <c r="AU36" s="40"/>
    </row>
    <row r="37" spans="1:49" ht="47.25">
      <c r="A37" s="1177"/>
      <c r="B37" s="1178"/>
      <c r="C37" s="167"/>
      <c r="D37" s="1179"/>
      <c r="E37" s="1180"/>
      <c r="F37" s="1180"/>
      <c r="G37" s="1181"/>
      <c r="H37" s="1193" t="s">
        <v>2100</v>
      </c>
      <c r="I37" s="1182">
        <v>42586</v>
      </c>
      <c r="J37" s="1183" t="s">
        <v>2097</v>
      </c>
      <c r="K37" s="171" t="s">
        <v>2508</v>
      </c>
      <c r="L37" s="454" t="s">
        <v>1035</v>
      </c>
      <c r="M37" s="1184" t="s">
        <v>2098</v>
      </c>
      <c r="N37" s="1185">
        <v>158573525</v>
      </c>
      <c r="O37" s="1186"/>
      <c r="P37" s="1187">
        <f t="shared" si="6"/>
        <v>158573525</v>
      </c>
      <c r="Q37" s="1188"/>
      <c r="R37" s="1188"/>
      <c r="S37" s="1188"/>
      <c r="T37" s="1188"/>
      <c r="U37" s="1188"/>
      <c r="V37" s="1189"/>
      <c r="W37" s="1592"/>
      <c r="X37" s="1593"/>
      <c r="Y37" s="1594"/>
      <c r="Z37" s="1589"/>
      <c r="AA37" s="1190"/>
      <c r="AB37" s="1191">
        <f t="shared" si="2"/>
        <v>-158573525</v>
      </c>
      <c r="AC37" s="1192"/>
      <c r="AD37" s="175"/>
      <c r="AE37" s="175"/>
      <c r="AF37" s="176"/>
      <c r="AG37" s="176"/>
      <c r="AH37" s="177"/>
      <c r="AI37" s="175"/>
      <c r="AJ37" s="175"/>
      <c r="AK37" s="175"/>
      <c r="AL37" s="175"/>
      <c r="AM37" s="175"/>
      <c r="AN37" s="175"/>
      <c r="AO37" s="175"/>
      <c r="AP37" s="175"/>
      <c r="AQ37" s="175"/>
      <c r="AR37" s="175"/>
      <c r="AS37" s="175"/>
      <c r="AU37" s="40"/>
    </row>
    <row r="38" spans="1:49" ht="47.25">
      <c r="A38" s="1177"/>
      <c r="B38" s="1178"/>
      <c r="C38" s="167"/>
      <c r="D38" s="1179"/>
      <c r="E38" s="1180"/>
      <c r="F38" s="1180"/>
      <c r="G38" s="1181"/>
      <c r="H38" s="1193" t="s">
        <v>2101</v>
      </c>
      <c r="I38" s="1182">
        <v>42600</v>
      </c>
      <c r="J38" s="1183" t="s">
        <v>2099</v>
      </c>
      <c r="K38" s="171" t="s">
        <v>2507</v>
      </c>
      <c r="L38" s="454" t="s">
        <v>1035</v>
      </c>
      <c r="M38" s="1184" t="s">
        <v>2102</v>
      </c>
      <c r="N38" s="1185">
        <v>34967790</v>
      </c>
      <c r="O38" s="1186"/>
      <c r="P38" s="1187">
        <f t="shared" si="6"/>
        <v>34967790</v>
      </c>
      <c r="Q38" s="1188"/>
      <c r="R38" s="1188"/>
      <c r="S38" s="1188"/>
      <c r="T38" s="1188"/>
      <c r="U38" s="1188"/>
      <c r="V38" s="1189"/>
      <c r="W38" s="1592"/>
      <c r="X38" s="1593"/>
      <c r="Y38" s="1594"/>
      <c r="Z38" s="1589"/>
      <c r="AA38" s="1190"/>
      <c r="AB38" s="1191">
        <f t="shared" si="2"/>
        <v>-34967790</v>
      </c>
      <c r="AC38" s="1192"/>
      <c r="AD38" s="175"/>
      <c r="AE38" s="175"/>
      <c r="AF38" s="176"/>
      <c r="AG38" s="176"/>
      <c r="AH38" s="177"/>
      <c r="AI38" s="175"/>
      <c r="AJ38" s="175"/>
      <c r="AK38" s="175"/>
      <c r="AL38" s="175"/>
      <c r="AM38" s="175"/>
      <c r="AN38" s="175"/>
      <c r="AO38" s="175"/>
      <c r="AP38" s="175"/>
      <c r="AQ38" s="175"/>
      <c r="AR38" s="175"/>
      <c r="AS38" s="175"/>
      <c r="AU38" s="40"/>
    </row>
    <row r="39" spans="1:49" ht="47.25">
      <c r="A39" s="1177"/>
      <c r="B39" s="1178"/>
      <c r="C39" s="167"/>
      <c r="D39" s="1179"/>
      <c r="E39" s="1180"/>
      <c r="F39" s="1180"/>
      <c r="G39" s="1181"/>
      <c r="H39" s="1193" t="s">
        <v>2114</v>
      </c>
      <c r="I39" s="1182">
        <v>42607</v>
      </c>
      <c r="J39" s="1183" t="s">
        <v>2103</v>
      </c>
      <c r="K39" s="171" t="s">
        <v>2505</v>
      </c>
      <c r="L39" s="454" t="s">
        <v>1035</v>
      </c>
      <c r="M39" s="1184" t="s">
        <v>2105</v>
      </c>
      <c r="N39" s="1185">
        <v>74119760</v>
      </c>
      <c r="O39" s="1186"/>
      <c r="P39" s="1187">
        <f t="shared" si="6"/>
        <v>74119760</v>
      </c>
      <c r="Q39" s="1188"/>
      <c r="R39" s="1188"/>
      <c r="S39" s="1188"/>
      <c r="T39" s="1188"/>
      <c r="U39" s="1188"/>
      <c r="V39" s="1189"/>
      <c r="W39" s="1592"/>
      <c r="X39" s="1593"/>
      <c r="Y39" s="1594"/>
      <c r="Z39" s="1589"/>
      <c r="AA39" s="1190"/>
      <c r="AB39" s="1191">
        <f t="shared" si="2"/>
        <v>-74119760</v>
      </c>
      <c r="AC39" s="1192"/>
      <c r="AD39" s="175"/>
      <c r="AE39" s="175"/>
      <c r="AF39" s="176"/>
      <c r="AG39" s="176"/>
      <c r="AH39" s="177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U39" s="40"/>
    </row>
    <row r="40" spans="1:49" ht="47.25">
      <c r="A40" s="1177"/>
      <c r="B40" s="1178"/>
      <c r="C40" s="167"/>
      <c r="D40" s="1179"/>
      <c r="E40" s="1180"/>
      <c r="F40" s="1180"/>
      <c r="G40" s="1181"/>
      <c r="H40" s="1193" t="s">
        <v>2113</v>
      </c>
      <c r="I40" s="1182">
        <v>42607</v>
      </c>
      <c r="J40" s="1183" t="s">
        <v>2104</v>
      </c>
      <c r="K40" s="171" t="s">
        <v>2506</v>
      </c>
      <c r="L40" s="454" t="s">
        <v>1035</v>
      </c>
      <c r="M40" s="1184" t="s">
        <v>2106</v>
      </c>
      <c r="N40" s="1185">
        <v>120444610</v>
      </c>
      <c r="O40" s="1186"/>
      <c r="P40" s="1187">
        <f t="shared" si="6"/>
        <v>120444610</v>
      </c>
      <c r="Q40" s="1188"/>
      <c r="R40" s="1188"/>
      <c r="S40" s="1188"/>
      <c r="T40" s="1188"/>
      <c r="U40" s="1188"/>
      <c r="V40" s="1189"/>
      <c r="W40" s="1592"/>
      <c r="X40" s="1593"/>
      <c r="Y40" s="1594"/>
      <c r="Z40" s="1589"/>
      <c r="AA40" s="1190"/>
      <c r="AB40" s="1191">
        <f t="shared" si="2"/>
        <v>-120444610</v>
      </c>
      <c r="AC40" s="1192"/>
      <c r="AD40" s="175"/>
      <c r="AE40" s="175"/>
      <c r="AF40" s="176"/>
      <c r="AG40" s="176"/>
      <c r="AH40" s="177"/>
      <c r="AI40" s="175"/>
      <c r="AJ40" s="175"/>
      <c r="AK40" s="175"/>
      <c r="AL40" s="175"/>
      <c r="AM40" s="175"/>
      <c r="AN40" s="175"/>
      <c r="AO40" s="175"/>
      <c r="AP40" s="175"/>
      <c r="AQ40" s="175"/>
      <c r="AR40" s="175"/>
      <c r="AS40" s="175"/>
      <c r="AU40" s="40"/>
    </row>
    <row r="41" spans="1:49" ht="30">
      <c r="A41" s="1177"/>
      <c r="B41" s="1178"/>
      <c r="C41" s="167"/>
      <c r="D41" s="1179"/>
      <c r="E41" s="1180"/>
      <c r="F41" s="1180"/>
      <c r="G41" s="1181"/>
      <c r="H41" s="1193"/>
      <c r="I41" s="1182"/>
      <c r="J41" s="344" t="s">
        <v>2593</v>
      </c>
      <c r="K41" s="1397"/>
      <c r="L41" s="1360"/>
      <c r="M41" s="1399" t="s">
        <v>2595</v>
      </c>
      <c r="N41" s="1185">
        <v>6930000</v>
      </c>
      <c r="O41" s="1186"/>
      <c r="P41" s="1187">
        <f t="shared" si="6"/>
        <v>6930000</v>
      </c>
      <c r="Q41" s="1188"/>
      <c r="R41" s="1188"/>
      <c r="S41" s="1188"/>
      <c r="T41" s="1188"/>
      <c r="U41" s="1188"/>
      <c r="V41" s="177">
        <f t="shared" ref="V41:V46" si="7">P41</f>
        <v>6930000</v>
      </c>
      <c r="W41" s="1592"/>
      <c r="X41" s="1593"/>
      <c r="Y41" s="1594"/>
      <c r="Z41" s="1589"/>
      <c r="AA41" s="1190"/>
      <c r="AB41" s="1191">
        <f t="shared" si="2"/>
        <v>-6930000</v>
      </c>
      <c r="AC41" s="1192"/>
      <c r="AD41" s="175"/>
      <c r="AE41" s="175"/>
      <c r="AF41" s="176"/>
      <c r="AG41" s="176"/>
      <c r="AH41" s="177"/>
      <c r="AI41" s="175"/>
      <c r="AJ41" s="175"/>
      <c r="AK41" s="175"/>
      <c r="AL41" s="175"/>
      <c r="AM41" s="175"/>
      <c r="AN41" s="175"/>
      <c r="AO41" s="175"/>
      <c r="AP41" s="175"/>
      <c r="AQ41" s="175"/>
      <c r="AR41" s="175"/>
      <c r="AS41" s="175"/>
      <c r="AU41" s="40"/>
      <c r="AW41" s="1044">
        <f>V41</f>
        <v>6930000</v>
      </c>
    </row>
    <row r="42" spans="1:49" ht="30">
      <c r="A42" s="1177"/>
      <c r="B42" s="1178"/>
      <c r="C42" s="167"/>
      <c r="D42" s="1179"/>
      <c r="E42" s="1180"/>
      <c r="F42" s="1180"/>
      <c r="G42" s="1181"/>
      <c r="H42" s="1193"/>
      <c r="I42" s="1182"/>
      <c r="J42" s="344" t="s">
        <v>2594</v>
      </c>
      <c r="K42" s="1173"/>
      <c r="L42" s="1246"/>
      <c r="M42" s="1399" t="s">
        <v>2595</v>
      </c>
      <c r="N42" s="1185">
        <v>8454600</v>
      </c>
      <c r="O42" s="1186"/>
      <c r="P42" s="1187">
        <f t="shared" si="6"/>
        <v>8454600</v>
      </c>
      <c r="Q42" s="1188"/>
      <c r="R42" s="1188"/>
      <c r="S42" s="1188"/>
      <c r="T42" s="1188"/>
      <c r="U42" s="1188"/>
      <c r="V42" s="177">
        <f t="shared" si="7"/>
        <v>8454600</v>
      </c>
      <c r="W42" s="1592"/>
      <c r="X42" s="1593"/>
      <c r="Y42" s="1594"/>
      <c r="Z42" s="1589"/>
      <c r="AA42" s="1190"/>
      <c r="AB42" s="1191">
        <f t="shared" si="2"/>
        <v>-8454600</v>
      </c>
      <c r="AC42" s="1192"/>
      <c r="AD42" s="175"/>
      <c r="AE42" s="175"/>
      <c r="AF42" s="176"/>
      <c r="AG42" s="176"/>
      <c r="AH42" s="177"/>
      <c r="AI42" s="175"/>
      <c r="AJ42" s="175"/>
      <c r="AK42" s="175"/>
      <c r="AL42" s="175"/>
      <c r="AM42" s="175"/>
      <c r="AN42" s="175"/>
      <c r="AO42" s="175"/>
      <c r="AP42" s="175"/>
      <c r="AQ42" s="175"/>
      <c r="AR42" s="175"/>
      <c r="AS42" s="175"/>
      <c r="AU42" s="40"/>
      <c r="AW42" s="1044">
        <f>V42</f>
        <v>8454600</v>
      </c>
    </row>
    <row r="43" spans="1:49" ht="31.5">
      <c r="A43" s="1177"/>
      <c r="B43" s="1178"/>
      <c r="C43" s="167"/>
      <c r="D43" s="1179"/>
      <c r="E43" s="1180"/>
      <c r="F43" s="1180"/>
      <c r="G43" s="1181"/>
      <c r="H43" s="1193"/>
      <c r="I43" s="1182"/>
      <c r="J43" s="344" t="s">
        <v>2751</v>
      </c>
      <c r="K43" s="1397" t="s">
        <v>2789</v>
      </c>
      <c r="L43" s="1457" t="s">
        <v>3039</v>
      </c>
      <c r="M43" s="1411" t="s">
        <v>2752</v>
      </c>
      <c r="N43" s="1185"/>
      <c r="O43" s="1186">
        <v>7638400</v>
      </c>
      <c r="P43" s="1187">
        <f t="shared" si="6"/>
        <v>7638400</v>
      </c>
      <c r="Q43" s="1188"/>
      <c r="R43" s="1188"/>
      <c r="S43" s="1188"/>
      <c r="T43" s="1188"/>
      <c r="U43" s="1188"/>
      <c r="V43" s="177">
        <f t="shared" si="7"/>
        <v>7638400</v>
      </c>
      <c r="W43" s="1595" t="s">
        <v>3063</v>
      </c>
      <c r="X43" s="1597">
        <v>42682</v>
      </c>
      <c r="Y43" s="1598">
        <v>42685</v>
      </c>
      <c r="Z43" s="1589">
        <v>8094625</v>
      </c>
      <c r="AA43" s="1190">
        <v>1</v>
      </c>
      <c r="AB43" s="1191">
        <f t="shared" si="2"/>
        <v>-7638400</v>
      </c>
      <c r="AC43" s="1192"/>
      <c r="AD43" s="175"/>
      <c r="AE43" s="175"/>
      <c r="AF43" s="176"/>
      <c r="AG43" s="176"/>
      <c r="AH43" s="177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U43" s="40"/>
    </row>
    <row r="44" spans="1:49" ht="31.5">
      <c r="A44" s="1177"/>
      <c r="B44" s="1178"/>
      <c r="C44" s="167"/>
      <c r="D44" s="1179"/>
      <c r="E44" s="1180"/>
      <c r="F44" s="1180"/>
      <c r="G44" s="1181"/>
      <c r="H44" s="1193"/>
      <c r="I44" s="1182"/>
      <c r="J44" s="1410"/>
      <c r="K44" s="1397" t="s">
        <v>3033</v>
      </c>
      <c r="L44" s="454" t="s">
        <v>387</v>
      </c>
      <c r="M44" s="1572" t="s">
        <v>3034</v>
      </c>
      <c r="N44" s="1185">
        <v>6930000</v>
      </c>
      <c r="O44" s="1186"/>
      <c r="P44" s="1187">
        <f t="shared" ref="P44:P51" si="8">N44+O44</f>
        <v>6930000</v>
      </c>
      <c r="Q44" s="1188"/>
      <c r="R44" s="1188"/>
      <c r="S44" s="1188"/>
      <c r="T44" s="1188"/>
      <c r="U44" s="1188"/>
      <c r="V44" s="177">
        <f t="shared" si="7"/>
        <v>6930000</v>
      </c>
      <c r="W44" s="1595" t="s">
        <v>3032</v>
      </c>
      <c r="X44" s="1597">
        <v>42670</v>
      </c>
      <c r="Y44" s="1598">
        <v>42676</v>
      </c>
      <c r="Z44" s="1589">
        <f t="shared" ref="Z44:Z51" si="9">V44</f>
        <v>6930000</v>
      </c>
      <c r="AA44" s="1190">
        <v>1</v>
      </c>
      <c r="AB44" s="1191">
        <f t="shared" ref="AB44:AB51" si="10">+G44-P44</f>
        <v>-6930000</v>
      </c>
      <c r="AC44" s="1192"/>
      <c r="AD44" s="175"/>
      <c r="AE44" s="175"/>
      <c r="AF44" s="176"/>
      <c r="AG44" s="176"/>
      <c r="AH44" s="177"/>
      <c r="AI44" s="175"/>
      <c r="AJ44" s="175"/>
      <c r="AK44" s="175"/>
      <c r="AL44" s="175"/>
      <c r="AM44" s="175"/>
      <c r="AN44" s="175"/>
      <c r="AO44" s="175"/>
      <c r="AP44" s="175"/>
      <c r="AQ44" s="175"/>
      <c r="AR44" s="175"/>
      <c r="AS44" s="175"/>
      <c r="AU44" s="40"/>
    </row>
    <row r="45" spans="1:49" ht="30">
      <c r="A45" s="22"/>
      <c r="C45" s="167"/>
      <c r="D45" s="168"/>
      <c r="E45" s="169"/>
      <c r="F45" s="169"/>
      <c r="G45" s="170"/>
      <c r="H45" s="26"/>
      <c r="I45" s="26"/>
      <c r="J45" s="170"/>
      <c r="K45" s="1228" t="s">
        <v>3035</v>
      </c>
      <c r="L45" s="454" t="s">
        <v>387</v>
      </c>
      <c r="M45" s="1477" t="s">
        <v>3034</v>
      </c>
      <c r="N45" s="919">
        <v>8454600</v>
      </c>
      <c r="O45" s="1034"/>
      <c r="P45" s="1187">
        <f t="shared" si="8"/>
        <v>8454600</v>
      </c>
      <c r="Q45" s="1188"/>
      <c r="R45" s="1188"/>
      <c r="S45" s="1188"/>
      <c r="T45" s="1188"/>
      <c r="U45" s="1188"/>
      <c r="V45" s="177">
        <f t="shared" si="7"/>
        <v>8454600</v>
      </c>
      <c r="W45" s="1595" t="s">
        <v>3032</v>
      </c>
      <c r="X45" s="1597">
        <v>42670</v>
      </c>
      <c r="Y45" s="1598">
        <v>42676</v>
      </c>
      <c r="Z45" s="1589">
        <f t="shared" si="9"/>
        <v>8454600</v>
      </c>
      <c r="AA45" s="1190">
        <v>1</v>
      </c>
      <c r="AB45" s="1191">
        <f t="shared" si="10"/>
        <v>-8454600</v>
      </c>
      <c r="AC45" s="1036"/>
      <c r="AD45" s="175"/>
      <c r="AE45" s="175"/>
      <c r="AF45" s="176"/>
      <c r="AG45" s="176"/>
      <c r="AH45" s="177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U45" s="40"/>
    </row>
    <row r="46" spans="1:49" ht="31.5">
      <c r="A46" s="22"/>
      <c r="C46" s="167"/>
      <c r="D46" s="168"/>
      <c r="E46" s="169"/>
      <c r="F46" s="169"/>
      <c r="G46" s="170"/>
      <c r="H46" s="170"/>
      <c r="I46" s="26"/>
      <c r="J46" s="170"/>
      <c r="K46" s="1636" t="s">
        <v>3068</v>
      </c>
      <c r="L46" s="454" t="s">
        <v>1035</v>
      </c>
      <c r="M46" s="1565" t="s">
        <v>3069</v>
      </c>
      <c r="N46" s="919">
        <v>101062500</v>
      </c>
      <c r="O46" s="1636"/>
      <c r="P46" s="1187">
        <f t="shared" si="8"/>
        <v>101062500</v>
      </c>
      <c r="Q46" s="1188"/>
      <c r="R46" s="1188"/>
      <c r="S46" s="1188"/>
      <c r="T46" s="1188"/>
      <c r="U46" s="1188"/>
      <c r="V46" s="177">
        <f t="shared" si="7"/>
        <v>101062500</v>
      </c>
      <c r="W46" s="1595" t="s">
        <v>3070</v>
      </c>
      <c r="X46" s="1597">
        <v>42682</v>
      </c>
      <c r="Y46" s="1598">
        <v>42685</v>
      </c>
      <c r="Z46" s="1589">
        <f t="shared" si="9"/>
        <v>101062500</v>
      </c>
      <c r="AA46" s="1190">
        <v>1</v>
      </c>
      <c r="AB46" s="1191">
        <f t="shared" si="10"/>
        <v>-101062500</v>
      </c>
      <c r="AC46" s="1036"/>
      <c r="AD46" s="175"/>
      <c r="AE46" s="175"/>
      <c r="AF46" s="176"/>
      <c r="AG46" s="176"/>
      <c r="AH46" s="177"/>
      <c r="AI46" s="175"/>
      <c r="AJ46" s="175"/>
      <c r="AK46" s="175"/>
      <c r="AL46" s="175"/>
      <c r="AM46" s="175"/>
      <c r="AN46" s="175"/>
      <c r="AO46" s="175"/>
      <c r="AP46" s="175"/>
      <c r="AQ46" s="175"/>
      <c r="AR46" s="175"/>
      <c r="AS46" s="175"/>
      <c r="AU46" s="40"/>
    </row>
    <row r="47" spans="1:49" ht="31.5">
      <c r="A47" s="22"/>
      <c r="C47" s="167"/>
      <c r="D47" s="168"/>
      <c r="E47" s="169"/>
      <c r="F47" s="169"/>
      <c r="G47" s="170"/>
      <c r="H47" s="170"/>
      <c r="I47" s="26"/>
      <c r="J47" s="170"/>
      <c r="K47" s="1636" t="s">
        <v>3529</v>
      </c>
      <c r="L47" s="454" t="s">
        <v>1035</v>
      </c>
      <c r="M47" s="1725" t="s">
        <v>3530</v>
      </c>
      <c r="N47" s="1733">
        <v>41692365</v>
      </c>
      <c r="O47" s="1636"/>
      <c r="P47" s="1187">
        <f t="shared" si="8"/>
        <v>41692365</v>
      </c>
      <c r="Q47" s="1188"/>
      <c r="R47" s="1188"/>
      <c r="S47" s="1188"/>
      <c r="T47" s="1188"/>
      <c r="U47" s="1188"/>
      <c r="V47" s="177">
        <f>P47</f>
        <v>41692365</v>
      </c>
      <c r="W47" s="1595" t="s">
        <v>3538</v>
      </c>
      <c r="X47" s="1597">
        <v>42719</v>
      </c>
      <c r="Y47" s="1598">
        <v>42724</v>
      </c>
      <c r="Z47" s="1589">
        <f t="shared" si="9"/>
        <v>41692365</v>
      </c>
      <c r="AA47" s="1190">
        <v>1</v>
      </c>
      <c r="AB47" s="1191">
        <f t="shared" si="10"/>
        <v>-41692365</v>
      </c>
      <c r="AC47" s="1036"/>
      <c r="AD47" s="175"/>
      <c r="AE47" s="175"/>
      <c r="AF47" s="176"/>
      <c r="AG47" s="176"/>
      <c r="AH47" s="177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U47" s="40"/>
    </row>
    <row r="48" spans="1:49" ht="47.25">
      <c r="A48" s="22"/>
      <c r="C48" s="167"/>
      <c r="D48" s="168"/>
      <c r="E48" s="169"/>
      <c r="F48" s="169"/>
      <c r="G48" s="170"/>
      <c r="H48" s="170"/>
      <c r="I48" s="26"/>
      <c r="J48" s="170"/>
      <c r="K48" s="1636" t="s">
        <v>3531</v>
      </c>
      <c r="L48" s="454" t="s">
        <v>1035</v>
      </c>
      <c r="M48" s="1725" t="s">
        <v>3532</v>
      </c>
      <c r="N48" s="1733">
        <v>203829340</v>
      </c>
      <c r="O48" s="1636"/>
      <c r="P48" s="1187">
        <f t="shared" si="8"/>
        <v>203829340</v>
      </c>
      <c r="Q48" s="1188"/>
      <c r="R48" s="1188"/>
      <c r="S48" s="1188"/>
      <c r="T48" s="1188"/>
      <c r="U48" s="1188"/>
      <c r="V48" s="177">
        <f>P48</f>
        <v>203829340</v>
      </c>
      <c r="W48" s="1595" t="s">
        <v>3538</v>
      </c>
      <c r="X48" s="1597">
        <v>42719</v>
      </c>
      <c r="Y48" s="1598">
        <v>42724</v>
      </c>
      <c r="Z48" s="1589">
        <f t="shared" si="9"/>
        <v>203829340</v>
      </c>
      <c r="AA48" s="1190">
        <v>1</v>
      </c>
      <c r="AB48" s="1191">
        <f t="shared" si="10"/>
        <v>-203829340</v>
      </c>
      <c r="AC48" s="1036"/>
      <c r="AD48" s="175"/>
      <c r="AE48" s="175"/>
      <c r="AF48" s="176"/>
      <c r="AG48" s="176"/>
      <c r="AH48" s="177"/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U48" s="40"/>
    </row>
    <row r="49" spans="1:47" ht="31.5">
      <c r="A49" s="22"/>
      <c r="C49" s="167"/>
      <c r="D49" s="168"/>
      <c r="E49" s="169"/>
      <c r="F49" s="169"/>
      <c r="G49" s="170"/>
      <c r="H49" s="170"/>
      <c r="I49" s="26"/>
      <c r="J49" s="170"/>
      <c r="K49" s="1636" t="s">
        <v>3533</v>
      </c>
      <c r="L49" s="454" t="s">
        <v>1035</v>
      </c>
      <c r="M49" s="1725" t="s">
        <v>3534</v>
      </c>
      <c r="N49" s="1733">
        <v>74119760</v>
      </c>
      <c r="O49" s="1636"/>
      <c r="P49" s="1187">
        <f t="shared" si="8"/>
        <v>74119760</v>
      </c>
      <c r="Q49" s="1188"/>
      <c r="R49" s="1188"/>
      <c r="S49" s="1188"/>
      <c r="T49" s="1188"/>
      <c r="U49" s="1188"/>
      <c r="V49" s="177">
        <f>P49</f>
        <v>74119760</v>
      </c>
      <c r="W49" s="1595" t="s">
        <v>3538</v>
      </c>
      <c r="X49" s="1597">
        <v>42719</v>
      </c>
      <c r="Y49" s="1598">
        <v>42724</v>
      </c>
      <c r="Z49" s="1589">
        <f t="shared" si="9"/>
        <v>74119760</v>
      </c>
      <c r="AA49" s="1190">
        <v>1</v>
      </c>
      <c r="AB49" s="1191">
        <f t="shared" si="10"/>
        <v>-74119760</v>
      </c>
      <c r="AC49" s="1036"/>
      <c r="AD49" s="175"/>
      <c r="AE49" s="175"/>
      <c r="AF49" s="176"/>
      <c r="AG49" s="176"/>
      <c r="AH49" s="177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U49" s="40"/>
    </row>
    <row r="50" spans="1:47" ht="47.25">
      <c r="A50" s="22"/>
      <c r="C50" s="167"/>
      <c r="D50" s="168"/>
      <c r="E50" s="169"/>
      <c r="F50" s="169"/>
      <c r="G50" s="170"/>
      <c r="H50" s="170"/>
      <c r="I50" s="26"/>
      <c r="J50" s="170"/>
      <c r="K50" s="1636" t="s">
        <v>2281</v>
      </c>
      <c r="L50" s="454" t="s">
        <v>1035</v>
      </c>
      <c r="M50" s="1725" t="s">
        <v>3535</v>
      </c>
      <c r="N50" s="1733">
        <v>120444610</v>
      </c>
      <c r="O50" s="1636"/>
      <c r="P50" s="1187">
        <f t="shared" si="8"/>
        <v>120444610</v>
      </c>
      <c r="Q50" s="1188"/>
      <c r="R50" s="1188"/>
      <c r="S50" s="1188"/>
      <c r="T50" s="1188"/>
      <c r="U50" s="1188"/>
      <c r="V50" s="177">
        <f>P50</f>
        <v>120444610</v>
      </c>
      <c r="W50" s="1595" t="s">
        <v>3538</v>
      </c>
      <c r="X50" s="1597">
        <v>42719</v>
      </c>
      <c r="Y50" s="1598">
        <v>42724</v>
      </c>
      <c r="Z50" s="1589">
        <f t="shared" si="9"/>
        <v>120444610</v>
      </c>
      <c r="AA50" s="1190">
        <v>1</v>
      </c>
      <c r="AB50" s="1191">
        <f t="shared" si="10"/>
        <v>-120444610</v>
      </c>
      <c r="AC50" s="1036"/>
      <c r="AD50" s="175"/>
      <c r="AE50" s="175"/>
      <c r="AF50" s="176"/>
      <c r="AG50" s="176"/>
      <c r="AH50" s="177"/>
      <c r="AI50" s="175"/>
      <c r="AJ50" s="175"/>
      <c r="AK50" s="175"/>
      <c r="AL50" s="175"/>
      <c r="AM50" s="175"/>
      <c r="AN50" s="175"/>
      <c r="AO50" s="175"/>
      <c r="AP50" s="175"/>
      <c r="AQ50" s="175"/>
      <c r="AR50" s="175"/>
      <c r="AS50" s="175"/>
      <c r="AU50" s="40"/>
    </row>
    <row r="51" spans="1:47" ht="31.5">
      <c r="A51" s="22"/>
      <c r="C51" s="167"/>
      <c r="D51" s="168"/>
      <c r="E51" s="169"/>
      <c r="F51" s="169"/>
      <c r="G51" s="170"/>
      <c r="H51" s="170"/>
      <c r="I51" s="26"/>
      <c r="J51" s="170"/>
      <c r="K51" s="1636" t="s">
        <v>3536</v>
      </c>
      <c r="L51" s="454" t="s">
        <v>1035</v>
      </c>
      <c r="M51" s="1725" t="s">
        <v>3537</v>
      </c>
      <c r="N51" s="1733">
        <v>34967790</v>
      </c>
      <c r="O51" s="1636"/>
      <c r="P51" s="1187">
        <f t="shared" si="8"/>
        <v>34967790</v>
      </c>
      <c r="Q51" s="1188"/>
      <c r="R51" s="1188"/>
      <c r="S51" s="1188"/>
      <c r="T51" s="1188"/>
      <c r="U51" s="1188"/>
      <c r="V51" s="177">
        <f>P51</f>
        <v>34967790</v>
      </c>
      <c r="W51" s="1595" t="s">
        <v>3538</v>
      </c>
      <c r="X51" s="1597">
        <v>42719</v>
      </c>
      <c r="Y51" s="1598">
        <v>42724</v>
      </c>
      <c r="Z51" s="1589">
        <f t="shared" si="9"/>
        <v>34967790</v>
      </c>
      <c r="AA51" s="1190">
        <v>1</v>
      </c>
      <c r="AB51" s="1191">
        <f t="shared" si="10"/>
        <v>-34967790</v>
      </c>
      <c r="AC51" s="1036"/>
      <c r="AD51" s="175"/>
      <c r="AE51" s="175"/>
      <c r="AF51" s="176"/>
      <c r="AG51" s="176"/>
      <c r="AH51" s="177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U51" s="40"/>
    </row>
    <row r="52" spans="1:47">
      <c r="A52" s="22"/>
      <c r="C52" s="167"/>
      <c r="D52" s="168"/>
      <c r="E52" s="169"/>
      <c r="F52" s="169"/>
      <c r="G52" s="170"/>
      <c r="H52" s="170"/>
      <c r="I52" s="26"/>
      <c r="J52" s="170"/>
      <c r="K52" s="1636"/>
      <c r="L52" s="454"/>
      <c r="M52" s="1725"/>
      <c r="N52" s="919"/>
      <c r="O52" s="1636"/>
      <c r="P52" s="1187"/>
      <c r="Q52" s="1188"/>
      <c r="R52" s="1188"/>
      <c r="S52" s="1188"/>
      <c r="T52" s="1188"/>
      <c r="U52" s="1188"/>
      <c r="V52" s="177"/>
      <c r="W52" s="1595"/>
      <c r="X52" s="1597"/>
      <c r="Y52" s="1598"/>
      <c r="Z52" s="1731"/>
      <c r="AA52" s="1732"/>
      <c r="AB52" s="1191"/>
      <c r="AC52" s="1036"/>
      <c r="AD52" s="175"/>
      <c r="AE52" s="175"/>
      <c r="AF52" s="176"/>
      <c r="AG52" s="176"/>
      <c r="AH52" s="177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U52" s="40"/>
    </row>
    <row r="53" spans="1:47">
      <c r="A53" s="22"/>
      <c r="C53" s="167"/>
      <c r="D53" s="168"/>
      <c r="E53" s="169"/>
      <c r="F53" s="169"/>
      <c r="G53" s="170"/>
      <c r="H53" s="170"/>
      <c r="I53" s="26"/>
      <c r="J53" s="170"/>
      <c r="K53" s="1636"/>
      <c r="L53" s="454"/>
      <c r="M53" s="1725"/>
      <c r="N53" s="919"/>
      <c r="O53" s="1636"/>
      <c r="P53" s="1187"/>
      <c r="Q53" s="1188"/>
      <c r="R53" s="1188"/>
      <c r="S53" s="1188"/>
      <c r="T53" s="1188"/>
      <c r="U53" s="1188"/>
      <c r="V53" s="177"/>
      <c r="W53" s="1595"/>
      <c r="X53" s="1597"/>
      <c r="Y53" s="1598"/>
      <c r="Z53" s="1731"/>
      <c r="AA53" s="1732"/>
      <c r="AB53" s="1191"/>
      <c r="AC53" s="1036"/>
      <c r="AD53" s="175"/>
      <c r="AE53" s="175"/>
      <c r="AF53" s="176"/>
      <c r="AG53" s="176"/>
      <c r="AH53" s="177"/>
      <c r="AI53" s="175"/>
      <c r="AJ53" s="175"/>
      <c r="AK53" s="175"/>
      <c r="AL53" s="175"/>
      <c r="AM53" s="175"/>
      <c r="AN53" s="175"/>
      <c r="AO53" s="175"/>
      <c r="AP53" s="175"/>
      <c r="AQ53" s="175"/>
      <c r="AR53" s="175"/>
      <c r="AS53" s="175"/>
      <c r="AU53" s="40"/>
    </row>
    <row r="54" spans="1:47">
      <c r="A54" s="22"/>
      <c r="C54" s="167"/>
      <c r="D54" s="168"/>
      <c r="E54" s="169"/>
      <c r="F54" s="169"/>
      <c r="G54" s="170"/>
      <c r="H54" s="170"/>
      <c r="I54" s="26"/>
      <c r="J54" s="170"/>
      <c r="K54" s="1636"/>
      <c r="L54" s="454"/>
      <c r="M54" s="1725"/>
      <c r="N54" s="919"/>
      <c r="O54" s="1636"/>
      <c r="P54" s="1187"/>
      <c r="Q54" s="1188"/>
      <c r="R54" s="1188"/>
      <c r="S54" s="1188"/>
      <c r="T54" s="1188"/>
      <c r="U54" s="1188"/>
      <c r="V54" s="177"/>
      <c r="W54" s="1595"/>
      <c r="X54" s="1597"/>
      <c r="Y54" s="1598"/>
      <c r="Z54" s="1731"/>
      <c r="AA54" s="1732"/>
      <c r="AB54" s="1191"/>
      <c r="AC54" s="1036"/>
      <c r="AD54" s="175"/>
      <c r="AE54" s="175"/>
      <c r="AF54" s="176"/>
      <c r="AG54" s="176"/>
      <c r="AH54" s="177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U54" s="40"/>
    </row>
    <row r="55" spans="1:47" s="63" customFormat="1" ht="15.75" customHeight="1" thickBot="1">
      <c r="A55" s="121"/>
      <c r="B55" s="122"/>
      <c r="C55" s="123"/>
      <c r="D55" s="124"/>
      <c r="E55" s="125"/>
      <c r="F55" s="125"/>
      <c r="G55" s="120"/>
      <c r="H55" s="115"/>
      <c r="I55" s="26"/>
      <c r="J55" s="127"/>
      <c r="K55" s="133"/>
      <c r="L55" s="133"/>
      <c r="M55" s="134"/>
      <c r="N55" s="129"/>
      <c r="O55" s="1034"/>
      <c r="P55" s="46">
        <f>N55+O55</f>
        <v>0</v>
      </c>
      <c r="Q55" s="117"/>
      <c r="R55" s="117"/>
      <c r="S55" s="117"/>
      <c r="T55" s="117"/>
      <c r="U55" s="117"/>
      <c r="V55" s="59">
        <f>+P55</f>
        <v>0</v>
      </c>
      <c r="W55" s="1583"/>
      <c r="X55" s="1599"/>
      <c r="Y55" s="1600"/>
      <c r="Z55" s="1601">
        <f>V55</f>
        <v>0</v>
      </c>
      <c r="AA55" s="119"/>
      <c r="AB55" s="46">
        <f>+E55-P55</f>
        <v>0</v>
      </c>
      <c r="AC55" s="145"/>
      <c r="AD55" s="384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2"/>
    </row>
    <row r="56" spans="1:47" s="55" customFormat="1" ht="15.75" customHeight="1" thickBot="1">
      <c r="A56" s="2703" t="str">
        <f>B13</f>
        <v>001.KIT/AO-R/BRU/2016/M</v>
      </c>
      <c r="B56" s="2704"/>
      <c r="C56" s="2704"/>
      <c r="D56" s="2705"/>
      <c r="E56" s="65">
        <f>SUM(E13:E55)</f>
        <v>2591517000</v>
      </c>
      <c r="F56" s="65">
        <f>SUM(F13:F55)</f>
        <v>0</v>
      </c>
      <c r="G56" s="65">
        <f>SUM(G13:G55)</f>
        <v>2591517000</v>
      </c>
      <c r="H56" s="65"/>
      <c r="I56" s="65"/>
      <c r="J56" s="65"/>
      <c r="K56" s="66"/>
      <c r="L56" s="1328"/>
      <c r="M56" s="67"/>
      <c r="N56" s="68">
        <f t="shared" ref="N56:V56" si="11">SUM(N13:N55)</f>
        <v>4000791960</v>
      </c>
      <c r="O56" s="68">
        <f t="shared" si="11"/>
        <v>245365450</v>
      </c>
      <c r="P56" s="68">
        <f t="shared" si="11"/>
        <v>4246157410</v>
      </c>
      <c r="Q56" s="68">
        <f t="shared" si="11"/>
        <v>0</v>
      </c>
      <c r="R56" s="68">
        <f t="shared" si="11"/>
        <v>0</v>
      </c>
      <c r="S56" s="68">
        <f t="shared" si="11"/>
        <v>0</v>
      </c>
      <c r="T56" s="68">
        <f t="shared" si="11"/>
        <v>0</v>
      </c>
      <c r="U56" s="68">
        <f t="shared" si="11"/>
        <v>0</v>
      </c>
      <c r="V56" s="68">
        <f t="shared" si="11"/>
        <v>3527527520</v>
      </c>
      <c r="W56" s="1602"/>
      <c r="X56" s="1603"/>
      <c r="Y56" s="1603"/>
      <c r="Z56" s="1604">
        <f>SUM(Z13:Z55)</f>
        <v>3512599145</v>
      </c>
      <c r="AA56" s="65"/>
      <c r="AB56" s="68">
        <f>+G56-P56</f>
        <v>-1654640410</v>
      </c>
      <c r="AC56" s="76"/>
      <c r="AD56" s="75"/>
      <c r="AE56" s="100"/>
      <c r="AF56" s="100"/>
      <c r="AG56" s="74"/>
      <c r="AH56" s="74"/>
      <c r="AI56" s="74"/>
      <c r="AJ56" s="74"/>
      <c r="AK56" s="64"/>
      <c r="AL56" s="101" t="e">
        <f>SUM(#REF!)</f>
        <v>#REF!</v>
      </c>
      <c r="AM56" s="101">
        <f t="shared" ref="AM56:AS56" si="12">SUM(AM55:AM55)</f>
        <v>0</v>
      </c>
      <c r="AN56" s="101">
        <f t="shared" si="12"/>
        <v>0</v>
      </c>
      <c r="AO56" s="101">
        <f t="shared" si="12"/>
        <v>0</v>
      </c>
      <c r="AP56" s="101">
        <f t="shared" si="12"/>
        <v>0</v>
      </c>
      <c r="AQ56" s="101">
        <f t="shared" si="12"/>
        <v>0</v>
      </c>
      <c r="AR56" s="101">
        <f t="shared" si="12"/>
        <v>0</v>
      </c>
      <c r="AS56" s="102">
        <f t="shared" si="12"/>
        <v>0</v>
      </c>
      <c r="AT56" s="56"/>
      <c r="AU56" s="56"/>
    </row>
    <row r="57" spans="1:47" s="54" customFormat="1">
      <c r="A57" s="80"/>
      <c r="B57" s="80"/>
      <c r="C57" s="80"/>
      <c r="D57" s="80"/>
      <c r="E57" s="110"/>
      <c r="F57" s="110"/>
      <c r="G57" s="110"/>
      <c r="H57" s="110"/>
      <c r="I57" s="110"/>
      <c r="J57" s="110"/>
      <c r="K57" s="111"/>
      <c r="L57" s="1329"/>
      <c r="M57" s="112"/>
      <c r="N57" s="110"/>
      <c r="O57" s="110"/>
      <c r="P57" s="110"/>
      <c r="Q57" s="110"/>
      <c r="R57" s="110"/>
      <c r="S57" s="110"/>
      <c r="T57" s="110"/>
      <c r="U57" s="110"/>
      <c r="V57" s="103"/>
      <c r="W57" s="1605"/>
      <c r="X57" s="1596"/>
      <c r="Y57" s="1596"/>
      <c r="Z57" s="1606"/>
      <c r="AA57" s="110"/>
      <c r="AB57" s="110"/>
      <c r="AC57" s="113"/>
      <c r="AD57" s="53"/>
      <c r="AL57" s="103"/>
      <c r="AM57" s="103"/>
      <c r="AN57" s="103"/>
      <c r="AO57" s="103"/>
      <c r="AP57" s="103"/>
      <c r="AQ57" s="103"/>
      <c r="AR57" s="103"/>
      <c r="AS57" s="430"/>
      <c r="AT57" s="100"/>
      <c r="AU57" s="461"/>
    </row>
    <row r="58" spans="1:47" s="54" customFormat="1" ht="47.25">
      <c r="A58" s="81">
        <v>2</v>
      </c>
      <c r="B58" s="50" t="s">
        <v>575</v>
      </c>
      <c r="C58" s="50"/>
      <c r="D58" s="83" t="s">
        <v>576</v>
      </c>
      <c r="E58" s="103"/>
      <c r="F58" s="51">
        <v>25744467000</v>
      </c>
      <c r="G58" s="51">
        <f>E58+F58</f>
        <v>25744467000</v>
      </c>
      <c r="H58" s="381" t="s">
        <v>906</v>
      </c>
      <c r="I58" s="73">
        <v>42460</v>
      </c>
      <c r="J58" s="51" t="s">
        <v>616</v>
      </c>
      <c r="K58" s="77" t="s">
        <v>3406</v>
      </c>
      <c r="L58" s="71" t="s">
        <v>3407</v>
      </c>
      <c r="M58" s="72" t="s">
        <v>700</v>
      </c>
      <c r="N58" s="51"/>
      <c r="O58" s="51">
        <v>237160000</v>
      </c>
      <c r="P58" s="51">
        <f t="shared" ref="P58:P81" si="13">N58+O58</f>
        <v>237160000</v>
      </c>
      <c r="Q58" s="103"/>
      <c r="R58" s="103"/>
      <c r="S58" s="103"/>
      <c r="T58" s="103"/>
      <c r="U58" s="103"/>
      <c r="V58" s="103">
        <f t="shared" ref="V58:V77" si="14">P58</f>
        <v>237160000</v>
      </c>
      <c r="W58" s="1607" t="s">
        <v>3408</v>
      </c>
      <c r="X58" s="1608">
        <v>42711</v>
      </c>
      <c r="Y58" s="1608">
        <v>42718</v>
      </c>
      <c r="Z58" s="1609">
        <f t="shared" ref="Z58:Z63" si="15">V58</f>
        <v>237160000</v>
      </c>
      <c r="AA58" s="288">
        <v>1</v>
      </c>
      <c r="AB58" s="30">
        <f>+G58-P58</f>
        <v>25507307000</v>
      </c>
      <c r="AC58" s="106"/>
      <c r="AD58" s="53"/>
      <c r="AL58" s="103"/>
      <c r="AM58" s="103"/>
      <c r="AN58" s="103"/>
      <c r="AO58" s="103"/>
      <c r="AP58" s="103"/>
      <c r="AQ58" s="103"/>
      <c r="AR58" s="103"/>
      <c r="AS58" s="430"/>
      <c r="AT58" s="100"/>
      <c r="AU58" s="461"/>
    </row>
    <row r="59" spans="1:47" s="54" customFormat="1" ht="31.5">
      <c r="A59" s="81"/>
      <c r="B59" s="153" t="s">
        <v>924</v>
      </c>
      <c r="C59" s="50"/>
      <c r="D59" s="83"/>
      <c r="E59" s="103"/>
      <c r="F59" s="51"/>
      <c r="G59" s="51"/>
      <c r="H59" s="381"/>
      <c r="I59" s="73"/>
      <c r="J59" s="51"/>
      <c r="K59" s="800" t="s">
        <v>1039</v>
      </c>
      <c r="L59" s="71" t="s">
        <v>1041</v>
      </c>
      <c r="M59" s="799" t="s">
        <v>1040</v>
      </c>
      <c r="N59" s="51"/>
      <c r="O59" s="684">
        <v>47006960</v>
      </c>
      <c r="P59" s="51">
        <f t="shared" si="13"/>
        <v>47006960</v>
      </c>
      <c r="Q59" s="103"/>
      <c r="R59" s="103"/>
      <c r="S59" s="103"/>
      <c r="T59" s="103"/>
      <c r="U59" s="103"/>
      <c r="V59" s="103">
        <f t="shared" si="14"/>
        <v>47006960</v>
      </c>
      <c r="W59" s="1580" t="s">
        <v>1038</v>
      </c>
      <c r="X59" s="1582"/>
      <c r="Y59" s="1581">
        <v>42410</v>
      </c>
      <c r="Z59" s="1609">
        <f t="shared" si="15"/>
        <v>47006960</v>
      </c>
      <c r="AA59" s="288">
        <v>1</v>
      </c>
      <c r="AB59" s="30">
        <f t="shared" ref="AB59:AB120" si="16">+G59-P59</f>
        <v>-47006960</v>
      </c>
      <c r="AC59" s="106"/>
      <c r="AD59" s="53"/>
      <c r="AL59" s="103"/>
      <c r="AM59" s="103"/>
      <c r="AN59" s="103"/>
      <c r="AO59" s="103"/>
      <c r="AP59" s="103"/>
      <c r="AQ59" s="103"/>
      <c r="AR59" s="103"/>
      <c r="AS59" s="430"/>
      <c r="AT59" s="100"/>
      <c r="AU59" s="461"/>
    </row>
    <row r="60" spans="1:47" s="54" customFormat="1" ht="31.5">
      <c r="A60" s="81"/>
      <c r="B60" s="564">
        <v>42444</v>
      </c>
      <c r="C60" s="50"/>
      <c r="D60" s="83"/>
      <c r="E60" s="103"/>
      <c r="F60" s="51"/>
      <c r="G60" s="51"/>
      <c r="H60" s="381"/>
      <c r="I60" s="73"/>
      <c r="J60" s="51"/>
      <c r="K60" s="800" t="s">
        <v>1042</v>
      </c>
      <c r="L60" s="71" t="s">
        <v>1041</v>
      </c>
      <c r="M60" s="799" t="s">
        <v>1044</v>
      </c>
      <c r="N60" s="51"/>
      <c r="O60" s="684">
        <v>4638238</v>
      </c>
      <c r="P60" s="51">
        <f t="shared" si="13"/>
        <v>4638238</v>
      </c>
      <c r="Q60" s="103"/>
      <c r="R60" s="103"/>
      <c r="S60" s="103"/>
      <c r="T60" s="103"/>
      <c r="U60" s="103"/>
      <c r="V60" s="103">
        <f t="shared" si="14"/>
        <v>4638238</v>
      </c>
      <c r="W60" s="1607" t="s">
        <v>563</v>
      </c>
      <c r="X60" s="1608"/>
      <c r="Y60" s="1610">
        <v>42403</v>
      </c>
      <c r="Z60" s="1609">
        <f t="shared" si="15"/>
        <v>4638238</v>
      </c>
      <c r="AA60" s="288">
        <v>1</v>
      </c>
      <c r="AB60" s="30">
        <f t="shared" si="16"/>
        <v>-4638238</v>
      </c>
      <c r="AC60" s="106"/>
      <c r="AD60" s="53"/>
      <c r="AL60" s="103"/>
      <c r="AM60" s="103"/>
      <c r="AN60" s="103"/>
      <c r="AO60" s="103"/>
      <c r="AP60" s="103"/>
      <c r="AQ60" s="103"/>
      <c r="AR60" s="103"/>
      <c r="AS60" s="430"/>
      <c r="AT60" s="100"/>
      <c r="AU60" s="461"/>
    </row>
    <row r="61" spans="1:47" s="54" customFormat="1" ht="31.5">
      <c r="A61" s="81"/>
      <c r="B61" s="50"/>
      <c r="C61" s="50"/>
      <c r="D61" s="83"/>
      <c r="E61" s="103"/>
      <c r="F61" s="51"/>
      <c r="G61" s="51"/>
      <c r="H61" s="381"/>
      <c r="I61" s="73"/>
      <c r="J61" s="51"/>
      <c r="K61" s="800" t="s">
        <v>1043</v>
      </c>
      <c r="L61" s="71" t="s">
        <v>1041</v>
      </c>
      <c r="M61" s="799" t="s">
        <v>1044</v>
      </c>
      <c r="N61" s="51"/>
      <c r="O61" s="684">
        <v>4582424</v>
      </c>
      <c r="P61" s="51">
        <f t="shared" si="13"/>
        <v>4582424</v>
      </c>
      <c r="Q61" s="103"/>
      <c r="R61" s="103"/>
      <c r="S61" s="103"/>
      <c r="T61" s="103"/>
      <c r="U61" s="103"/>
      <c r="V61" s="103">
        <f t="shared" si="14"/>
        <v>4582424</v>
      </c>
      <c r="W61" s="1607" t="s">
        <v>563</v>
      </c>
      <c r="X61" s="1608"/>
      <c r="Y61" s="1610">
        <v>42403</v>
      </c>
      <c r="Z61" s="1609">
        <f t="shared" si="15"/>
        <v>4582424</v>
      </c>
      <c r="AA61" s="288">
        <v>1</v>
      </c>
      <c r="AB61" s="30">
        <f t="shared" si="16"/>
        <v>-4582424</v>
      </c>
      <c r="AC61" s="106"/>
      <c r="AD61" s="53"/>
      <c r="AL61" s="103"/>
      <c r="AM61" s="103"/>
      <c r="AN61" s="103"/>
      <c r="AO61" s="103"/>
      <c r="AP61" s="103"/>
      <c r="AQ61" s="103"/>
      <c r="AR61" s="103"/>
      <c r="AS61" s="430"/>
      <c r="AT61" s="100"/>
      <c r="AU61" s="461"/>
    </row>
    <row r="62" spans="1:47" s="54" customFormat="1" ht="31.5">
      <c r="A62" s="81"/>
      <c r="B62" s="50"/>
      <c r="C62" s="50"/>
      <c r="D62" s="83"/>
      <c r="E62" s="103"/>
      <c r="F62" s="51"/>
      <c r="G62" s="51"/>
      <c r="H62" s="381"/>
      <c r="I62" s="73"/>
      <c r="J62" s="51"/>
      <c r="K62" s="800" t="s">
        <v>1045</v>
      </c>
      <c r="L62" s="71" t="s">
        <v>801</v>
      </c>
      <c r="M62" s="799" t="s">
        <v>1046</v>
      </c>
      <c r="N62" s="51"/>
      <c r="O62" s="684">
        <v>146822973</v>
      </c>
      <c r="P62" s="51">
        <f t="shared" si="13"/>
        <v>146822973</v>
      </c>
      <c r="Q62" s="103"/>
      <c r="R62" s="103"/>
      <c r="S62" s="103"/>
      <c r="T62" s="103"/>
      <c r="U62" s="103"/>
      <c r="V62" s="103">
        <f t="shared" si="14"/>
        <v>146822973</v>
      </c>
      <c r="W62" s="1607" t="s">
        <v>564</v>
      </c>
      <c r="X62" s="1608"/>
      <c r="Y62" s="1610">
        <v>42415</v>
      </c>
      <c r="Z62" s="1609">
        <f t="shared" si="15"/>
        <v>146822973</v>
      </c>
      <c r="AA62" s="288">
        <v>1</v>
      </c>
      <c r="AB62" s="30">
        <f t="shared" si="16"/>
        <v>-146822973</v>
      </c>
      <c r="AC62" s="106"/>
      <c r="AD62" s="53"/>
      <c r="AL62" s="103"/>
      <c r="AM62" s="103"/>
      <c r="AN62" s="103"/>
      <c r="AO62" s="103"/>
      <c r="AP62" s="103"/>
      <c r="AQ62" s="103"/>
      <c r="AR62" s="103"/>
      <c r="AS62" s="430"/>
      <c r="AT62" s="100"/>
      <c r="AU62" s="461"/>
    </row>
    <row r="63" spans="1:47" s="54" customFormat="1" ht="31.5">
      <c r="A63" s="81"/>
      <c r="B63" s="50"/>
      <c r="C63" s="50"/>
      <c r="D63" s="83"/>
      <c r="E63" s="103"/>
      <c r="F63" s="51"/>
      <c r="G63" s="51"/>
      <c r="H63" s="381"/>
      <c r="I63" s="73"/>
      <c r="J63" s="51"/>
      <c r="K63" s="800" t="s">
        <v>1047</v>
      </c>
      <c r="L63" s="71" t="s">
        <v>801</v>
      </c>
      <c r="M63" s="799" t="s">
        <v>1049</v>
      </c>
      <c r="N63" s="51"/>
      <c r="O63" s="684">
        <v>17558640</v>
      </c>
      <c r="P63" s="51">
        <f t="shared" si="13"/>
        <v>17558640</v>
      </c>
      <c r="Q63" s="103"/>
      <c r="R63" s="103"/>
      <c r="S63" s="103"/>
      <c r="T63" s="103"/>
      <c r="U63" s="103"/>
      <c r="V63" s="103">
        <f t="shared" si="14"/>
        <v>17558640</v>
      </c>
      <c r="W63" s="1607" t="s">
        <v>578</v>
      </c>
      <c r="X63" s="1608"/>
      <c r="Y63" s="1610">
        <v>42429</v>
      </c>
      <c r="Z63" s="1609">
        <f t="shared" si="15"/>
        <v>17558640</v>
      </c>
      <c r="AA63" s="288">
        <v>1</v>
      </c>
      <c r="AB63" s="30">
        <f t="shared" si="16"/>
        <v>-17558640</v>
      </c>
      <c r="AC63" s="106"/>
      <c r="AD63" s="53"/>
      <c r="AL63" s="103"/>
      <c r="AM63" s="103"/>
      <c r="AN63" s="103"/>
      <c r="AO63" s="103"/>
      <c r="AP63" s="103"/>
      <c r="AQ63" s="103"/>
      <c r="AR63" s="103"/>
      <c r="AS63" s="430"/>
      <c r="AT63" s="100"/>
      <c r="AU63" s="461"/>
    </row>
    <row r="64" spans="1:47" s="54" customFormat="1" ht="31.5">
      <c r="A64" s="81"/>
      <c r="B64" s="50"/>
      <c r="C64" s="50"/>
      <c r="D64" s="83"/>
      <c r="E64" s="103"/>
      <c r="F64" s="51"/>
      <c r="G64" s="51"/>
      <c r="H64" s="381"/>
      <c r="I64" s="73"/>
      <c r="J64" s="51"/>
      <c r="K64" s="800" t="s">
        <v>1048</v>
      </c>
      <c r="L64" s="71" t="s">
        <v>801</v>
      </c>
      <c r="M64" s="799" t="s">
        <v>1050</v>
      </c>
      <c r="N64" s="51"/>
      <c r="O64" s="684">
        <v>5979820</v>
      </c>
      <c r="P64" s="51">
        <f t="shared" si="13"/>
        <v>5979820</v>
      </c>
      <c r="Q64" s="103"/>
      <c r="R64" s="103"/>
      <c r="S64" s="103"/>
      <c r="T64" s="103"/>
      <c r="U64" s="103"/>
      <c r="V64" s="103">
        <f t="shared" si="14"/>
        <v>5979820</v>
      </c>
      <c r="W64" s="1607" t="s">
        <v>578</v>
      </c>
      <c r="X64" s="1608"/>
      <c r="Y64" s="1610">
        <v>42429</v>
      </c>
      <c r="Z64" s="1609">
        <f t="shared" ref="Z64:Z77" si="17">V64</f>
        <v>5979820</v>
      </c>
      <c r="AA64" s="288">
        <v>1</v>
      </c>
      <c r="AB64" s="30">
        <f t="shared" si="16"/>
        <v>-5979820</v>
      </c>
      <c r="AC64" s="106"/>
      <c r="AD64" s="53"/>
      <c r="AL64" s="103"/>
      <c r="AM64" s="103"/>
      <c r="AN64" s="103"/>
      <c r="AO64" s="103"/>
      <c r="AP64" s="103"/>
      <c r="AQ64" s="103"/>
      <c r="AR64" s="103"/>
      <c r="AS64" s="430"/>
      <c r="AT64" s="100"/>
      <c r="AU64" s="461"/>
    </row>
    <row r="65" spans="1:47" s="54" customFormat="1" ht="31.5">
      <c r="A65" s="81"/>
      <c r="B65" s="50"/>
      <c r="C65" s="50"/>
      <c r="D65" s="83"/>
      <c r="E65" s="103"/>
      <c r="F65" s="51"/>
      <c r="G65" s="51"/>
      <c r="H65" s="381"/>
      <c r="I65" s="73"/>
      <c r="J65" s="51"/>
      <c r="K65" s="800" t="s">
        <v>1045</v>
      </c>
      <c r="L65" s="71" t="s">
        <v>801</v>
      </c>
      <c r="M65" s="799" t="s">
        <v>1051</v>
      </c>
      <c r="N65" s="51"/>
      <c r="O65" s="684">
        <v>19092832</v>
      </c>
      <c r="P65" s="51">
        <f t="shared" si="13"/>
        <v>19092832</v>
      </c>
      <c r="Q65" s="103"/>
      <c r="R65" s="103"/>
      <c r="S65" s="103"/>
      <c r="T65" s="103"/>
      <c r="U65" s="103"/>
      <c r="V65" s="103">
        <f t="shared" si="14"/>
        <v>19092832</v>
      </c>
      <c r="W65" s="1607" t="s">
        <v>578</v>
      </c>
      <c r="X65" s="1608"/>
      <c r="Y65" s="1610">
        <v>42429</v>
      </c>
      <c r="Z65" s="1609">
        <f t="shared" si="17"/>
        <v>19092832</v>
      </c>
      <c r="AA65" s="288">
        <v>1</v>
      </c>
      <c r="AB65" s="30">
        <f t="shared" si="16"/>
        <v>-19092832</v>
      </c>
      <c r="AC65" s="106"/>
      <c r="AD65" s="53"/>
      <c r="AL65" s="103"/>
      <c r="AM65" s="103"/>
      <c r="AN65" s="103"/>
      <c r="AO65" s="103"/>
      <c r="AP65" s="103"/>
      <c r="AQ65" s="103"/>
      <c r="AR65" s="103"/>
      <c r="AS65" s="430"/>
      <c r="AT65" s="100"/>
      <c r="AU65" s="461"/>
    </row>
    <row r="66" spans="1:47" s="54" customFormat="1" ht="31.5">
      <c r="A66" s="81"/>
      <c r="B66" s="50"/>
      <c r="C66" s="50"/>
      <c r="D66" s="83"/>
      <c r="E66" s="103"/>
      <c r="F66" s="51"/>
      <c r="G66" s="51"/>
      <c r="H66" s="381"/>
      <c r="I66" s="73"/>
      <c r="J66" s="51"/>
      <c r="K66" s="800" t="s">
        <v>1052</v>
      </c>
      <c r="L66" s="71" t="s">
        <v>801</v>
      </c>
      <c r="M66" s="799" t="s">
        <v>1053</v>
      </c>
      <c r="N66" s="51"/>
      <c r="O66" s="684">
        <v>626073179</v>
      </c>
      <c r="P66" s="51">
        <f t="shared" si="13"/>
        <v>626073179</v>
      </c>
      <c r="Q66" s="103"/>
      <c r="R66" s="103"/>
      <c r="S66" s="103"/>
      <c r="T66" s="103"/>
      <c r="U66" s="103"/>
      <c r="V66" s="103">
        <f t="shared" si="14"/>
        <v>626073179</v>
      </c>
      <c r="W66" s="1607" t="s">
        <v>1054</v>
      </c>
      <c r="X66" s="1608"/>
      <c r="Y66" s="1610">
        <v>42433</v>
      </c>
      <c r="Z66" s="1609">
        <f t="shared" si="17"/>
        <v>626073179</v>
      </c>
      <c r="AA66" s="288">
        <v>1</v>
      </c>
      <c r="AB66" s="30">
        <f t="shared" si="16"/>
        <v>-626073179</v>
      </c>
      <c r="AC66" s="106"/>
      <c r="AD66" s="53"/>
      <c r="AL66" s="103"/>
      <c r="AM66" s="103"/>
      <c r="AN66" s="103"/>
      <c r="AO66" s="103"/>
      <c r="AP66" s="103"/>
      <c r="AQ66" s="103"/>
      <c r="AR66" s="103"/>
      <c r="AS66" s="430"/>
      <c r="AT66" s="100"/>
      <c r="AU66" s="461"/>
    </row>
    <row r="67" spans="1:47" s="54" customFormat="1" ht="31.5">
      <c r="A67" s="81"/>
      <c r="B67" s="50"/>
      <c r="C67" s="50"/>
      <c r="D67" s="83"/>
      <c r="E67" s="103"/>
      <c r="F67" s="51"/>
      <c r="G67" s="51"/>
      <c r="H67" s="381"/>
      <c r="I67" s="73"/>
      <c r="J67" s="51"/>
      <c r="K67" s="800" t="s">
        <v>1055</v>
      </c>
      <c r="L67" s="71" t="s">
        <v>801</v>
      </c>
      <c r="M67" s="799" t="s">
        <v>1059</v>
      </c>
      <c r="N67" s="51"/>
      <c r="O67" s="684">
        <v>11498339</v>
      </c>
      <c r="P67" s="51">
        <f t="shared" si="13"/>
        <v>11498339</v>
      </c>
      <c r="Q67" s="103"/>
      <c r="R67" s="103"/>
      <c r="S67" s="103"/>
      <c r="T67" s="103"/>
      <c r="U67" s="103"/>
      <c r="V67" s="103">
        <f t="shared" si="14"/>
        <v>11498339</v>
      </c>
      <c r="W67" s="1607" t="s">
        <v>577</v>
      </c>
      <c r="X67" s="1608">
        <v>42426</v>
      </c>
      <c r="Y67" s="1610">
        <v>42452</v>
      </c>
      <c r="Z67" s="1609">
        <f t="shared" si="17"/>
        <v>11498339</v>
      </c>
      <c r="AA67" s="288">
        <v>1</v>
      </c>
      <c r="AB67" s="30">
        <f t="shared" si="16"/>
        <v>-11498339</v>
      </c>
      <c r="AC67" s="106"/>
      <c r="AD67" s="53"/>
      <c r="AL67" s="103"/>
      <c r="AM67" s="103"/>
      <c r="AN67" s="103"/>
      <c r="AO67" s="103"/>
      <c r="AP67" s="103"/>
      <c r="AQ67" s="103"/>
      <c r="AR67" s="103"/>
      <c r="AS67" s="430"/>
      <c r="AT67" s="100"/>
      <c r="AU67" s="461"/>
    </row>
    <row r="68" spans="1:47" s="54" customFormat="1" ht="31.5">
      <c r="A68" s="81"/>
      <c r="B68" s="50"/>
      <c r="C68" s="50"/>
      <c r="D68" s="83"/>
      <c r="E68" s="103"/>
      <c r="F68" s="51"/>
      <c r="G68" s="51"/>
      <c r="H68" s="381"/>
      <c r="I68" s="73"/>
      <c r="J68" s="51"/>
      <c r="K68" s="800" t="s">
        <v>1056</v>
      </c>
      <c r="L68" s="71" t="s">
        <v>801</v>
      </c>
      <c r="M68" s="799" t="s">
        <v>1060</v>
      </c>
      <c r="N68" s="51"/>
      <c r="O68" s="684">
        <v>20503098</v>
      </c>
      <c r="P68" s="51">
        <f t="shared" si="13"/>
        <v>20503098</v>
      </c>
      <c r="Q68" s="103"/>
      <c r="R68" s="103"/>
      <c r="S68" s="103"/>
      <c r="T68" s="103"/>
      <c r="U68" s="103"/>
      <c r="V68" s="103">
        <f t="shared" si="14"/>
        <v>20503098</v>
      </c>
      <c r="W68" s="1607" t="s">
        <v>577</v>
      </c>
      <c r="X68" s="1608">
        <v>42426</v>
      </c>
      <c r="Y68" s="1610">
        <v>42452</v>
      </c>
      <c r="Z68" s="1609">
        <f t="shared" si="17"/>
        <v>20503098</v>
      </c>
      <c r="AA68" s="288">
        <v>1</v>
      </c>
      <c r="AB68" s="30">
        <f t="shared" si="16"/>
        <v>-20503098</v>
      </c>
      <c r="AC68" s="106"/>
      <c r="AD68" s="53"/>
      <c r="AL68" s="103"/>
      <c r="AM68" s="103"/>
      <c r="AN68" s="103"/>
      <c r="AO68" s="103"/>
      <c r="AP68" s="103"/>
      <c r="AQ68" s="103"/>
      <c r="AR68" s="103"/>
      <c r="AS68" s="430"/>
      <c r="AT68" s="100"/>
      <c r="AU68" s="461"/>
    </row>
    <row r="69" spans="1:47" s="54" customFormat="1" ht="31.5">
      <c r="A69" s="81"/>
      <c r="B69" s="50"/>
      <c r="C69" s="50"/>
      <c r="D69" s="83"/>
      <c r="E69" s="103"/>
      <c r="F69" s="51"/>
      <c r="G69" s="51"/>
      <c r="H69" s="381"/>
      <c r="I69" s="73"/>
      <c r="J69" s="51"/>
      <c r="K69" s="800" t="s">
        <v>1057</v>
      </c>
      <c r="L69" s="71" t="s">
        <v>801</v>
      </c>
      <c r="M69" s="799" t="s">
        <v>1061</v>
      </c>
      <c r="N69" s="51"/>
      <c r="O69" s="684">
        <v>4432151</v>
      </c>
      <c r="P69" s="51">
        <f t="shared" si="13"/>
        <v>4432151</v>
      </c>
      <c r="Q69" s="103"/>
      <c r="R69" s="103"/>
      <c r="S69" s="103"/>
      <c r="T69" s="103"/>
      <c r="U69" s="103"/>
      <c r="V69" s="103">
        <f t="shared" si="14"/>
        <v>4432151</v>
      </c>
      <c r="W69" s="1607" t="s">
        <v>577</v>
      </c>
      <c r="X69" s="1608">
        <v>42426</v>
      </c>
      <c r="Y69" s="1610">
        <v>42452</v>
      </c>
      <c r="Z69" s="1609">
        <f t="shared" si="17"/>
        <v>4432151</v>
      </c>
      <c r="AA69" s="288">
        <v>1</v>
      </c>
      <c r="AB69" s="30">
        <f t="shared" si="16"/>
        <v>-4432151</v>
      </c>
      <c r="AC69" s="106"/>
      <c r="AD69" s="53"/>
      <c r="AL69" s="103"/>
      <c r="AM69" s="103"/>
      <c r="AN69" s="103"/>
      <c r="AO69" s="103"/>
      <c r="AP69" s="103"/>
      <c r="AQ69" s="103"/>
      <c r="AR69" s="103"/>
      <c r="AS69" s="430"/>
      <c r="AT69" s="100"/>
      <c r="AU69" s="461"/>
    </row>
    <row r="70" spans="1:47" s="54" customFormat="1" ht="31.5">
      <c r="A70" s="81"/>
      <c r="B70" s="50"/>
      <c r="C70" s="50"/>
      <c r="D70" s="83"/>
      <c r="E70" s="103"/>
      <c r="F70" s="51"/>
      <c r="G70" s="51"/>
      <c r="H70" s="381"/>
      <c r="I70" s="73"/>
      <c r="J70" s="51"/>
      <c r="K70" s="800" t="s">
        <v>1058</v>
      </c>
      <c r="L70" s="71" t="s">
        <v>801</v>
      </c>
      <c r="M70" s="799" t="s">
        <v>1062</v>
      </c>
      <c r="N70" s="51"/>
      <c r="O70" s="684">
        <v>8917909</v>
      </c>
      <c r="P70" s="51">
        <f t="shared" si="13"/>
        <v>8917909</v>
      </c>
      <c r="Q70" s="103"/>
      <c r="R70" s="103"/>
      <c r="S70" s="103"/>
      <c r="T70" s="103"/>
      <c r="U70" s="103"/>
      <c r="V70" s="103">
        <f t="shared" si="14"/>
        <v>8917909</v>
      </c>
      <c r="W70" s="1607" t="s">
        <v>577</v>
      </c>
      <c r="X70" s="1608">
        <v>42426</v>
      </c>
      <c r="Y70" s="1610">
        <v>42452</v>
      </c>
      <c r="Z70" s="1609">
        <f t="shared" si="17"/>
        <v>8917909</v>
      </c>
      <c r="AA70" s="288">
        <v>1</v>
      </c>
      <c r="AB70" s="30">
        <f t="shared" si="16"/>
        <v>-8917909</v>
      </c>
      <c r="AC70" s="106"/>
      <c r="AD70" s="53"/>
      <c r="AL70" s="103"/>
      <c r="AM70" s="103"/>
      <c r="AN70" s="103"/>
      <c r="AO70" s="103"/>
      <c r="AP70" s="103"/>
      <c r="AQ70" s="103"/>
      <c r="AR70" s="103"/>
      <c r="AS70" s="430"/>
      <c r="AT70" s="100"/>
      <c r="AU70" s="461"/>
    </row>
    <row r="71" spans="1:47" s="54" customFormat="1" ht="31.5">
      <c r="A71" s="81"/>
      <c r="B71" s="50"/>
      <c r="C71" s="50"/>
      <c r="D71" s="83"/>
      <c r="E71" s="103"/>
      <c r="F71" s="51"/>
      <c r="G71" s="51"/>
      <c r="H71" s="381"/>
      <c r="I71" s="73"/>
      <c r="J71" s="51"/>
      <c r="K71" s="800" t="s">
        <v>1063</v>
      </c>
      <c r="L71" s="71" t="s">
        <v>801</v>
      </c>
      <c r="M71" s="799" t="s">
        <v>1068</v>
      </c>
      <c r="N71" s="51"/>
      <c r="O71" s="684">
        <v>34171830</v>
      </c>
      <c r="P71" s="51">
        <f t="shared" si="13"/>
        <v>34171830</v>
      </c>
      <c r="Q71" s="103"/>
      <c r="R71" s="103"/>
      <c r="S71" s="103"/>
      <c r="T71" s="103"/>
      <c r="U71" s="103"/>
      <c r="V71" s="103">
        <f t="shared" si="14"/>
        <v>34171830</v>
      </c>
      <c r="W71" s="1607" t="s">
        <v>1072</v>
      </c>
      <c r="X71" s="1608">
        <v>42430</v>
      </c>
      <c r="Y71" s="1610">
        <v>42437</v>
      </c>
      <c r="Z71" s="1609">
        <f t="shared" si="17"/>
        <v>34171830</v>
      </c>
      <c r="AA71" s="288">
        <v>1</v>
      </c>
      <c r="AB71" s="30">
        <f t="shared" si="16"/>
        <v>-34171830</v>
      </c>
      <c r="AC71" s="106"/>
      <c r="AD71" s="53"/>
      <c r="AL71" s="103"/>
      <c r="AM71" s="103"/>
      <c r="AN71" s="103"/>
      <c r="AO71" s="103"/>
      <c r="AP71" s="103"/>
      <c r="AQ71" s="103"/>
      <c r="AR71" s="103"/>
      <c r="AS71" s="430"/>
      <c r="AT71" s="100"/>
      <c r="AU71" s="461"/>
    </row>
    <row r="72" spans="1:47" s="54" customFormat="1" ht="31.5">
      <c r="A72" s="81"/>
      <c r="B72" s="50"/>
      <c r="C72" s="50"/>
      <c r="D72" s="83"/>
      <c r="E72" s="103"/>
      <c r="F72" s="51"/>
      <c r="G72" s="51"/>
      <c r="H72" s="381"/>
      <c r="I72" s="73"/>
      <c r="J72" s="51"/>
      <c r="K72" s="800" t="s">
        <v>1064</v>
      </c>
      <c r="L72" s="71" t="s">
        <v>801</v>
      </c>
      <c r="M72" s="799" t="s">
        <v>1069</v>
      </c>
      <c r="N72" s="51"/>
      <c r="O72" s="684">
        <v>34141140</v>
      </c>
      <c r="P72" s="51">
        <f t="shared" si="13"/>
        <v>34141140</v>
      </c>
      <c r="Q72" s="103"/>
      <c r="R72" s="103"/>
      <c r="S72" s="103"/>
      <c r="T72" s="103"/>
      <c r="U72" s="103"/>
      <c r="V72" s="103">
        <f t="shared" si="14"/>
        <v>34141140</v>
      </c>
      <c r="W72" s="1607" t="s">
        <v>1072</v>
      </c>
      <c r="X72" s="1608">
        <v>42430</v>
      </c>
      <c r="Y72" s="1610">
        <v>42437</v>
      </c>
      <c r="Z72" s="1609">
        <f t="shared" si="17"/>
        <v>34141140</v>
      </c>
      <c r="AA72" s="288">
        <v>1</v>
      </c>
      <c r="AB72" s="30">
        <f t="shared" si="16"/>
        <v>-34141140</v>
      </c>
      <c r="AC72" s="106"/>
      <c r="AD72" s="53"/>
      <c r="AL72" s="103"/>
      <c r="AM72" s="103"/>
      <c r="AN72" s="103"/>
      <c r="AO72" s="103"/>
      <c r="AP72" s="103"/>
      <c r="AQ72" s="103"/>
      <c r="AR72" s="103"/>
      <c r="AS72" s="430"/>
      <c r="AT72" s="100"/>
      <c r="AU72" s="461"/>
    </row>
    <row r="73" spans="1:47" s="54" customFormat="1" ht="31.5">
      <c r="A73" s="81"/>
      <c r="B73" s="50"/>
      <c r="C73" s="50"/>
      <c r="D73" s="83"/>
      <c r="E73" s="103"/>
      <c r="F73" s="51"/>
      <c r="G73" s="51"/>
      <c r="H73" s="381"/>
      <c r="I73" s="73"/>
      <c r="J73" s="51"/>
      <c r="K73" s="800" t="s">
        <v>1065</v>
      </c>
      <c r="L73" s="71" t="s">
        <v>801</v>
      </c>
      <c r="M73" s="799" t="s">
        <v>1070</v>
      </c>
      <c r="N73" s="51"/>
      <c r="O73" s="684">
        <v>30391364</v>
      </c>
      <c r="P73" s="51">
        <f t="shared" si="13"/>
        <v>30391364</v>
      </c>
      <c r="Q73" s="103"/>
      <c r="R73" s="103"/>
      <c r="S73" s="103"/>
      <c r="T73" s="103"/>
      <c r="U73" s="103"/>
      <c r="V73" s="103">
        <f t="shared" si="14"/>
        <v>30391364</v>
      </c>
      <c r="W73" s="1607" t="s">
        <v>1072</v>
      </c>
      <c r="X73" s="1608">
        <v>42430</v>
      </c>
      <c r="Y73" s="1610">
        <v>42437</v>
      </c>
      <c r="Z73" s="1609">
        <f t="shared" si="17"/>
        <v>30391364</v>
      </c>
      <c r="AA73" s="288">
        <v>1</v>
      </c>
      <c r="AB73" s="30">
        <f t="shared" si="16"/>
        <v>-30391364</v>
      </c>
      <c r="AC73" s="106"/>
      <c r="AD73" s="53"/>
      <c r="AL73" s="103"/>
      <c r="AM73" s="103"/>
      <c r="AN73" s="103"/>
      <c r="AO73" s="103"/>
      <c r="AP73" s="103"/>
      <c r="AQ73" s="103"/>
      <c r="AR73" s="103"/>
      <c r="AS73" s="430"/>
      <c r="AT73" s="100"/>
      <c r="AU73" s="461"/>
    </row>
    <row r="74" spans="1:47" s="54" customFormat="1" ht="31.5">
      <c r="A74" s="81"/>
      <c r="B74" s="50"/>
      <c r="C74" s="50"/>
      <c r="D74" s="83"/>
      <c r="E74" s="103"/>
      <c r="F74" s="51"/>
      <c r="G74" s="51"/>
      <c r="H74" s="381"/>
      <c r="I74" s="73"/>
      <c r="J74" s="51"/>
      <c r="K74" s="800" t="s">
        <v>1066</v>
      </c>
      <c r="L74" s="71" t="s">
        <v>801</v>
      </c>
      <c r="M74" s="799" t="s">
        <v>1071</v>
      </c>
      <c r="N74" s="51"/>
      <c r="O74" s="684">
        <v>123592788</v>
      </c>
      <c r="P74" s="51">
        <f t="shared" si="13"/>
        <v>123592788</v>
      </c>
      <c r="Q74" s="103"/>
      <c r="R74" s="103"/>
      <c r="S74" s="103"/>
      <c r="T74" s="103"/>
      <c r="U74" s="103"/>
      <c r="V74" s="103">
        <f t="shared" si="14"/>
        <v>123592788</v>
      </c>
      <c r="W74" s="1607" t="s">
        <v>1072</v>
      </c>
      <c r="X74" s="1608">
        <v>42430</v>
      </c>
      <c r="Y74" s="1610">
        <v>42437</v>
      </c>
      <c r="Z74" s="1609">
        <f t="shared" si="17"/>
        <v>123592788</v>
      </c>
      <c r="AA74" s="288">
        <v>1</v>
      </c>
      <c r="AB74" s="30">
        <f t="shared" si="16"/>
        <v>-123592788</v>
      </c>
      <c r="AC74" s="106"/>
      <c r="AD74" s="53"/>
      <c r="AL74" s="103"/>
      <c r="AM74" s="103"/>
      <c r="AN74" s="103"/>
      <c r="AO74" s="103"/>
      <c r="AP74" s="103"/>
      <c r="AQ74" s="103"/>
      <c r="AR74" s="103"/>
      <c r="AS74" s="430"/>
      <c r="AT74" s="100"/>
      <c r="AU74" s="461"/>
    </row>
    <row r="75" spans="1:47" s="54" customFormat="1" ht="31.5">
      <c r="A75" s="81"/>
      <c r="B75" s="50"/>
      <c r="C75" s="50"/>
      <c r="D75" s="83"/>
      <c r="E75" s="103"/>
      <c r="F75" s="51"/>
      <c r="G75" s="51"/>
      <c r="H75" s="381"/>
      <c r="I75" s="73"/>
      <c r="J75" s="51"/>
      <c r="K75" s="800" t="s">
        <v>1067</v>
      </c>
      <c r="L75" s="71" t="s">
        <v>801</v>
      </c>
      <c r="M75" s="799" t="s">
        <v>1053</v>
      </c>
      <c r="N75" s="51"/>
      <c r="O75" s="684">
        <v>625583189</v>
      </c>
      <c r="P75" s="51">
        <f t="shared" si="13"/>
        <v>625583189</v>
      </c>
      <c r="Q75" s="103"/>
      <c r="R75" s="103"/>
      <c r="S75" s="103"/>
      <c r="T75" s="103"/>
      <c r="U75" s="103"/>
      <c r="V75" s="103">
        <f t="shared" si="14"/>
        <v>625583189</v>
      </c>
      <c r="W75" s="1607" t="s">
        <v>1072</v>
      </c>
      <c r="X75" s="1608">
        <v>42430</v>
      </c>
      <c r="Y75" s="1610">
        <v>42437</v>
      </c>
      <c r="Z75" s="1609">
        <f t="shared" si="17"/>
        <v>625583189</v>
      </c>
      <c r="AA75" s="288">
        <v>1</v>
      </c>
      <c r="AB75" s="30">
        <f t="shared" si="16"/>
        <v>-625583189</v>
      </c>
      <c r="AC75" s="106"/>
      <c r="AD75" s="53"/>
      <c r="AL75" s="103"/>
      <c r="AM75" s="103"/>
      <c r="AN75" s="103"/>
      <c r="AO75" s="103"/>
      <c r="AP75" s="103"/>
      <c r="AQ75" s="103"/>
      <c r="AR75" s="103"/>
      <c r="AS75" s="430"/>
      <c r="AT75" s="100"/>
      <c r="AU75" s="461"/>
    </row>
    <row r="76" spans="1:47" s="54" customFormat="1" ht="31.5">
      <c r="A76" s="81"/>
      <c r="B76" s="50"/>
      <c r="C76" s="50"/>
      <c r="D76" s="83"/>
      <c r="E76" s="103"/>
      <c r="F76" s="51"/>
      <c r="G76" s="51"/>
      <c r="H76" s="381"/>
      <c r="I76" s="73"/>
      <c r="J76" s="51"/>
      <c r="K76" s="800" t="s">
        <v>1073</v>
      </c>
      <c r="L76" s="71" t="s">
        <v>801</v>
      </c>
      <c r="M76" s="799" t="s">
        <v>1075</v>
      </c>
      <c r="N76" s="51"/>
      <c r="O76" s="684">
        <v>10267821</v>
      </c>
      <c r="P76" s="51">
        <f t="shared" si="13"/>
        <v>10267821</v>
      </c>
      <c r="Q76" s="103"/>
      <c r="R76" s="103"/>
      <c r="S76" s="103"/>
      <c r="T76" s="103"/>
      <c r="U76" s="103"/>
      <c r="V76" s="103">
        <f t="shared" si="14"/>
        <v>10267821</v>
      </c>
      <c r="W76" s="1607" t="s">
        <v>1077</v>
      </c>
      <c r="X76" s="1608">
        <v>42444</v>
      </c>
      <c r="Y76" s="1610">
        <v>42452</v>
      </c>
      <c r="Z76" s="1609">
        <f t="shared" si="17"/>
        <v>10267821</v>
      </c>
      <c r="AA76" s="288">
        <v>1</v>
      </c>
      <c r="AB76" s="30">
        <f t="shared" si="16"/>
        <v>-10267821</v>
      </c>
      <c r="AC76" s="106"/>
      <c r="AD76" s="53"/>
      <c r="AL76" s="103"/>
      <c r="AM76" s="103"/>
      <c r="AN76" s="103"/>
      <c r="AO76" s="103"/>
      <c r="AP76" s="103"/>
      <c r="AQ76" s="103"/>
      <c r="AR76" s="103"/>
      <c r="AS76" s="430"/>
      <c r="AT76" s="100"/>
      <c r="AU76" s="461"/>
    </row>
    <row r="77" spans="1:47" s="54" customFormat="1" ht="31.5">
      <c r="A77" s="81"/>
      <c r="B77" s="50"/>
      <c r="C77" s="50"/>
      <c r="D77" s="83"/>
      <c r="E77" s="103"/>
      <c r="F77" s="51"/>
      <c r="G77" s="51"/>
      <c r="H77" s="381"/>
      <c r="I77" s="73"/>
      <c r="J77" s="51"/>
      <c r="K77" s="800" t="s">
        <v>1074</v>
      </c>
      <c r="L77" s="71" t="s">
        <v>801</v>
      </c>
      <c r="M77" s="799" t="s">
        <v>1076</v>
      </c>
      <c r="N77" s="51"/>
      <c r="O77" s="684">
        <v>4397624</v>
      </c>
      <c r="P77" s="51">
        <f t="shared" si="13"/>
        <v>4397624</v>
      </c>
      <c r="Q77" s="103"/>
      <c r="R77" s="103"/>
      <c r="S77" s="103"/>
      <c r="T77" s="103"/>
      <c r="U77" s="103"/>
      <c r="V77" s="103">
        <f t="shared" si="14"/>
        <v>4397624</v>
      </c>
      <c r="W77" s="1607" t="s">
        <v>1077</v>
      </c>
      <c r="X77" s="1608">
        <v>42444</v>
      </c>
      <c r="Y77" s="1610">
        <v>42464</v>
      </c>
      <c r="Z77" s="1609">
        <f t="shared" si="17"/>
        <v>4397624</v>
      </c>
      <c r="AA77" s="288">
        <v>1</v>
      </c>
      <c r="AB77" s="30">
        <f t="shared" si="16"/>
        <v>-4397624</v>
      </c>
      <c r="AC77" s="106"/>
      <c r="AD77" s="53"/>
      <c r="AL77" s="103"/>
      <c r="AM77" s="103"/>
      <c r="AN77" s="103"/>
      <c r="AO77" s="103"/>
      <c r="AP77" s="103"/>
      <c r="AQ77" s="103"/>
      <c r="AR77" s="103"/>
      <c r="AS77" s="430"/>
      <c r="AT77" s="100"/>
      <c r="AU77" s="461"/>
    </row>
    <row r="78" spans="1:47" s="54" customFormat="1" ht="31.5">
      <c r="A78" s="81"/>
      <c r="B78" s="153"/>
      <c r="C78" s="50"/>
      <c r="D78" s="50"/>
      <c r="E78" s="103"/>
      <c r="F78" s="51"/>
      <c r="G78" s="51"/>
      <c r="H78" s="103"/>
      <c r="I78" s="103"/>
      <c r="J78" s="51"/>
      <c r="K78" s="438" t="s">
        <v>803</v>
      </c>
      <c r="L78" s="437" t="s">
        <v>801</v>
      </c>
      <c r="M78" s="440" t="s">
        <v>795</v>
      </c>
      <c r="N78" s="51"/>
      <c r="O78" s="429">
        <v>8783436</v>
      </c>
      <c r="P78" s="51">
        <f t="shared" si="13"/>
        <v>8783436</v>
      </c>
      <c r="Q78" s="103"/>
      <c r="R78" s="103"/>
      <c r="S78" s="103"/>
      <c r="T78" s="103"/>
      <c r="U78" s="103"/>
      <c r="V78" s="103">
        <f t="shared" ref="V78:V90" si="18">P78</f>
        <v>8783436</v>
      </c>
      <c r="W78" s="1607" t="s">
        <v>828</v>
      </c>
      <c r="X78" s="1608">
        <v>42451</v>
      </c>
      <c r="Y78" s="1611">
        <v>42459</v>
      </c>
      <c r="Z78" s="1612">
        <f t="shared" ref="Z78:Z91" si="19">V78</f>
        <v>8783436</v>
      </c>
      <c r="AA78" s="288">
        <v>1</v>
      </c>
      <c r="AB78" s="30">
        <f t="shared" si="16"/>
        <v>-8783436</v>
      </c>
      <c r="AC78" s="106"/>
      <c r="AD78" s="53"/>
      <c r="AL78" s="103"/>
      <c r="AM78" s="103"/>
      <c r="AN78" s="103"/>
      <c r="AO78" s="103"/>
      <c r="AP78" s="103"/>
      <c r="AQ78" s="103"/>
      <c r="AR78" s="103"/>
      <c r="AS78" s="430"/>
      <c r="AT78" s="100"/>
      <c r="AU78" s="461"/>
    </row>
    <row r="79" spans="1:47" s="54" customFormat="1" ht="31.5">
      <c r="A79" s="81"/>
      <c r="B79" s="564"/>
      <c r="C79" s="50"/>
      <c r="D79" s="50"/>
      <c r="E79" s="103"/>
      <c r="F79" s="51"/>
      <c r="G79" s="51"/>
      <c r="H79" s="103"/>
      <c r="I79" s="103"/>
      <c r="J79" s="51"/>
      <c r="K79" s="438" t="s">
        <v>804</v>
      </c>
      <c r="L79" s="437" t="s">
        <v>801</v>
      </c>
      <c r="M79" s="440" t="s">
        <v>795</v>
      </c>
      <c r="N79" s="51"/>
      <c r="O79" s="429">
        <v>4423065</v>
      </c>
      <c r="P79" s="51">
        <f t="shared" si="13"/>
        <v>4423065</v>
      </c>
      <c r="Q79" s="103"/>
      <c r="R79" s="103"/>
      <c r="S79" s="103"/>
      <c r="T79" s="103"/>
      <c r="U79" s="103"/>
      <c r="V79" s="103">
        <f t="shared" si="18"/>
        <v>4423065</v>
      </c>
      <c r="W79" s="1607" t="s">
        <v>828</v>
      </c>
      <c r="X79" s="1608">
        <v>42451</v>
      </c>
      <c r="Y79" s="1611">
        <v>42459</v>
      </c>
      <c r="Z79" s="1612">
        <f t="shared" si="19"/>
        <v>4423065</v>
      </c>
      <c r="AA79" s="288">
        <v>1</v>
      </c>
      <c r="AB79" s="30">
        <f t="shared" si="16"/>
        <v>-4423065</v>
      </c>
      <c r="AC79" s="106"/>
      <c r="AD79" s="53"/>
      <c r="AL79" s="103"/>
      <c r="AM79" s="103"/>
      <c r="AN79" s="103"/>
      <c r="AO79" s="103"/>
      <c r="AP79" s="103"/>
      <c r="AQ79" s="103"/>
      <c r="AR79" s="103"/>
      <c r="AS79" s="430"/>
      <c r="AT79" s="100"/>
      <c r="AU79" s="461"/>
    </row>
    <row r="80" spans="1:47" s="54" customFormat="1" ht="31.5">
      <c r="A80" s="81"/>
      <c r="B80" s="50"/>
      <c r="C80" s="50"/>
      <c r="D80" s="50"/>
      <c r="E80" s="103"/>
      <c r="F80" s="51"/>
      <c r="G80" s="51"/>
      <c r="H80" s="147"/>
      <c r="I80" s="73"/>
      <c r="J80" s="51"/>
      <c r="K80" s="439" t="s">
        <v>805</v>
      </c>
      <c r="L80" s="437" t="s">
        <v>801</v>
      </c>
      <c r="M80" s="441" t="s">
        <v>796</v>
      </c>
      <c r="N80" s="51"/>
      <c r="O80" s="429">
        <v>5585184</v>
      </c>
      <c r="P80" s="51">
        <f t="shared" si="13"/>
        <v>5585184</v>
      </c>
      <c r="Q80" s="103"/>
      <c r="R80" s="103"/>
      <c r="S80" s="103"/>
      <c r="T80" s="103"/>
      <c r="U80" s="103"/>
      <c r="V80" s="103">
        <f t="shared" si="18"/>
        <v>5585184</v>
      </c>
      <c r="W80" s="1607" t="s">
        <v>828</v>
      </c>
      <c r="X80" s="1608">
        <v>42451</v>
      </c>
      <c r="Y80" s="1611">
        <v>42459</v>
      </c>
      <c r="Z80" s="1612">
        <f t="shared" si="19"/>
        <v>5585184</v>
      </c>
      <c r="AA80" s="288">
        <v>1</v>
      </c>
      <c r="AB80" s="30">
        <f t="shared" si="16"/>
        <v>-5585184</v>
      </c>
      <c r="AC80" s="106"/>
      <c r="AD80" s="53"/>
      <c r="AL80" s="103"/>
      <c r="AM80" s="103"/>
      <c r="AN80" s="103"/>
      <c r="AO80" s="103"/>
      <c r="AP80" s="103"/>
      <c r="AQ80" s="103"/>
      <c r="AR80" s="103"/>
      <c r="AS80" s="430"/>
      <c r="AT80" s="100"/>
      <c r="AU80" s="461"/>
    </row>
    <row r="81" spans="1:47" s="54" customFormat="1" ht="31.5">
      <c r="A81" s="81"/>
      <c r="B81" s="50"/>
      <c r="C81" s="50"/>
      <c r="D81" s="50"/>
      <c r="E81" s="103"/>
      <c r="F81" s="51"/>
      <c r="G81" s="51"/>
      <c r="H81" s="147"/>
      <c r="I81" s="73"/>
      <c r="J81" s="51"/>
      <c r="K81" s="439" t="s">
        <v>806</v>
      </c>
      <c r="L81" s="437" t="s">
        <v>801</v>
      </c>
      <c r="M81" s="441" t="s">
        <v>797</v>
      </c>
      <c r="N81" s="51"/>
      <c r="O81" s="429">
        <v>4259838</v>
      </c>
      <c r="P81" s="51">
        <f t="shared" si="13"/>
        <v>4259838</v>
      </c>
      <c r="Q81" s="103"/>
      <c r="R81" s="103"/>
      <c r="S81" s="103"/>
      <c r="T81" s="103"/>
      <c r="U81" s="103"/>
      <c r="V81" s="103">
        <f t="shared" si="18"/>
        <v>4259838</v>
      </c>
      <c r="W81" s="1607" t="s">
        <v>828</v>
      </c>
      <c r="X81" s="1608">
        <v>42451</v>
      </c>
      <c r="Y81" s="1611">
        <v>42459</v>
      </c>
      <c r="Z81" s="1612">
        <f t="shared" si="19"/>
        <v>4259838</v>
      </c>
      <c r="AA81" s="288">
        <v>1</v>
      </c>
      <c r="AB81" s="30">
        <f t="shared" si="16"/>
        <v>-4259838</v>
      </c>
      <c r="AC81" s="106"/>
      <c r="AD81" s="53"/>
      <c r="AL81" s="103"/>
      <c r="AM81" s="103"/>
      <c r="AN81" s="103"/>
      <c r="AO81" s="103"/>
      <c r="AP81" s="103"/>
      <c r="AQ81" s="103"/>
      <c r="AR81" s="103"/>
      <c r="AS81" s="430"/>
      <c r="AT81" s="100"/>
      <c r="AU81" s="461"/>
    </row>
    <row r="82" spans="1:47" s="54" customFormat="1" ht="31.5">
      <c r="A82" s="81"/>
      <c r="B82" s="50"/>
      <c r="C82" s="50"/>
      <c r="D82" s="50"/>
      <c r="E82" s="103"/>
      <c r="F82" s="51"/>
      <c r="G82" s="51"/>
      <c r="H82" s="103"/>
      <c r="I82" s="103"/>
      <c r="J82" s="51"/>
      <c r="K82" s="439" t="s">
        <v>807</v>
      </c>
      <c r="L82" s="435" t="s">
        <v>802</v>
      </c>
      <c r="M82" s="441" t="s">
        <v>798</v>
      </c>
      <c r="N82" s="51"/>
      <c r="O82" s="429">
        <v>13037200</v>
      </c>
      <c r="P82" s="51">
        <f t="shared" ref="P82:P91" si="20">N82+O82</f>
        <v>13037200</v>
      </c>
      <c r="Q82" s="103"/>
      <c r="R82" s="103"/>
      <c r="S82" s="103"/>
      <c r="T82" s="103"/>
      <c r="U82" s="103"/>
      <c r="V82" s="103">
        <f t="shared" si="18"/>
        <v>13037200</v>
      </c>
      <c r="W82" s="1607" t="s">
        <v>828</v>
      </c>
      <c r="X82" s="1608">
        <v>42451</v>
      </c>
      <c r="Y82" s="1611">
        <v>42459</v>
      </c>
      <c r="Z82" s="1612">
        <f t="shared" si="19"/>
        <v>13037200</v>
      </c>
      <c r="AA82" s="288">
        <v>1</v>
      </c>
      <c r="AB82" s="30">
        <f t="shared" si="16"/>
        <v>-13037200</v>
      </c>
      <c r="AC82" s="106"/>
      <c r="AD82" s="53"/>
      <c r="AL82" s="103"/>
      <c r="AM82" s="103"/>
      <c r="AN82" s="103"/>
      <c r="AO82" s="103"/>
      <c r="AP82" s="103"/>
      <c r="AQ82" s="103"/>
      <c r="AR82" s="103"/>
      <c r="AS82" s="430"/>
      <c r="AT82" s="100"/>
      <c r="AU82" s="461"/>
    </row>
    <row r="83" spans="1:47" s="54" customFormat="1" ht="31.5">
      <c r="A83" s="81"/>
      <c r="B83" s="50"/>
      <c r="C83" s="50"/>
      <c r="D83" s="83"/>
      <c r="E83" s="103"/>
      <c r="F83" s="51"/>
      <c r="G83" s="51"/>
      <c r="H83" s="103"/>
      <c r="I83" s="103"/>
      <c r="J83" s="51"/>
      <c r="K83" s="439" t="s">
        <v>808</v>
      </c>
      <c r="L83" s="435" t="s">
        <v>802</v>
      </c>
      <c r="M83" s="441" t="s">
        <v>799</v>
      </c>
      <c r="N83" s="51"/>
      <c r="O83" s="429">
        <v>21673300</v>
      </c>
      <c r="P83" s="51">
        <f t="shared" si="20"/>
        <v>21673300</v>
      </c>
      <c r="Q83" s="103"/>
      <c r="R83" s="103"/>
      <c r="S83" s="103"/>
      <c r="T83" s="103"/>
      <c r="U83" s="103"/>
      <c r="V83" s="103">
        <f t="shared" si="18"/>
        <v>21673300</v>
      </c>
      <c r="W83" s="1607" t="s">
        <v>828</v>
      </c>
      <c r="X83" s="1608">
        <v>42451</v>
      </c>
      <c r="Y83" s="1611">
        <v>42459</v>
      </c>
      <c r="Z83" s="1612">
        <f t="shared" si="19"/>
        <v>21673300</v>
      </c>
      <c r="AA83" s="288">
        <v>1</v>
      </c>
      <c r="AB83" s="30">
        <f t="shared" si="16"/>
        <v>-21673300</v>
      </c>
      <c r="AC83" s="106"/>
      <c r="AD83" s="53"/>
      <c r="AL83" s="103"/>
      <c r="AM83" s="103"/>
      <c r="AN83" s="103"/>
      <c r="AO83" s="103"/>
      <c r="AP83" s="103"/>
      <c r="AQ83" s="103"/>
      <c r="AR83" s="103"/>
      <c r="AS83" s="430"/>
      <c r="AT83" s="100"/>
      <c r="AU83" s="461"/>
    </row>
    <row r="84" spans="1:47" s="54" customFormat="1" ht="31.5">
      <c r="A84" s="81"/>
      <c r="B84" s="50"/>
      <c r="C84" s="50"/>
      <c r="D84" s="83"/>
      <c r="E84" s="103"/>
      <c r="F84" s="51"/>
      <c r="G84" s="51"/>
      <c r="H84" s="103"/>
      <c r="I84" s="103"/>
      <c r="J84" s="103"/>
      <c r="K84" s="439" t="s">
        <v>809</v>
      </c>
      <c r="L84" s="435" t="s">
        <v>802</v>
      </c>
      <c r="M84" s="441" t="s">
        <v>800</v>
      </c>
      <c r="N84" s="103"/>
      <c r="O84" s="429">
        <v>16310800</v>
      </c>
      <c r="P84" s="51">
        <f t="shared" si="20"/>
        <v>16310800</v>
      </c>
      <c r="Q84" s="103"/>
      <c r="R84" s="103"/>
      <c r="S84" s="103"/>
      <c r="T84" s="103"/>
      <c r="U84" s="103"/>
      <c r="V84" s="103">
        <f t="shared" si="18"/>
        <v>16310800</v>
      </c>
      <c r="W84" s="1607" t="s">
        <v>828</v>
      </c>
      <c r="X84" s="1608">
        <v>42451</v>
      </c>
      <c r="Y84" s="1611">
        <v>42459</v>
      </c>
      <c r="Z84" s="1612">
        <f t="shared" si="19"/>
        <v>16310800</v>
      </c>
      <c r="AA84" s="288">
        <v>1</v>
      </c>
      <c r="AB84" s="30">
        <f t="shared" si="16"/>
        <v>-16310800</v>
      </c>
      <c r="AC84" s="106"/>
      <c r="AD84" s="53"/>
      <c r="AL84" s="103"/>
      <c r="AM84" s="103"/>
      <c r="AN84" s="103"/>
      <c r="AO84" s="103"/>
      <c r="AP84" s="103"/>
      <c r="AQ84" s="103"/>
      <c r="AR84" s="103"/>
      <c r="AS84" s="430"/>
      <c r="AT84" s="100"/>
      <c r="AU84" s="461"/>
    </row>
    <row r="85" spans="1:47" s="54" customFormat="1" ht="31.5">
      <c r="A85" s="81"/>
      <c r="B85" s="50"/>
      <c r="C85" s="50"/>
      <c r="D85" s="83"/>
      <c r="E85" s="103"/>
      <c r="F85" s="51"/>
      <c r="G85" s="51"/>
      <c r="H85" s="103"/>
      <c r="I85" s="103"/>
      <c r="J85" s="430"/>
      <c r="K85" s="434" t="s">
        <v>813</v>
      </c>
      <c r="L85" s="435" t="s">
        <v>802</v>
      </c>
      <c r="M85" s="442" t="s">
        <v>810</v>
      </c>
      <c r="N85" s="431"/>
      <c r="O85" s="444">
        <v>156259488</v>
      </c>
      <c r="P85" s="51">
        <f t="shared" si="20"/>
        <v>156259488</v>
      </c>
      <c r="Q85" s="103"/>
      <c r="R85" s="103"/>
      <c r="S85" s="103"/>
      <c r="T85" s="103"/>
      <c r="U85" s="103"/>
      <c r="V85" s="103">
        <f t="shared" si="18"/>
        <v>156259488</v>
      </c>
      <c r="W85" s="1607" t="s">
        <v>591</v>
      </c>
      <c r="X85" s="1608">
        <v>42450</v>
      </c>
      <c r="Y85" s="1611">
        <v>42460</v>
      </c>
      <c r="Z85" s="1612">
        <f t="shared" si="19"/>
        <v>156259488</v>
      </c>
      <c r="AA85" s="288">
        <v>1</v>
      </c>
      <c r="AB85" s="30">
        <f t="shared" si="16"/>
        <v>-156259488</v>
      </c>
      <c r="AC85" s="106"/>
      <c r="AD85" s="53"/>
      <c r="AL85" s="103"/>
      <c r="AM85" s="103"/>
      <c r="AN85" s="103"/>
      <c r="AO85" s="103"/>
      <c r="AP85" s="103"/>
      <c r="AQ85" s="103"/>
      <c r="AR85" s="103"/>
      <c r="AS85" s="430"/>
      <c r="AT85" s="100"/>
      <c r="AU85" s="461"/>
    </row>
    <row r="86" spans="1:47" s="54" customFormat="1" ht="31.5">
      <c r="A86" s="81"/>
      <c r="B86" s="50"/>
      <c r="C86" s="50"/>
      <c r="D86" s="83"/>
      <c r="E86" s="103"/>
      <c r="F86" s="51"/>
      <c r="G86" s="51"/>
      <c r="H86" s="103"/>
      <c r="I86" s="103"/>
      <c r="J86" s="430"/>
      <c r="K86" s="434" t="s">
        <v>814</v>
      </c>
      <c r="L86" s="435" t="s">
        <v>802</v>
      </c>
      <c r="M86" s="442" t="s">
        <v>811</v>
      </c>
      <c r="N86" s="431"/>
      <c r="O86" s="444">
        <v>103649238</v>
      </c>
      <c r="P86" s="51">
        <f t="shared" si="20"/>
        <v>103649238</v>
      </c>
      <c r="Q86" s="103"/>
      <c r="R86" s="103"/>
      <c r="S86" s="103"/>
      <c r="T86" s="103"/>
      <c r="U86" s="103"/>
      <c r="V86" s="103">
        <f t="shared" si="18"/>
        <v>103649238</v>
      </c>
      <c r="W86" s="1607" t="s">
        <v>591</v>
      </c>
      <c r="X86" s="1608">
        <v>42450</v>
      </c>
      <c r="Y86" s="1611">
        <v>42460</v>
      </c>
      <c r="Z86" s="1612">
        <f t="shared" si="19"/>
        <v>103649238</v>
      </c>
      <c r="AA86" s="288">
        <v>1</v>
      </c>
      <c r="AB86" s="30">
        <f t="shared" si="16"/>
        <v>-103649238</v>
      </c>
      <c r="AC86" s="106"/>
      <c r="AD86" s="53"/>
      <c r="AL86" s="103"/>
      <c r="AM86" s="103"/>
      <c r="AN86" s="103"/>
      <c r="AO86" s="103"/>
      <c r="AP86" s="103"/>
      <c r="AQ86" s="103"/>
      <c r="AR86" s="103"/>
      <c r="AS86" s="430"/>
      <c r="AT86" s="100"/>
      <c r="AU86" s="461"/>
    </row>
    <row r="87" spans="1:47" s="54" customFormat="1" ht="31.5">
      <c r="A87" s="81"/>
      <c r="B87" s="50"/>
      <c r="C87" s="50"/>
      <c r="D87" s="83"/>
      <c r="E87" s="103"/>
      <c r="F87" s="51"/>
      <c r="G87" s="51"/>
      <c r="H87" s="103"/>
      <c r="I87" s="103"/>
      <c r="J87" s="430"/>
      <c r="K87" s="436" t="s">
        <v>815</v>
      </c>
      <c r="L87" s="437" t="s">
        <v>802</v>
      </c>
      <c r="M87" s="443" t="s">
        <v>812</v>
      </c>
      <c r="N87" s="431"/>
      <c r="O87" s="444">
        <v>27162300</v>
      </c>
      <c r="P87" s="51">
        <f t="shared" si="20"/>
        <v>27162300</v>
      </c>
      <c r="Q87" s="103"/>
      <c r="R87" s="103"/>
      <c r="S87" s="103"/>
      <c r="T87" s="103"/>
      <c r="U87" s="103"/>
      <c r="V87" s="103">
        <f t="shared" si="18"/>
        <v>27162300</v>
      </c>
      <c r="W87" s="1607" t="s">
        <v>591</v>
      </c>
      <c r="X87" s="1608">
        <v>42450</v>
      </c>
      <c r="Y87" s="1611">
        <v>42460</v>
      </c>
      <c r="Z87" s="1612">
        <f t="shared" si="19"/>
        <v>27162300</v>
      </c>
      <c r="AA87" s="288">
        <v>1</v>
      </c>
      <c r="AB87" s="30">
        <f t="shared" si="16"/>
        <v>-27162300</v>
      </c>
      <c r="AC87" s="106"/>
      <c r="AD87" s="53"/>
      <c r="AL87" s="103"/>
      <c r="AM87" s="103"/>
      <c r="AN87" s="103"/>
      <c r="AO87" s="103"/>
      <c r="AP87" s="103"/>
      <c r="AQ87" s="103"/>
      <c r="AR87" s="103"/>
      <c r="AS87" s="430"/>
      <c r="AT87" s="100"/>
      <c r="AU87" s="461"/>
    </row>
    <row r="88" spans="1:47" s="54" customFormat="1" ht="31.5">
      <c r="A88" s="81"/>
      <c r="B88" s="50"/>
      <c r="C88" s="50"/>
      <c r="D88" s="83"/>
      <c r="E88" s="103"/>
      <c r="F88" s="51"/>
      <c r="G88" s="51"/>
      <c r="H88" s="103"/>
      <c r="I88" s="103"/>
      <c r="J88" s="430"/>
      <c r="K88" s="443" t="s">
        <v>819</v>
      </c>
      <c r="L88" s="437" t="s">
        <v>802</v>
      </c>
      <c r="M88" s="448" t="s">
        <v>816</v>
      </c>
      <c r="N88" s="449"/>
      <c r="O88" s="447">
        <v>10855900</v>
      </c>
      <c r="P88" s="51">
        <f t="shared" si="20"/>
        <v>10855900</v>
      </c>
      <c r="Q88" s="103"/>
      <c r="R88" s="103"/>
      <c r="S88" s="103"/>
      <c r="T88" s="103"/>
      <c r="U88" s="103"/>
      <c r="V88" s="103">
        <f t="shared" si="18"/>
        <v>10855900</v>
      </c>
      <c r="W88" s="1607" t="s">
        <v>826</v>
      </c>
      <c r="X88" s="1608">
        <v>42459</v>
      </c>
      <c r="Y88" s="1608">
        <v>42466</v>
      </c>
      <c r="Z88" s="1612">
        <f t="shared" si="19"/>
        <v>10855900</v>
      </c>
      <c r="AA88" s="288">
        <v>1</v>
      </c>
      <c r="AB88" s="30">
        <f t="shared" si="16"/>
        <v>-10855900</v>
      </c>
      <c r="AC88" s="106"/>
      <c r="AD88" s="53"/>
      <c r="AL88" s="103"/>
      <c r="AM88" s="103"/>
      <c r="AN88" s="103"/>
      <c r="AO88" s="103"/>
      <c r="AP88" s="103"/>
      <c r="AQ88" s="103"/>
      <c r="AR88" s="103"/>
      <c r="AS88" s="430"/>
      <c r="AT88" s="100"/>
      <c r="AU88" s="461"/>
    </row>
    <row r="89" spans="1:47" s="54" customFormat="1" ht="31.5">
      <c r="A89" s="81"/>
      <c r="B89" s="50"/>
      <c r="C89" s="50"/>
      <c r="D89" s="83"/>
      <c r="E89" s="103"/>
      <c r="F89" s="51"/>
      <c r="G89" s="51"/>
      <c r="H89" s="103"/>
      <c r="I89" s="103"/>
      <c r="J89" s="430"/>
      <c r="K89" s="443" t="s">
        <v>820</v>
      </c>
      <c r="L89" s="437" t="s">
        <v>802</v>
      </c>
      <c r="M89" s="448" t="s">
        <v>817</v>
      </c>
      <c r="N89" s="449"/>
      <c r="O89" s="447">
        <v>16309700</v>
      </c>
      <c r="P89" s="51">
        <f t="shared" si="20"/>
        <v>16309700</v>
      </c>
      <c r="Q89" s="103"/>
      <c r="R89" s="103"/>
      <c r="S89" s="103"/>
      <c r="T89" s="103"/>
      <c r="U89" s="103"/>
      <c r="V89" s="103">
        <f t="shared" si="18"/>
        <v>16309700</v>
      </c>
      <c r="W89" s="1607" t="s">
        <v>826</v>
      </c>
      <c r="X89" s="1608">
        <v>42459</v>
      </c>
      <c r="Y89" s="1608">
        <v>42466</v>
      </c>
      <c r="Z89" s="1612">
        <f t="shared" si="19"/>
        <v>16309700</v>
      </c>
      <c r="AA89" s="288">
        <v>1</v>
      </c>
      <c r="AB89" s="30">
        <f t="shared" si="16"/>
        <v>-16309700</v>
      </c>
      <c r="AC89" s="106"/>
      <c r="AD89" s="53"/>
      <c r="AL89" s="103"/>
      <c r="AM89" s="103"/>
      <c r="AN89" s="103"/>
      <c r="AO89" s="103"/>
      <c r="AP89" s="103"/>
      <c r="AQ89" s="103"/>
      <c r="AR89" s="103"/>
      <c r="AS89" s="430"/>
      <c r="AT89" s="100"/>
      <c r="AU89" s="461"/>
    </row>
    <row r="90" spans="1:47" s="54" customFormat="1" ht="31.5">
      <c r="A90" s="81"/>
      <c r="B90" s="50"/>
      <c r="C90" s="50"/>
      <c r="D90" s="83"/>
      <c r="E90" s="103"/>
      <c r="F90" s="51"/>
      <c r="G90" s="51"/>
      <c r="H90" s="103"/>
      <c r="I90" s="103"/>
      <c r="J90" s="430"/>
      <c r="K90" s="443" t="s">
        <v>821</v>
      </c>
      <c r="L90" s="437" t="s">
        <v>802</v>
      </c>
      <c r="M90" s="448" t="s">
        <v>818</v>
      </c>
      <c r="N90" s="449"/>
      <c r="O90" s="447">
        <v>10864700</v>
      </c>
      <c r="P90" s="51">
        <f t="shared" si="20"/>
        <v>10864700</v>
      </c>
      <c r="Q90" s="103"/>
      <c r="R90" s="103"/>
      <c r="S90" s="103"/>
      <c r="T90" s="103"/>
      <c r="U90" s="103"/>
      <c r="V90" s="103">
        <f t="shared" si="18"/>
        <v>10864700</v>
      </c>
      <c r="W90" s="1607" t="s">
        <v>826</v>
      </c>
      <c r="X90" s="1608">
        <v>42459</v>
      </c>
      <c r="Y90" s="1608">
        <v>42466</v>
      </c>
      <c r="Z90" s="1612">
        <f t="shared" si="19"/>
        <v>10864700</v>
      </c>
      <c r="AA90" s="288">
        <v>1</v>
      </c>
      <c r="AB90" s="30">
        <f t="shared" si="16"/>
        <v>-10864700</v>
      </c>
      <c r="AC90" s="106"/>
      <c r="AD90" s="53"/>
      <c r="AL90" s="103"/>
      <c r="AM90" s="103"/>
      <c r="AN90" s="103"/>
      <c r="AO90" s="103"/>
      <c r="AP90" s="103"/>
      <c r="AQ90" s="103"/>
      <c r="AR90" s="103"/>
      <c r="AS90" s="430"/>
      <c r="AT90" s="100"/>
      <c r="AU90" s="461"/>
    </row>
    <row r="91" spans="1:47" s="54" customFormat="1" ht="31.5">
      <c r="A91" s="81"/>
      <c r="B91" s="50"/>
      <c r="C91" s="50"/>
      <c r="D91" s="83"/>
      <c r="E91" s="103"/>
      <c r="F91" s="51"/>
      <c r="G91" s="51"/>
      <c r="H91" s="103"/>
      <c r="I91" s="103"/>
      <c r="J91" s="430"/>
      <c r="K91" s="443" t="s">
        <v>822</v>
      </c>
      <c r="L91" s="437" t="s">
        <v>802</v>
      </c>
      <c r="M91" s="448" t="s">
        <v>818</v>
      </c>
      <c r="N91" s="103"/>
      <c r="O91" s="447">
        <v>21678800</v>
      </c>
      <c r="P91" s="51">
        <f t="shared" si="20"/>
        <v>21678800</v>
      </c>
      <c r="Q91" s="103"/>
      <c r="R91" s="103"/>
      <c r="S91" s="103"/>
      <c r="T91" s="103"/>
      <c r="U91" s="103"/>
      <c r="V91" s="103">
        <f t="shared" ref="V91:V98" si="21">P91</f>
        <v>21678800</v>
      </c>
      <c r="W91" s="1607" t="s">
        <v>826</v>
      </c>
      <c r="X91" s="1608">
        <v>42459</v>
      </c>
      <c r="Y91" s="1608">
        <v>42466</v>
      </c>
      <c r="Z91" s="1612">
        <f t="shared" si="19"/>
        <v>21678800</v>
      </c>
      <c r="AA91" s="288">
        <v>1</v>
      </c>
      <c r="AB91" s="30">
        <f t="shared" si="16"/>
        <v>-21678800</v>
      </c>
      <c r="AC91" s="106"/>
      <c r="AD91" s="53"/>
      <c r="AL91" s="103"/>
      <c r="AM91" s="103"/>
      <c r="AN91" s="103"/>
      <c r="AO91" s="103"/>
      <c r="AP91" s="103"/>
      <c r="AQ91" s="103"/>
      <c r="AR91" s="103"/>
      <c r="AS91" s="430"/>
      <c r="AT91" s="100"/>
      <c r="AU91" s="461"/>
    </row>
    <row r="92" spans="1:47" s="54" customFormat="1" ht="31.5">
      <c r="A92" s="81"/>
      <c r="B92" s="50"/>
      <c r="C92" s="50"/>
      <c r="D92" s="83"/>
      <c r="E92" s="103"/>
      <c r="F92" s="51"/>
      <c r="G92" s="51"/>
      <c r="H92" s="103"/>
      <c r="I92" s="103"/>
      <c r="J92" s="430"/>
      <c r="K92" s="443" t="s">
        <v>841</v>
      </c>
      <c r="L92" s="437" t="s">
        <v>839</v>
      </c>
      <c r="M92" s="463" t="s">
        <v>836</v>
      </c>
      <c r="N92" s="431"/>
      <c r="O92" s="447">
        <v>21729400</v>
      </c>
      <c r="P92" s="51">
        <f t="shared" ref="P92:P98" si="22">N92+O92</f>
        <v>21729400</v>
      </c>
      <c r="Q92" s="103"/>
      <c r="R92" s="103"/>
      <c r="S92" s="103"/>
      <c r="T92" s="103"/>
      <c r="U92" s="103"/>
      <c r="V92" s="103">
        <f t="shared" si="21"/>
        <v>21729400</v>
      </c>
      <c r="W92" s="1607" t="s">
        <v>844</v>
      </c>
      <c r="X92" s="1608">
        <v>42461</v>
      </c>
      <c r="Y92" s="1608">
        <v>42468</v>
      </c>
      <c r="Z92" s="1609">
        <f t="shared" ref="Z92:Z98" si="23">V92</f>
        <v>21729400</v>
      </c>
      <c r="AA92" s="288">
        <v>1</v>
      </c>
      <c r="AB92" s="30">
        <f t="shared" si="16"/>
        <v>-21729400</v>
      </c>
      <c r="AC92" s="106"/>
      <c r="AD92" s="53"/>
      <c r="AL92" s="103"/>
      <c r="AM92" s="103"/>
      <c r="AN92" s="103"/>
      <c r="AO92" s="103"/>
      <c r="AP92" s="103"/>
      <c r="AQ92" s="103"/>
      <c r="AR92" s="103"/>
      <c r="AS92" s="430"/>
      <c r="AT92" s="100"/>
      <c r="AU92" s="461"/>
    </row>
    <row r="93" spans="1:47" s="54" customFormat="1" ht="31.5">
      <c r="A93" s="81"/>
      <c r="B93" s="50"/>
      <c r="C93" s="50"/>
      <c r="D93" s="83"/>
      <c r="E93" s="103"/>
      <c r="F93" s="51"/>
      <c r="G93" s="51"/>
      <c r="H93" s="103"/>
      <c r="I93" s="103"/>
      <c r="J93" s="430"/>
      <c r="K93" s="443" t="s">
        <v>842</v>
      </c>
      <c r="L93" s="437" t="s">
        <v>839</v>
      </c>
      <c r="M93" s="463" t="s">
        <v>837</v>
      </c>
      <c r="N93" s="431"/>
      <c r="O93" s="447">
        <v>30397400</v>
      </c>
      <c r="P93" s="51">
        <f t="shared" si="22"/>
        <v>30397400</v>
      </c>
      <c r="Q93" s="103"/>
      <c r="R93" s="103"/>
      <c r="S93" s="103"/>
      <c r="T93" s="103"/>
      <c r="U93" s="103"/>
      <c r="V93" s="103">
        <f t="shared" si="21"/>
        <v>30397400</v>
      </c>
      <c r="W93" s="1607" t="s">
        <v>844</v>
      </c>
      <c r="X93" s="1608">
        <v>42461</v>
      </c>
      <c r="Y93" s="1608">
        <v>42468</v>
      </c>
      <c r="Z93" s="1609">
        <f t="shared" si="23"/>
        <v>30397400</v>
      </c>
      <c r="AA93" s="288">
        <v>1</v>
      </c>
      <c r="AB93" s="30">
        <f t="shared" si="16"/>
        <v>-30397400</v>
      </c>
      <c r="AC93" s="106"/>
      <c r="AD93" s="53"/>
      <c r="AL93" s="103"/>
      <c r="AM93" s="103"/>
      <c r="AN93" s="103"/>
      <c r="AO93" s="103"/>
      <c r="AP93" s="103"/>
      <c r="AQ93" s="103"/>
      <c r="AR93" s="103"/>
      <c r="AS93" s="430"/>
      <c r="AT93" s="100"/>
      <c r="AU93" s="461"/>
    </row>
    <row r="94" spans="1:47" s="54" customFormat="1" ht="31.5">
      <c r="A94" s="81"/>
      <c r="B94" s="50"/>
      <c r="C94" s="50"/>
      <c r="D94" s="83"/>
      <c r="E94" s="103"/>
      <c r="F94" s="51"/>
      <c r="G94" s="51"/>
      <c r="H94" s="103"/>
      <c r="I94" s="103"/>
      <c r="J94" s="430"/>
      <c r="K94" s="443" t="s">
        <v>843</v>
      </c>
      <c r="L94" s="437" t="s">
        <v>840</v>
      </c>
      <c r="M94" s="463" t="s">
        <v>838</v>
      </c>
      <c r="N94" s="431"/>
      <c r="O94" s="447">
        <v>37039860</v>
      </c>
      <c r="P94" s="51">
        <f t="shared" si="22"/>
        <v>37039860</v>
      </c>
      <c r="Q94" s="103"/>
      <c r="R94" s="103"/>
      <c r="S94" s="103"/>
      <c r="T94" s="103"/>
      <c r="U94" s="103"/>
      <c r="V94" s="103">
        <f t="shared" si="21"/>
        <v>37039860</v>
      </c>
      <c r="W94" s="1607" t="s">
        <v>844</v>
      </c>
      <c r="X94" s="1608">
        <v>42461</v>
      </c>
      <c r="Y94" s="1608">
        <v>42468</v>
      </c>
      <c r="Z94" s="1609">
        <f t="shared" si="23"/>
        <v>37039860</v>
      </c>
      <c r="AA94" s="288">
        <v>1</v>
      </c>
      <c r="AB94" s="30">
        <f t="shared" si="16"/>
        <v>-37039860</v>
      </c>
      <c r="AC94" s="106"/>
      <c r="AD94" s="53"/>
      <c r="AL94" s="103"/>
      <c r="AM94" s="103"/>
      <c r="AN94" s="103"/>
      <c r="AO94" s="103"/>
      <c r="AP94" s="103"/>
      <c r="AQ94" s="103"/>
      <c r="AR94" s="103"/>
      <c r="AS94" s="430"/>
      <c r="AT94" s="100"/>
      <c r="AU94" s="461"/>
    </row>
    <row r="95" spans="1:47" s="54" customFormat="1" ht="31.5">
      <c r="A95" s="81"/>
      <c r="B95" s="50"/>
      <c r="C95" s="50"/>
      <c r="D95" s="83"/>
      <c r="E95" s="103"/>
      <c r="F95" s="51"/>
      <c r="G95" s="51"/>
      <c r="H95" s="103"/>
      <c r="I95" s="103"/>
      <c r="J95" s="430"/>
      <c r="K95" s="443" t="s">
        <v>848</v>
      </c>
      <c r="L95" s="437" t="s">
        <v>839</v>
      </c>
      <c r="M95" s="463" t="s">
        <v>837</v>
      </c>
      <c r="N95" s="431"/>
      <c r="O95" s="447">
        <v>21692000</v>
      </c>
      <c r="P95" s="51">
        <f t="shared" si="22"/>
        <v>21692000</v>
      </c>
      <c r="Q95" s="103"/>
      <c r="R95" s="103"/>
      <c r="S95" s="103"/>
      <c r="T95" s="103"/>
      <c r="U95" s="103"/>
      <c r="V95" s="103">
        <f t="shared" si="21"/>
        <v>21692000</v>
      </c>
      <c r="W95" s="1607" t="s">
        <v>850</v>
      </c>
      <c r="X95" s="1608">
        <v>42461</v>
      </c>
      <c r="Y95" s="1608">
        <v>42466</v>
      </c>
      <c r="Z95" s="1609">
        <f t="shared" si="23"/>
        <v>21692000</v>
      </c>
      <c r="AA95" s="288">
        <v>1</v>
      </c>
      <c r="AB95" s="30">
        <f t="shared" si="16"/>
        <v>-21692000</v>
      </c>
      <c r="AC95" s="106"/>
      <c r="AD95" s="53"/>
      <c r="AL95" s="103"/>
      <c r="AM95" s="103"/>
      <c r="AN95" s="103"/>
      <c r="AO95" s="103"/>
      <c r="AP95" s="103"/>
      <c r="AQ95" s="103"/>
      <c r="AR95" s="103"/>
      <c r="AS95" s="430"/>
      <c r="AT95" s="100"/>
      <c r="AU95" s="461"/>
    </row>
    <row r="96" spans="1:47" s="54" customFormat="1" ht="31.5">
      <c r="A96" s="81"/>
      <c r="B96" s="50"/>
      <c r="C96" s="50"/>
      <c r="D96" s="83"/>
      <c r="E96" s="103"/>
      <c r="F96" s="51"/>
      <c r="G96" s="51"/>
      <c r="H96" s="103"/>
      <c r="I96" s="103"/>
      <c r="J96" s="430"/>
      <c r="K96" s="443" t="s">
        <v>849</v>
      </c>
      <c r="L96" s="437" t="s">
        <v>839</v>
      </c>
      <c r="M96" s="463" t="s">
        <v>847</v>
      </c>
      <c r="N96" s="431"/>
      <c r="O96" s="447">
        <v>16284400</v>
      </c>
      <c r="P96" s="51">
        <f t="shared" si="22"/>
        <v>16284400</v>
      </c>
      <c r="Q96" s="103"/>
      <c r="R96" s="103"/>
      <c r="S96" s="103"/>
      <c r="T96" s="103"/>
      <c r="U96" s="103"/>
      <c r="V96" s="103">
        <f t="shared" si="21"/>
        <v>16284400</v>
      </c>
      <c r="W96" s="1607" t="s">
        <v>850</v>
      </c>
      <c r="X96" s="1608">
        <v>42461</v>
      </c>
      <c r="Y96" s="1608">
        <v>42466</v>
      </c>
      <c r="Z96" s="1609">
        <f t="shared" si="23"/>
        <v>16284400</v>
      </c>
      <c r="AA96" s="288">
        <v>1</v>
      </c>
      <c r="AB96" s="30">
        <f t="shared" si="16"/>
        <v>-16284400</v>
      </c>
      <c r="AC96" s="106"/>
      <c r="AD96" s="53"/>
      <c r="AL96" s="103"/>
      <c r="AM96" s="103"/>
      <c r="AN96" s="103"/>
      <c r="AO96" s="103"/>
      <c r="AP96" s="103"/>
      <c r="AQ96" s="103"/>
      <c r="AR96" s="103"/>
      <c r="AS96" s="430"/>
      <c r="AT96" s="100"/>
      <c r="AU96" s="461"/>
    </row>
    <row r="97" spans="1:47" s="54" customFormat="1" ht="31.5">
      <c r="A97" s="81"/>
      <c r="B97" s="50"/>
      <c r="C97" s="50"/>
      <c r="D97" s="83"/>
      <c r="E97" s="103"/>
      <c r="F97" s="51"/>
      <c r="G97" s="51"/>
      <c r="H97" s="103"/>
      <c r="I97" s="103"/>
      <c r="J97" s="430"/>
      <c r="K97" s="443" t="s">
        <v>852</v>
      </c>
      <c r="L97" s="437" t="s">
        <v>840</v>
      </c>
      <c r="M97" s="463" t="s">
        <v>851</v>
      </c>
      <c r="N97" s="431"/>
      <c r="O97" s="447">
        <v>4389447</v>
      </c>
      <c r="P97" s="51">
        <f t="shared" si="22"/>
        <v>4389447</v>
      </c>
      <c r="Q97" s="103"/>
      <c r="R97" s="103"/>
      <c r="S97" s="103"/>
      <c r="T97" s="103"/>
      <c r="U97" s="103"/>
      <c r="V97" s="103">
        <f t="shared" si="21"/>
        <v>4389447</v>
      </c>
      <c r="W97" s="1607" t="s">
        <v>850</v>
      </c>
      <c r="X97" s="1608">
        <v>42461</v>
      </c>
      <c r="Y97" s="1608">
        <v>42466</v>
      </c>
      <c r="Z97" s="1609">
        <f t="shared" si="23"/>
        <v>4389447</v>
      </c>
      <c r="AA97" s="288">
        <v>1</v>
      </c>
      <c r="AB97" s="30">
        <f t="shared" si="16"/>
        <v>-4389447</v>
      </c>
      <c r="AC97" s="106"/>
      <c r="AD97" s="53"/>
      <c r="AL97" s="103"/>
      <c r="AM97" s="103"/>
      <c r="AN97" s="103"/>
      <c r="AO97" s="103"/>
      <c r="AP97" s="103"/>
      <c r="AQ97" s="103"/>
      <c r="AR97" s="103"/>
      <c r="AS97" s="430"/>
      <c r="AT97" s="100"/>
      <c r="AU97" s="461"/>
    </row>
    <row r="98" spans="1:47" s="54" customFormat="1" ht="31.5">
      <c r="A98" s="81"/>
      <c r="B98" s="50"/>
      <c r="C98" s="50"/>
      <c r="D98" s="83"/>
      <c r="E98" s="103"/>
      <c r="F98" s="51"/>
      <c r="G98" s="51"/>
      <c r="H98" s="51" t="s">
        <v>1518</v>
      </c>
      <c r="I98" s="73">
        <v>42481</v>
      </c>
      <c r="J98" s="684" t="s">
        <v>949</v>
      </c>
      <c r="K98" s="436" t="s">
        <v>1996</v>
      </c>
      <c r="L98" s="437" t="s">
        <v>1997</v>
      </c>
      <c r="M98" s="72" t="s">
        <v>950</v>
      </c>
      <c r="N98" s="431"/>
      <c r="O98" s="685">
        <v>66237600</v>
      </c>
      <c r="P98" s="432">
        <f t="shared" si="22"/>
        <v>66237600</v>
      </c>
      <c r="Q98" s="103"/>
      <c r="R98" s="103"/>
      <c r="S98" s="103"/>
      <c r="T98" s="103"/>
      <c r="U98" s="103"/>
      <c r="V98" s="103">
        <f t="shared" si="21"/>
        <v>66237600</v>
      </c>
      <c r="W98" s="1607" t="s">
        <v>1932</v>
      </c>
      <c r="X98" s="1608">
        <v>42573</v>
      </c>
      <c r="Y98" s="1608">
        <v>42579</v>
      </c>
      <c r="Z98" s="1609">
        <f t="shared" si="23"/>
        <v>66237600</v>
      </c>
      <c r="AA98" s="288">
        <v>1</v>
      </c>
      <c r="AB98" s="30">
        <f t="shared" si="16"/>
        <v>-66237600</v>
      </c>
      <c r="AC98" s="106"/>
      <c r="AD98" s="53"/>
      <c r="AL98" s="103"/>
      <c r="AM98" s="103"/>
      <c r="AN98" s="103"/>
      <c r="AO98" s="103"/>
      <c r="AP98" s="103"/>
      <c r="AQ98" s="103"/>
      <c r="AR98" s="103"/>
      <c r="AS98" s="430"/>
      <c r="AT98" s="100"/>
      <c r="AU98" s="461"/>
    </row>
    <row r="99" spans="1:47" s="54" customFormat="1" ht="31.5">
      <c r="A99" s="81"/>
      <c r="B99" s="50"/>
      <c r="C99" s="50"/>
      <c r="D99" s="83"/>
      <c r="E99" s="103"/>
      <c r="F99" s="51"/>
      <c r="G99" s="51"/>
      <c r="H99" s="103"/>
      <c r="I99" s="103"/>
      <c r="J99" s="684"/>
      <c r="K99" s="436" t="s">
        <v>1080</v>
      </c>
      <c r="L99" s="437" t="s">
        <v>1082</v>
      </c>
      <c r="M99" s="72" t="s">
        <v>1083</v>
      </c>
      <c r="N99" s="431"/>
      <c r="O99" s="685">
        <v>35338518</v>
      </c>
      <c r="P99" s="432">
        <f t="shared" ref="P99:P112" si="24">N99+O99</f>
        <v>35338518</v>
      </c>
      <c r="Q99" s="103"/>
      <c r="R99" s="103"/>
      <c r="S99" s="103"/>
      <c r="T99" s="103"/>
      <c r="U99" s="103"/>
      <c r="V99" s="103">
        <f t="shared" ref="V99:V112" si="25">P99</f>
        <v>35338518</v>
      </c>
      <c r="W99" s="1607" t="s">
        <v>961</v>
      </c>
      <c r="X99" s="1608">
        <v>42468</v>
      </c>
      <c r="Y99" s="1608">
        <v>42474</v>
      </c>
      <c r="Z99" s="1609">
        <f t="shared" ref="Z99:Z106" si="26">V99</f>
        <v>35338518</v>
      </c>
      <c r="AA99" s="288">
        <v>1</v>
      </c>
      <c r="AB99" s="30">
        <f t="shared" si="16"/>
        <v>-35338518</v>
      </c>
      <c r="AC99" s="106"/>
      <c r="AD99" s="53"/>
      <c r="AL99" s="103"/>
      <c r="AM99" s="103"/>
      <c r="AN99" s="103"/>
      <c r="AO99" s="103"/>
      <c r="AP99" s="103"/>
      <c r="AQ99" s="103"/>
      <c r="AR99" s="103"/>
      <c r="AS99" s="430"/>
      <c r="AT99" s="100"/>
      <c r="AU99" s="461"/>
    </row>
    <row r="100" spans="1:47" s="54" customFormat="1" ht="31.5">
      <c r="A100" s="81"/>
      <c r="B100" s="50"/>
      <c r="C100" s="50"/>
      <c r="D100" s="83"/>
      <c r="E100" s="103"/>
      <c r="F100" s="51"/>
      <c r="G100" s="51"/>
      <c r="H100" s="103"/>
      <c r="I100" s="103"/>
      <c r="J100" s="684"/>
      <c r="K100" s="436" t="s">
        <v>1081</v>
      </c>
      <c r="L100" s="437" t="s">
        <v>1082</v>
      </c>
      <c r="M100" s="72" t="s">
        <v>1084</v>
      </c>
      <c r="N100" s="431"/>
      <c r="O100" s="685">
        <v>88573056</v>
      </c>
      <c r="P100" s="432">
        <f t="shared" si="24"/>
        <v>88573056</v>
      </c>
      <c r="Q100" s="103"/>
      <c r="R100" s="103"/>
      <c r="S100" s="103"/>
      <c r="T100" s="103"/>
      <c r="U100" s="103"/>
      <c r="V100" s="103">
        <f t="shared" si="25"/>
        <v>88573056</v>
      </c>
      <c r="W100" s="1607" t="s">
        <v>961</v>
      </c>
      <c r="X100" s="1608">
        <v>42468</v>
      </c>
      <c r="Y100" s="1608">
        <v>42474</v>
      </c>
      <c r="Z100" s="1609">
        <f t="shared" si="26"/>
        <v>88573056</v>
      </c>
      <c r="AA100" s="288">
        <v>1</v>
      </c>
      <c r="AB100" s="30">
        <f t="shared" si="16"/>
        <v>-88573056</v>
      </c>
      <c r="AC100" s="106"/>
      <c r="AD100" s="53"/>
      <c r="AL100" s="103"/>
      <c r="AM100" s="103"/>
      <c r="AN100" s="103"/>
      <c r="AO100" s="103"/>
      <c r="AP100" s="103"/>
      <c r="AQ100" s="103"/>
      <c r="AR100" s="103"/>
      <c r="AS100" s="430"/>
      <c r="AT100" s="100"/>
      <c r="AU100" s="461"/>
    </row>
    <row r="101" spans="1:47" s="54" customFormat="1" ht="31.5">
      <c r="A101" s="81"/>
      <c r="B101" s="50"/>
      <c r="C101" s="50"/>
      <c r="D101" s="83"/>
      <c r="E101" s="103"/>
      <c r="F101" s="51"/>
      <c r="G101" s="51"/>
      <c r="H101" s="103"/>
      <c r="I101" s="103"/>
      <c r="J101" s="684"/>
      <c r="K101" s="436" t="s">
        <v>1088</v>
      </c>
      <c r="L101" s="437" t="s">
        <v>1082</v>
      </c>
      <c r="M101" s="72" t="s">
        <v>1089</v>
      </c>
      <c r="N101" s="431"/>
      <c r="O101" s="685">
        <v>103560622</v>
      </c>
      <c r="P101" s="432">
        <f t="shared" si="24"/>
        <v>103560622</v>
      </c>
      <c r="Q101" s="103"/>
      <c r="R101" s="103"/>
      <c r="S101" s="103"/>
      <c r="T101" s="103"/>
      <c r="U101" s="103"/>
      <c r="V101" s="103">
        <f t="shared" si="25"/>
        <v>103560622</v>
      </c>
      <c r="W101" s="1607" t="s">
        <v>964</v>
      </c>
      <c r="X101" s="1608">
        <v>42468</v>
      </c>
      <c r="Y101" s="1608">
        <v>42475</v>
      </c>
      <c r="Z101" s="1609">
        <f t="shared" si="26"/>
        <v>103560622</v>
      </c>
      <c r="AA101" s="288">
        <v>1</v>
      </c>
      <c r="AB101" s="30">
        <f t="shared" si="16"/>
        <v>-103560622</v>
      </c>
      <c r="AC101" s="106"/>
      <c r="AD101" s="53"/>
      <c r="AL101" s="103"/>
      <c r="AM101" s="103"/>
      <c r="AN101" s="103"/>
      <c r="AO101" s="103"/>
      <c r="AP101" s="103"/>
      <c r="AQ101" s="103"/>
      <c r="AR101" s="103"/>
      <c r="AS101" s="430"/>
      <c r="AT101" s="100"/>
      <c r="AU101" s="461"/>
    </row>
    <row r="102" spans="1:47" s="54" customFormat="1" ht="31.5">
      <c r="A102" s="81"/>
      <c r="B102" s="50"/>
      <c r="C102" s="50"/>
      <c r="D102" s="83"/>
      <c r="E102" s="103"/>
      <c r="F102" s="51"/>
      <c r="G102" s="51"/>
      <c r="H102" s="103"/>
      <c r="I102" s="103"/>
      <c r="J102" s="684"/>
      <c r="K102" s="436" t="s">
        <v>1090</v>
      </c>
      <c r="L102" s="437" t="s">
        <v>1096</v>
      </c>
      <c r="M102" s="72" t="s">
        <v>1092</v>
      </c>
      <c r="N102" s="431"/>
      <c r="O102" s="685">
        <v>57022074</v>
      </c>
      <c r="P102" s="432">
        <f t="shared" si="24"/>
        <v>57022074</v>
      </c>
      <c r="Q102" s="103"/>
      <c r="R102" s="103"/>
      <c r="S102" s="103"/>
      <c r="T102" s="103"/>
      <c r="U102" s="103"/>
      <c r="V102" s="103">
        <f t="shared" si="25"/>
        <v>57022074</v>
      </c>
      <c r="W102" s="1607" t="s">
        <v>964</v>
      </c>
      <c r="X102" s="1608">
        <v>42468</v>
      </c>
      <c r="Y102" s="1608">
        <v>42475</v>
      </c>
      <c r="Z102" s="1609">
        <f t="shared" si="26"/>
        <v>57022074</v>
      </c>
      <c r="AA102" s="288">
        <v>1</v>
      </c>
      <c r="AB102" s="30">
        <f t="shared" si="16"/>
        <v>-57022074</v>
      </c>
      <c r="AC102" s="106"/>
      <c r="AD102" s="53"/>
      <c r="AL102" s="103"/>
      <c r="AM102" s="103"/>
      <c r="AN102" s="103"/>
      <c r="AO102" s="103"/>
      <c r="AP102" s="103"/>
      <c r="AQ102" s="103"/>
      <c r="AR102" s="103"/>
      <c r="AS102" s="430"/>
      <c r="AT102" s="100"/>
      <c r="AU102" s="461"/>
    </row>
    <row r="103" spans="1:47" s="54" customFormat="1" ht="31.5">
      <c r="A103" s="81"/>
      <c r="B103" s="50"/>
      <c r="C103" s="50"/>
      <c r="D103" s="83"/>
      <c r="E103" s="103"/>
      <c r="F103" s="51"/>
      <c r="G103" s="51"/>
      <c r="H103" s="103"/>
      <c r="I103" s="103"/>
      <c r="J103" s="684"/>
      <c r="K103" s="436" t="s">
        <v>1091</v>
      </c>
      <c r="L103" s="437" t="s">
        <v>1096</v>
      </c>
      <c r="M103" s="72" t="s">
        <v>1093</v>
      </c>
      <c r="N103" s="431"/>
      <c r="O103" s="685">
        <v>625816114</v>
      </c>
      <c r="P103" s="432">
        <f t="shared" si="24"/>
        <v>625816114</v>
      </c>
      <c r="Q103" s="103"/>
      <c r="R103" s="103"/>
      <c r="S103" s="103"/>
      <c r="T103" s="103"/>
      <c r="U103" s="103"/>
      <c r="V103" s="103">
        <f t="shared" si="25"/>
        <v>625816114</v>
      </c>
      <c r="W103" s="1607" t="s">
        <v>964</v>
      </c>
      <c r="X103" s="1608">
        <v>42468</v>
      </c>
      <c r="Y103" s="1608">
        <v>42475</v>
      </c>
      <c r="Z103" s="1609">
        <f t="shared" si="26"/>
        <v>625816114</v>
      </c>
      <c r="AA103" s="288">
        <v>1</v>
      </c>
      <c r="AB103" s="30">
        <f t="shared" si="16"/>
        <v>-625816114</v>
      </c>
      <c r="AC103" s="106"/>
      <c r="AD103" s="53"/>
      <c r="AL103" s="103"/>
      <c r="AM103" s="103"/>
      <c r="AN103" s="103"/>
      <c r="AO103" s="103"/>
      <c r="AP103" s="103"/>
      <c r="AQ103" s="103"/>
      <c r="AR103" s="103"/>
      <c r="AS103" s="430"/>
      <c r="AT103" s="100"/>
      <c r="AU103" s="461"/>
    </row>
    <row r="104" spans="1:47" s="54" customFormat="1" ht="31.5">
      <c r="A104" s="81"/>
      <c r="B104" s="50"/>
      <c r="C104" s="50"/>
      <c r="D104" s="83"/>
      <c r="E104" s="103"/>
      <c r="F104" s="51"/>
      <c r="G104" s="51"/>
      <c r="H104" s="103"/>
      <c r="I104" s="103"/>
      <c r="J104" s="684"/>
      <c r="K104" s="436" t="s">
        <v>1094</v>
      </c>
      <c r="L104" s="437" t="s">
        <v>1082</v>
      </c>
      <c r="M104" s="72" t="s">
        <v>1097</v>
      </c>
      <c r="N104" s="431"/>
      <c r="O104" s="685">
        <v>13015200</v>
      </c>
      <c r="P104" s="432">
        <f t="shared" si="24"/>
        <v>13015200</v>
      </c>
      <c r="Q104" s="103"/>
      <c r="R104" s="103"/>
      <c r="S104" s="103"/>
      <c r="T104" s="103"/>
      <c r="U104" s="103"/>
      <c r="V104" s="103">
        <f t="shared" si="25"/>
        <v>13015200</v>
      </c>
      <c r="W104" s="1607" t="s">
        <v>968</v>
      </c>
      <c r="X104" s="1608">
        <v>42471</v>
      </c>
      <c r="Y104" s="1608">
        <v>42474</v>
      </c>
      <c r="Z104" s="1609">
        <f t="shared" si="26"/>
        <v>13015200</v>
      </c>
      <c r="AA104" s="288">
        <v>1</v>
      </c>
      <c r="AB104" s="30">
        <f t="shared" si="16"/>
        <v>-13015200</v>
      </c>
      <c r="AC104" s="106"/>
      <c r="AD104" s="53"/>
      <c r="AL104" s="103"/>
      <c r="AM104" s="103"/>
      <c r="AN104" s="103"/>
      <c r="AO104" s="103"/>
      <c r="AP104" s="103"/>
      <c r="AQ104" s="103"/>
      <c r="AR104" s="103"/>
      <c r="AS104" s="430"/>
      <c r="AT104" s="100"/>
      <c r="AU104" s="461"/>
    </row>
    <row r="105" spans="1:47" s="54" customFormat="1" ht="31.5">
      <c r="A105" s="81"/>
      <c r="B105" s="50"/>
      <c r="C105" s="50"/>
      <c r="D105" s="83"/>
      <c r="E105" s="103"/>
      <c r="F105" s="51"/>
      <c r="G105" s="51"/>
      <c r="H105" s="103"/>
      <c r="I105" s="103"/>
      <c r="J105" s="684"/>
      <c r="K105" s="436" t="s">
        <v>1095</v>
      </c>
      <c r="L105" s="437" t="s">
        <v>1096</v>
      </c>
      <c r="M105" s="72" t="s">
        <v>1098</v>
      </c>
      <c r="N105" s="431"/>
      <c r="O105" s="685">
        <v>17545572</v>
      </c>
      <c r="P105" s="432">
        <f t="shared" si="24"/>
        <v>17545572</v>
      </c>
      <c r="Q105" s="103"/>
      <c r="R105" s="103"/>
      <c r="S105" s="103"/>
      <c r="T105" s="103"/>
      <c r="U105" s="103"/>
      <c r="V105" s="103">
        <f t="shared" si="25"/>
        <v>17545572</v>
      </c>
      <c r="W105" s="1607" t="s">
        <v>968</v>
      </c>
      <c r="X105" s="1608">
        <v>42471</v>
      </c>
      <c r="Y105" s="1608">
        <v>42474</v>
      </c>
      <c r="Z105" s="1609">
        <f t="shared" si="26"/>
        <v>17545572</v>
      </c>
      <c r="AA105" s="288">
        <v>1</v>
      </c>
      <c r="AB105" s="30">
        <f t="shared" si="16"/>
        <v>-17545572</v>
      </c>
      <c r="AC105" s="106"/>
      <c r="AD105" s="53"/>
      <c r="AL105" s="103"/>
      <c r="AM105" s="103"/>
      <c r="AN105" s="103"/>
      <c r="AO105" s="103"/>
      <c r="AP105" s="103"/>
      <c r="AQ105" s="103"/>
      <c r="AR105" s="103"/>
      <c r="AS105" s="430"/>
      <c r="AT105" s="100"/>
      <c r="AU105" s="461"/>
    </row>
    <row r="106" spans="1:47" s="54" customFormat="1" ht="31.5">
      <c r="A106" s="81"/>
      <c r="B106" s="50"/>
      <c r="C106" s="50"/>
      <c r="D106" s="83"/>
      <c r="E106" s="103"/>
      <c r="F106" s="51"/>
      <c r="G106" s="51"/>
      <c r="H106" s="103"/>
      <c r="I106" s="103"/>
      <c r="J106" s="684"/>
      <c r="K106" s="436" t="s">
        <v>1099</v>
      </c>
      <c r="L106" s="437" t="s">
        <v>1082</v>
      </c>
      <c r="M106" s="72" t="s">
        <v>1100</v>
      </c>
      <c r="N106" s="431"/>
      <c r="O106" s="685">
        <v>729302112</v>
      </c>
      <c r="P106" s="432">
        <f t="shared" si="24"/>
        <v>729302112</v>
      </c>
      <c r="Q106" s="103"/>
      <c r="R106" s="103"/>
      <c r="S106" s="103"/>
      <c r="T106" s="103"/>
      <c r="U106" s="103"/>
      <c r="V106" s="103">
        <f t="shared" si="25"/>
        <v>729302112</v>
      </c>
      <c r="W106" s="1607" t="s">
        <v>969</v>
      </c>
      <c r="X106" s="1608">
        <v>42468</v>
      </c>
      <c r="Y106" s="1608">
        <v>42474</v>
      </c>
      <c r="Z106" s="1609">
        <f t="shared" si="26"/>
        <v>729302112</v>
      </c>
      <c r="AA106" s="288">
        <v>1</v>
      </c>
      <c r="AB106" s="30">
        <f t="shared" si="16"/>
        <v>-729302112</v>
      </c>
      <c r="AC106" s="106"/>
      <c r="AD106" s="53"/>
      <c r="AL106" s="103"/>
      <c r="AM106" s="103"/>
      <c r="AN106" s="103"/>
      <c r="AO106" s="103"/>
      <c r="AP106" s="103"/>
      <c r="AQ106" s="103"/>
      <c r="AR106" s="103"/>
      <c r="AS106" s="430"/>
      <c r="AT106" s="100"/>
      <c r="AU106" s="461"/>
    </row>
    <row r="107" spans="1:47" s="54" customFormat="1" ht="31.5">
      <c r="A107" s="81"/>
      <c r="B107" s="50"/>
      <c r="C107" s="50"/>
      <c r="D107" s="83"/>
      <c r="E107" s="103"/>
      <c r="F107" s="51"/>
      <c r="G107" s="51"/>
      <c r="H107" s="103"/>
      <c r="I107" s="103"/>
      <c r="J107" s="684"/>
      <c r="K107" s="436" t="s">
        <v>1106</v>
      </c>
      <c r="L107" s="437" t="s">
        <v>1082</v>
      </c>
      <c r="M107" s="72" t="s">
        <v>1110</v>
      </c>
      <c r="N107" s="431"/>
      <c r="O107" s="685">
        <v>176333658</v>
      </c>
      <c r="P107" s="432">
        <f t="shared" si="24"/>
        <v>176333658</v>
      </c>
      <c r="Q107" s="103"/>
      <c r="R107" s="103"/>
      <c r="S107" s="103"/>
      <c r="T107" s="103"/>
      <c r="U107" s="103"/>
      <c r="V107" s="103">
        <f t="shared" si="25"/>
        <v>176333658</v>
      </c>
      <c r="W107" s="1607" t="s">
        <v>1114</v>
      </c>
      <c r="X107" s="1608">
        <v>42485</v>
      </c>
      <c r="Y107" s="1608">
        <v>42493</v>
      </c>
      <c r="Z107" s="1609">
        <f t="shared" ref="Z107:Z112" si="27">V107</f>
        <v>176333658</v>
      </c>
      <c r="AA107" s="288"/>
      <c r="AB107" s="30">
        <f t="shared" si="16"/>
        <v>-176333658</v>
      </c>
      <c r="AC107" s="106"/>
      <c r="AD107" s="53"/>
      <c r="AL107" s="103"/>
      <c r="AM107" s="103"/>
      <c r="AN107" s="103"/>
      <c r="AO107" s="103"/>
      <c r="AP107" s="103"/>
      <c r="AQ107" s="103"/>
      <c r="AR107" s="103"/>
      <c r="AS107" s="430"/>
      <c r="AT107" s="100"/>
      <c r="AU107" s="461"/>
    </row>
    <row r="108" spans="1:47" s="54" customFormat="1" ht="31.5">
      <c r="A108" s="81"/>
      <c r="B108" s="50"/>
      <c r="C108" s="50"/>
      <c r="D108" s="83"/>
      <c r="E108" s="103"/>
      <c r="F108" s="51"/>
      <c r="G108" s="51"/>
      <c r="H108" s="103"/>
      <c r="I108" s="103"/>
      <c r="J108" s="684"/>
      <c r="K108" s="436" t="s">
        <v>1107</v>
      </c>
      <c r="L108" s="437" t="s">
        <v>1082</v>
      </c>
      <c r="M108" s="72" t="s">
        <v>1111</v>
      </c>
      <c r="N108" s="431"/>
      <c r="O108" s="685">
        <v>65188200</v>
      </c>
      <c r="P108" s="432">
        <f t="shared" si="24"/>
        <v>65188200</v>
      </c>
      <c r="Q108" s="103"/>
      <c r="R108" s="103"/>
      <c r="S108" s="103"/>
      <c r="T108" s="103"/>
      <c r="U108" s="103"/>
      <c r="V108" s="103">
        <f t="shared" si="25"/>
        <v>65188200</v>
      </c>
      <c r="W108" s="1607" t="s">
        <v>1114</v>
      </c>
      <c r="X108" s="1608">
        <v>42485</v>
      </c>
      <c r="Y108" s="1608">
        <v>42493</v>
      </c>
      <c r="Z108" s="1609">
        <f t="shared" si="27"/>
        <v>65188200</v>
      </c>
      <c r="AA108" s="288"/>
      <c r="AB108" s="30">
        <f t="shared" si="16"/>
        <v>-65188200</v>
      </c>
      <c r="AC108" s="106"/>
      <c r="AD108" s="53"/>
      <c r="AL108" s="103"/>
      <c r="AM108" s="103"/>
      <c r="AN108" s="103"/>
      <c r="AO108" s="103"/>
      <c r="AP108" s="103"/>
      <c r="AQ108" s="103"/>
      <c r="AR108" s="103"/>
      <c r="AS108" s="430"/>
      <c r="AT108" s="100"/>
      <c r="AU108" s="461"/>
    </row>
    <row r="109" spans="1:47" s="54" customFormat="1" ht="31.5">
      <c r="A109" s="81"/>
      <c r="B109" s="50"/>
      <c r="C109" s="50"/>
      <c r="D109" s="83"/>
      <c r="E109" s="103"/>
      <c r="F109" s="51"/>
      <c r="G109" s="51"/>
      <c r="H109" s="103"/>
      <c r="I109" s="103"/>
      <c r="J109" s="684"/>
      <c r="K109" s="436" t="s">
        <v>1108</v>
      </c>
      <c r="L109" s="437" t="s">
        <v>1082</v>
      </c>
      <c r="M109" s="72" t="s">
        <v>1112</v>
      </c>
      <c r="N109" s="431"/>
      <c r="O109" s="685">
        <v>104297424</v>
      </c>
      <c r="P109" s="432">
        <f t="shared" si="24"/>
        <v>104297424</v>
      </c>
      <c r="Q109" s="103"/>
      <c r="R109" s="103"/>
      <c r="S109" s="103"/>
      <c r="T109" s="103"/>
      <c r="U109" s="103"/>
      <c r="V109" s="103">
        <f t="shared" si="25"/>
        <v>104297424</v>
      </c>
      <c r="W109" s="1607" t="s">
        <v>1114</v>
      </c>
      <c r="X109" s="1608">
        <v>42485</v>
      </c>
      <c r="Y109" s="1608">
        <v>42493</v>
      </c>
      <c r="Z109" s="1609">
        <f t="shared" si="27"/>
        <v>104297424</v>
      </c>
      <c r="AA109" s="288"/>
      <c r="AB109" s="30">
        <f t="shared" si="16"/>
        <v>-104297424</v>
      </c>
      <c r="AC109" s="106"/>
      <c r="AD109" s="53"/>
      <c r="AL109" s="103"/>
      <c r="AM109" s="103"/>
      <c r="AN109" s="103"/>
      <c r="AO109" s="103"/>
      <c r="AP109" s="103"/>
      <c r="AQ109" s="103"/>
      <c r="AR109" s="103"/>
      <c r="AS109" s="430"/>
      <c r="AT109" s="100"/>
      <c r="AU109" s="461"/>
    </row>
    <row r="110" spans="1:47" s="54" customFormat="1" ht="31.5">
      <c r="A110" s="81"/>
      <c r="B110" s="50"/>
      <c r="C110" s="50"/>
      <c r="D110" s="83"/>
      <c r="E110" s="103"/>
      <c r="F110" s="51"/>
      <c r="G110" s="51"/>
      <c r="H110" s="103"/>
      <c r="I110" s="103"/>
      <c r="J110" s="684"/>
      <c r="K110" s="436" t="s">
        <v>1109</v>
      </c>
      <c r="L110" s="437" t="s">
        <v>1096</v>
      </c>
      <c r="M110" s="72" t="s">
        <v>1113</v>
      </c>
      <c r="N110" s="431"/>
      <c r="O110" s="685">
        <v>98420190</v>
      </c>
      <c r="P110" s="432">
        <f t="shared" si="24"/>
        <v>98420190</v>
      </c>
      <c r="Q110" s="103"/>
      <c r="R110" s="103"/>
      <c r="S110" s="103"/>
      <c r="T110" s="103"/>
      <c r="U110" s="103"/>
      <c r="V110" s="103">
        <f t="shared" si="25"/>
        <v>98420190</v>
      </c>
      <c r="W110" s="1607" t="s">
        <v>1114</v>
      </c>
      <c r="X110" s="1608">
        <v>42485</v>
      </c>
      <c r="Y110" s="1608">
        <v>42493</v>
      </c>
      <c r="Z110" s="1609">
        <f t="shared" si="27"/>
        <v>98420190</v>
      </c>
      <c r="AA110" s="103"/>
      <c r="AB110" s="30">
        <f t="shared" si="16"/>
        <v>-98420190</v>
      </c>
      <c r="AC110" s="106"/>
      <c r="AD110" s="53"/>
      <c r="AL110" s="103"/>
      <c r="AM110" s="103"/>
      <c r="AN110" s="103"/>
      <c r="AO110" s="103"/>
      <c r="AP110" s="103"/>
      <c r="AQ110" s="103"/>
      <c r="AR110" s="103"/>
      <c r="AS110" s="430"/>
      <c r="AT110" s="100"/>
      <c r="AU110" s="461"/>
    </row>
    <row r="111" spans="1:47" s="54" customFormat="1" ht="31.5">
      <c r="A111" s="81"/>
      <c r="B111" s="50"/>
      <c r="C111" s="50"/>
      <c r="D111" s="83"/>
      <c r="E111" s="103"/>
      <c r="F111" s="51"/>
      <c r="G111" s="51"/>
      <c r="H111" s="147"/>
      <c r="I111" s="73"/>
      <c r="J111" s="138"/>
      <c r="K111" s="71" t="s">
        <v>1115</v>
      </c>
      <c r="L111" s="437" t="s">
        <v>1082</v>
      </c>
      <c r="M111" s="72" t="s">
        <v>1116</v>
      </c>
      <c r="N111" s="58"/>
      <c r="O111" s="58">
        <v>103521561</v>
      </c>
      <c r="P111" s="432">
        <f t="shared" si="24"/>
        <v>103521561</v>
      </c>
      <c r="Q111" s="103"/>
      <c r="R111" s="103"/>
      <c r="S111" s="103"/>
      <c r="T111" s="103"/>
      <c r="U111" s="103"/>
      <c r="V111" s="103">
        <f t="shared" si="25"/>
        <v>103521561</v>
      </c>
      <c r="W111" s="1607" t="s">
        <v>1117</v>
      </c>
      <c r="X111" s="1608">
        <v>42485</v>
      </c>
      <c r="Y111" s="1608">
        <v>42492</v>
      </c>
      <c r="Z111" s="1609">
        <f t="shared" si="27"/>
        <v>103521561</v>
      </c>
      <c r="AA111" s="103"/>
      <c r="AB111" s="30">
        <f t="shared" si="16"/>
        <v>-103521561</v>
      </c>
      <c r="AC111" s="142"/>
      <c r="AD111" s="53"/>
      <c r="AL111" s="103"/>
      <c r="AM111" s="103"/>
      <c r="AN111" s="103"/>
      <c r="AO111" s="103"/>
      <c r="AP111" s="103"/>
      <c r="AQ111" s="103"/>
      <c r="AR111" s="103"/>
      <c r="AS111" s="430"/>
      <c r="AT111" s="100"/>
      <c r="AU111" s="461"/>
    </row>
    <row r="112" spans="1:47" s="54" customFormat="1" ht="47.25">
      <c r="A112" s="82"/>
      <c r="B112" s="290"/>
      <c r="C112" s="290"/>
      <c r="D112" s="321"/>
      <c r="E112" s="449"/>
      <c r="F112" s="262"/>
      <c r="G112" s="262"/>
      <c r="H112" s="381" t="s">
        <v>1398</v>
      </c>
      <c r="I112" s="73">
        <v>42461</v>
      </c>
      <c r="J112" s="323" t="s">
        <v>1164</v>
      </c>
      <c r="K112" s="294" t="s">
        <v>3409</v>
      </c>
      <c r="L112" s="435" t="s">
        <v>3410</v>
      </c>
      <c r="M112" s="325" t="s">
        <v>1165</v>
      </c>
      <c r="N112" s="58"/>
      <c r="O112" s="58">
        <v>96800000</v>
      </c>
      <c r="P112" s="891">
        <f t="shared" si="24"/>
        <v>96800000</v>
      </c>
      <c r="Q112" s="449"/>
      <c r="R112" s="449"/>
      <c r="S112" s="449"/>
      <c r="T112" s="449"/>
      <c r="U112" s="449"/>
      <c r="V112" s="449">
        <f t="shared" si="25"/>
        <v>96800000</v>
      </c>
      <c r="W112" s="1607" t="s">
        <v>3408</v>
      </c>
      <c r="X112" s="1608">
        <v>42711</v>
      </c>
      <c r="Y112" s="1608">
        <v>42718</v>
      </c>
      <c r="Z112" s="1609">
        <f t="shared" si="27"/>
        <v>96800000</v>
      </c>
      <c r="AA112" s="288">
        <v>1</v>
      </c>
      <c r="AB112" s="30">
        <f t="shared" si="16"/>
        <v>-96800000</v>
      </c>
      <c r="AC112" s="311"/>
      <c r="AD112" s="53"/>
      <c r="AL112" s="103"/>
      <c r="AM112" s="103"/>
      <c r="AN112" s="103"/>
      <c r="AO112" s="103"/>
      <c r="AP112" s="103"/>
      <c r="AQ112" s="103"/>
      <c r="AR112" s="103"/>
      <c r="AS112" s="430"/>
      <c r="AT112" s="100"/>
      <c r="AU112" s="461"/>
    </row>
    <row r="113" spans="1:47" s="54" customFormat="1" ht="31.5">
      <c r="A113" s="82"/>
      <c r="B113" s="290"/>
      <c r="C113" s="290"/>
      <c r="D113" s="321"/>
      <c r="E113" s="449"/>
      <c r="F113" s="262"/>
      <c r="G113" s="262"/>
      <c r="H113" s="379"/>
      <c r="I113" s="322"/>
      <c r="J113" s="323"/>
      <c r="K113" s="294" t="s">
        <v>1304</v>
      </c>
      <c r="L113" s="435" t="s">
        <v>1041</v>
      </c>
      <c r="M113" s="325" t="s">
        <v>1306</v>
      </c>
      <c r="N113" s="58"/>
      <c r="O113" s="58">
        <v>10839400</v>
      </c>
      <c r="P113" s="891">
        <f t="shared" ref="P113:P139" si="28">N113+O113</f>
        <v>10839400</v>
      </c>
      <c r="Q113" s="449"/>
      <c r="R113" s="449"/>
      <c r="S113" s="449"/>
      <c r="T113" s="449"/>
      <c r="U113" s="449"/>
      <c r="V113" s="449">
        <f t="shared" ref="V113:V139" si="29">P113</f>
        <v>10839400</v>
      </c>
      <c r="W113" s="1613" t="s">
        <v>1308</v>
      </c>
      <c r="X113" s="1614">
        <v>42487</v>
      </c>
      <c r="Y113" s="1614">
        <v>42493</v>
      </c>
      <c r="Z113" s="1615">
        <f t="shared" ref="Z113:Z126" si="30">V113</f>
        <v>10839400</v>
      </c>
      <c r="AA113" s="449"/>
      <c r="AB113" s="507">
        <f t="shared" si="16"/>
        <v>-10839400</v>
      </c>
      <c r="AC113" s="311"/>
      <c r="AD113" s="53"/>
      <c r="AL113" s="103"/>
      <c r="AM113" s="103"/>
      <c r="AN113" s="103"/>
      <c r="AO113" s="103"/>
      <c r="AP113" s="103"/>
      <c r="AQ113" s="103"/>
      <c r="AR113" s="103"/>
      <c r="AS113" s="430"/>
      <c r="AT113" s="100"/>
      <c r="AU113" s="461"/>
    </row>
    <row r="114" spans="1:47" s="54" customFormat="1" ht="31.5">
      <c r="A114" s="82"/>
      <c r="B114" s="290"/>
      <c r="C114" s="290"/>
      <c r="D114" s="321"/>
      <c r="E114" s="449"/>
      <c r="F114" s="262"/>
      <c r="G114" s="262"/>
      <c r="H114" s="379"/>
      <c r="I114" s="322"/>
      <c r="J114" s="323"/>
      <c r="K114" s="294" t="s">
        <v>1305</v>
      </c>
      <c r="L114" s="435" t="s">
        <v>1041</v>
      </c>
      <c r="M114" s="325" t="s">
        <v>1307</v>
      </c>
      <c r="N114" s="58"/>
      <c r="O114" s="58">
        <v>10874600</v>
      </c>
      <c r="P114" s="891">
        <f t="shared" si="28"/>
        <v>10874600</v>
      </c>
      <c r="Q114" s="449"/>
      <c r="R114" s="449"/>
      <c r="S114" s="449"/>
      <c r="T114" s="449"/>
      <c r="U114" s="449"/>
      <c r="V114" s="449">
        <f t="shared" si="29"/>
        <v>10874600</v>
      </c>
      <c r="W114" s="1613" t="s">
        <v>1308</v>
      </c>
      <c r="X114" s="1614">
        <v>42487</v>
      </c>
      <c r="Y114" s="1614">
        <v>42493</v>
      </c>
      <c r="Z114" s="1615">
        <f t="shared" si="30"/>
        <v>10874600</v>
      </c>
      <c r="AA114" s="449"/>
      <c r="AB114" s="507">
        <f t="shared" si="16"/>
        <v>-10874600</v>
      </c>
      <c r="AC114" s="311"/>
      <c r="AD114" s="53"/>
      <c r="AL114" s="103"/>
      <c r="AM114" s="103"/>
      <c r="AN114" s="103"/>
      <c r="AO114" s="103"/>
      <c r="AP114" s="103"/>
      <c r="AQ114" s="103"/>
      <c r="AR114" s="103"/>
      <c r="AS114" s="430"/>
      <c r="AT114" s="100"/>
      <c r="AU114" s="461"/>
    </row>
    <row r="115" spans="1:47" s="54" customFormat="1" ht="31.5">
      <c r="A115" s="82"/>
      <c r="B115" s="290"/>
      <c r="C115" s="290"/>
      <c r="D115" s="321"/>
      <c r="E115" s="449"/>
      <c r="F115" s="262"/>
      <c r="G115" s="262"/>
      <c r="H115" s="379"/>
      <c r="I115" s="322"/>
      <c r="J115" s="323"/>
      <c r="K115" s="294" t="s">
        <v>1309</v>
      </c>
      <c r="L115" s="435" t="s">
        <v>1041</v>
      </c>
      <c r="M115" s="325" t="s">
        <v>1310</v>
      </c>
      <c r="N115" s="58"/>
      <c r="O115" s="58">
        <v>19061856</v>
      </c>
      <c r="P115" s="891">
        <f t="shared" si="28"/>
        <v>19061856</v>
      </c>
      <c r="Q115" s="449"/>
      <c r="R115" s="449"/>
      <c r="S115" s="449"/>
      <c r="T115" s="449"/>
      <c r="U115" s="449"/>
      <c r="V115" s="449">
        <f t="shared" si="29"/>
        <v>19061856</v>
      </c>
      <c r="W115" s="1613" t="s">
        <v>1308</v>
      </c>
      <c r="X115" s="1614">
        <v>42487</v>
      </c>
      <c r="Y115" s="1614">
        <v>42493</v>
      </c>
      <c r="Z115" s="1615">
        <f t="shared" si="30"/>
        <v>19061856</v>
      </c>
      <c r="AA115" s="449"/>
      <c r="AB115" s="507">
        <f t="shared" si="16"/>
        <v>-19061856</v>
      </c>
      <c r="AC115" s="311"/>
      <c r="AD115" s="53"/>
      <c r="AL115" s="103"/>
      <c r="AM115" s="103"/>
      <c r="AN115" s="103"/>
      <c r="AO115" s="103"/>
      <c r="AP115" s="103"/>
      <c r="AQ115" s="103"/>
      <c r="AR115" s="103"/>
      <c r="AS115" s="430"/>
      <c r="AT115" s="100"/>
      <c r="AU115" s="461"/>
    </row>
    <row r="116" spans="1:47" s="54" customFormat="1" ht="31.5">
      <c r="A116" s="82"/>
      <c r="B116" s="290"/>
      <c r="C116" s="290"/>
      <c r="D116" s="321"/>
      <c r="E116" s="449"/>
      <c r="F116" s="262"/>
      <c r="G116" s="262"/>
      <c r="H116" s="379"/>
      <c r="I116" s="322"/>
      <c r="J116" s="323"/>
      <c r="K116" s="294" t="s">
        <v>1312</v>
      </c>
      <c r="L116" s="435" t="s">
        <v>1041</v>
      </c>
      <c r="M116" s="325" t="s">
        <v>1315</v>
      </c>
      <c r="N116" s="58"/>
      <c r="O116" s="58">
        <v>625765718</v>
      </c>
      <c r="P116" s="891">
        <f t="shared" si="28"/>
        <v>625765718</v>
      </c>
      <c r="Q116" s="449"/>
      <c r="R116" s="449"/>
      <c r="S116" s="449"/>
      <c r="T116" s="449"/>
      <c r="U116" s="449"/>
      <c r="V116" s="449">
        <f t="shared" si="29"/>
        <v>625765718</v>
      </c>
      <c r="W116" s="1613" t="s">
        <v>1318</v>
      </c>
      <c r="X116" s="1614">
        <v>42494</v>
      </c>
      <c r="Y116" s="1614">
        <v>42502</v>
      </c>
      <c r="Z116" s="1615">
        <f t="shared" si="30"/>
        <v>625765718</v>
      </c>
      <c r="AA116" s="449"/>
      <c r="AB116" s="507">
        <f t="shared" si="16"/>
        <v>-625765718</v>
      </c>
      <c r="AC116" s="311"/>
      <c r="AD116" s="53"/>
      <c r="AL116" s="103"/>
      <c r="AM116" s="103"/>
      <c r="AN116" s="103"/>
      <c r="AO116" s="103"/>
      <c r="AP116" s="103"/>
      <c r="AQ116" s="103"/>
      <c r="AR116" s="103"/>
      <c r="AS116" s="430"/>
      <c r="AT116" s="100"/>
      <c r="AU116" s="461"/>
    </row>
    <row r="117" spans="1:47" s="54" customFormat="1" ht="31.5">
      <c r="A117" s="82"/>
      <c r="B117" s="290"/>
      <c r="C117" s="290"/>
      <c r="D117" s="321"/>
      <c r="E117" s="449"/>
      <c r="F117" s="262"/>
      <c r="G117" s="262"/>
      <c r="H117" s="379"/>
      <c r="I117" s="322"/>
      <c r="J117" s="323"/>
      <c r="K117" s="294" t="s">
        <v>1313</v>
      </c>
      <c r="L117" s="435" t="s">
        <v>1041</v>
      </c>
      <c r="M117" s="325" t="s">
        <v>1316</v>
      </c>
      <c r="N117" s="58"/>
      <c r="O117" s="58">
        <v>34221330</v>
      </c>
      <c r="P117" s="891">
        <f t="shared" si="28"/>
        <v>34221330</v>
      </c>
      <c r="Q117" s="449"/>
      <c r="R117" s="449"/>
      <c r="S117" s="449"/>
      <c r="T117" s="449"/>
      <c r="U117" s="449"/>
      <c r="V117" s="449">
        <f t="shared" si="29"/>
        <v>34221330</v>
      </c>
      <c r="W117" s="1613" t="s">
        <v>1318</v>
      </c>
      <c r="X117" s="1614">
        <v>42494</v>
      </c>
      <c r="Y117" s="1614">
        <v>42502</v>
      </c>
      <c r="Z117" s="1615">
        <f t="shared" si="30"/>
        <v>34221330</v>
      </c>
      <c r="AA117" s="449"/>
      <c r="AB117" s="507">
        <f t="shared" si="16"/>
        <v>-34221330</v>
      </c>
      <c r="AC117" s="311"/>
      <c r="AD117" s="53"/>
      <c r="AL117" s="103"/>
      <c r="AM117" s="103"/>
      <c r="AN117" s="103"/>
      <c r="AO117" s="103"/>
      <c r="AP117" s="103"/>
      <c r="AQ117" s="103"/>
      <c r="AR117" s="103"/>
      <c r="AS117" s="430"/>
      <c r="AT117" s="100"/>
      <c r="AU117" s="461"/>
    </row>
    <row r="118" spans="1:47" s="54" customFormat="1" ht="31.5">
      <c r="A118" s="82"/>
      <c r="B118" s="290"/>
      <c r="C118" s="290"/>
      <c r="D118" s="321"/>
      <c r="E118" s="449"/>
      <c r="F118" s="262"/>
      <c r="G118" s="262"/>
      <c r="H118" s="379"/>
      <c r="I118" s="322"/>
      <c r="J118" s="323"/>
      <c r="K118" s="294" t="s">
        <v>1331</v>
      </c>
      <c r="L118" s="435" t="s">
        <v>1041</v>
      </c>
      <c r="M118" s="325" t="s">
        <v>1335</v>
      </c>
      <c r="N118" s="58"/>
      <c r="O118" s="58">
        <v>19076376</v>
      </c>
      <c r="P118" s="891">
        <f t="shared" si="28"/>
        <v>19076376</v>
      </c>
      <c r="Q118" s="449"/>
      <c r="R118" s="449"/>
      <c r="S118" s="449"/>
      <c r="T118" s="449"/>
      <c r="U118" s="449"/>
      <c r="V118" s="449">
        <f t="shared" si="29"/>
        <v>19076376</v>
      </c>
      <c r="W118" s="1613" t="s">
        <v>1339</v>
      </c>
      <c r="X118" s="1614">
        <v>42502</v>
      </c>
      <c r="Y118" s="1614">
        <v>42508</v>
      </c>
      <c r="Z118" s="1615">
        <f t="shared" si="30"/>
        <v>19076376</v>
      </c>
      <c r="AA118" s="449"/>
      <c r="AB118" s="507">
        <f t="shared" si="16"/>
        <v>-19076376</v>
      </c>
      <c r="AC118" s="311"/>
      <c r="AD118" s="53"/>
      <c r="AL118" s="103"/>
      <c r="AM118" s="103"/>
      <c r="AN118" s="103"/>
      <c r="AO118" s="103"/>
      <c r="AP118" s="103"/>
      <c r="AQ118" s="103"/>
      <c r="AR118" s="103"/>
      <c r="AS118" s="430"/>
      <c r="AT118" s="100"/>
      <c r="AU118" s="461"/>
    </row>
    <row r="119" spans="1:47" s="54" customFormat="1" ht="31.5">
      <c r="A119" s="82"/>
      <c r="B119" s="290"/>
      <c r="C119" s="290"/>
      <c r="D119" s="321"/>
      <c r="E119" s="449"/>
      <c r="F119" s="262"/>
      <c r="G119" s="262"/>
      <c r="H119" s="379"/>
      <c r="I119" s="322"/>
      <c r="J119" s="323"/>
      <c r="K119" s="294" t="s">
        <v>1332</v>
      </c>
      <c r="L119" s="435" t="s">
        <v>1041</v>
      </c>
      <c r="M119" s="325" t="s">
        <v>1336</v>
      </c>
      <c r="N119" s="58"/>
      <c r="O119" s="58">
        <v>20532798</v>
      </c>
      <c r="P119" s="891">
        <f t="shared" si="28"/>
        <v>20532798</v>
      </c>
      <c r="Q119" s="449"/>
      <c r="R119" s="449"/>
      <c r="S119" s="449"/>
      <c r="T119" s="449"/>
      <c r="U119" s="449"/>
      <c r="V119" s="449">
        <f t="shared" si="29"/>
        <v>20532798</v>
      </c>
      <c r="W119" s="1613" t="s">
        <v>1339</v>
      </c>
      <c r="X119" s="1614">
        <v>42502</v>
      </c>
      <c r="Y119" s="1614">
        <v>42508</v>
      </c>
      <c r="Z119" s="1615">
        <f t="shared" si="30"/>
        <v>20532798</v>
      </c>
      <c r="AA119" s="449"/>
      <c r="AB119" s="507">
        <f t="shared" si="16"/>
        <v>-20532798</v>
      </c>
      <c r="AC119" s="311"/>
      <c r="AD119" s="53"/>
      <c r="AL119" s="103"/>
      <c r="AM119" s="103"/>
      <c r="AN119" s="103"/>
      <c r="AO119" s="103"/>
      <c r="AP119" s="103"/>
      <c r="AQ119" s="103"/>
      <c r="AR119" s="103"/>
      <c r="AS119" s="430"/>
      <c r="AT119" s="100"/>
      <c r="AU119" s="461"/>
    </row>
    <row r="120" spans="1:47" s="54" customFormat="1" ht="31.5">
      <c r="A120" s="82"/>
      <c r="B120" s="290"/>
      <c r="C120" s="290"/>
      <c r="D120" s="321"/>
      <c r="E120" s="449"/>
      <c r="F120" s="262"/>
      <c r="G120" s="262"/>
      <c r="H120" s="379"/>
      <c r="I120" s="322"/>
      <c r="J120" s="323"/>
      <c r="K120" s="294" t="s">
        <v>1333</v>
      </c>
      <c r="L120" s="435" t="s">
        <v>1041</v>
      </c>
      <c r="M120" s="325" t="s">
        <v>1337</v>
      </c>
      <c r="N120" s="58"/>
      <c r="O120" s="58">
        <v>15317676</v>
      </c>
      <c r="P120" s="891">
        <f t="shared" si="28"/>
        <v>15317676</v>
      </c>
      <c r="Q120" s="449"/>
      <c r="R120" s="449"/>
      <c r="S120" s="449"/>
      <c r="T120" s="449"/>
      <c r="U120" s="449"/>
      <c r="V120" s="449">
        <f t="shared" si="29"/>
        <v>15317676</v>
      </c>
      <c r="W120" s="1613" t="s">
        <v>1339</v>
      </c>
      <c r="X120" s="1614">
        <v>42502</v>
      </c>
      <c r="Y120" s="1614">
        <v>42508</v>
      </c>
      <c r="Z120" s="1615">
        <f t="shared" si="30"/>
        <v>15317676</v>
      </c>
      <c r="AA120" s="449"/>
      <c r="AB120" s="507">
        <f t="shared" si="16"/>
        <v>-15317676</v>
      </c>
      <c r="AC120" s="311"/>
      <c r="AD120" s="53"/>
      <c r="AL120" s="103"/>
      <c r="AM120" s="103"/>
      <c r="AN120" s="103"/>
      <c r="AO120" s="103"/>
      <c r="AP120" s="103"/>
      <c r="AQ120" s="103"/>
      <c r="AR120" s="103"/>
      <c r="AS120" s="430"/>
      <c r="AT120" s="100"/>
      <c r="AU120" s="461"/>
    </row>
    <row r="121" spans="1:47" s="54" customFormat="1" ht="31.5">
      <c r="A121" s="82"/>
      <c r="B121" s="290"/>
      <c r="C121" s="290"/>
      <c r="D121" s="321"/>
      <c r="E121" s="449"/>
      <c r="F121" s="262"/>
      <c r="G121" s="262"/>
      <c r="H121" s="379"/>
      <c r="I121" s="322"/>
      <c r="J121" s="323"/>
      <c r="K121" s="294" t="s">
        <v>1334</v>
      </c>
      <c r="L121" s="435" t="s">
        <v>1041</v>
      </c>
      <c r="M121" s="325" t="s">
        <v>1338</v>
      </c>
      <c r="N121" s="58"/>
      <c r="O121" s="58">
        <v>20517596</v>
      </c>
      <c r="P121" s="891">
        <f t="shared" si="28"/>
        <v>20517596</v>
      </c>
      <c r="Q121" s="449"/>
      <c r="R121" s="449"/>
      <c r="S121" s="449"/>
      <c r="T121" s="449"/>
      <c r="U121" s="449"/>
      <c r="V121" s="449">
        <f t="shared" si="29"/>
        <v>20517596</v>
      </c>
      <c r="W121" s="1613" t="s">
        <v>1339</v>
      </c>
      <c r="X121" s="1614">
        <v>42502</v>
      </c>
      <c r="Y121" s="1614">
        <v>42508</v>
      </c>
      <c r="Z121" s="1615">
        <f t="shared" si="30"/>
        <v>20517596</v>
      </c>
      <c r="AA121" s="449"/>
      <c r="AB121" s="507">
        <f t="shared" ref="AB121:AB140" si="31">+G121-P121</f>
        <v>-20517596</v>
      </c>
      <c r="AC121" s="311"/>
      <c r="AD121" s="53"/>
      <c r="AL121" s="103"/>
      <c r="AM121" s="103"/>
      <c r="AN121" s="103"/>
      <c r="AO121" s="103"/>
      <c r="AP121" s="103"/>
      <c r="AQ121" s="103"/>
      <c r="AR121" s="103"/>
      <c r="AS121" s="430"/>
      <c r="AT121" s="100"/>
      <c r="AU121" s="461"/>
    </row>
    <row r="122" spans="1:47" s="54" customFormat="1" ht="31.5">
      <c r="A122" s="82"/>
      <c r="B122" s="290"/>
      <c r="C122" s="290"/>
      <c r="D122" s="321"/>
      <c r="E122" s="449"/>
      <c r="F122" s="262"/>
      <c r="G122" s="262"/>
      <c r="H122" s="379"/>
      <c r="I122" s="322"/>
      <c r="J122" s="323"/>
      <c r="K122" s="294" t="s">
        <v>1341</v>
      </c>
      <c r="L122" s="435" t="s">
        <v>1041</v>
      </c>
      <c r="M122" s="325" t="s">
        <v>1342</v>
      </c>
      <c r="N122" s="58"/>
      <c r="O122" s="58">
        <v>57072967</v>
      </c>
      <c r="P122" s="891">
        <f t="shared" si="28"/>
        <v>57072967</v>
      </c>
      <c r="Q122" s="449"/>
      <c r="R122" s="449"/>
      <c r="S122" s="449"/>
      <c r="T122" s="449"/>
      <c r="U122" s="449"/>
      <c r="V122" s="449">
        <f t="shared" si="29"/>
        <v>57072967</v>
      </c>
      <c r="W122" s="1613" t="s">
        <v>1343</v>
      </c>
      <c r="X122" s="1614">
        <v>42503</v>
      </c>
      <c r="Y122" s="1614">
        <v>42517</v>
      </c>
      <c r="Z122" s="1615">
        <f t="shared" si="30"/>
        <v>57072967</v>
      </c>
      <c r="AA122" s="449"/>
      <c r="AB122" s="507">
        <f t="shared" si="31"/>
        <v>-57072967</v>
      </c>
      <c r="AC122" s="311"/>
      <c r="AD122" s="53"/>
      <c r="AL122" s="103"/>
      <c r="AM122" s="103"/>
      <c r="AN122" s="103"/>
      <c r="AO122" s="103"/>
      <c r="AP122" s="103"/>
      <c r="AQ122" s="103"/>
      <c r="AR122" s="103"/>
      <c r="AS122" s="430"/>
      <c r="AT122" s="100"/>
      <c r="AU122" s="461"/>
    </row>
    <row r="123" spans="1:47" s="54" customFormat="1" ht="31.5">
      <c r="A123" s="82"/>
      <c r="B123" s="290"/>
      <c r="C123" s="290"/>
      <c r="D123" s="321"/>
      <c r="E123" s="449"/>
      <c r="F123" s="262"/>
      <c r="G123" s="262"/>
      <c r="H123" s="379"/>
      <c r="I123" s="322"/>
      <c r="J123" s="323"/>
      <c r="K123" s="294" t="s">
        <v>1345</v>
      </c>
      <c r="L123" s="435" t="s">
        <v>1082</v>
      </c>
      <c r="M123" s="325" t="s">
        <v>1347</v>
      </c>
      <c r="N123" s="58"/>
      <c r="O123" s="58">
        <v>19119936</v>
      </c>
      <c r="P123" s="891">
        <f t="shared" si="28"/>
        <v>19119936</v>
      </c>
      <c r="Q123" s="449"/>
      <c r="R123" s="449"/>
      <c r="S123" s="449"/>
      <c r="T123" s="449"/>
      <c r="U123" s="449"/>
      <c r="V123" s="449">
        <f t="shared" si="29"/>
        <v>19119936</v>
      </c>
      <c r="W123" s="1613" t="s">
        <v>1349</v>
      </c>
      <c r="X123" s="1614">
        <v>42503</v>
      </c>
      <c r="Y123" s="1614">
        <v>42510</v>
      </c>
      <c r="Z123" s="1615">
        <f t="shared" si="30"/>
        <v>19119936</v>
      </c>
      <c r="AA123" s="449"/>
      <c r="AB123" s="507">
        <f t="shared" si="31"/>
        <v>-19119936</v>
      </c>
      <c r="AC123" s="311"/>
      <c r="AD123" s="53"/>
      <c r="AL123" s="103"/>
      <c r="AM123" s="103"/>
      <c r="AN123" s="103"/>
      <c r="AO123" s="103"/>
      <c r="AP123" s="103"/>
      <c r="AQ123" s="103"/>
      <c r="AR123" s="103"/>
      <c r="AS123" s="430"/>
      <c r="AT123" s="100"/>
      <c r="AU123" s="461"/>
    </row>
    <row r="124" spans="1:47" s="54" customFormat="1" ht="31.5">
      <c r="A124" s="82"/>
      <c r="B124" s="290"/>
      <c r="C124" s="290"/>
      <c r="D124" s="321"/>
      <c r="E124" s="449"/>
      <c r="F124" s="262"/>
      <c r="G124" s="262"/>
      <c r="H124" s="379"/>
      <c r="I124" s="322"/>
      <c r="J124" s="323"/>
      <c r="K124" s="294" t="s">
        <v>1346</v>
      </c>
      <c r="L124" s="435" t="s">
        <v>1082</v>
      </c>
      <c r="M124" s="325" t="s">
        <v>1348</v>
      </c>
      <c r="N124" s="58"/>
      <c r="O124" s="58">
        <v>10873500</v>
      </c>
      <c r="P124" s="891">
        <f t="shared" si="28"/>
        <v>10873500</v>
      </c>
      <c r="Q124" s="449"/>
      <c r="R124" s="449"/>
      <c r="S124" s="449"/>
      <c r="T124" s="449"/>
      <c r="U124" s="449"/>
      <c r="V124" s="449">
        <f t="shared" si="29"/>
        <v>10873500</v>
      </c>
      <c r="W124" s="1613" t="s">
        <v>1349</v>
      </c>
      <c r="X124" s="1614">
        <v>42503</v>
      </c>
      <c r="Y124" s="1614">
        <v>42510</v>
      </c>
      <c r="Z124" s="1615">
        <f t="shared" si="30"/>
        <v>10873500</v>
      </c>
      <c r="AA124" s="449"/>
      <c r="AB124" s="507">
        <f t="shared" si="31"/>
        <v>-10873500</v>
      </c>
      <c r="AC124" s="311"/>
      <c r="AD124" s="53"/>
      <c r="AL124" s="103"/>
      <c r="AM124" s="103"/>
      <c r="AN124" s="103"/>
      <c r="AO124" s="103"/>
      <c r="AP124" s="103"/>
      <c r="AQ124" s="103"/>
      <c r="AR124" s="103"/>
      <c r="AS124" s="430"/>
      <c r="AT124" s="100"/>
      <c r="AU124" s="461"/>
    </row>
    <row r="125" spans="1:47" s="54" customFormat="1" ht="47.25">
      <c r="A125" s="82"/>
      <c r="B125" s="290"/>
      <c r="C125" s="290"/>
      <c r="D125" s="321"/>
      <c r="E125" s="449"/>
      <c r="F125" s="262"/>
      <c r="G125" s="262"/>
      <c r="H125" s="379" t="s">
        <v>1612</v>
      </c>
      <c r="I125" s="322">
        <v>42520</v>
      </c>
      <c r="J125" s="323" t="s">
        <v>1587</v>
      </c>
      <c r="K125" s="294" t="s">
        <v>3411</v>
      </c>
      <c r="L125" s="435" t="s">
        <v>3407</v>
      </c>
      <c r="M125" s="325" t="s">
        <v>1588</v>
      </c>
      <c r="N125" s="58"/>
      <c r="O125" s="58">
        <v>91960000</v>
      </c>
      <c r="P125" s="891">
        <f t="shared" si="28"/>
        <v>91960000</v>
      </c>
      <c r="Q125" s="449"/>
      <c r="R125" s="449"/>
      <c r="S125" s="449"/>
      <c r="T125" s="449"/>
      <c r="U125" s="449"/>
      <c r="V125" s="449">
        <f t="shared" si="29"/>
        <v>91960000</v>
      </c>
      <c r="W125" s="1607" t="s">
        <v>3408</v>
      </c>
      <c r="X125" s="1608">
        <v>42711</v>
      </c>
      <c r="Y125" s="1608">
        <v>42718</v>
      </c>
      <c r="Z125" s="1609">
        <f>V125</f>
        <v>91960000</v>
      </c>
      <c r="AA125" s="288">
        <v>1</v>
      </c>
      <c r="AB125" s="49">
        <f t="shared" si="31"/>
        <v>-91960000</v>
      </c>
      <c r="AC125" s="326"/>
      <c r="AD125" s="53"/>
      <c r="AL125" s="103"/>
      <c r="AM125" s="103"/>
      <c r="AN125" s="103"/>
      <c r="AO125" s="103"/>
      <c r="AP125" s="103"/>
      <c r="AQ125" s="103"/>
      <c r="AR125" s="103"/>
      <c r="AS125" s="430"/>
      <c r="AT125" s="100"/>
      <c r="AU125" s="461"/>
    </row>
    <row r="126" spans="1:47" s="54" customFormat="1" ht="47.25">
      <c r="A126" s="82"/>
      <c r="B126" s="290"/>
      <c r="C126" s="290"/>
      <c r="D126" s="321"/>
      <c r="E126" s="449"/>
      <c r="F126" s="262"/>
      <c r="G126" s="262"/>
      <c r="H126" s="379" t="s">
        <v>1611</v>
      </c>
      <c r="I126" s="322">
        <v>42520</v>
      </c>
      <c r="J126" s="323" t="s">
        <v>1596</v>
      </c>
      <c r="K126" s="294" t="s">
        <v>3042</v>
      </c>
      <c r="L126" s="435" t="s">
        <v>1082</v>
      </c>
      <c r="M126" s="325" t="s">
        <v>1601</v>
      </c>
      <c r="N126" s="58"/>
      <c r="O126" s="58">
        <v>130006250</v>
      </c>
      <c r="P126" s="891">
        <f t="shared" si="28"/>
        <v>130006250</v>
      </c>
      <c r="Q126" s="449"/>
      <c r="R126" s="449"/>
      <c r="S126" s="449"/>
      <c r="T126" s="449"/>
      <c r="U126" s="449"/>
      <c r="V126" s="449">
        <f t="shared" si="29"/>
        <v>130006250</v>
      </c>
      <c r="W126" s="1613" t="s">
        <v>3044</v>
      </c>
      <c r="X126" s="1614">
        <v>42671</v>
      </c>
      <c r="Y126" s="1614">
        <v>42678</v>
      </c>
      <c r="Z126" s="1615">
        <f t="shared" si="30"/>
        <v>130006250</v>
      </c>
      <c r="AA126" s="1573">
        <v>1</v>
      </c>
      <c r="AB126" s="49">
        <f t="shared" si="31"/>
        <v>-130006250</v>
      </c>
      <c r="AC126" s="326"/>
      <c r="AD126" s="53"/>
      <c r="AL126" s="103"/>
      <c r="AM126" s="103"/>
      <c r="AN126" s="103"/>
      <c r="AO126" s="103"/>
      <c r="AP126" s="103"/>
      <c r="AQ126" s="103"/>
      <c r="AR126" s="103"/>
      <c r="AS126" s="430"/>
      <c r="AT126" s="100"/>
      <c r="AU126" s="461"/>
    </row>
    <row r="127" spans="1:47" s="54" customFormat="1" ht="47.25">
      <c r="A127" s="82"/>
      <c r="B127" s="290"/>
      <c r="C127" s="290"/>
      <c r="D127" s="321"/>
      <c r="E127" s="449"/>
      <c r="F127" s="262"/>
      <c r="G127" s="262"/>
      <c r="H127" s="379" t="s">
        <v>1610</v>
      </c>
      <c r="I127" s="322">
        <v>42520</v>
      </c>
      <c r="J127" s="323" t="s">
        <v>1597</v>
      </c>
      <c r="K127" s="294" t="s">
        <v>3043</v>
      </c>
      <c r="L127" s="435" t="s">
        <v>1082</v>
      </c>
      <c r="M127" s="325" t="s">
        <v>1602</v>
      </c>
      <c r="N127" s="58"/>
      <c r="O127" s="58">
        <v>149272750</v>
      </c>
      <c r="P127" s="891">
        <f t="shared" si="28"/>
        <v>149272750</v>
      </c>
      <c r="Q127" s="449"/>
      <c r="R127" s="449"/>
      <c r="S127" s="449"/>
      <c r="T127" s="449"/>
      <c r="U127" s="449"/>
      <c r="V127" s="449">
        <f t="shared" si="29"/>
        <v>149272750</v>
      </c>
      <c r="W127" s="1613" t="s">
        <v>3044</v>
      </c>
      <c r="X127" s="1614">
        <v>42671</v>
      </c>
      <c r="Y127" s="1614">
        <v>42678</v>
      </c>
      <c r="Z127" s="1615">
        <f>V127</f>
        <v>149272750</v>
      </c>
      <c r="AA127" s="1573">
        <v>1</v>
      </c>
      <c r="AB127" s="49">
        <f t="shared" si="31"/>
        <v>-149272750</v>
      </c>
      <c r="AC127" s="326"/>
      <c r="AD127" s="53"/>
      <c r="AL127" s="103"/>
      <c r="AM127" s="103"/>
      <c r="AN127" s="103"/>
      <c r="AO127" s="103"/>
      <c r="AP127" s="103"/>
      <c r="AQ127" s="103"/>
      <c r="AR127" s="103"/>
      <c r="AS127" s="430"/>
      <c r="AT127" s="100"/>
      <c r="AU127" s="461"/>
    </row>
    <row r="128" spans="1:47" s="54" customFormat="1" ht="47.25">
      <c r="A128" s="82"/>
      <c r="B128" s="290"/>
      <c r="C128" s="290"/>
      <c r="D128" s="321"/>
      <c r="E128" s="449"/>
      <c r="F128" s="262"/>
      <c r="G128" s="262"/>
      <c r="H128" s="379" t="s">
        <v>1608</v>
      </c>
      <c r="I128" s="322">
        <v>42520</v>
      </c>
      <c r="J128" s="323" t="s">
        <v>1598</v>
      </c>
      <c r="K128" s="294" t="s">
        <v>3040</v>
      </c>
      <c r="L128" s="435" t="s">
        <v>1082</v>
      </c>
      <c r="M128" s="325" t="s">
        <v>1603</v>
      </c>
      <c r="N128" s="58"/>
      <c r="O128" s="58">
        <v>154984500</v>
      </c>
      <c r="P128" s="891">
        <f t="shared" si="28"/>
        <v>154984500</v>
      </c>
      <c r="Q128" s="449"/>
      <c r="R128" s="449"/>
      <c r="S128" s="449"/>
      <c r="T128" s="449"/>
      <c r="U128" s="449"/>
      <c r="V128" s="449">
        <f t="shared" si="29"/>
        <v>154984500</v>
      </c>
      <c r="W128" s="1613" t="s">
        <v>3044</v>
      </c>
      <c r="X128" s="1614">
        <v>42671</v>
      </c>
      <c r="Y128" s="1614">
        <v>42678</v>
      </c>
      <c r="Z128" s="1615">
        <f>V128</f>
        <v>154984500</v>
      </c>
      <c r="AA128" s="1573">
        <v>1</v>
      </c>
      <c r="AB128" s="49">
        <f t="shared" si="31"/>
        <v>-154984500</v>
      </c>
      <c r="AC128" s="326"/>
      <c r="AD128" s="53"/>
      <c r="AL128" s="103"/>
      <c r="AM128" s="103"/>
      <c r="AN128" s="103"/>
      <c r="AO128" s="103"/>
      <c r="AP128" s="103"/>
      <c r="AQ128" s="103"/>
      <c r="AR128" s="103"/>
      <c r="AS128" s="430"/>
      <c r="AT128" s="100"/>
      <c r="AU128" s="461"/>
    </row>
    <row r="129" spans="1:47" s="54" customFormat="1" ht="47.25">
      <c r="A129" s="82"/>
      <c r="B129" s="290"/>
      <c r="C129" s="290"/>
      <c r="D129" s="321"/>
      <c r="E129" s="449"/>
      <c r="F129" s="262"/>
      <c r="G129" s="262"/>
      <c r="H129" s="379" t="s">
        <v>1609</v>
      </c>
      <c r="I129" s="322">
        <v>42520</v>
      </c>
      <c r="J129" s="323" t="s">
        <v>1599</v>
      </c>
      <c r="K129" s="294" t="s">
        <v>3041</v>
      </c>
      <c r="L129" s="435" t="s">
        <v>1082</v>
      </c>
      <c r="M129" s="325" t="s">
        <v>1604</v>
      </c>
      <c r="N129" s="58"/>
      <c r="O129" s="58">
        <v>157303300</v>
      </c>
      <c r="P129" s="891">
        <f t="shared" si="28"/>
        <v>157303300</v>
      </c>
      <c r="Q129" s="449"/>
      <c r="R129" s="449"/>
      <c r="S129" s="449"/>
      <c r="T129" s="449"/>
      <c r="U129" s="449"/>
      <c r="V129" s="449">
        <f t="shared" si="29"/>
        <v>157303300</v>
      </c>
      <c r="W129" s="1613" t="s">
        <v>3044</v>
      </c>
      <c r="X129" s="1614">
        <v>42671</v>
      </c>
      <c r="Y129" s="1614">
        <v>42678</v>
      </c>
      <c r="Z129" s="1615">
        <f>V129</f>
        <v>157303300</v>
      </c>
      <c r="AA129" s="1573">
        <v>1</v>
      </c>
      <c r="AB129" s="49">
        <f t="shared" si="31"/>
        <v>-157303300</v>
      </c>
      <c r="AC129" s="326"/>
      <c r="AD129" s="53"/>
      <c r="AL129" s="103"/>
      <c r="AM129" s="103"/>
      <c r="AN129" s="103"/>
      <c r="AO129" s="103"/>
      <c r="AP129" s="103"/>
      <c r="AQ129" s="103"/>
      <c r="AR129" s="103"/>
      <c r="AS129" s="430"/>
      <c r="AT129" s="100"/>
      <c r="AU129" s="461"/>
    </row>
    <row r="130" spans="1:47" s="54" customFormat="1" ht="47.25">
      <c r="A130" s="82"/>
      <c r="B130" s="290"/>
      <c r="C130" s="290"/>
      <c r="D130" s="321"/>
      <c r="E130" s="449"/>
      <c r="F130" s="262"/>
      <c r="G130" s="262"/>
      <c r="H130" s="379" t="s">
        <v>1607</v>
      </c>
      <c r="I130" s="322">
        <v>42520</v>
      </c>
      <c r="J130" s="323" t="s">
        <v>1600</v>
      </c>
      <c r="K130" s="294"/>
      <c r="L130" s="435"/>
      <c r="M130" s="325" t="s">
        <v>1605</v>
      </c>
      <c r="N130" s="58"/>
      <c r="O130" s="58">
        <v>160490000</v>
      </c>
      <c r="P130" s="891">
        <f t="shared" si="28"/>
        <v>160490000</v>
      </c>
      <c r="Q130" s="449"/>
      <c r="R130" s="449"/>
      <c r="S130" s="449"/>
      <c r="T130" s="449"/>
      <c r="U130" s="449"/>
      <c r="V130" s="449">
        <f t="shared" si="29"/>
        <v>160490000</v>
      </c>
      <c r="W130" s="1613"/>
      <c r="X130" s="1614"/>
      <c r="Y130" s="1614"/>
      <c r="Z130" s="1615"/>
      <c r="AA130" s="1032"/>
      <c r="AB130" s="49">
        <f t="shared" si="31"/>
        <v>-160490000</v>
      </c>
      <c r="AC130" s="326"/>
      <c r="AD130" s="53"/>
      <c r="AL130" s="103"/>
      <c r="AM130" s="103"/>
      <c r="AN130" s="103"/>
      <c r="AO130" s="103"/>
      <c r="AP130" s="103"/>
      <c r="AQ130" s="103"/>
      <c r="AR130" s="103"/>
      <c r="AS130" s="430"/>
      <c r="AT130" s="100"/>
      <c r="AU130" s="461"/>
    </row>
    <row r="131" spans="1:47" s="54" customFormat="1" ht="31.5">
      <c r="A131" s="82"/>
      <c r="B131" s="290"/>
      <c r="C131" s="290"/>
      <c r="D131" s="321"/>
      <c r="E131" s="449"/>
      <c r="F131" s="262"/>
      <c r="G131" s="262"/>
      <c r="H131" s="379"/>
      <c r="I131" s="322"/>
      <c r="J131" s="323"/>
      <c r="K131" s="294" t="s">
        <v>1672</v>
      </c>
      <c r="L131" s="435" t="s">
        <v>1041</v>
      </c>
      <c r="M131" s="325" t="s">
        <v>1676</v>
      </c>
      <c r="N131" s="58"/>
      <c r="O131" s="58">
        <v>275325336</v>
      </c>
      <c r="P131" s="891">
        <f t="shared" si="28"/>
        <v>275325336</v>
      </c>
      <c r="Q131" s="449"/>
      <c r="R131" s="449"/>
      <c r="S131" s="449"/>
      <c r="T131" s="449"/>
      <c r="U131" s="449"/>
      <c r="V131" s="449">
        <f t="shared" si="29"/>
        <v>275325336</v>
      </c>
      <c r="W131" s="1613" t="s">
        <v>1671</v>
      </c>
      <c r="X131" s="1614">
        <v>42524</v>
      </c>
      <c r="Y131" s="1614">
        <v>42534</v>
      </c>
      <c r="Z131" s="1615">
        <f t="shared" ref="Z131:Z159" si="32">V131</f>
        <v>275325336</v>
      </c>
      <c r="AA131" s="1032"/>
      <c r="AB131" s="49">
        <f t="shared" si="31"/>
        <v>-275325336</v>
      </c>
      <c r="AC131" s="326"/>
      <c r="AD131" s="53"/>
      <c r="AL131" s="103"/>
      <c r="AM131" s="103"/>
      <c r="AN131" s="103"/>
      <c r="AO131" s="103"/>
      <c r="AP131" s="103"/>
      <c r="AQ131" s="103"/>
      <c r="AR131" s="103"/>
      <c r="AS131" s="430"/>
      <c r="AT131" s="100"/>
      <c r="AU131" s="461"/>
    </row>
    <row r="132" spans="1:47" s="54" customFormat="1" ht="31.5">
      <c r="A132" s="82"/>
      <c r="B132" s="290"/>
      <c r="C132" s="290"/>
      <c r="D132" s="321"/>
      <c r="E132" s="449"/>
      <c r="F132" s="262"/>
      <c r="G132" s="262"/>
      <c r="H132" s="379"/>
      <c r="I132" s="322"/>
      <c r="J132" s="323"/>
      <c r="K132" s="294" t="s">
        <v>1673</v>
      </c>
      <c r="L132" s="435" t="s">
        <v>1041</v>
      </c>
      <c r="M132" s="325" t="s">
        <v>1677</v>
      </c>
      <c r="N132" s="58"/>
      <c r="O132" s="58">
        <v>30815958</v>
      </c>
      <c r="P132" s="891">
        <f t="shared" si="28"/>
        <v>30815958</v>
      </c>
      <c r="Q132" s="449"/>
      <c r="R132" s="449"/>
      <c r="S132" s="449"/>
      <c r="T132" s="449"/>
      <c r="U132" s="449"/>
      <c r="V132" s="449">
        <f t="shared" si="29"/>
        <v>30815958</v>
      </c>
      <c r="W132" s="1613" t="s">
        <v>1671</v>
      </c>
      <c r="X132" s="1614">
        <v>42524</v>
      </c>
      <c r="Y132" s="1614">
        <v>42534</v>
      </c>
      <c r="Z132" s="1615">
        <f t="shared" si="32"/>
        <v>30815958</v>
      </c>
      <c r="AA132" s="1032"/>
      <c r="AB132" s="49">
        <f t="shared" si="31"/>
        <v>-30815958</v>
      </c>
      <c r="AC132" s="326"/>
      <c r="AD132" s="53"/>
      <c r="AL132" s="103"/>
      <c r="AM132" s="103"/>
      <c r="AN132" s="103"/>
      <c r="AO132" s="103"/>
      <c r="AP132" s="103"/>
      <c r="AQ132" s="103"/>
      <c r="AR132" s="103"/>
      <c r="AS132" s="430"/>
      <c r="AT132" s="100"/>
      <c r="AU132" s="461"/>
    </row>
    <row r="133" spans="1:47" s="54" customFormat="1" ht="31.5">
      <c r="A133" s="82"/>
      <c r="B133" s="290"/>
      <c r="C133" s="290"/>
      <c r="D133" s="321"/>
      <c r="E133" s="449"/>
      <c r="F133" s="262"/>
      <c r="G133" s="262"/>
      <c r="H133" s="379"/>
      <c r="I133" s="322"/>
      <c r="J133" s="323"/>
      <c r="K133" s="294" t="s">
        <v>1674</v>
      </c>
      <c r="L133" s="435" t="s">
        <v>1082</v>
      </c>
      <c r="M133" s="325" t="s">
        <v>1678</v>
      </c>
      <c r="N133" s="58"/>
      <c r="O133" s="58">
        <v>84613815</v>
      </c>
      <c r="P133" s="891">
        <f t="shared" si="28"/>
        <v>84613815</v>
      </c>
      <c r="Q133" s="449"/>
      <c r="R133" s="449"/>
      <c r="S133" s="449"/>
      <c r="T133" s="449"/>
      <c r="U133" s="449"/>
      <c r="V133" s="449">
        <f t="shared" si="29"/>
        <v>84613815</v>
      </c>
      <c r="W133" s="1613" t="s">
        <v>1671</v>
      </c>
      <c r="X133" s="1614">
        <v>42524</v>
      </c>
      <c r="Y133" s="1614">
        <v>42534</v>
      </c>
      <c r="Z133" s="1615">
        <f t="shared" si="32"/>
        <v>84613815</v>
      </c>
      <c r="AA133" s="1032"/>
      <c r="AB133" s="49">
        <f t="shared" si="31"/>
        <v>-84613815</v>
      </c>
      <c r="AC133" s="326"/>
      <c r="AD133" s="53"/>
      <c r="AL133" s="103"/>
      <c r="AM133" s="103"/>
      <c r="AN133" s="103"/>
      <c r="AO133" s="103"/>
      <c r="AP133" s="103"/>
      <c r="AQ133" s="103"/>
      <c r="AR133" s="103"/>
      <c r="AS133" s="430"/>
      <c r="AT133" s="100"/>
      <c r="AU133" s="461"/>
    </row>
    <row r="134" spans="1:47" s="54" customFormat="1" ht="31.5">
      <c r="A134" s="82"/>
      <c r="B134" s="290"/>
      <c r="C134" s="290"/>
      <c r="D134" s="321"/>
      <c r="E134" s="449"/>
      <c r="F134" s="262"/>
      <c r="G134" s="262"/>
      <c r="H134" s="379"/>
      <c r="I134" s="322"/>
      <c r="J134" s="323"/>
      <c r="K134" s="294" t="s">
        <v>1675</v>
      </c>
      <c r="L134" s="435" t="s">
        <v>1082</v>
      </c>
      <c r="M134" s="325" t="s">
        <v>1679</v>
      </c>
      <c r="N134" s="58"/>
      <c r="O134" s="58">
        <v>123291025</v>
      </c>
      <c r="P134" s="891">
        <f t="shared" si="28"/>
        <v>123291025</v>
      </c>
      <c r="Q134" s="449"/>
      <c r="R134" s="449"/>
      <c r="S134" s="449"/>
      <c r="T134" s="449"/>
      <c r="U134" s="449"/>
      <c r="V134" s="449">
        <f t="shared" si="29"/>
        <v>123291025</v>
      </c>
      <c r="W134" s="1613" t="s">
        <v>1671</v>
      </c>
      <c r="X134" s="1614">
        <v>42524</v>
      </c>
      <c r="Y134" s="1614">
        <v>42534</v>
      </c>
      <c r="Z134" s="1615">
        <f t="shared" si="32"/>
        <v>123291025</v>
      </c>
      <c r="AA134" s="1032"/>
      <c r="AB134" s="49">
        <f t="shared" si="31"/>
        <v>-123291025</v>
      </c>
      <c r="AC134" s="326"/>
      <c r="AD134" s="53"/>
      <c r="AL134" s="103"/>
      <c r="AM134" s="103"/>
      <c r="AN134" s="103"/>
      <c r="AO134" s="103"/>
      <c r="AP134" s="103"/>
      <c r="AQ134" s="103"/>
      <c r="AR134" s="103"/>
      <c r="AS134" s="430"/>
      <c r="AT134" s="100"/>
      <c r="AU134" s="461"/>
    </row>
    <row r="135" spans="1:47" s="54" customFormat="1" ht="31.5">
      <c r="A135" s="82"/>
      <c r="B135" s="290"/>
      <c r="C135" s="290"/>
      <c r="D135" s="321"/>
      <c r="E135" s="449"/>
      <c r="F135" s="262"/>
      <c r="G135" s="262"/>
      <c r="H135" s="379"/>
      <c r="I135" s="322"/>
      <c r="J135" s="323"/>
      <c r="K135" s="294" t="s">
        <v>1686</v>
      </c>
      <c r="L135" s="435" t="s">
        <v>1082</v>
      </c>
      <c r="M135" s="325" t="s">
        <v>1691</v>
      </c>
      <c r="N135" s="58"/>
      <c r="O135" s="58">
        <v>607873728</v>
      </c>
      <c r="P135" s="891">
        <f t="shared" si="28"/>
        <v>607873728</v>
      </c>
      <c r="Q135" s="449"/>
      <c r="R135" s="449"/>
      <c r="S135" s="449"/>
      <c r="T135" s="449"/>
      <c r="U135" s="449"/>
      <c r="V135" s="449">
        <f t="shared" si="29"/>
        <v>607873728</v>
      </c>
      <c r="W135" s="1613" t="s">
        <v>1696</v>
      </c>
      <c r="X135" s="1614">
        <v>42528</v>
      </c>
      <c r="Y135" s="1614">
        <v>42534</v>
      </c>
      <c r="Z135" s="1615">
        <f t="shared" si="32"/>
        <v>607873728</v>
      </c>
      <c r="AA135" s="1032"/>
      <c r="AB135" s="49">
        <f t="shared" si="31"/>
        <v>-607873728</v>
      </c>
      <c r="AC135" s="326"/>
      <c r="AD135" s="53"/>
      <c r="AL135" s="103"/>
      <c r="AM135" s="103"/>
      <c r="AN135" s="103"/>
      <c r="AO135" s="103"/>
      <c r="AP135" s="103"/>
      <c r="AQ135" s="103"/>
      <c r="AR135" s="103"/>
      <c r="AS135" s="430"/>
      <c r="AT135" s="100"/>
      <c r="AU135" s="461"/>
    </row>
    <row r="136" spans="1:47" s="54" customFormat="1" ht="31.5">
      <c r="A136" s="82"/>
      <c r="B136" s="290"/>
      <c r="C136" s="290"/>
      <c r="D136" s="321"/>
      <c r="E136" s="449"/>
      <c r="F136" s="262"/>
      <c r="G136" s="262"/>
      <c r="H136" s="379"/>
      <c r="I136" s="322"/>
      <c r="J136" s="323"/>
      <c r="K136" s="294" t="s">
        <v>1687</v>
      </c>
      <c r="L136" s="435" t="s">
        <v>1082</v>
      </c>
      <c r="M136" s="325" t="s">
        <v>1692</v>
      </c>
      <c r="N136" s="58"/>
      <c r="O136" s="58">
        <v>96290304</v>
      </c>
      <c r="P136" s="891">
        <f t="shared" si="28"/>
        <v>96290304</v>
      </c>
      <c r="Q136" s="449"/>
      <c r="R136" s="449"/>
      <c r="S136" s="449"/>
      <c r="T136" s="449"/>
      <c r="U136" s="449"/>
      <c r="V136" s="449">
        <f t="shared" si="29"/>
        <v>96290304</v>
      </c>
      <c r="W136" s="1613" t="s">
        <v>1696</v>
      </c>
      <c r="X136" s="1614">
        <v>42528</v>
      </c>
      <c r="Y136" s="1614">
        <v>42534</v>
      </c>
      <c r="Z136" s="1615">
        <f t="shared" si="32"/>
        <v>96290304</v>
      </c>
      <c r="AA136" s="1032"/>
      <c r="AB136" s="49">
        <f t="shared" si="31"/>
        <v>-96290304</v>
      </c>
      <c r="AC136" s="326"/>
      <c r="AD136" s="53"/>
      <c r="AL136" s="103"/>
      <c r="AM136" s="103"/>
      <c r="AN136" s="103"/>
      <c r="AO136" s="103"/>
      <c r="AP136" s="103"/>
      <c r="AQ136" s="103"/>
      <c r="AR136" s="103"/>
      <c r="AS136" s="430"/>
      <c r="AT136" s="100"/>
      <c r="AU136" s="461"/>
    </row>
    <row r="137" spans="1:47" s="54" customFormat="1" ht="31.5">
      <c r="A137" s="82"/>
      <c r="B137" s="290"/>
      <c r="C137" s="290"/>
      <c r="D137" s="321"/>
      <c r="E137" s="449"/>
      <c r="F137" s="262"/>
      <c r="G137" s="262"/>
      <c r="H137" s="379"/>
      <c r="I137" s="322"/>
      <c r="J137" s="323"/>
      <c r="K137" s="294" t="s">
        <v>1688</v>
      </c>
      <c r="L137" s="435" t="s">
        <v>1082</v>
      </c>
      <c r="M137" s="325" t="s">
        <v>1693</v>
      </c>
      <c r="N137" s="58"/>
      <c r="O137" s="58">
        <v>104183904</v>
      </c>
      <c r="P137" s="891">
        <f t="shared" si="28"/>
        <v>104183904</v>
      </c>
      <c r="Q137" s="449"/>
      <c r="R137" s="449"/>
      <c r="S137" s="449"/>
      <c r="T137" s="449"/>
      <c r="U137" s="449"/>
      <c r="V137" s="449">
        <f t="shared" si="29"/>
        <v>104183904</v>
      </c>
      <c r="W137" s="1613" t="s">
        <v>1696</v>
      </c>
      <c r="X137" s="1614">
        <v>42528</v>
      </c>
      <c r="Y137" s="1614">
        <v>42534</v>
      </c>
      <c r="Z137" s="1615">
        <f t="shared" si="32"/>
        <v>104183904</v>
      </c>
      <c r="AA137" s="1032"/>
      <c r="AB137" s="49">
        <f t="shared" si="31"/>
        <v>-104183904</v>
      </c>
      <c r="AC137" s="326"/>
      <c r="AD137" s="53"/>
      <c r="AL137" s="103"/>
      <c r="AM137" s="103"/>
      <c r="AN137" s="103"/>
      <c r="AO137" s="103"/>
      <c r="AP137" s="103"/>
      <c r="AQ137" s="103"/>
      <c r="AR137" s="103"/>
      <c r="AS137" s="430"/>
      <c r="AT137" s="100"/>
      <c r="AU137" s="461"/>
    </row>
    <row r="138" spans="1:47" s="54" customFormat="1" ht="31.5">
      <c r="A138" s="82"/>
      <c r="B138" s="290"/>
      <c r="C138" s="290"/>
      <c r="D138" s="321"/>
      <c r="E138" s="449"/>
      <c r="F138" s="262"/>
      <c r="G138" s="262"/>
      <c r="H138" s="379"/>
      <c r="I138" s="322"/>
      <c r="J138" s="323"/>
      <c r="K138" s="294" t="s">
        <v>1689</v>
      </c>
      <c r="L138" s="435" t="s">
        <v>1041</v>
      </c>
      <c r="M138" s="325" t="s">
        <v>1694</v>
      </c>
      <c r="N138" s="58"/>
      <c r="O138" s="58">
        <v>171600000</v>
      </c>
      <c r="P138" s="891">
        <f t="shared" si="28"/>
        <v>171600000</v>
      </c>
      <c r="Q138" s="449"/>
      <c r="R138" s="449"/>
      <c r="S138" s="449"/>
      <c r="T138" s="449"/>
      <c r="U138" s="449"/>
      <c r="V138" s="449">
        <f t="shared" si="29"/>
        <v>171600000</v>
      </c>
      <c r="W138" s="1613" t="s">
        <v>1696</v>
      </c>
      <c r="X138" s="1614">
        <v>42528</v>
      </c>
      <c r="Y138" s="1614">
        <v>42534</v>
      </c>
      <c r="Z138" s="1615">
        <f t="shared" si="32"/>
        <v>171600000</v>
      </c>
      <c r="AA138" s="1032"/>
      <c r="AB138" s="49">
        <f t="shared" si="31"/>
        <v>-171600000</v>
      </c>
      <c r="AC138" s="326"/>
      <c r="AD138" s="53"/>
      <c r="AL138" s="103"/>
      <c r="AM138" s="103"/>
      <c r="AN138" s="103"/>
      <c r="AO138" s="103"/>
      <c r="AP138" s="103"/>
      <c r="AQ138" s="103"/>
      <c r="AR138" s="103"/>
      <c r="AS138" s="430"/>
      <c r="AT138" s="100"/>
      <c r="AU138" s="461"/>
    </row>
    <row r="139" spans="1:47" s="54" customFormat="1" ht="31.5">
      <c r="A139" s="82"/>
      <c r="B139" s="290"/>
      <c r="C139" s="290"/>
      <c r="D139" s="321"/>
      <c r="E139" s="449"/>
      <c r="F139" s="262"/>
      <c r="G139" s="262"/>
      <c r="H139" s="379"/>
      <c r="I139" s="322"/>
      <c r="J139" s="323"/>
      <c r="K139" s="294" t="s">
        <v>1690</v>
      </c>
      <c r="L139" s="435" t="s">
        <v>1041</v>
      </c>
      <c r="M139" s="325" t="s">
        <v>1695</v>
      </c>
      <c r="N139" s="58"/>
      <c r="O139" s="58">
        <v>109340000</v>
      </c>
      <c r="P139" s="891">
        <f t="shared" si="28"/>
        <v>109340000</v>
      </c>
      <c r="Q139" s="449"/>
      <c r="R139" s="449"/>
      <c r="S139" s="449"/>
      <c r="T139" s="449"/>
      <c r="U139" s="449"/>
      <c r="V139" s="449">
        <f t="shared" si="29"/>
        <v>109340000</v>
      </c>
      <c r="W139" s="1613" t="s">
        <v>1696</v>
      </c>
      <c r="X139" s="1614">
        <v>42528</v>
      </c>
      <c r="Y139" s="1614">
        <v>42534</v>
      </c>
      <c r="Z139" s="1615">
        <f t="shared" si="32"/>
        <v>109340000</v>
      </c>
      <c r="AA139" s="1032"/>
      <c r="AB139" s="49">
        <f t="shared" si="31"/>
        <v>-109340000</v>
      </c>
      <c r="AC139" s="326"/>
      <c r="AD139" s="53"/>
      <c r="AL139" s="103"/>
      <c r="AM139" s="103"/>
      <c r="AN139" s="103"/>
      <c r="AO139" s="103"/>
      <c r="AP139" s="103"/>
      <c r="AQ139" s="103"/>
      <c r="AR139" s="103"/>
      <c r="AS139" s="430"/>
      <c r="AT139" s="100"/>
      <c r="AU139" s="461"/>
    </row>
    <row r="140" spans="1:47" s="54" customFormat="1" ht="31.5">
      <c r="A140" s="82"/>
      <c r="B140" s="290"/>
      <c r="C140" s="290"/>
      <c r="D140" s="321"/>
      <c r="E140" s="449"/>
      <c r="F140" s="262"/>
      <c r="G140" s="262"/>
      <c r="H140" s="379"/>
      <c r="I140" s="322"/>
      <c r="J140" s="323"/>
      <c r="K140" s="294" t="s">
        <v>1704</v>
      </c>
      <c r="L140" s="435" t="s">
        <v>1082</v>
      </c>
      <c r="M140" s="325" t="s">
        <v>1705</v>
      </c>
      <c r="N140" s="58"/>
      <c r="O140" s="58">
        <v>65084800</v>
      </c>
      <c r="P140" s="891">
        <f t="shared" ref="P140:P179" si="33">N140+O140</f>
        <v>65084800</v>
      </c>
      <c r="Q140" s="449"/>
      <c r="R140" s="449"/>
      <c r="S140" s="449"/>
      <c r="T140" s="449"/>
      <c r="U140" s="449"/>
      <c r="V140" s="449">
        <f t="shared" ref="V140:V161" si="34">P140</f>
        <v>65084800</v>
      </c>
      <c r="W140" s="1613" t="s">
        <v>1706</v>
      </c>
      <c r="X140" s="1614">
        <v>42522</v>
      </c>
      <c r="Y140" s="1614">
        <v>42528</v>
      </c>
      <c r="Z140" s="1615">
        <f t="shared" si="32"/>
        <v>65084800</v>
      </c>
      <c r="AA140" s="1032"/>
      <c r="AB140" s="49">
        <f t="shared" si="31"/>
        <v>-65084800</v>
      </c>
      <c r="AC140" s="326"/>
      <c r="AD140" s="53"/>
      <c r="AL140" s="103"/>
      <c r="AM140" s="103"/>
      <c r="AN140" s="103"/>
      <c r="AO140" s="103"/>
      <c r="AP140" s="103"/>
      <c r="AQ140" s="103"/>
      <c r="AR140" s="103"/>
      <c r="AS140" s="430"/>
      <c r="AT140" s="100"/>
      <c r="AU140" s="461"/>
    </row>
    <row r="141" spans="1:47" s="54" customFormat="1" ht="31.5">
      <c r="A141" s="82"/>
      <c r="B141" s="290"/>
      <c r="C141" s="290"/>
      <c r="D141" s="321"/>
      <c r="E141" s="449"/>
      <c r="F141" s="262"/>
      <c r="G141" s="262"/>
      <c r="H141" s="379"/>
      <c r="I141" s="322"/>
      <c r="J141" s="323"/>
      <c r="K141" s="294" t="s">
        <v>1707</v>
      </c>
      <c r="L141" s="435" t="s">
        <v>1082</v>
      </c>
      <c r="M141" s="325" t="s">
        <v>1710</v>
      </c>
      <c r="N141" s="58"/>
      <c r="O141" s="58">
        <v>21733800</v>
      </c>
      <c r="P141" s="891">
        <f t="shared" si="33"/>
        <v>21733800</v>
      </c>
      <c r="Q141" s="449"/>
      <c r="R141" s="449"/>
      <c r="S141" s="449"/>
      <c r="T141" s="449"/>
      <c r="U141" s="449"/>
      <c r="V141" s="449">
        <f t="shared" si="34"/>
        <v>21733800</v>
      </c>
      <c r="W141" s="1613" t="s">
        <v>1713</v>
      </c>
      <c r="X141" s="1614">
        <v>42528</v>
      </c>
      <c r="Y141" s="1614">
        <v>42535</v>
      </c>
      <c r="Z141" s="1615">
        <f t="shared" si="32"/>
        <v>21733800</v>
      </c>
      <c r="AA141" s="1032"/>
      <c r="AB141" s="49">
        <f t="shared" ref="AB141:AB159" si="35">+G141-P141</f>
        <v>-21733800</v>
      </c>
      <c r="AC141" s="326"/>
      <c r="AD141" s="53"/>
      <c r="AL141" s="103"/>
      <c r="AM141" s="103"/>
      <c r="AN141" s="103"/>
      <c r="AO141" s="103"/>
      <c r="AP141" s="103"/>
      <c r="AQ141" s="103"/>
      <c r="AR141" s="103"/>
      <c r="AS141" s="430"/>
      <c r="AT141" s="100"/>
      <c r="AU141" s="461"/>
    </row>
    <row r="142" spans="1:47" s="54" customFormat="1" ht="31.5">
      <c r="A142" s="82"/>
      <c r="B142" s="290"/>
      <c r="C142" s="290"/>
      <c r="D142" s="321"/>
      <c r="E142" s="449"/>
      <c r="F142" s="262"/>
      <c r="G142" s="262"/>
      <c r="H142" s="379"/>
      <c r="I142" s="322"/>
      <c r="J142" s="323"/>
      <c r="K142" s="294" t="s">
        <v>1708</v>
      </c>
      <c r="L142" s="435" t="s">
        <v>1082</v>
      </c>
      <c r="M142" s="325" t="s">
        <v>1711</v>
      </c>
      <c r="N142" s="58"/>
      <c r="O142" s="58">
        <v>21733800</v>
      </c>
      <c r="P142" s="891">
        <f t="shared" si="33"/>
        <v>21733800</v>
      </c>
      <c r="Q142" s="449"/>
      <c r="R142" s="449"/>
      <c r="S142" s="449"/>
      <c r="T142" s="449"/>
      <c r="U142" s="449"/>
      <c r="V142" s="449">
        <f t="shared" si="34"/>
        <v>21733800</v>
      </c>
      <c r="W142" s="1613" t="s">
        <v>1713</v>
      </c>
      <c r="X142" s="1614">
        <v>42528</v>
      </c>
      <c r="Y142" s="1614">
        <v>42535</v>
      </c>
      <c r="Z142" s="1615">
        <f t="shared" si="32"/>
        <v>21733800</v>
      </c>
      <c r="AA142" s="1032"/>
      <c r="AB142" s="49">
        <f t="shared" si="35"/>
        <v>-21733800</v>
      </c>
      <c r="AC142" s="326"/>
      <c r="AD142" s="53"/>
      <c r="AL142" s="103"/>
      <c r="AM142" s="103"/>
      <c r="AN142" s="103"/>
      <c r="AO142" s="103"/>
      <c r="AP142" s="103"/>
      <c r="AQ142" s="103"/>
      <c r="AR142" s="103"/>
      <c r="AS142" s="430"/>
      <c r="AT142" s="100"/>
      <c r="AU142" s="461"/>
    </row>
    <row r="143" spans="1:47" s="54" customFormat="1" ht="31.5">
      <c r="A143" s="82"/>
      <c r="B143" s="290"/>
      <c r="C143" s="290"/>
      <c r="D143" s="321"/>
      <c r="E143" s="449"/>
      <c r="F143" s="262"/>
      <c r="G143" s="262"/>
      <c r="H143" s="379"/>
      <c r="I143" s="322"/>
      <c r="J143" s="323"/>
      <c r="K143" s="294" t="s">
        <v>1709</v>
      </c>
      <c r="L143" s="435" t="s">
        <v>1082</v>
      </c>
      <c r="M143" s="325" t="s">
        <v>1712</v>
      </c>
      <c r="N143" s="58"/>
      <c r="O143" s="58">
        <v>13040500</v>
      </c>
      <c r="P143" s="891">
        <f t="shared" si="33"/>
        <v>13040500</v>
      </c>
      <c r="Q143" s="449"/>
      <c r="R143" s="449"/>
      <c r="S143" s="449"/>
      <c r="T143" s="449"/>
      <c r="U143" s="449"/>
      <c r="V143" s="449">
        <f t="shared" si="34"/>
        <v>13040500</v>
      </c>
      <c r="W143" s="1613" t="s">
        <v>1713</v>
      </c>
      <c r="X143" s="1614">
        <v>42528</v>
      </c>
      <c r="Y143" s="1614">
        <v>42535</v>
      </c>
      <c r="Z143" s="1615">
        <f t="shared" si="32"/>
        <v>13040500</v>
      </c>
      <c r="AA143" s="1032"/>
      <c r="AB143" s="49">
        <f t="shared" si="35"/>
        <v>-13040500</v>
      </c>
      <c r="AC143" s="326"/>
      <c r="AD143" s="53"/>
      <c r="AL143" s="103"/>
      <c r="AM143" s="103"/>
      <c r="AN143" s="103"/>
      <c r="AO143" s="103"/>
      <c r="AP143" s="103"/>
      <c r="AQ143" s="103"/>
      <c r="AR143" s="103"/>
      <c r="AS143" s="430"/>
      <c r="AT143" s="100"/>
      <c r="AU143" s="461"/>
    </row>
    <row r="144" spans="1:47" s="54" customFormat="1" ht="31.5">
      <c r="A144" s="82"/>
      <c r="B144" s="290"/>
      <c r="C144" s="290"/>
      <c r="D144" s="321"/>
      <c r="E144" s="449"/>
      <c r="F144" s="262"/>
      <c r="G144" s="262"/>
      <c r="H144" s="379"/>
      <c r="I144" s="322"/>
      <c r="J144" s="323"/>
      <c r="K144" s="294" t="s">
        <v>1723</v>
      </c>
      <c r="L144" s="435" t="s">
        <v>1096</v>
      </c>
      <c r="M144" s="325" t="s">
        <v>1725</v>
      </c>
      <c r="N144" s="58"/>
      <c r="O144" s="58">
        <v>15291309</v>
      </c>
      <c r="P144" s="891">
        <f t="shared" si="33"/>
        <v>15291309</v>
      </c>
      <c r="Q144" s="449"/>
      <c r="R144" s="449"/>
      <c r="S144" s="449"/>
      <c r="T144" s="449"/>
      <c r="U144" s="449"/>
      <c r="V144" s="449">
        <f t="shared" si="34"/>
        <v>15291309</v>
      </c>
      <c r="W144" s="1613" t="s">
        <v>1727</v>
      </c>
      <c r="X144" s="1614">
        <v>42542</v>
      </c>
      <c r="Y144" s="1614">
        <v>42549</v>
      </c>
      <c r="Z144" s="1615">
        <f t="shared" si="32"/>
        <v>15291309</v>
      </c>
      <c r="AA144" s="1032"/>
      <c r="AB144" s="49">
        <f t="shared" si="35"/>
        <v>-15291309</v>
      </c>
      <c r="AC144" s="326"/>
      <c r="AD144" s="53"/>
      <c r="AL144" s="103"/>
      <c r="AM144" s="103"/>
      <c r="AN144" s="103"/>
      <c r="AO144" s="103"/>
      <c r="AP144" s="103"/>
      <c r="AQ144" s="103"/>
      <c r="AR144" s="103"/>
      <c r="AS144" s="430"/>
      <c r="AT144" s="100"/>
      <c r="AU144" s="461"/>
    </row>
    <row r="145" spans="1:47" s="54" customFormat="1" ht="15.75" customHeight="1">
      <c r="A145" s="82"/>
      <c r="B145" s="82"/>
      <c r="C145" s="82"/>
      <c r="D145" s="82"/>
      <c r="E145" s="107"/>
      <c r="F145" s="107"/>
      <c r="G145" s="107"/>
      <c r="H145" s="107"/>
      <c r="I145" s="107"/>
      <c r="J145" s="107"/>
      <c r="K145" s="536" t="s">
        <v>1724</v>
      </c>
      <c r="L145" s="435" t="s">
        <v>1096</v>
      </c>
      <c r="M145" s="320" t="s">
        <v>1726</v>
      </c>
      <c r="N145" s="107"/>
      <c r="O145" s="262">
        <v>19102512</v>
      </c>
      <c r="P145" s="891">
        <f t="shared" si="33"/>
        <v>19102512</v>
      </c>
      <c r="Q145" s="449"/>
      <c r="R145" s="449"/>
      <c r="S145" s="449"/>
      <c r="T145" s="449"/>
      <c r="U145" s="449"/>
      <c r="V145" s="449">
        <f t="shared" si="34"/>
        <v>19102512</v>
      </c>
      <c r="W145" s="1613" t="s">
        <v>1727</v>
      </c>
      <c r="X145" s="1614">
        <v>42542</v>
      </c>
      <c r="Y145" s="1614">
        <v>42549</v>
      </c>
      <c r="Z145" s="1615">
        <f t="shared" si="32"/>
        <v>19102512</v>
      </c>
      <c r="AA145" s="107"/>
      <c r="AB145" s="174">
        <f t="shared" si="35"/>
        <v>-19102512</v>
      </c>
      <c r="AC145" s="109"/>
      <c r="AD145" s="53"/>
      <c r="AL145" s="103"/>
      <c r="AM145" s="103"/>
      <c r="AN145" s="103"/>
      <c r="AO145" s="103"/>
      <c r="AP145" s="103"/>
      <c r="AQ145" s="103"/>
      <c r="AR145" s="103"/>
      <c r="AS145" s="430"/>
      <c r="AT145" s="100"/>
      <c r="AU145" s="461"/>
    </row>
    <row r="146" spans="1:47" s="54" customFormat="1" ht="15.75" customHeight="1">
      <c r="A146" s="81"/>
      <c r="B146" s="81"/>
      <c r="C146" s="81"/>
      <c r="D146" s="81"/>
      <c r="E146" s="103"/>
      <c r="F146" s="103"/>
      <c r="G146" s="103"/>
      <c r="H146" s="103"/>
      <c r="I146" s="103"/>
      <c r="J146" s="103"/>
      <c r="K146" s="27" t="s">
        <v>1806</v>
      </c>
      <c r="L146" s="437" t="s">
        <v>1096</v>
      </c>
      <c r="M146" s="130" t="s">
        <v>1809</v>
      </c>
      <c r="N146" s="103"/>
      <c r="O146" s="51">
        <v>91375350</v>
      </c>
      <c r="P146" s="891">
        <f t="shared" si="33"/>
        <v>91375350</v>
      </c>
      <c r="Q146" s="103"/>
      <c r="R146" s="103"/>
      <c r="S146" s="103"/>
      <c r="T146" s="103"/>
      <c r="U146" s="103"/>
      <c r="V146" s="449">
        <f t="shared" si="34"/>
        <v>91375350</v>
      </c>
      <c r="W146" s="1613" t="s">
        <v>1812</v>
      </c>
      <c r="X146" s="1608">
        <v>42543</v>
      </c>
      <c r="Y146" s="1608">
        <v>42549</v>
      </c>
      <c r="Z146" s="1615">
        <f t="shared" si="32"/>
        <v>91375350</v>
      </c>
      <c r="AA146" s="103"/>
      <c r="AB146" s="174">
        <f t="shared" si="35"/>
        <v>-91375350</v>
      </c>
      <c r="AC146" s="106"/>
      <c r="AD146" s="53"/>
      <c r="AL146" s="103"/>
      <c r="AM146" s="103"/>
      <c r="AN146" s="103"/>
      <c r="AO146" s="103"/>
      <c r="AP146" s="103"/>
      <c r="AQ146" s="103"/>
      <c r="AR146" s="103"/>
      <c r="AS146" s="430"/>
      <c r="AT146" s="100"/>
      <c r="AU146" s="461"/>
    </row>
    <row r="147" spans="1:47" s="54" customFormat="1" ht="15.75" customHeight="1">
      <c r="A147" s="81"/>
      <c r="B147" s="81"/>
      <c r="C147" s="81"/>
      <c r="D147" s="81"/>
      <c r="E147" s="103"/>
      <c r="F147" s="103"/>
      <c r="G147" s="103"/>
      <c r="H147" s="103"/>
      <c r="I147" s="103"/>
      <c r="J147" s="103"/>
      <c r="K147" s="27" t="s">
        <v>1807</v>
      </c>
      <c r="L147" s="437" t="s">
        <v>1096</v>
      </c>
      <c r="M147" s="130" t="s">
        <v>1810</v>
      </c>
      <c r="N147" s="103"/>
      <c r="O147" s="51">
        <v>605204793</v>
      </c>
      <c r="P147" s="891">
        <f t="shared" si="33"/>
        <v>605204793</v>
      </c>
      <c r="Q147" s="103"/>
      <c r="R147" s="103"/>
      <c r="S147" s="103"/>
      <c r="T147" s="103"/>
      <c r="U147" s="103"/>
      <c r="V147" s="449">
        <f t="shared" si="34"/>
        <v>605204793</v>
      </c>
      <c r="W147" s="1613" t="s">
        <v>1812</v>
      </c>
      <c r="X147" s="1608">
        <v>42543</v>
      </c>
      <c r="Y147" s="1608">
        <v>42549</v>
      </c>
      <c r="Z147" s="1615">
        <f t="shared" si="32"/>
        <v>605204793</v>
      </c>
      <c r="AA147" s="103"/>
      <c r="AB147" s="174">
        <f t="shared" si="35"/>
        <v>-605204793</v>
      </c>
      <c r="AC147" s="106"/>
      <c r="AD147" s="53"/>
      <c r="AL147" s="103"/>
      <c r="AM147" s="103"/>
      <c r="AN147" s="103"/>
      <c r="AO147" s="103"/>
      <c r="AP147" s="103"/>
      <c r="AQ147" s="103"/>
      <c r="AR147" s="103"/>
      <c r="AS147" s="430"/>
      <c r="AT147" s="100"/>
      <c r="AU147" s="461"/>
    </row>
    <row r="148" spans="1:47" s="54" customFormat="1" ht="15.75" customHeight="1">
      <c r="A148" s="81"/>
      <c r="B148" s="81"/>
      <c r="C148" s="81"/>
      <c r="D148" s="81"/>
      <c r="E148" s="103"/>
      <c r="F148" s="103"/>
      <c r="G148" s="103"/>
      <c r="H148" s="103"/>
      <c r="I148" s="103"/>
      <c r="J148" s="103"/>
      <c r="K148" s="27" t="s">
        <v>1808</v>
      </c>
      <c r="L148" s="437" t="s">
        <v>1082</v>
      </c>
      <c r="M148" s="130" t="s">
        <v>1811</v>
      </c>
      <c r="N148" s="103"/>
      <c r="O148" s="51">
        <v>30349000</v>
      </c>
      <c r="P148" s="891">
        <f t="shared" si="33"/>
        <v>30349000</v>
      </c>
      <c r="Q148" s="103"/>
      <c r="R148" s="103"/>
      <c r="S148" s="103"/>
      <c r="T148" s="103"/>
      <c r="U148" s="103"/>
      <c r="V148" s="449">
        <f t="shared" si="34"/>
        <v>30349000</v>
      </c>
      <c r="W148" s="1613" t="s">
        <v>1812</v>
      </c>
      <c r="X148" s="1608">
        <v>42543</v>
      </c>
      <c r="Y148" s="1608">
        <v>42549</v>
      </c>
      <c r="Z148" s="1615">
        <f t="shared" si="32"/>
        <v>30349000</v>
      </c>
      <c r="AA148" s="103"/>
      <c r="AB148" s="174">
        <f t="shared" si="35"/>
        <v>-30349000</v>
      </c>
      <c r="AC148" s="106"/>
      <c r="AD148" s="53"/>
      <c r="AL148" s="103"/>
      <c r="AM148" s="103"/>
      <c r="AN148" s="103"/>
      <c r="AO148" s="103"/>
      <c r="AP148" s="103"/>
      <c r="AQ148" s="103"/>
      <c r="AR148" s="103"/>
      <c r="AS148" s="430"/>
      <c r="AT148" s="100"/>
      <c r="AU148" s="461"/>
    </row>
    <row r="149" spans="1:47" s="54" customFormat="1" ht="47.25">
      <c r="A149" s="81"/>
      <c r="B149" s="81"/>
      <c r="C149" s="81"/>
      <c r="D149" s="81"/>
      <c r="E149" s="103"/>
      <c r="F149" s="103"/>
      <c r="G149" s="103"/>
      <c r="H149" s="379" t="s">
        <v>1922</v>
      </c>
      <c r="I149" s="322">
        <v>42520</v>
      </c>
      <c r="J149" s="51" t="s">
        <v>1921</v>
      </c>
      <c r="K149" s="104"/>
      <c r="L149" s="437"/>
      <c r="M149" s="130" t="s">
        <v>1923</v>
      </c>
      <c r="N149" s="103"/>
      <c r="O149" s="51">
        <v>294360000</v>
      </c>
      <c r="P149" s="51">
        <f t="shared" si="33"/>
        <v>294360000</v>
      </c>
      <c r="Q149" s="103"/>
      <c r="R149" s="103"/>
      <c r="S149" s="103"/>
      <c r="T149" s="103"/>
      <c r="U149" s="103"/>
      <c r="V149" s="103"/>
      <c r="W149" s="1616"/>
      <c r="X149" s="1608"/>
      <c r="Y149" s="1608"/>
      <c r="Z149" s="1609">
        <f t="shared" si="32"/>
        <v>0</v>
      </c>
      <c r="AA149" s="103"/>
      <c r="AB149" s="49">
        <f t="shared" si="35"/>
        <v>-294360000</v>
      </c>
      <c r="AC149" s="106"/>
      <c r="AD149" s="53"/>
      <c r="AL149" s="103"/>
      <c r="AM149" s="103"/>
      <c r="AN149" s="103"/>
      <c r="AO149" s="103"/>
      <c r="AP149" s="103"/>
      <c r="AQ149" s="103"/>
      <c r="AR149" s="103"/>
      <c r="AS149" s="430"/>
      <c r="AT149" s="100"/>
      <c r="AU149" s="461"/>
    </row>
    <row r="150" spans="1:47" s="54" customFormat="1" ht="30">
      <c r="A150" s="561"/>
      <c r="B150" s="1037"/>
      <c r="C150" s="1037"/>
      <c r="D150" s="1038"/>
      <c r="E150" s="264"/>
      <c r="F150" s="264"/>
      <c r="G150" s="264"/>
      <c r="H150" s="1125"/>
      <c r="I150" s="1116"/>
      <c r="J150" s="344"/>
      <c r="K150" s="1126" t="s">
        <v>1939</v>
      </c>
      <c r="L150" s="437" t="s">
        <v>1096</v>
      </c>
      <c r="M150" s="1127" t="s">
        <v>1940</v>
      </c>
      <c r="N150" s="1128">
        <v>0</v>
      </c>
      <c r="O150" s="1128">
        <v>23997813</v>
      </c>
      <c r="P150" s="51">
        <f t="shared" si="33"/>
        <v>23997813</v>
      </c>
      <c r="Q150" s="264"/>
      <c r="R150" s="264"/>
      <c r="S150" s="264"/>
      <c r="T150" s="264"/>
      <c r="U150" s="264"/>
      <c r="V150" s="449">
        <f t="shared" si="34"/>
        <v>23997813</v>
      </c>
      <c r="W150" s="1613" t="s">
        <v>1941</v>
      </c>
      <c r="X150" s="1598">
        <v>42545</v>
      </c>
      <c r="Y150" s="1598">
        <v>42563</v>
      </c>
      <c r="Z150" s="1615">
        <f t="shared" si="32"/>
        <v>23997813</v>
      </c>
      <c r="AA150" s="264"/>
      <c r="AB150" s="49">
        <f t="shared" si="35"/>
        <v>-23997813</v>
      </c>
      <c r="AC150" s="352"/>
      <c r="AD150" s="53"/>
      <c r="AL150" s="103"/>
      <c r="AM150" s="103"/>
      <c r="AN150" s="103"/>
      <c r="AO150" s="103"/>
      <c r="AP150" s="103"/>
      <c r="AQ150" s="103"/>
      <c r="AR150" s="103"/>
      <c r="AS150" s="430"/>
      <c r="AT150" s="100"/>
      <c r="AU150" s="461"/>
    </row>
    <row r="151" spans="1:47" s="54" customFormat="1" ht="30">
      <c r="A151" s="561"/>
      <c r="B151" s="1037"/>
      <c r="C151" s="1037"/>
      <c r="D151" s="1038"/>
      <c r="E151" s="264"/>
      <c r="F151" s="264"/>
      <c r="G151" s="264"/>
      <c r="H151" s="1125"/>
      <c r="I151" s="1116"/>
      <c r="J151" s="344"/>
      <c r="K151" s="1129" t="s">
        <v>1944</v>
      </c>
      <c r="L151" s="437" t="s">
        <v>1096</v>
      </c>
      <c r="M151" s="1130" t="s">
        <v>1945</v>
      </c>
      <c r="N151" s="1128">
        <v>0</v>
      </c>
      <c r="O151" s="1128">
        <v>34204500</v>
      </c>
      <c r="P151" s="51">
        <f t="shared" si="33"/>
        <v>34204500</v>
      </c>
      <c r="Q151" s="264"/>
      <c r="R151" s="264"/>
      <c r="S151" s="264"/>
      <c r="T151" s="264"/>
      <c r="U151" s="264"/>
      <c r="V151" s="449">
        <f t="shared" si="34"/>
        <v>34204500</v>
      </c>
      <c r="W151" s="1613" t="s">
        <v>1946</v>
      </c>
      <c r="X151" s="1598">
        <v>42545</v>
      </c>
      <c r="Y151" s="1598">
        <v>42552</v>
      </c>
      <c r="Z151" s="1615">
        <f t="shared" si="32"/>
        <v>34204500</v>
      </c>
      <c r="AA151" s="264"/>
      <c r="AB151" s="49">
        <f t="shared" si="35"/>
        <v>-34204500</v>
      </c>
      <c r="AC151" s="352"/>
      <c r="AD151" s="53"/>
      <c r="AL151" s="103"/>
      <c r="AM151" s="103"/>
      <c r="AN151" s="103"/>
      <c r="AO151" s="103"/>
      <c r="AP151" s="103"/>
      <c r="AQ151" s="103"/>
      <c r="AR151" s="103"/>
      <c r="AS151" s="430"/>
      <c r="AT151" s="100"/>
      <c r="AU151" s="461"/>
    </row>
    <row r="152" spans="1:47" s="54" customFormat="1" ht="30">
      <c r="A152" s="561"/>
      <c r="B152" s="1037"/>
      <c r="C152" s="1037"/>
      <c r="D152" s="1038"/>
      <c r="E152" s="264"/>
      <c r="F152" s="264"/>
      <c r="G152" s="264"/>
      <c r="H152" s="1125"/>
      <c r="I152" s="1116"/>
      <c r="J152" s="344"/>
      <c r="K152" s="1129" t="s">
        <v>1952</v>
      </c>
      <c r="L152" s="437" t="s">
        <v>1096</v>
      </c>
      <c r="M152" s="1130" t="s">
        <v>1953</v>
      </c>
      <c r="N152" s="1128">
        <v>0</v>
      </c>
      <c r="O152" s="1128">
        <v>19109288</v>
      </c>
      <c r="P152" s="51">
        <f t="shared" si="33"/>
        <v>19109288</v>
      </c>
      <c r="Q152" s="264"/>
      <c r="R152" s="264"/>
      <c r="S152" s="264"/>
      <c r="T152" s="264"/>
      <c r="U152" s="264"/>
      <c r="V152" s="449">
        <f t="shared" si="34"/>
        <v>19109288</v>
      </c>
      <c r="W152" s="1613" t="s">
        <v>1962</v>
      </c>
      <c r="X152" s="1598">
        <v>42551</v>
      </c>
      <c r="Y152" s="1598">
        <v>42570</v>
      </c>
      <c r="Z152" s="1615">
        <f t="shared" si="32"/>
        <v>19109288</v>
      </c>
      <c r="AA152" s="264"/>
      <c r="AB152" s="49">
        <f t="shared" si="35"/>
        <v>-19109288</v>
      </c>
      <c r="AC152" s="352"/>
      <c r="AD152" s="53"/>
      <c r="AL152" s="103"/>
      <c r="AM152" s="103"/>
      <c r="AN152" s="103"/>
      <c r="AO152" s="103"/>
      <c r="AP152" s="103"/>
      <c r="AQ152" s="103"/>
      <c r="AR152" s="103"/>
      <c r="AS152" s="430"/>
      <c r="AT152" s="100"/>
      <c r="AU152" s="461"/>
    </row>
    <row r="153" spans="1:47" s="54" customFormat="1" ht="30">
      <c r="A153" s="561"/>
      <c r="B153" s="1037"/>
      <c r="C153" s="1037"/>
      <c r="D153" s="1038"/>
      <c r="E153" s="264"/>
      <c r="F153" s="264"/>
      <c r="G153" s="264"/>
      <c r="H153" s="1125"/>
      <c r="I153" s="1116"/>
      <c r="J153" s="344"/>
      <c r="K153" s="1129" t="s">
        <v>1954</v>
      </c>
      <c r="L153" s="437" t="s">
        <v>1096</v>
      </c>
      <c r="M153" s="1130" t="s">
        <v>1955</v>
      </c>
      <c r="N153" s="1128">
        <v>0</v>
      </c>
      <c r="O153" s="1128">
        <v>20546054</v>
      </c>
      <c r="P153" s="51">
        <f t="shared" si="33"/>
        <v>20546054</v>
      </c>
      <c r="Q153" s="264"/>
      <c r="R153" s="264"/>
      <c r="S153" s="264"/>
      <c r="T153" s="264"/>
      <c r="U153" s="264"/>
      <c r="V153" s="449">
        <f t="shared" si="34"/>
        <v>20546054</v>
      </c>
      <c r="W153" s="1613" t="s">
        <v>1962</v>
      </c>
      <c r="X153" s="1598">
        <v>42551</v>
      </c>
      <c r="Y153" s="1598">
        <v>42570</v>
      </c>
      <c r="Z153" s="1615">
        <f t="shared" si="32"/>
        <v>20546054</v>
      </c>
      <c r="AA153" s="264"/>
      <c r="AB153" s="49">
        <f t="shared" si="35"/>
        <v>-20546054</v>
      </c>
      <c r="AC153" s="352"/>
      <c r="AD153" s="53"/>
      <c r="AL153" s="103"/>
      <c r="AM153" s="103"/>
      <c r="AN153" s="103"/>
      <c r="AO153" s="103"/>
      <c r="AP153" s="103"/>
      <c r="AQ153" s="103"/>
      <c r="AR153" s="103"/>
      <c r="AS153" s="430"/>
      <c r="AT153" s="100"/>
      <c r="AU153" s="461"/>
    </row>
    <row r="154" spans="1:47" s="54" customFormat="1" ht="30">
      <c r="A154" s="561"/>
      <c r="B154" s="1037"/>
      <c r="C154" s="1037"/>
      <c r="D154" s="1038"/>
      <c r="E154" s="264"/>
      <c r="F154" s="264"/>
      <c r="G154" s="264"/>
      <c r="H154" s="1125"/>
      <c r="I154" s="1116"/>
      <c r="J154" s="344"/>
      <c r="K154" s="1129" t="s">
        <v>1956</v>
      </c>
      <c r="L154" s="437" t="s">
        <v>1096</v>
      </c>
      <c r="M154" s="1130" t="s">
        <v>1957</v>
      </c>
      <c r="N154" s="1128">
        <v>0</v>
      </c>
      <c r="O154" s="1128">
        <v>186078519</v>
      </c>
      <c r="P154" s="51">
        <f t="shared" si="33"/>
        <v>186078519</v>
      </c>
      <c r="Q154" s="264"/>
      <c r="R154" s="264"/>
      <c r="S154" s="264"/>
      <c r="T154" s="264"/>
      <c r="U154" s="264"/>
      <c r="V154" s="449">
        <f t="shared" si="34"/>
        <v>186078519</v>
      </c>
      <c r="W154" s="1613" t="s">
        <v>1962</v>
      </c>
      <c r="X154" s="1598">
        <v>42551</v>
      </c>
      <c r="Y154" s="1598">
        <v>42570</v>
      </c>
      <c r="Z154" s="1615">
        <f t="shared" si="32"/>
        <v>186078519</v>
      </c>
      <c r="AA154" s="264"/>
      <c r="AB154" s="49">
        <f t="shared" si="35"/>
        <v>-186078519</v>
      </c>
      <c r="AC154" s="352"/>
      <c r="AD154" s="53"/>
      <c r="AL154" s="103"/>
      <c r="AM154" s="103"/>
      <c r="AN154" s="103"/>
      <c r="AO154" s="103"/>
      <c r="AP154" s="103"/>
      <c r="AQ154" s="103"/>
      <c r="AR154" s="103"/>
      <c r="AS154" s="430"/>
      <c r="AT154" s="100"/>
      <c r="AU154" s="461"/>
    </row>
    <row r="155" spans="1:47" s="54" customFormat="1" ht="30">
      <c r="A155" s="561"/>
      <c r="B155" s="1037"/>
      <c r="C155" s="1037"/>
      <c r="D155" s="1038"/>
      <c r="E155" s="264"/>
      <c r="F155" s="264"/>
      <c r="G155" s="264"/>
      <c r="H155" s="1125"/>
      <c r="I155" s="1116"/>
      <c r="J155" s="344"/>
      <c r="K155" s="1129" t="s">
        <v>1958</v>
      </c>
      <c r="L155" s="437" t="s">
        <v>1096</v>
      </c>
      <c r="M155" s="1130" t="s">
        <v>1959</v>
      </c>
      <c r="N155" s="1128">
        <v>0</v>
      </c>
      <c r="O155" s="1128">
        <v>91326771</v>
      </c>
      <c r="P155" s="51">
        <f t="shared" si="33"/>
        <v>91326771</v>
      </c>
      <c r="Q155" s="264"/>
      <c r="R155" s="264"/>
      <c r="S155" s="264"/>
      <c r="T155" s="264"/>
      <c r="U155" s="264"/>
      <c r="V155" s="449">
        <f t="shared" si="34"/>
        <v>91326771</v>
      </c>
      <c r="W155" s="1613" t="s">
        <v>1962</v>
      </c>
      <c r="X155" s="1598">
        <v>42551</v>
      </c>
      <c r="Y155" s="1598">
        <v>42570</v>
      </c>
      <c r="Z155" s="1615">
        <f t="shared" si="32"/>
        <v>91326771</v>
      </c>
      <c r="AA155" s="264"/>
      <c r="AB155" s="49">
        <f t="shared" si="35"/>
        <v>-91326771</v>
      </c>
      <c r="AC155" s="352"/>
      <c r="AD155" s="53"/>
      <c r="AL155" s="103"/>
      <c r="AM155" s="103"/>
      <c r="AN155" s="103"/>
      <c r="AO155" s="103"/>
      <c r="AP155" s="103"/>
      <c r="AQ155" s="103"/>
      <c r="AR155" s="103"/>
      <c r="AS155" s="430"/>
      <c r="AT155" s="100"/>
      <c r="AU155" s="461"/>
    </row>
    <row r="156" spans="1:47" s="54" customFormat="1" ht="30">
      <c r="A156" s="561"/>
      <c r="B156" s="1037"/>
      <c r="C156" s="1037"/>
      <c r="D156" s="1038"/>
      <c r="E156" s="264"/>
      <c r="F156" s="264"/>
      <c r="G156" s="264"/>
      <c r="H156" s="1125"/>
      <c r="I156" s="1116"/>
      <c r="J156" s="344"/>
      <c r="K156" s="1129" t="s">
        <v>1960</v>
      </c>
      <c r="L156" s="437" t="s">
        <v>1096</v>
      </c>
      <c r="M156" s="1130" t="s">
        <v>1961</v>
      </c>
      <c r="N156" s="1128">
        <v>0</v>
      </c>
      <c r="O156" s="1128">
        <v>55470393</v>
      </c>
      <c r="P156" s="51">
        <f t="shared" si="33"/>
        <v>55470393</v>
      </c>
      <c r="Q156" s="264"/>
      <c r="R156" s="264"/>
      <c r="S156" s="264"/>
      <c r="T156" s="264"/>
      <c r="U156" s="264"/>
      <c r="V156" s="449">
        <f t="shared" si="34"/>
        <v>55470393</v>
      </c>
      <c r="W156" s="1613" t="s">
        <v>1962</v>
      </c>
      <c r="X156" s="1598">
        <v>42551</v>
      </c>
      <c r="Y156" s="1598">
        <v>42570</v>
      </c>
      <c r="Z156" s="1615">
        <f t="shared" si="32"/>
        <v>55470393</v>
      </c>
      <c r="AA156" s="264"/>
      <c r="AB156" s="49">
        <f t="shared" si="35"/>
        <v>-55470393</v>
      </c>
      <c r="AC156" s="352"/>
      <c r="AD156" s="53"/>
      <c r="AL156" s="103"/>
      <c r="AM156" s="103"/>
      <c r="AN156" s="103"/>
      <c r="AO156" s="103"/>
      <c r="AP156" s="103"/>
      <c r="AQ156" s="103"/>
      <c r="AR156" s="103"/>
      <c r="AS156" s="430"/>
      <c r="AT156" s="100"/>
      <c r="AU156" s="461"/>
    </row>
    <row r="157" spans="1:47" s="54" customFormat="1" ht="30">
      <c r="A157" s="561"/>
      <c r="B157" s="1037"/>
      <c r="C157" s="1037"/>
      <c r="D157" s="1038"/>
      <c r="E157" s="264"/>
      <c r="F157" s="264"/>
      <c r="G157" s="264"/>
      <c r="H157" s="1125"/>
      <c r="I157" s="1116"/>
      <c r="J157" s="344"/>
      <c r="K157" s="1129" t="s">
        <v>1963</v>
      </c>
      <c r="L157" s="437" t="s">
        <v>1096</v>
      </c>
      <c r="M157" s="1130" t="s">
        <v>1964</v>
      </c>
      <c r="N157" s="1128">
        <v>0</v>
      </c>
      <c r="O157" s="1128">
        <v>23454684</v>
      </c>
      <c r="P157" s="51">
        <f t="shared" si="33"/>
        <v>23454684</v>
      </c>
      <c r="Q157" s="264"/>
      <c r="R157" s="264"/>
      <c r="S157" s="264"/>
      <c r="T157" s="264"/>
      <c r="U157" s="264"/>
      <c r="V157" s="449">
        <f t="shared" si="34"/>
        <v>23454684</v>
      </c>
      <c r="W157" s="1613" t="s">
        <v>1969</v>
      </c>
      <c r="X157" s="1598">
        <v>42552</v>
      </c>
      <c r="Y157" s="1598">
        <v>42570</v>
      </c>
      <c r="Z157" s="1615">
        <f t="shared" si="32"/>
        <v>23454684</v>
      </c>
      <c r="AA157" s="264"/>
      <c r="AB157" s="49">
        <f t="shared" si="35"/>
        <v>-23454684</v>
      </c>
      <c r="AC157" s="352"/>
      <c r="AD157" s="53"/>
      <c r="AL157" s="103"/>
      <c r="AM157" s="103"/>
      <c r="AN157" s="103"/>
      <c r="AO157" s="103"/>
      <c r="AP157" s="103"/>
      <c r="AQ157" s="103"/>
      <c r="AR157" s="103"/>
      <c r="AS157" s="430"/>
      <c r="AT157" s="100"/>
      <c r="AU157" s="461"/>
    </row>
    <row r="158" spans="1:47" s="54" customFormat="1" ht="30">
      <c r="A158" s="561"/>
      <c r="B158" s="1037"/>
      <c r="C158" s="1037"/>
      <c r="D158" s="1038"/>
      <c r="E158" s="264"/>
      <c r="F158" s="264"/>
      <c r="G158" s="264"/>
      <c r="H158" s="1125"/>
      <c r="I158" s="1116"/>
      <c r="J158" s="344"/>
      <c r="K158" s="1129" t="s">
        <v>1965</v>
      </c>
      <c r="L158" s="437" t="s">
        <v>1096</v>
      </c>
      <c r="M158" s="1130" t="s">
        <v>1966</v>
      </c>
      <c r="N158" s="1128">
        <v>0</v>
      </c>
      <c r="O158" s="1128">
        <v>23443992</v>
      </c>
      <c r="P158" s="51">
        <f t="shared" si="33"/>
        <v>23443992</v>
      </c>
      <c r="Q158" s="264"/>
      <c r="R158" s="264"/>
      <c r="S158" s="264"/>
      <c r="T158" s="264"/>
      <c r="U158" s="264"/>
      <c r="V158" s="449">
        <f t="shared" si="34"/>
        <v>23443992</v>
      </c>
      <c r="W158" s="1613" t="s">
        <v>1969</v>
      </c>
      <c r="X158" s="1598">
        <v>42552</v>
      </c>
      <c r="Y158" s="1598">
        <v>42570</v>
      </c>
      <c r="Z158" s="1615">
        <f t="shared" si="32"/>
        <v>23443992</v>
      </c>
      <c r="AA158" s="264"/>
      <c r="AB158" s="49">
        <f t="shared" si="35"/>
        <v>-23443992</v>
      </c>
      <c r="AC158" s="352"/>
      <c r="AD158" s="53"/>
      <c r="AL158" s="103"/>
      <c r="AM158" s="103"/>
      <c r="AN158" s="103"/>
      <c r="AO158" s="103"/>
      <c r="AP158" s="103"/>
      <c r="AQ158" s="103"/>
      <c r="AR158" s="103"/>
      <c r="AS158" s="430"/>
      <c r="AT158" s="100"/>
      <c r="AU158" s="461"/>
    </row>
    <row r="159" spans="1:47" s="54" customFormat="1" ht="30">
      <c r="A159" s="561"/>
      <c r="B159" s="1037"/>
      <c r="C159" s="1037"/>
      <c r="D159" s="1038"/>
      <c r="E159" s="264"/>
      <c r="F159" s="264"/>
      <c r="G159" s="264"/>
      <c r="H159" s="1125"/>
      <c r="I159" s="1116"/>
      <c r="J159" s="344"/>
      <c r="K159" s="1129" t="s">
        <v>1967</v>
      </c>
      <c r="L159" s="437" t="s">
        <v>1096</v>
      </c>
      <c r="M159" s="1130" t="s">
        <v>1968</v>
      </c>
      <c r="N159" s="1128">
        <v>0</v>
      </c>
      <c r="O159" s="1128">
        <v>5956830</v>
      </c>
      <c r="P159" s="51">
        <f t="shared" si="33"/>
        <v>5956830</v>
      </c>
      <c r="Q159" s="264"/>
      <c r="R159" s="264"/>
      <c r="S159" s="264"/>
      <c r="T159" s="264"/>
      <c r="U159" s="264"/>
      <c r="V159" s="449">
        <f t="shared" si="34"/>
        <v>5956830</v>
      </c>
      <c r="W159" s="1613" t="s">
        <v>1969</v>
      </c>
      <c r="X159" s="1598">
        <v>42552</v>
      </c>
      <c r="Y159" s="1598">
        <v>42570</v>
      </c>
      <c r="Z159" s="1615">
        <f t="shared" si="32"/>
        <v>5956830</v>
      </c>
      <c r="AA159" s="264"/>
      <c r="AB159" s="49">
        <f t="shared" si="35"/>
        <v>-5956830</v>
      </c>
      <c r="AC159" s="352"/>
      <c r="AD159" s="53"/>
      <c r="AL159" s="103"/>
      <c r="AM159" s="103"/>
      <c r="AN159" s="103"/>
      <c r="AO159" s="103"/>
      <c r="AP159" s="103"/>
      <c r="AQ159" s="103"/>
      <c r="AR159" s="103"/>
      <c r="AS159" s="430"/>
      <c r="AT159" s="100"/>
      <c r="AU159" s="461"/>
    </row>
    <row r="160" spans="1:47" s="54" customFormat="1" ht="30">
      <c r="A160" s="561"/>
      <c r="B160" s="1037"/>
      <c r="C160" s="1037"/>
      <c r="D160" s="1038"/>
      <c r="E160" s="264"/>
      <c r="F160" s="264"/>
      <c r="G160" s="264"/>
      <c r="H160" s="1125"/>
      <c r="I160" s="1116"/>
      <c r="J160" s="344"/>
      <c r="K160" s="1129" t="s">
        <v>1973</v>
      </c>
      <c r="L160" s="437" t="s">
        <v>1096</v>
      </c>
      <c r="M160" s="1130" t="s">
        <v>1974</v>
      </c>
      <c r="N160" s="1128">
        <v>0</v>
      </c>
      <c r="O160" s="1128">
        <v>16298700</v>
      </c>
      <c r="P160" s="51">
        <f t="shared" si="33"/>
        <v>16298700</v>
      </c>
      <c r="Q160" s="264"/>
      <c r="R160" s="264"/>
      <c r="S160" s="264"/>
      <c r="T160" s="264"/>
      <c r="U160" s="264"/>
      <c r="V160" s="449">
        <f t="shared" si="34"/>
        <v>16298700</v>
      </c>
      <c r="W160" s="1613" t="s">
        <v>1969</v>
      </c>
      <c r="X160" s="1598">
        <v>42552</v>
      </c>
      <c r="Y160" s="1598">
        <v>42570</v>
      </c>
      <c r="Z160" s="1615">
        <f>V160</f>
        <v>16298700</v>
      </c>
      <c r="AA160" s="264"/>
      <c r="AB160" s="49">
        <f t="shared" ref="AB160:AB175" si="36">+G160-P160</f>
        <v>-16298700</v>
      </c>
      <c r="AC160" s="352"/>
      <c r="AD160" s="53"/>
      <c r="AL160" s="103"/>
      <c r="AM160" s="103"/>
      <c r="AN160" s="103"/>
      <c r="AO160" s="103"/>
      <c r="AP160" s="103"/>
      <c r="AQ160" s="103"/>
      <c r="AR160" s="103"/>
      <c r="AS160" s="430"/>
      <c r="AT160" s="100"/>
      <c r="AU160" s="461"/>
    </row>
    <row r="161" spans="1:47" s="54" customFormat="1" ht="30">
      <c r="A161" s="561"/>
      <c r="B161" s="1037"/>
      <c r="C161" s="1037"/>
      <c r="D161" s="1038"/>
      <c r="E161" s="264"/>
      <c r="F161" s="264"/>
      <c r="G161" s="264"/>
      <c r="H161" s="1125"/>
      <c r="I161" s="1116"/>
      <c r="J161" s="344"/>
      <c r="K161" s="1133" t="s">
        <v>1986</v>
      </c>
      <c r="L161" s="437" t="s">
        <v>1096</v>
      </c>
      <c r="M161" s="1134" t="s">
        <v>1987</v>
      </c>
      <c r="N161" s="1128">
        <v>0</v>
      </c>
      <c r="O161" s="1128">
        <v>729007664</v>
      </c>
      <c r="P161" s="51">
        <f t="shared" si="33"/>
        <v>729007664</v>
      </c>
      <c r="Q161" s="264"/>
      <c r="R161" s="264"/>
      <c r="S161" s="264"/>
      <c r="T161" s="264"/>
      <c r="U161" s="264"/>
      <c r="V161" s="449">
        <f t="shared" si="34"/>
        <v>729007664</v>
      </c>
      <c r="W161" s="1613" t="s">
        <v>1988</v>
      </c>
      <c r="X161" s="1598">
        <v>42552</v>
      </c>
      <c r="Y161" s="1598">
        <v>42566</v>
      </c>
      <c r="Z161" s="1615">
        <f>V161</f>
        <v>729007664</v>
      </c>
      <c r="AA161" s="264"/>
      <c r="AB161" s="49">
        <f t="shared" si="36"/>
        <v>-729007664</v>
      </c>
      <c r="AC161" s="352"/>
      <c r="AD161" s="53"/>
      <c r="AL161" s="103"/>
      <c r="AM161" s="103"/>
      <c r="AN161" s="103"/>
      <c r="AO161" s="103"/>
      <c r="AP161" s="103"/>
      <c r="AQ161" s="103"/>
      <c r="AR161" s="103"/>
      <c r="AS161" s="430"/>
      <c r="AT161" s="100"/>
      <c r="AU161" s="461"/>
    </row>
    <row r="162" spans="1:47" s="54" customFormat="1" ht="47.25">
      <c r="A162" s="561"/>
      <c r="B162" s="1037"/>
      <c r="C162" s="1037"/>
      <c r="D162" s="1038"/>
      <c r="E162" s="264"/>
      <c r="F162" s="264"/>
      <c r="G162" s="264"/>
      <c r="H162" s="379" t="s">
        <v>2064</v>
      </c>
      <c r="I162" s="322">
        <v>42587</v>
      </c>
      <c r="J162" s="344" t="s">
        <v>2061</v>
      </c>
      <c r="K162" s="1173"/>
      <c r="L162" s="1174"/>
      <c r="M162" s="1176" t="s">
        <v>2062</v>
      </c>
      <c r="N162" s="1175"/>
      <c r="O162" s="1175">
        <v>196548000</v>
      </c>
      <c r="P162" s="51">
        <f t="shared" si="33"/>
        <v>196548000</v>
      </c>
      <c r="Q162" s="264"/>
      <c r="R162" s="264"/>
      <c r="S162" s="264"/>
      <c r="T162" s="264"/>
      <c r="U162" s="264"/>
      <c r="V162" s="264"/>
      <c r="W162" s="1617"/>
      <c r="X162" s="1598"/>
      <c r="Y162" s="1598"/>
      <c r="Z162" s="1618"/>
      <c r="AA162" s="264"/>
      <c r="AB162" s="49">
        <f t="shared" si="36"/>
        <v>-196548000</v>
      </c>
      <c r="AC162" s="352"/>
      <c r="AD162" s="53"/>
      <c r="AL162" s="103"/>
      <c r="AM162" s="103"/>
      <c r="AN162" s="103"/>
      <c r="AO162" s="103"/>
      <c r="AP162" s="103"/>
      <c r="AQ162" s="103"/>
      <c r="AR162" s="103"/>
      <c r="AS162" s="430"/>
      <c r="AT162" s="100"/>
      <c r="AU162" s="461"/>
    </row>
    <row r="163" spans="1:47" s="54" customFormat="1" ht="47.25">
      <c r="A163" s="561"/>
      <c r="B163" s="1037"/>
      <c r="C163" s="1037"/>
      <c r="D163" s="1038"/>
      <c r="E163" s="264"/>
      <c r="F163" s="264"/>
      <c r="G163" s="264"/>
      <c r="H163" s="379" t="s">
        <v>2066</v>
      </c>
      <c r="I163" s="322">
        <v>42587</v>
      </c>
      <c r="J163" s="344" t="s">
        <v>2063</v>
      </c>
      <c r="K163" s="1173"/>
      <c r="L163" s="1174"/>
      <c r="M163" s="1176" t="s">
        <v>2065</v>
      </c>
      <c r="N163" s="1175"/>
      <c r="O163" s="1175">
        <v>157080000</v>
      </c>
      <c r="P163" s="344">
        <f t="shared" si="33"/>
        <v>157080000</v>
      </c>
      <c r="Q163" s="264"/>
      <c r="R163" s="264"/>
      <c r="S163" s="264"/>
      <c r="T163" s="264"/>
      <c r="U163" s="264"/>
      <c r="V163" s="264"/>
      <c r="W163" s="1617"/>
      <c r="X163" s="1598"/>
      <c r="Y163" s="1598"/>
      <c r="Z163" s="1618"/>
      <c r="AA163" s="264"/>
      <c r="AB163" s="507">
        <f t="shared" si="36"/>
        <v>-157080000</v>
      </c>
      <c r="AC163" s="352"/>
      <c r="AD163" s="53"/>
      <c r="AL163" s="103"/>
      <c r="AM163" s="103"/>
      <c r="AN163" s="103"/>
      <c r="AO163" s="103"/>
      <c r="AP163" s="103"/>
      <c r="AQ163" s="103"/>
      <c r="AR163" s="103"/>
      <c r="AS163" s="430"/>
      <c r="AT163" s="100"/>
      <c r="AU163" s="461"/>
    </row>
    <row r="164" spans="1:47" s="54" customFormat="1" ht="47.25">
      <c r="A164" s="561"/>
      <c r="B164" s="1037"/>
      <c r="C164" s="1037"/>
      <c r="D164" s="1038"/>
      <c r="E164" s="264"/>
      <c r="F164" s="264"/>
      <c r="G164" s="264"/>
      <c r="H164" s="379" t="s">
        <v>2067</v>
      </c>
      <c r="I164" s="322">
        <v>42587</v>
      </c>
      <c r="J164" s="344" t="s">
        <v>2069</v>
      </c>
      <c r="K164" s="1173"/>
      <c r="L164" s="1174"/>
      <c r="M164" s="1176" t="s">
        <v>2068</v>
      </c>
      <c r="N164" s="1175"/>
      <c r="O164" s="1175">
        <v>62172000</v>
      </c>
      <c r="P164" s="344">
        <f t="shared" si="33"/>
        <v>62172000</v>
      </c>
      <c r="Q164" s="264"/>
      <c r="R164" s="264"/>
      <c r="S164" s="264"/>
      <c r="T164" s="264"/>
      <c r="U164" s="264"/>
      <c r="V164" s="264"/>
      <c r="W164" s="1617"/>
      <c r="X164" s="1598"/>
      <c r="Y164" s="1598"/>
      <c r="Z164" s="1618"/>
      <c r="AA164" s="264"/>
      <c r="AB164" s="507">
        <f t="shared" si="36"/>
        <v>-62172000</v>
      </c>
      <c r="AC164" s="352"/>
      <c r="AD164" s="53"/>
      <c r="AL164" s="103"/>
      <c r="AM164" s="103"/>
      <c r="AN164" s="103"/>
      <c r="AO164" s="103"/>
      <c r="AP164" s="103"/>
      <c r="AQ164" s="103"/>
      <c r="AR164" s="103"/>
      <c r="AS164" s="430"/>
      <c r="AT164" s="100"/>
      <c r="AU164" s="461"/>
    </row>
    <row r="165" spans="1:47" s="54" customFormat="1" ht="47.25">
      <c r="A165" s="561"/>
      <c r="B165" s="1037"/>
      <c r="C165" s="1037"/>
      <c r="D165" s="1038"/>
      <c r="E165" s="264"/>
      <c r="F165" s="264"/>
      <c r="G165" s="264"/>
      <c r="H165" s="379" t="s">
        <v>2070</v>
      </c>
      <c r="I165" s="322">
        <v>42587</v>
      </c>
      <c r="J165" s="344" t="s">
        <v>2071</v>
      </c>
      <c r="K165" s="1173"/>
      <c r="L165" s="1174"/>
      <c r="M165" s="1176" t="s">
        <v>2072</v>
      </c>
      <c r="N165" s="1175"/>
      <c r="O165" s="1175">
        <v>296142000</v>
      </c>
      <c r="P165" s="344">
        <f t="shared" si="33"/>
        <v>296142000</v>
      </c>
      <c r="Q165" s="264"/>
      <c r="R165" s="264"/>
      <c r="S165" s="264"/>
      <c r="T165" s="264"/>
      <c r="U165" s="264"/>
      <c r="V165" s="264"/>
      <c r="W165" s="1617"/>
      <c r="X165" s="1598"/>
      <c r="Y165" s="1598"/>
      <c r="Z165" s="1618"/>
      <c r="AA165" s="264"/>
      <c r="AB165" s="507">
        <f t="shared" si="36"/>
        <v>-296142000</v>
      </c>
      <c r="AC165" s="352"/>
      <c r="AD165" s="53"/>
      <c r="AL165" s="103"/>
      <c r="AM165" s="103"/>
      <c r="AN165" s="103"/>
      <c r="AO165" s="103"/>
      <c r="AP165" s="103"/>
      <c r="AQ165" s="103"/>
      <c r="AR165" s="103"/>
      <c r="AS165" s="430"/>
      <c r="AT165" s="100"/>
      <c r="AU165" s="461"/>
    </row>
    <row r="166" spans="1:47" s="54" customFormat="1" ht="47.25">
      <c r="A166" s="561"/>
      <c r="B166" s="1037"/>
      <c r="C166" s="1037"/>
      <c r="D166" s="1038"/>
      <c r="E166" s="264"/>
      <c r="F166" s="264"/>
      <c r="G166" s="264"/>
      <c r="H166" s="379" t="s">
        <v>2073</v>
      </c>
      <c r="I166" s="322">
        <v>42587</v>
      </c>
      <c r="J166" s="344" t="s">
        <v>2074</v>
      </c>
      <c r="K166" s="1173"/>
      <c r="L166" s="1174"/>
      <c r="M166" s="1176" t="s">
        <v>2075</v>
      </c>
      <c r="N166" s="1175"/>
      <c r="O166" s="1175">
        <v>263920800</v>
      </c>
      <c r="P166" s="344">
        <f t="shared" si="33"/>
        <v>263920800</v>
      </c>
      <c r="Q166" s="264"/>
      <c r="R166" s="264"/>
      <c r="S166" s="264"/>
      <c r="T166" s="264"/>
      <c r="U166" s="264"/>
      <c r="V166" s="264"/>
      <c r="W166" s="1617"/>
      <c r="X166" s="1598"/>
      <c r="Y166" s="1598"/>
      <c r="Z166" s="1618"/>
      <c r="AA166" s="264"/>
      <c r="AB166" s="507">
        <f t="shared" si="36"/>
        <v>-263920800</v>
      </c>
      <c r="AC166" s="352"/>
      <c r="AD166" s="53"/>
      <c r="AL166" s="103"/>
      <c r="AM166" s="103"/>
      <c r="AN166" s="103"/>
      <c r="AO166" s="103"/>
      <c r="AP166" s="103"/>
      <c r="AQ166" s="103"/>
      <c r="AR166" s="103"/>
      <c r="AS166" s="430"/>
      <c r="AT166" s="100"/>
      <c r="AU166" s="461"/>
    </row>
    <row r="167" spans="1:47" s="54" customFormat="1" ht="47.25">
      <c r="A167" s="561"/>
      <c r="B167" s="1037"/>
      <c r="C167" s="1037"/>
      <c r="D167" s="1038"/>
      <c r="E167" s="264"/>
      <c r="F167" s="264"/>
      <c r="G167" s="264"/>
      <c r="H167" s="379" t="s">
        <v>2076</v>
      </c>
      <c r="I167" s="322">
        <v>42587</v>
      </c>
      <c r="J167" s="344" t="s">
        <v>2077</v>
      </c>
      <c r="K167" s="1173"/>
      <c r="L167" s="1174"/>
      <c r="M167" s="1176" t="s">
        <v>2078</v>
      </c>
      <c r="N167" s="1175"/>
      <c r="O167" s="1175">
        <v>263630400</v>
      </c>
      <c r="P167" s="344">
        <f t="shared" si="33"/>
        <v>263630400</v>
      </c>
      <c r="Q167" s="264"/>
      <c r="R167" s="264"/>
      <c r="S167" s="264"/>
      <c r="T167" s="264"/>
      <c r="U167" s="264"/>
      <c r="V167" s="264"/>
      <c r="W167" s="1617"/>
      <c r="X167" s="1598"/>
      <c r="Y167" s="1598"/>
      <c r="Z167" s="1618"/>
      <c r="AA167" s="264"/>
      <c r="AB167" s="507">
        <f t="shared" si="36"/>
        <v>-263630400</v>
      </c>
      <c r="AC167" s="352"/>
      <c r="AD167" s="53"/>
      <c r="AL167" s="103"/>
      <c r="AM167" s="103"/>
      <c r="AN167" s="103"/>
      <c r="AO167" s="103"/>
      <c r="AP167" s="103"/>
      <c r="AQ167" s="103"/>
      <c r="AR167" s="103"/>
      <c r="AS167" s="430"/>
      <c r="AT167" s="100"/>
      <c r="AU167" s="461"/>
    </row>
    <row r="168" spans="1:47" s="54" customFormat="1" ht="47.25">
      <c r="A168" s="561"/>
      <c r="B168" s="1037"/>
      <c r="C168" s="1037"/>
      <c r="D168" s="1038"/>
      <c r="E168" s="264"/>
      <c r="F168" s="264"/>
      <c r="G168" s="264"/>
      <c r="H168" s="379" t="s">
        <v>2079</v>
      </c>
      <c r="I168" s="322">
        <v>42587</v>
      </c>
      <c r="J168" s="344" t="s">
        <v>2080</v>
      </c>
      <c r="K168" s="1173"/>
      <c r="L168" s="1174"/>
      <c r="M168" s="1176" t="s">
        <v>2081</v>
      </c>
      <c r="N168" s="1175"/>
      <c r="O168" s="1175">
        <v>129769200</v>
      </c>
      <c r="P168" s="344">
        <f t="shared" si="33"/>
        <v>129769200</v>
      </c>
      <c r="Q168" s="264"/>
      <c r="R168" s="264"/>
      <c r="S168" s="264"/>
      <c r="T168" s="264"/>
      <c r="U168" s="264"/>
      <c r="V168" s="264"/>
      <c r="W168" s="1617"/>
      <c r="X168" s="1598"/>
      <c r="Y168" s="1598"/>
      <c r="Z168" s="1618"/>
      <c r="AA168" s="264"/>
      <c r="AB168" s="507">
        <f t="shared" si="36"/>
        <v>-129769200</v>
      </c>
      <c r="AC168" s="352"/>
      <c r="AD168" s="53"/>
      <c r="AL168" s="103"/>
      <c r="AM168" s="103"/>
      <c r="AN168" s="103"/>
      <c r="AO168" s="103"/>
      <c r="AP168" s="103"/>
      <c r="AQ168" s="103"/>
      <c r="AR168" s="103"/>
      <c r="AS168" s="430"/>
      <c r="AT168" s="100"/>
      <c r="AU168" s="461"/>
    </row>
    <row r="169" spans="1:47" s="54" customFormat="1" ht="47.25">
      <c r="A169" s="561"/>
      <c r="B169" s="1037"/>
      <c r="C169" s="1037"/>
      <c r="D169" s="1038"/>
      <c r="E169" s="264"/>
      <c r="F169" s="264"/>
      <c r="G169" s="264"/>
      <c r="H169" s="379" t="s">
        <v>2082</v>
      </c>
      <c r="I169" s="322">
        <v>42587</v>
      </c>
      <c r="J169" s="344" t="s">
        <v>2083</v>
      </c>
      <c r="K169" s="1173"/>
      <c r="L169" s="1174"/>
      <c r="M169" s="1176" t="s">
        <v>2084</v>
      </c>
      <c r="N169" s="1175"/>
      <c r="O169" s="1175">
        <v>264000000</v>
      </c>
      <c r="P169" s="344">
        <f t="shared" si="33"/>
        <v>264000000</v>
      </c>
      <c r="Q169" s="264"/>
      <c r="R169" s="264"/>
      <c r="S169" s="264"/>
      <c r="T169" s="264"/>
      <c r="U169" s="264"/>
      <c r="V169" s="264"/>
      <c r="W169" s="1617"/>
      <c r="X169" s="1598"/>
      <c r="Y169" s="1598"/>
      <c r="Z169" s="1618"/>
      <c r="AA169" s="264"/>
      <c r="AB169" s="507">
        <f t="shared" si="36"/>
        <v>-264000000</v>
      </c>
      <c r="AC169" s="352"/>
      <c r="AD169" s="53"/>
      <c r="AL169" s="103"/>
      <c r="AM169" s="103"/>
      <c r="AN169" s="103"/>
      <c r="AO169" s="103"/>
      <c r="AP169" s="103"/>
      <c r="AQ169" s="103"/>
      <c r="AR169" s="103"/>
      <c r="AS169" s="430"/>
      <c r="AT169" s="100"/>
      <c r="AU169" s="461"/>
    </row>
    <row r="170" spans="1:47" s="54" customFormat="1" ht="47.25">
      <c r="A170" s="561"/>
      <c r="B170" s="1037"/>
      <c r="C170" s="1037"/>
      <c r="D170" s="1038"/>
      <c r="E170" s="264"/>
      <c r="F170" s="264"/>
      <c r="G170" s="264"/>
      <c r="H170" s="379" t="s">
        <v>2085</v>
      </c>
      <c r="I170" s="322">
        <v>42587</v>
      </c>
      <c r="J170" s="344" t="s">
        <v>2086</v>
      </c>
      <c r="K170" s="1173"/>
      <c r="L170" s="1174"/>
      <c r="M170" s="1176" t="s">
        <v>2087</v>
      </c>
      <c r="N170" s="1175"/>
      <c r="O170" s="1175">
        <v>263815200</v>
      </c>
      <c r="P170" s="344">
        <f t="shared" si="33"/>
        <v>263815200</v>
      </c>
      <c r="Q170" s="264"/>
      <c r="R170" s="264"/>
      <c r="S170" s="264"/>
      <c r="T170" s="264"/>
      <c r="U170" s="264"/>
      <c r="V170" s="264"/>
      <c r="W170" s="1617"/>
      <c r="X170" s="1598"/>
      <c r="Y170" s="1598"/>
      <c r="Z170" s="1618"/>
      <c r="AA170" s="264"/>
      <c r="AB170" s="507">
        <f t="shared" si="36"/>
        <v>-263815200</v>
      </c>
      <c r="AC170" s="352"/>
      <c r="AD170" s="53"/>
      <c r="AL170" s="103"/>
      <c r="AM170" s="103"/>
      <c r="AN170" s="103"/>
      <c r="AO170" s="103"/>
      <c r="AP170" s="103"/>
      <c r="AQ170" s="103"/>
      <c r="AR170" s="103"/>
      <c r="AS170" s="430"/>
      <c r="AT170" s="100"/>
      <c r="AU170" s="461"/>
    </row>
    <row r="171" spans="1:47" s="54" customFormat="1" ht="47.25">
      <c r="A171" s="561"/>
      <c r="B171" s="1037"/>
      <c r="C171" s="1037"/>
      <c r="D171" s="1038"/>
      <c r="E171" s="264"/>
      <c r="F171" s="264"/>
      <c r="G171" s="264"/>
      <c r="H171" s="379" t="s">
        <v>2324</v>
      </c>
      <c r="I171" s="1116">
        <v>42626</v>
      </c>
      <c r="J171" s="344" t="s">
        <v>2235</v>
      </c>
      <c r="K171" s="1173"/>
      <c r="L171" s="1174"/>
      <c r="M171" s="1176" t="s">
        <v>2236</v>
      </c>
      <c r="N171" s="1175"/>
      <c r="O171" s="1175">
        <v>114180000</v>
      </c>
      <c r="P171" s="344">
        <f t="shared" si="33"/>
        <v>114180000</v>
      </c>
      <c r="Q171" s="264"/>
      <c r="R171" s="264"/>
      <c r="S171" s="264"/>
      <c r="T171" s="264"/>
      <c r="U171" s="264"/>
      <c r="V171" s="264"/>
      <c r="W171" s="1617"/>
      <c r="X171" s="1598"/>
      <c r="Y171" s="1598"/>
      <c r="Z171" s="1618"/>
      <c r="AA171" s="264"/>
      <c r="AB171" s="507">
        <f t="shared" si="36"/>
        <v>-114180000</v>
      </c>
      <c r="AC171" s="352"/>
      <c r="AD171" s="53"/>
      <c r="AL171" s="103"/>
      <c r="AM171" s="103"/>
      <c r="AN171" s="103"/>
      <c r="AO171" s="103"/>
      <c r="AP171" s="103"/>
      <c r="AQ171" s="103"/>
      <c r="AR171" s="103"/>
      <c r="AS171" s="430"/>
      <c r="AT171" s="100"/>
      <c r="AU171" s="461"/>
    </row>
    <row r="172" spans="1:47" s="54" customFormat="1" ht="30">
      <c r="A172" s="561"/>
      <c r="B172" s="1037"/>
      <c r="C172" s="1037"/>
      <c r="D172" s="1038"/>
      <c r="E172" s="264"/>
      <c r="F172" s="264"/>
      <c r="G172" s="264"/>
      <c r="H172" s="379"/>
      <c r="I172" s="1116"/>
      <c r="J172" s="344"/>
      <c r="K172" s="1479" t="s">
        <v>3567</v>
      </c>
      <c r="L172" s="1174" t="s">
        <v>3407</v>
      </c>
      <c r="M172" s="1176" t="s">
        <v>2238</v>
      </c>
      <c r="N172" s="1175"/>
      <c r="O172" s="1175">
        <v>101640000</v>
      </c>
      <c r="P172" s="344">
        <f>N172+O172</f>
        <v>101640000</v>
      </c>
      <c r="Q172" s="264"/>
      <c r="R172" s="264"/>
      <c r="S172" s="264"/>
      <c r="T172" s="264"/>
      <c r="U172" s="264"/>
      <c r="V172" s="264">
        <f>P172</f>
        <v>101640000</v>
      </c>
      <c r="W172" s="1617" t="s">
        <v>3541</v>
      </c>
      <c r="X172" s="1598">
        <v>42724</v>
      </c>
      <c r="Y172" s="1598">
        <v>42731</v>
      </c>
      <c r="Z172" s="1618">
        <f>V172</f>
        <v>101640000</v>
      </c>
      <c r="AA172" s="1233">
        <v>1</v>
      </c>
      <c r="AB172" s="507">
        <f t="shared" si="36"/>
        <v>-101640000</v>
      </c>
      <c r="AC172" s="352"/>
      <c r="AD172" s="53"/>
      <c r="AL172" s="103"/>
      <c r="AM172" s="103"/>
      <c r="AN172" s="103"/>
      <c r="AO172" s="103"/>
      <c r="AP172" s="103"/>
      <c r="AQ172" s="103"/>
      <c r="AR172" s="103"/>
      <c r="AS172" s="430"/>
      <c r="AT172" s="100"/>
      <c r="AU172" s="461"/>
    </row>
    <row r="173" spans="1:47" s="54" customFormat="1" ht="47.25">
      <c r="A173" s="561"/>
      <c r="B173" s="1037"/>
      <c r="C173" s="1037"/>
      <c r="D173" s="1038"/>
      <c r="E173" s="264"/>
      <c r="F173" s="264"/>
      <c r="G173" s="264"/>
      <c r="H173" s="379" t="s">
        <v>2325</v>
      </c>
      <c r="I173" s="1116">
        <v>42626</v>
      </c>
      <c r="J173" s="344" t="s">
        <v>2237</v>
      </c>
      <c r="K173" s="1479" t="s">
        <v>3566</v>
      </c>
      <c r="L173" s="1174" t="s">
        <v>3407</v>
      </c>
      <c r="M173" s="1176" t="s">
        <v>2238</v>
      </c>
      <c r="N173" s="1175"/>
      <c r="O173" s="1175">
        <v>164560000</v>
      </c>
      <c r="P173" s="344">
        <f t="shared" si="33"/>
        <v>164560000</v>
      </c>
      <c r="Q173" s="264"/>
      <c r="R173" s="264"/>
      <c r="S173" s="264"/>
      <c r="T173" s="264"/>
      <c r="U173" s="264"/>
      <c r="V173" s="264">
        <f t="shared" ref="V173:V184" si="37">P173</f>
        <v>164560000</v>
      </c>
      <c r="W173" s="1617" t="s">
        <v>3541</v>
      </c>
      <c r="X173" s="1598">
        <v>42724</v>
      </c>
      <c r="Y173" s="1598">
        <v>42731</v>
      </c>
      <c r="Z173" s="1618">
        <f>V173</f>
        <v>164560000</v>
      </c>
      <c r="AA173" s="1233">
        <v>1</v>
      </c>
      <c r="AB173" s="507">
        <f t="shared" si="36"/>
        <v>-164560000</v>
      </c>
      <c r="AC173" s="352"/>
      <c r="AD173" s="53"/>
      <c r="AL173" s="103"/>
      <c r="AM173" s="103"/>
      <c r="AN173" s="103"/>
      <c r="AO173" s="103"/>
      <c r="AP173" s="103"/>
      <c r="AQ173" s="103"/>
      <c r="AR173" s="103"/>
      <c r="AS173" s="430"/>
      <c r="AT173" s="100"/>
      <c r="AU173" s="461"/>
    </row>
    <row r="174" spans="1:47" s="54" customFormat="1" ht="31.5">
      <c r="A174" s="561"/>
      <c r="B174" s="1037"/>
      <c r="C174" s="1037"/>
      <c r="D174" s="1038"/>
      <c r="E174" s="264"/>
      <c r="F174" s="264"/>
      <c r="G174" s="264"/>
      <c r="H174" s="1125"/>
      <c r="I174" s="1116"/>
      <c r="J174" s="344"/>
      <c r="K174" s="1228" t="s">
        <v>2264</v>
      </c>
      <c r="L174" s="1174" t="s">
        <v>1082</v>
      </c>
      <c r="M174" s="1229" t="s">
        <v>2265</v>
      </c>
      <c r="N174" s="1128">
        <v>0</v>
      </c>
      <c r="O174" s="1128">
        <v>13006400</v>
      </c>
      <c r="P174" s="344">
        <f t="shared" si="33"/>
        <v>13006400</v>
      </c>
      <c r="Q174" s="264"/>
      <c r="R174" s="264"/>
      <c r="S174" s="264"/>
      <c r="T174" s="264"/>
      <c r="U174" s="264"/>
      <c r="V174" s="264">
        <f t="shared" si="37"/>
        <v>13006400</v>
      </c>
      <c r="W174" s="1613" t="s">
        <v>2263</v>
      </c>
      <c r="X174" s="1598">
        <v>42608</v>
      </c>
      <c r="Y174" s="1598">
        <v>42615</v>
      </c>
      <c r="Z174" s="1618">
        <f>V174</f>
        <v>13006400</v>
      </c>
      <c r="AA174" s="1233">
        <v>1</v>
      </c>
      <c r="AB174" s="507">
        <f t="shared" si="36"/>
        <v>-13006400</v>
      </c>
      <c r="AC174" s="352"/>
      <c r="AD174" s="53"/>
      <c r="AL174" s="103"/>
      <c r="AM174" s="103"/>
      <c r="AN174" s="103"/>
      <c r="AO174" s="103"/>
      <c r="AP174" s="103"/>
      <c r="AQ174" s="103"/>
      <c r="AR174" s="103"/>
      <c r="AS174" s="430"/>
      <c r="AT174" s="100"/>
      <c r="AU174" s="461"/>
    </row>
    <row r="175" spans="1:47" s="54" customFormat="1" ht="31.5">
      <c r="A175" s="561"/>
      <c r="B175" s="1037"/>
      <c r="C175" s="1037"/>
      <c r="D175" s="1038"/>
      <c r="E175" s="264"/>
      <c r="F175" s="264"/>
      <c r="G175" s="264"/>
      <c r="H175" s="1125"/>
      <c r="I175" s="1116"/>
      <c r="J175" s="344"/>
      <c r="K175" s="1228" t="s">
        <v>2266</v>
      </c>
      <c r="L175" s="1174" t="s">
        <v>1082</v>
      </c>
      <c r="M175" s="1229" t="s">
        <v>2267</v>
      </c>
      <c r="N175" s="1128">
        <v>0</v>
      </c>
      <c r="O175" s="1128">
        <v>21677700</v>
      </c>
      <c r="P175" s="344">
        <f t="shared" si="33"/>
        <v>21677700</v>
      </c>
      <c r="Q175" s="264"/>
      <c r="R175" s="264"/>
      <c r="S175" s="264"/>
      <c r="T175" s="264"/>
      <c r="U175" s="264"/>
      <c r="V175" s="264">
        <f t="shared" si="37"/>
        <v>21677700</v>
      </c>
      <c r="W175" s="1613" t="s">
        <v>2263</v>
      </c>
      <c r="X175" s="1598">
        <v>42608</v>
      </c>
      <c r="Y175" s="1598">
        <v>42615</v>
      </c>
      <c r="Z175" s="1618">
        <f>V175</f>
        <v>21677700</v>
      </c>
      <c r="AA175" s="1233">
        <v>1</v>
      </c>
      <c r="AB175" s="507">
        <f t="shared" si="36"/>
        <v>-21677700</v>
      </c>
      <c r="AC175" s="352"/>
      <c r="AD175" s="53"/>
      <c r="AL175" s="103"/>
      <c r="AM175" s="103"/>
      <c r="AN175" s="103"/>
      <c r="AO175" s="103"/>
      <c r="AP175" s="103"/>
      <c r="AQ175" s="103"/>
      <c r="AR175" s="103"/>
      <c r="AS175" s="430"/>
      <c r="AT175" s="100"/>
      <c r="AU175" s="461"/>
    </row>
    <row r="176" spans="1:47" s="54" customFormat="1" ht="30">
      <c r="A176" s="561"/>
      <c r="B176" s="1037"/>
      <c r="C176" s="1037"/>
      <c r="D176" s="1038"/>
      <c r="E176" s="264"/>
      <c r="F176" s="264"/>
      <c r="G176" s="264"/>
      <c r="H176" s="1125"/>
      <c r="I176" s="1116"/>
      <c r="J176" s="344"/>
      <c r="K176" s="1230" t="s">
        <v>2268</v>
      </c>
      <c r="L176" s="1232" t="s">
        <v>1096</v>
      </c>
      <c r="M176" s="1231" t="s">
        <v>2269</v>
      </c>
      <c r="N176" s="1128"/>
      <c r="O176" s="1128">
        <v>23466564</v>
      </c>
      <c r="P176" s="344">
        <f t="shared" si="33"/>
        <v>23466564</v>
      </c>
      <c r="Q176" s="264"/>
      <c r="R176" s="264"/>
      <c r="S176" s="264"/>
      <c r="T176" s="264"/>
      <c r="U176" s="264"/>
      <c r="V176" s="264">
        <f t="shared" si="37"/>
        <v>23466564</v>
      </c>
      <c r="W176" s="1613" t="s">
        <v>2263</v>
      </c>
      <c r="X176" s="1598">
        <v>42608</v>
      </c>
      <c r="Y176" s="1598">
        <v>42615</v>
      </c>
      <c r="Z176" s="1618">
        <f t="shared" ref="Z176:Z181" si="38">V176</f>
        <v>23466564</v>
      </c>
      <c r="AA176" s="1233">
        <v>1</v>
      </c>
      <c r="AB176" s="507">
        <f t="shared" ref="AB176:AB181" si="39">+G176-P176</f>
        <v>-23466564</v>
      </c>
      <c r="AC176" s="352"/>
      <c r="AD176" s="53"/>
      <c r="AL176" s="103"/>
      <c r="AM176" s="103"/>
      <c r="AN176" s="103"/>
      <c r="AO176" s="103"/>
      <c r="AP176" s="103"/>
      <c r="AQ176" s="103"/>
      <c r="AR176" s="103"/>
      <c r="AS176" s="430"/>
      <c r="AT176" s="100"/>
      <c r="AU176" s="461"/>
    </row>
    <row r="177" spans="1:47" s="54" customFormat="1" ht="30">
      <c r="A177" s="561"/>
      <c r="B177" s="1037"/>
      <c r="C177" s="1037"/>
      <c r="D177" s="1038"/>
      <c r="E177" s="264"/>
      <c r="F177" s="264"/>
      <c r="G177" s="264"/>
      <c r="H177" s="1125"/>
      <c r="I177" s="1116"/>
      <c r="J177" s="344"/>
      <c r="K177" s="1230" t="s">
        <v>2270</v>
      </c>
      <c r="L177" s="1232" t="s">
        <v>1096</v>
      </c>
      <c r="M177" s="1231" t="s">
        <v>2271</v>
      </c>
      <c r="N177" s="1128"/>
      <c r="O177" s="1128">
        <v>19120904</v>
      </c>
      <c r="P177" s="344">
        <f t="shared" si="33"/>
        <v>19120904</v>
      </c>
      <c r="Q177" s="264"/>
      <c r="R177" s="264"/>
      <c r="S177" s="264"/>
      <c r="T177" s="264"/>
      <c r="U177" s="264"/>
      <c r="V177" s="264">
        <f t="shared" si="37"/>
        <v>19120904</v>
      </c>
      <c r="W177" s="1613" t="s">
        <v>2263</v>
      </c>
      <c r="X177" s="1598">
        <v>42608</v>
      </c>
      <c r="Y177" s="1598">
        <v>42615</v>
      </c>
      <c r="Z177" s="1618">
        <f t="shared" si="38"/>
        <v>19120904</v>
      </c>
      <c r="AA177" s="1233">
        <v>1</v>
      </c>
      <c r="AB177" s="507">
        <f t="shared" si="39"/>
        <v>-19120904</v>
      </c>
      <c r="AC177" s="352"/>
      <c r="AD177" s="53"/>
      <c r="AL177" s="103"/>
      <c r="AM177" s="103"/>
      <c r="AN177" s="103"/>
      <c r="AO177" s="103"/>
      <c r="AP177" s="103"/>
      <c r="AQ177" s="103"/>
      <c r="AR177" s="103"/>
      <c r="AS177" s="430"/>
      <c r="AT177" s="100"/>
      <c r="AU177" s="461"/>
    </row>
    <row r="178" spans="1:47" s="54" customFormat="1" ht="30">
      <c r="A178" s="561"/>
      <c r="B178" s="1037"/>
      <c r="C178" s="1037"/>
      <c r="D178" s="1038"/>
      <c r="E178" s="264"/>
      <c r="F178" s="264"/>
      <c r="G178" s="264"/>
      <c r="H178" s="1125"/>
      <c r="I178" s="1116"/>
      <c r="J178" s="344"/>
      <c r="K178" s="1230" t="s">
        <v>2272</v>
      </c>
      <c r="L178" s="1232" t="s">
        <v>1096</v>
      </c>
      <c r="M178" s="1231" t="s">
        <v>2273</v>
      </c>
      <c r="N178" s="1128"/>
      <c r="O178" s="1128">
        <v>20565489</v>
      </c>
      <c r="P178" s="344">
        <f t="shared" si="33"/>
        <v>20565489</v>
      </c>
      <c r="Q178" s="264"/>
      <c r="R178" s="264"/>
      <c r="S178" s="264"/>
      <c r="T178" s="264"/>
      <c r="U178" s="264"/>
      <c r="V178" s="264">
        <f t="shared" si="37"/>
        <v>20565489</v>
      </c>
      <c r="W178" s="1613" t="s">
        <v>2263</v>
      </c>
      <c r="X178" s="1598">
        <v>42608</v>
      </c>
      <c r="Y178" s="1598">
        <v>42615</v>
      </c>
      <c r="Z178" s="1618">
        <f t="shared" si="38"/>
        <v>20565489</v>
      </c>
      <c r="AA178" s="1233">
        <v>1</v>
      </c>
      <c r="AB178" s="507">
        <f t="shared" si="39"/>
        <v>-20565489</v>
      </c>
      <c r="AC178" s="352"/>
      <c r="AD178" s="53"/>
      <c r="AL178" s="103"/>
      <c r="AM178" s="103"/>
      <c r="AN178" s="103"/>
      <c r="AO178" s="103"/>
      <c r="AP178" s="103"/>
      <c r="AQ178" s="103"/>
      <c r="AR178" s="103"/>
      <c r="AS178" s="430"/>
      <c r="AT178" s="100"/>
      <c r="AU178" s="461"/>
    </row>
    <row r="179" spans="1:47" s="54" customFormat="1" ht="30">
      <c r="A179" s="561"/>
      <c r="B179" s="1037"/>
      <c r="C179" s="1037"/>
      <c r="D179" s="1038"/>
      <c r="E179" s="264"/>
      <c r="F179" s="264"/>
      <c r="G179" s="264"/>
      <c r="H179" s="1125"/>
      <c r="I179" s="1116"/>
      <c r="J179" s="344"/>
      <c r="K179" s="1230" t="s">
        <v>2274</v>
      </c>
      <c r="L179" s="1232" t="s">
        <v>1096</v>
      </c>
      <c r="M179" s="1231" t="s">
        <v>2275</v>
      </c>
      <c r="N179" s="1128"/>
      <c r="O179" s="1128">
        <v>11489033</v>
      </c>
      <c r="P179" s="344">
        <f t="shared" si="33"/>
        <v>11489033</v>
      </c>
      <c r="Q179" s="264"/>
      <c r="R179" s="264"/>
      <c r="S179" s="264"/>
      <c r="T179" s="264"/>
      <c r="U179" s="264"/>
      <c r="V179" s="264">
        <f t="shared" si="37"/>
        <v>11489033</v>
      </c>
      <c r="W179" s="1613" t="s">
        <v>2263</v>
      </c>
      <c r="X179" s="1598">
        <v>42608</v>
      </c>
      <c r="Y179" s="1598">
        <v>42615</v>
      </c>
      <c r="Z179" s="1618">
        <f t="shared" si="38"/>
        <v>11489033</v>
      </c>
      <c r="AA179" s="1233">
        <v>1</v>
      </c>
      <c r="AB179" s="507">
        <f t="shared" si="39"/>
        <v>-11489033</v>
      </c>
      <c r="AC179" s="352"/>
      <c r="AD179" s="53"/>
      <c r="AL179" s="103"/>
      <c r="AM179" s="103"/>
      <c r="AN179" s="103"/>
      <c r="AO179" s="103"/>
      <c r="AP179" s="103"/>
      <c r="AQ179" s="103"/>
      <c r="AR179" s="103"/>
      <c r="AS179" s="430"/>
      <c r="AT179" s="100"/>
      <c r="AU179" s="461"/>
    </row>
    <row r="180" spans="1:47" s="54" customFormat="1" ht="31.5">
      <c r="A180" s="561"/>
      <c r="B180" s="1037"/>
      <c r="C180" s="1037"/>
      <c r="D180" s="1038"/>
      <c r="E180" s="264"/>
      <c r="F180" s="264"/>
      <c r="G180" s="264"/>
      <c r="H180" s="1125"/>
      <c r="I180" s="1116"/>
      <c r="J180" s="344"/>
      <c r="K180" s="1228" t="s">
        <v>2277</v>
      </c>
      <c r="L180" s="1174" t="s">
        <v>1082</v>
      </c>
      <c r="M180" s="1229" t="s">
        <v>2278</v>
      </c>
      <c r="N180" s="1128"/>
      <c r="O180" s="1128">
        <v>606981760</v>
      </c>
      <c r="P180" s="344">
        <f>N180+O180</f>
        <v>606981760</v>
      </c>
      <c r="Q180" s="264"/>
      <c r="R180" s="264"/>
      <c r="S180" s="264"/>
      <c r="T180" s="264"/>
      <c r="U180" s="264"/>
      <c r="V180" s="264">
        <f t="shared" si="37"/>
        <v>606981760</v>
      </c>
      <c r="W180" s="1617" t="s">
        <v>2276</v>
      </c>
      <c r="X180" s="1598">
        <v>42608</v>
      </c>
      <c r="Y180" s="1598">
        <v>42615</v>
      </c>
      <c r="Z180" s="1618">
        <f t="shared" si="38"/>
        <v>606981760</v>
      </c>
      <c r="AA180" s="1233">
        <v>1</v>
      </c>
      <c r="AB180" s="507">
        <f t="shared" si="39"/>
        <v>-606981760</v>
      </c>
      <c r="AC180" s="352"/>
      <c r="AD180" s="53"/>
      <c r="AL180" s="103"/>
      <c r="AM180" s="103"/>
      <c r="AN180" s="103"/>
      <c r="AO180" s="103"/>
      <c r="AP180" s="103"/>
      <c r="AQ180" s="103"/>
      <c r="AR180" s="103"/>
      <c r="AS180" s="430"/>
      <c r="AT180" s="100"/>
      <c r="AU180" s="461"/>
    </row>
    <row r="181" spans="1:47" s="54" customFormat="1" ht="31.5">
      <c r="A181" s="561"/>
      <c r="B181" s="1037"/>
      <c r="C181" s="1037"/>
      <c r="D181" s="1038"/>
      <c r="E181" s="264"/>
      <c r="F181" s="264"/>
      <c r="G181" s="264"/>
      <c r="H181" s="1125"/>
      <c r="I181" s="1116"/>
      <c r="J181" s="344"/>
      <c r="K181" s="1228" t="s">
        <v>2279</v>
      </c>
      <c r="L181" s="437" t="s">
        <v>1082</v>
      </c>
      <c r="M181" s="1229" t="s">
        <v>2280</v>
      </c>
      <c r="N181" s="1128"/>
      <c r="O181" s="1128">
        <v>65034200</v>
      </c>
      <c r="P181" s="344">
        <f>N181+O181</f>
        <v>65034200</v>
      </c>
      <c r="Q181" s="264"/>
      <c r="R181" s="264"/>
      <c r="S181" s="264"/>
      <c r="T181" s="264"/>
      <c r="U181" s="264"/>
      <c r="V181" s="264">
        <f t="shared" si="37"/>
        <v>65034200</v>
      </c>
      <c r="W181" s="1617" t="s">
        <v>2276</v>
      </c>
      <c r="X181" s="1598">
        <v>42608</v>
      </c>
      <c r="Y181" s="1598">
        <v>42615</v>
      </c>
      <c r="Z181" s="1618">
        <f t="shared" si="38"/>
        <v>65034200</v>
      </c>
      <c r="AA181" s="1233">
        <v>1</v>
      </c>
      <c r="AB181" s="507">
        <f t="shared" si="39"/>
        <v>-65034200</v>
      </c>
      <c r="AC181" s="352"/>
      <c r="AD181" s="53"/>
      <c r="AL181" s="103"/>
      <c r="AM181" s="103"/>
      <c r="AN181" s="103"/>
      <c r="AO181" s="103"/>
      <c r="AP181" s="103"/>
      <c r="AQ181" s="103"/>
      <c r="AR181" s="103"/>
      <c r="AS181" s="430"/>
      <c r="AT181" s="100"/>
      <c r="AU181" s="461"/>
    </row>
    <row r="182" spans="1:47" s="54" customFormat="1" ht="30">
      <c r="A182" s="561"/>
      <c r="B182" s="1037"/>
      <c r="C182" s="1037"/>
      <c r="D182" s="1038"/>
      <c r="E182" s="264"/>
      <c r="F182" s="264"/>
      <c r="G182" s="264"/>
      <c r="H182" s="1125"/>
      <c r="I182" s="1116"/>
      <c r="J182" s="344"/>
      <c r="K182" s="1228" t="s">
        <v>2284</v>
      </c>
      <c r="L182" s="1232" t="s">
        <v>1096</v>
      </c>
      <c r="M182" s="1229" t="s">
        <v>2285</v>
      </c>
      <c r="N182" s="1128"/>
      <c r="O182" s="1128">
        <v>72351542</v>
      </c>
      <c r="P182" s="344">
        <f>N182+O182</f>
        <v>72351542</v>
      </c>
      <c r="Q182" s="264"/>
      <c r="R182" s="264"/>
      <c r="S182" s="264"/>
      <c r="T182" s="264"/>
      <c r="U182" s="264"/>
      <c r="V182" s="264">
        <f t="shared" si="37"/>
        <v>72351542</v>
      </c>
      <c r="W182" s="1617" t="s">
        <v>2276</v>
      </c>
      <c r="X182" s="1598">
        <v>42608</v>
      </c>
      <c r="Y182" s="1598">
        <v>42615</v>
      </c>
      <c r="Z182" s="1618">
        <f>V182</f>
        <v>72351542</v>
      </c>
      <c r="AA182" s="1233">
        <v>1</v>
      </c>
      <c r="AB182" s="507">
        <f>+G182-P182</f>
        <v>-72351542</v>
      </c>
      <c r="AC182" s="352"/>
      <c r="AD182" s="53"/>
      <c r="AL182" s="103"/>
      <c r="AM182" s="103"/>
      <c r="AN182" s="103"/>
      <c r="AO182" s="103"/>
      <c r="AP182" s="103"/>
      <c r="AQ182" s="103"/>
      <c r="AR182" s="103"/>
      <c r="AS182" s="430"/>
      <c r="AT182" s="100"/>
      <c r="AU182" s="461"/>
    </row>
    <row r="183" spans="1:47" s="54" customFormat="1" ht="30">
      <c r="A183" s="561"/>
      <c r="B183" s="1037"/>
      <c r="C183" s="1037"/>
      <c r="D183" s="1038"/>
      <c r="E183" s="264"/>
      <c r="F183" s="264"/>
      <c r="G183" s="264"/>
      <c r="H183" s="1125"/>
      <c r="I183" s="1116"/>
      <c r="J183" s="344"/>
      <c r="K183" s="1228" t="s">
        <v>2286</v>
      </c>
      <c r="L183" s="1232" t="s">
        <v>1096</v>
      </c>
      <c r="M183" s="1229" t="s">
        <v>2287</v>
      </c>
      <c r="N183" s="1128"/>
      <c r="O183" s="1128">
        <v>550949361</v>
      </c>
      <c r="P183" s="344">
        <f>N183+O183</f>
        <v>550949361</v>
      </c>
      <c r="Q183" s="264"/>
      <c r="R183" s="264"/>
      <c r="S183" s="264"/>
      <c r="T183" s="264"/>
      <c r="U183" s="264"/>
      <c r="V183" s="264">
        <f t="shared" si="37"/>
        <v>550949361</v>
      </c>
      <c r="W183" s="1617" t="s">
        <v>2276</v>
      </c>
      <c r="X183" s="1598">
        <v>42608</v>
      </c>
      <c r="Y183" s="1598">
        <v>42615</v>
      </c>
      <c r="Z183" s="1618">
        <f>V183</f>
        <v>550949361</v>
      </c>
      <c r="AA183" s="1233">
        <v>1</v>
      </c>
      <c r="AB183" s="507">
        <f>+G183-P183</f>
        <v>-550949361</v>
      </c>
      <c r="AC183" s="352"/>
      <c r="AD183" s="53"/>
      <c r="AL183" s="103"/>
      <c r="AM183" s="103"/>
      <c r="AN183" s="103"/>
      <c r="AO183" s="103"/>
      <c r="AP183" s="103"/>
      <c r="AQ183" s="103"/>
      <c r="AR183" s="103"/>
      <c r="AS183" s="430"/>
      <c r="AT183" s="100"/>
      <c r="AU183" s="461"/>
    </row>
    <row r="184" spans="1:47" s="54" customFormat="1" ht="30">
      <c r="A184" s="561"/>
      <c r="B184" s="1037"/>
      <c r="C184" s="1037"/>
      <c r="D184" s="1038"/>
      <c r="E184" s="264"/>
      <c r="F184" s="264"/>
      <c r="G184" s="264"/>
      <c r="H184" s="1125"/>
      <c r="I184" s="1116"/>
      <c r="J184" s="344"/>
      <c r="K184" s="1228" t="s">
        <v>2288</v>
      </c>
      <c r="L184" s="1232" t="s">
        <v>1096</v>
      </c>
      <c r="M184" s="1229" t="s">
        <v>2289</v>
      </c>
      <c r="N184" s="1128"/>
      <c r="O184" s="1128">
        <v>75122850</v>
      </c>
      <c r="P184" s="344">
        <f>N184+O184</f>
        <v>75122850</v>
      </c>
      <c r="Q184" s="264"/>
      <c r="R184" s="264"/>
      <c r="S184" s="264"/>
      <c r="T184" s="264"/>
      <c r="U184" s="264"/>
      <c r="V184" s="264">
        <f t="shared" si="37"/>
        <v>75122850</v>
      </c>
      <c r="W184" s="1617" t="s">
        <v>2276</v>
      </c>
      <c r="X184" s="1598">
        <v>42608</v>
      </c>
      <c r="Y184" s="1598">
        <v>42615</v>
      </c>
      <c r="Z184" s="1618">
        <f>V184</f>
        <v>75122850</v>
      </c>
      <c r="AA184" s="1233">
        <v>1</v>
      </c>
      <c r="AB184" s="507">
        <f>+G184-P184</f>
        <v>-75122850</v>
      </c>
      <c r="AC184" s="352"/>
      <c r="AD184" s="53"/>
      <c r="AL184" s="103"/>
      <c r="AM184" s="103"/>
      <c r="AN184" s="103"/>
      <c r="AO184" s="103"/>
      <c r="AP184" s="103"/>
      <c r="AQ184" s="103"/>
      <c r="AR184" s="103"/>
      <c r="AS184" s="430"/>
      <c r="AT184" s="100"/>
      <c r="AU184" s="461"/>
    </row>
    <row r="185" spans="1:47" s="54" customFormat="1" ht="30">
      <c r="A185" s="561"/>
      <c r="B185" s="1037"/>
      <c r="C185" s="1037"/>
      <c r="D185" s="1038"/>
      <c r="E185" s="264"/>
      <c r="F185" s="264"/>
      <c r="G185" s="264"/>
      <c r="H185" s="1125"/>
      <c r="I185" s="1116"/>
      <c r="J185" s="344"/>
      <c r="K185" s="1173" t="s">
        <v>2335</v>
      </c>
      <c r="L185" s="1232" t="s">
        <v>1096</v>
      </c>
      <c r="M185" s="1247" t="s">
        <v>2336</v>
      </c>
      <c r="N185" s="1128"/>
      <c r="O185" s="1248">
        <v>34169850</v>
      </c>
      <c r="P185" s="344">
        <f t="shared" ref="P185:P195" si="40">N185+O185</f>
        <v>34169850</v>
      </c>
      <c r="Q185" s="264"/>
      <c r="R185" s="264"/>
      <c r="S185" s="264"/>
      <c r="T185" s="264"/>
      <c r="U185" s="264"/>
      <c r="V185" s="264">
        <f t="shared" ref="V185:V195" si="41">P185</f>
        <v>34169850</v>
      </c>
      <c r="W185" s="1617" t="s">
        <v>2345</v>
      </c>
      <c r="X185" s="1598">
        <v>42618</v>
      </c>
      <c r="Y185" s="1598">
        <v>42622</v>
      </c>
      <c r="Z185" s="1618">
        <f t="shared" ref="Z185:Z204" si="42">V185</f>
        <v>34169850</v>
      </c>
      <c r="AA185" s="1233">
        <v>1</v>
      </c>
      <c r="AB185" s="507">
        <f t="shared" ref="AB185:AB204" si="43">+G185-P185</f>
        <v>-34169850</v>
      </c>
      <c r="AC185" s="352"/>
      <c r="AD185" s="53"/>
      <c r="AL185" s="103"/>
      <c r="AM185" s="103"/>
      <c r="AN185" s="103"/>
      <c r="AO185" s="103"/>
      <c r="AP185" s="103"/>
      <c r="AQ185" s="103"/>
      <c r="AR185" s="103"/>
      <c r="AS185" s="430"/>
      <c r="AT185" s="100"/>
      <c r="AU185" s="461"/>
    </row>
    <row r="186" spans="1:47" s="54" customFormat="1" ht="30">
      <c r="A186" s="561"/>
      <c r="B186" s="1037"/>
      <c r="C186" s="1037"/>
      <c r="D186" s="1038"/>
      <c r="E186" s="264"/>
      <c r="F186" s="264"/>
      <c r="G186" s="264"/>
      <c r="H186" s="1125"/>
      <c r="I186" s="1116"/>
      <c r="J186" s="344"/>
      <c r="K186" s="1173" t="s">
        <v>2337</v>
      </c>
      <c r="L186" s="1232" t="s">
        <v>1096</v>
      </c>
      <c r="M186" s="1247" t="s">
        <v>2338</v>
      </c>
      <c r="N186" s="1128"/>
      <c r="O186" s="1248">
        <v>550857038</v>
      </c>
      <c r="P186" s="344">
        <f t="shared" si="40"/>
        <v>550857038</v>
      </c>
      <c r="Q186" s="264"/>
      <c r="R186" s="264"/>
      <c r="S186" s="264"/>
      <c r="T186" s="264"/>
      <c r="U186" s="264"/>
      <c r="V186" s="264">
        <f t="shared" si="41"/>
        <v>550857038</v>
      </c>
      <c r="W186" s="1617" t="s">
        <v>2345</v>
      </c>
      <c r="X186" s="1598">
        <v>42618</v>
      </c>
      <c r="Y186" s="1598">
        <v>42622</v>
      </c>
      <c r="Z186" s="1618">
        <f t="shared" si="42"/>
        <v>550857038</v>
      </c>
      <c r="AA186" s="1233">
        <v>1</v>
      </c>
      <c r="AB186" s="507">
        <f t="shared" si="43"/>
        <v>-550857038</v>
      </c>
      <c r="AC186" s="352"/>
      <c r="AD186" s="53"/>
      <c r="AL186" s="103"/>
      <c r="AM186" s="103"/>
      <c r="AN186" s="103"/>
      <c r="AO186" s="103"/>
      <c r="AP186" s="103"/>
      <c r="AQ186" s="103"/>
      <c r="AR186" s="103"/>
      <c r="AS186" s="430"/>
      <c r="AT186" s="100"/>
      <c r="AU186" s="461"/>
    </row>
    <row r="187" spans="1:47" s="54" customFormat="1" ht="30">
      <c r="A187" s="561"/>
      <c r="B187" s="1037"/>
      <c r="C187" s="1037"/>
      <c r="D187" s="1038"/>
      <c r="E187" s="264"/>
      <c r="F187" s="264"/>
      <c r="G187" s="264"/>
      <c r="H187" s="1125"/>
      <c r="I187" s="1116"/>
      <c r="J187" s="344"/>
      <c r="K187" s="1173" t="s">
        <v>2339</v>
      </c>
      <c r="L187" s="1232" t="s">
        <v>1096</v>
      </c>
      <c r="M187" s="1247" t="s">
        <v>2340</v>
      </c>
      <c r="N187" s="1128"/>
      <c r="O187" s="1248">
        <v>57030556</v>
      </c>
      <c r="P187" s="344">
        <f t="shared" si="40"/>
        <v>57030556</v>
      </c>
      <c r="Q187" s="264"/>
      <c r="R187" s="264"/>
      <c r="S187" s="264"/>
      <c r="T187" s="264"/>
      <c r="U187" s="264"/>
      <c r="V187" s="264">
        <f t="shared" si="41"/>
        <v>57030556</v>
      </c>
      <c r="W187" s="1617" t="s">
        <v>2345</v>
      </c>
      <c r="X187" s="1598">
        <v>42618</v>
      </c>
      <c r="Y187" s="1598">
        <v>42622</v>
      </c>
      <c r="Z187" s="1618">
        <f t="shared" si="42"/>
        <v>57030556</v>
      </c>
      <c r="AA187" s="1233">
        <v>1</v>
      </c>
      <c r="AB187" s="507">
        <f t="shared" si="43"/>
        <v>-57030556</v>
      </c>
      <c r="AC187" s="352"/>
      <c r="AD187" s="53"/>
      <c r="AL187" s="103"/>
      <c r="AM187" s="103"/>
      <c r="AN187" s="103"/>
      <c r="AO187" s="103"/>
      <c r="AP187" s="103"/>
      <c r="AQ187" s="103"/>
      <c r="AR187" s="103"/>
      <c r="AS187" s="430"/>
      <c r="AT187" s="100"/>
      <c r="AU187" s="461"/>
    </row>
    <row r="188" spans="1:47" s="54" customFormat="1" ht="30">
      <c r="A188" s="561"/>
      <c r="B188" s="1037"/>
      <c r="C188" s="1037"/>
      <c r="D188" s="1038"/>
      <c r="E188" s="264"/>
      <c r="F188" s="264"/>
      <c r="G188" s="264"/>
      <c r="H188" s="1125"/>
      <c r="I188" s="1116"/>
      <c r="J188" s="344"/>
      <c r="K188" s="1173" t="s">
        <v>2341</v>
      </c>
      <c r="L188" s="1232" t="s">
        <v>1096</v>
      </c>
      <c r="M188" s="1247" t="s">
        <v>2342</v>
      </c>
      <c r="N188" s="1128"/>
      <c r="O188" s="1248">
        <v>34188660</v>
      </c>
      <c r="P188" s="344">
        <f t="shared" si="40"/>
        <v>34188660</v>
      </c>
      <c r="Q188" s="264"/>
      <c r="R188" s="264"/>
      <c r="S188" s="264"/>
      <c r="T188" s="264"/>
      <c r="U188" s="264"/>
      <c r="V188" s="264">
        <f t="shared" si="41"/>
        <v>34188660</v>
      </c>
      <c r="W188" s="1617" t="s">
        <v>2345</v>
      </c>
      <c r="X188" s="1598">
        <v>42618</v>
      </c>
      <c r="Y188" s="1598">
        <v>42622</v>
      </c>
      <c r="Z188" s="1618">
        <f t="shared" si="42"/>
        <v>34188660</v>
      </c>
      <c r="AA188" s="1233">
        <v>1</v>
      </c>
      <c r="AB188" s="507">
        <f t="shared" si="43"/>
        <v>-34188660</v>
      </c>
      <c r="AC188" s="352"/>
      <c r="AD188" s="53"/>
      <c r="AL188" s="103"/>
      <c r="AM188" s="103"/>
      <c r="AN188" s="103"/>
      <c r="AO188" s="103"/>
      <c r="AP188" s="103"/>
      <c r="AQ188" s="103"/>
      <c r="AR188" s="103"/>
      <c r="AS188" s="430"/>
      <c r="AT188" s="100"/>
      <c r="AU188" s="461"/>
    </row>
    <row r="189" spans="1:47" s="54" customFormat="1" ht="30">
      <c r="A189" s="561"/>
      <c r="B189" s="1037"/>
      <c r="C189" s="1037"/>
      <c r="D189" s="1038"/>
      <c r="E189" s="264"/>
      <c r="F189" s="264"/>
      <c r="G189" s="264"/>
      <c r="H189" s="1125"/>
      <c r="I189" s="1116"/>
      <c r="J189" s="344"/>
      <c r="K189" s="1173" t="s">
        <v>2343</v>
      </c>
      <c r="L189" s="1232" t="s">
        <v>1096</v>
      </c>
      <c r="M189" s="1249" t="s">
        <v>2344</v>
      </c>
      <c r="N189" s="1250"/>
      <c r="O189" s="1251">
        <v>78634875</v>
      </c>
      <c r="P189" s="344">
        <f t="shared" si="40"/>
        <v>78634875</v>
      </c>
      <c r="Q189" s="264"/>
      <c r="R189" s="264"/>
      <c r="S189" s="264"/>
      <c r="T189" s="264"/>
      <c r="U189" s="264"/>
      <c r="V189" s="264">
        <f t="shared" si="41"/>
        <v>78634875</v>
      </c>
      <c r="W189" s="1617" t="s">
        <v>2345</v>
      </c>
      <c r="X189" s="1598">
        <v>42618</v>
      </c>
      <c r="Y189" s="1598">
        <v>42622</v>
      </c>
      <c r="Z189" s="1618">
        <f t="shared" si="42"/>
        <v>78634875</v>
      </c>
      <c r="AA189" s="1233">
        <v>1</v>
      </c>
      <c r="AB189" s="507">
        <f t="shared" si="43"/>
        <v>-78634875</v>
      </c>
      <c r="AC189" s="352"/>
      <c r="AD189" s="53"/>
      <c r="AL189" s="103"/>
      <c r="AM189" s="103"/>
      <c r="AN189" s="103"/>
      <c r="AO189" s="103"/>
      <c r="AP189" s="103"/>
      <c r="AQ189" s="103"/>
      <c r="AR189" s="103"/>
      <c r="AS189" s="430"/>
      <c r="AT189" s="100"/>
      <c r="AU189" s="461"/>
    </row>
    <row r="190" spans="1:47" s="54" customFormat="1" ht="30">
      <c r="A190" s="561"/>
      <c r="B190" s="1037"/>
      <c r="C190" s="1037"/>
      <c r="D190" s="1038"/>
      <c r="E190" s="264"/>
      <c r="F190" s="264"/>
      <c r="G190" s="264"/>
      <c r="H190" s="1125"/>
      <c r="I190" s="1116"/>
      <c r="J190" s="344"/>
      <c r="K190" s="1173" t="s">
        <v>2346</v>
      </c>
      <c r="L190" s="1232" t="s">
        <v>1096</v>
      </c>
      <c r="M190" s="1247" t="s">
        <v>2347</v>
      </c>
      <c r="N190" s="1128"/>
      <c r="O190" s="1248">
        <v>14318656</v>
      </c>
      <c r="P190" s="344">
        <f t="shared" si="40"/>
        <v>14318656</v>
      </c>
      <c r="Q190" s="264"/>
      <c r="R190" s="264"/>
      <c r="S190" s="264"/>
      <c r="T190" s="264"/>
      <c r="U190" s="264"/>
      <c r="V190" s="264">
        <f t="shared" si="41"/>
        <v>14318656</v>
      </c>
      <c r="W190" s="1617" t="s">
        <v>2358</v>
      </c>
      <c r="X190" s="1598">
        <v>42618</v>
      </c>
      <c r="Y190" s="1598">
        <v>42622</v>
      </c>
      <c r="Z190" s="1618">
        <f t="shared" si="42"/>
        <v>14318656</v>
      </c>
      <c r="AA190" s="1233">
        <v>1</v>
      </c>
      <c r="AB190" s="507">
        <f t="shared" si="43"/>
        <v>-14318656</v>
      </c>
      <c r="AC190" s="352"/>
      <c r="AD190" s="53"/>
      <c r="AL190" s="103"/>
      <c r="AM190" s="103"/>
      <c r="AN190" s="103"/>
      <c r="AO190" s="103"/>
      <c r="AP190" s="103"/>
      <c r="AQ190" s="103"/>
      <c r="AR190" s="103"/>
      <c r="AS190" s="430"/>
      <c r="AT190" s="100"/>
      <c r="AU190" s="461"/>
    </row>
    <row r="191" spans="1:47" s="54" customFormat="1" ht="30">
      <c r="A191" s="561"/>
      <c r="B191" s="1037"/>
      <c r="C191" s="1037"/>
      <c r="D191" s="1038"/>
      <c r="E191" s="264"/>
      <c r="F191" s="264"/>
      <c r="G191" s="264"/>
      <c r="H191" s="1125"/>
      <c r="I191" s="1116"/>
      <c r="J191" s="344"/>
      <c r="K191" s="1173" t="s">
        <v>2348</v>
      </c>
      <c r="L191" s="1232" t="s">
        <v>1096</v>
      </c>
      <c r="M191" s="1247" t="s">
        <v>2349</v>
      </c>
      <c r="N191" s="1128"/>
      <c r="O191" s="1248">
        <v>20534254</v>
      </c>
      <c r="P191" s="344">
        <f t="shared" si="40"/>
        <v>20534254</v>
      </c>
      <c r="Q191" s="264"/>
      <c r="R191" s="264"/>
      <c r="S191" s="264"/>
      <c r="T191" s="264"/>
      <c r="U191" s="264"/>
      <c r="V191" s="264">
        <f t="shared" si="41"/>
        <v>20534254</v>
      </c>
      <c r="W191" s="1617" t="s">
        <v>2358</v>
      </c>
      <c r="X191" s="1598">
        <v>42618</v>
      </c>
      <c r="Y191" s="1598">
        <v>42622</v>
      </c>
      <c r="Z191" s="1618">
        <f t="shared" si="42"/>
        <v>20534254</v>
      </c>
      <c r="AA191" s="1233">
        <v>1</v>
      </c>
      <c r="AB191" s="507">
        <f t="shared" si="43"/>
        <v>-20534254</v>
      </c>
      <c r="AC191" s="352"/>
      <c r="AD191" s="53"/>
      <c r="AL191" s="103"/>
      <c r="AM191" s="103"/>
      <c r="AN191" s="103"/>
      <c r="AO191" s="103"/>
      <c r="AP191" s="103"/>
      <c r="AQ191" s="103"/>
      <c r="AR191" s="103"/>
      <c r="AS191" s="430"/>
      <c r="AT191" s="100"/>
      <c r="AU191" s="461"/>
    </row>
    <row r="192" spans="1:47" s="54" customFormat="1" ht="30">
      <c r="A192" s="561"/>
      <c r="B192" s="1037"/>
      <c r="C192" s="1037"/>
      <c r="D192" s="1038"/>
      <c r="E192" s="264"/>
      <c r="F192" s="264"/>
      <c r="G192" s="264"/>
      <c r="H192" s="1125"/>
      <c r="I192" s="1116"/>
      <c r="J192" s="344"/>
      <c r="K192" s="1173" t="s">
        <v>2350</v>
      </c>
      <c r="L192" s="1232" t="s">
        <v>1096</v>
      </c>
      <c r="M192" s="1247" t="s">
        <v>2351</v>
      </c>
      <c r="N192" s="1128"/>
      <c r="O192" s="1248">
        <v>23430924</v>
      </c>
      <c r="P192" s="344">
        <f t="shared" si="40"/>
        <v>23430924</v>
      </c>
      <c r="Q192" s="264"/>
      <c r="R192" s="264"/>
      <c r="S192" s="264"/>
      <c r="T192" s="264"/>
      <c r="U192" s="264"/>
      <c r="V192" s="264">
        <f t="shared" si="41"/>
        <v>23430924</v>
      </c>
      <c r="W192" s="1617" t="s">
        <v>2358</v>
      </c>
      <c r="X192" s="1598">
        <v>42618</v>
      </c>
      <c r="Y192" s="1598">
        <v>42622</v>
      </c>
      <c r="Z192" s="1618">
        <f t="shared" si="42"/>
        <v>23430924</v>
      </c>
      <c r="AA192" s="1233">
        <v>1</v>
      </c>
      <c r="AB192" s="507">
        <f t="shared" si="43"/>
        <v>-23430924</v>
      </c>
      <c r="AC192" s="352"/>
      <c r="AD192" s="53"/>
      <c r="AL192" s="103"/>
      <c r="AM192" s="103"/>
      <c r="AN192" s="103"/>
      <c r="AO192" s="103"/>
      <c r="AP192" s="103"/>
      <c r="AQ192" s="103"/>
      <c r="AR192" s="103"/>
      <c r="AS192" s="430"/>
      <c r="AT192" s="100"/>
      <c r="AU192" s="461"/>
    </row>
    <row r="193" spans="1:47" s="54" customFormat="1" ht="31.5">
      <c r="A193" s="561"/>
      <c r="B193" s="1037"/>
      <c r="C193" s="1037"/>
      <c r="D193" s="1038"/>
      <c r="E193" s="264"/>
      <c r="F193" s="264"/>
      <c r="G193" s="264"/>
      <c r="H193" s="1125"/>
      <c r="I193" s="1116"/>
      <c r="J193" s="344"/>
      <c r="K193" s="1173" t="s">
        <v>2352</v>
      </c>
      <c r="L193" s="437" t="s">
        <v>1082</v>
      </c>
      <c r="M193" s="1247" t="s">
        <v>2353</v>
      </c>
      <c r="N193" s="1128"/>
      <c r="O193" s="1248">
        <v>21693100</v>
      </c>
      <c r="P193" s="344">
        <f t="shared" si="40"/>
        <v>21693100</v>
      </c>
      <c r="Q193" s="264"/>
      <c r="R193" s="264"/>
      <c r="S193" s="264"/>
      <c r="T193" s="264"/>
      <c r="U193" s="264"/>
      <c r="V193" s="264">
        <f t="shared" si="41"/>
        <v>21693100</v>
      </c>
      <c r="W193" s="1617" t="s">
        <v>2358</v>
      </c>
      <c r="X193" s="1598">
        <v>42618</v>
      </c>
      <c r="Y193" s="1598">
        <v>42622</v>
      </c>
      <c r="Z193" s="1618">
        <f t="shared" si="42"/>
        <v>21693100</v>
      </c>
      <c r="AA193" s="1233">
        <v>1</v>
      </c>
      <c r="AB193" s="507">
        <f t="shared" si="43"/>
        <v>-21693100</v>
      </c>
      <c r="AC193" s="352"/>
      <c r="AD193" s="53"/>
      <c r="AL193" s="103"/>
      <c r="AM193" s="103"/>
      <c r="AN193" s="103"/>
      <c r="AO193" s="103"/>
      <c r="AP193" s="103"/>
      <c r="AQ193" s="103"/>
      <c r="AR193" s="103"/>
      <c r="AS193" s="430"/>
      <c r="AT193" s="100"/>
      <c r="AU193" s="461"/>
    </row>
    <row r="194" spans="1:47" s="54" customFormat="1" ht="31.5">
      <c r="A194" s="561"/>
      <c r="B194" s="1037"/>
      <c r="C194" s="1037"/>
      <c r="D194" s="1038"/>
      <c r="E194" s="264"/>
      <c r="F194" s="264"/>
      <c r="G194" s="264"/>
      <c r="H194" s="1125"/>
      <c r="I194" s="1116"/>
      <c r="J194" s="344"/>
      <c r="K194" s="1173" t="s">
        <v>2354</v>
      </c>
      <c r="L194" s="437" t="s">
        <v>1082</v>
      </c>
      <c r="M194" s="1247" t="s">
        <v>2355</v>
      </c>
      <c r="N194" s="1128"/>
      <c r="O194" s="1248">
        <v>218565534</v>
      </c>
      <c r="P194" s="344">
        <f t="shared" si="40"/>
        <v>218565534</v>
      </c>
      <c r="Q194" s="264"/>
      <c r="R194" s="264"/>
      <c r="S194" s="264"/>
      <c r="T194" s="264"/>
      <c r="U194" s="264"/>
      <c r="V194" s="264">
        <f t="shared" si="41"/>
        <v>218565534</v>
      </c>
      <c r="W194" s="1617" t="s">
        <v>2359</v>
      </c>
      <c r="X194" s="1598">
        <v>42619</v>
      </c>
      <c r="Y194" s="1598">
        <v>42622</v>
      </c>
      <c r="Z194" s="1618">
        <f t="shared" si="42"/>
        <v>218565534</v>
      </c>
      <c r="AA194" s="1233">
        <v>1</v>
      </c>
      <c r="AB194" s="507">
        <f t="shared" si="43"/>
        <v>-218565534</v>
      </c>
      <c r="AC194" s="352"/>
      <c r="AD194" s="53"/>
      <c r="AL194" s="103"/>
      <c r="AM194" s="103"/>
      <c r="AN194" s="103"/>
      <c r="AO194" s="103"/>
      <c r="AP194" s="103"/>
      <c r="AQ194" s="103"/>
      <c r="AR194" s="103"/>
      <c r="AS194" s="430"/>
      <c r="AT194" s="100"/>
      <c r="AU194" s="461"/>
    </row>
    <row r="195" spans="1:47" s="54" customFormat="1" ht="31.5">
      <c r="A195" s="561"/>
      <c r="B195" s="1037"/>
      <c r="C195" s="1037"/>
      <c r="D195" s="1038"/>
      <c r="E195" s="264"/>
      <c r="F195" s="264"/>
      <c r="G195" s="264"/>
      <c r="H195" s="1125"/>
      <c r="I195" s="1116"/>
      <c r="J195" s="344"/>
      <c r="K195" s="1173" t="s">
        <v>2356</v>
      </c>
      <c r="L195" s="437" t="s">
        <v>1082</v>
      </c>
      <c r="M195" s="1247" t="s">
        <v>2357</v>
      </c>
      <c r="N195" s="1128"/>
      <c r="O195" s="1248">
        <v>114768214</v>
      </c>
      <c r="P195" s="344">
        <f t="shared" si="40"/>
        <v>114768214</v>
      </c>
      <c r="Q195" s="264"/>
      <c r="R195" s="264"/>
      <c r="S195" s="264"/>
      <c r="T195" s="264"/>
      <c r="U195" s="264"/>
      <c r="V195" s="264">
        <f t="shared" si="41"/>
        <v>114768214</v>
      </c>
      <c r="W195" s="1617" t="s">
        <v>2359</v>
      </c>
      <c r="X195" s="1598">
        <v>42619</v>
      </c>
      <c r="Y195" s="1598">
        <v>42622</v>
      </c>
      <c r="Z195" s="1618">
        <f t="shared" si="42"/>
        <v>114768214</v>
      </c>
      <c r="AA195" s="1233">
        <v>1</v>
      </c>
      <c r="AB195" s="507">
        <f t="shared" si="43"/>
        <v>-114768214</v>
      </c>
      <c r="AC195" s="352"/>
      <c r="AD195" s="53"/>
      <c r="AL195" s="103"/>
      <c r="AM195" s="103"/>
      <c r="AN195" s="103"/>
      <c r="AO195" s="103"/>
      <c r="AP195" s="103"/>
      <c r="AQ195" s="103"/>
      <c r="AR195" s="103"/>
      <c r="AS195" s="430"/>
      <c r="AT195" s="100"/>
      <c r="AU195" s="461"/>
    </row>
    <row r="196" spans="1:47" s="54" customFormat="1" ht="30">
      <c r="A196" s="561"/>
      <c r="B196" s="1037"/>
      <c r="C196" s="1037"/>
      <c r="D196" s="1038"/>
      <c r="E196" s="264"/>
      <c r="F196" s="264"/>
      <c r="G196" s="264"/>
      <c r="H196" s="1125"/>
      <c r="I196" s="1116"/>
      <c r="J196" s="344"/>
      <c r="K196" s="1173" t="s">
        <v>2362</v>
      </c>
      <c r="L196" s="1232" t="s">
        <v>1096</v>
      </c>
      <c r="M196" s="1247" t="s">
        <v>2363</v>
      </c>
      <c r="N196" s="1229"/>
      <c r="O196" s="1252">
        <v>34221330</v>
      </c>
      <c r="P196" s="344">
        <f t="shared" ref="P196:P204" si="44">N196+O196</f>
        <v>34221330</v>
      </c>
      <c r="Q196" s="264"/>
      <c r="R196" s="264"/>
      <c r="S196" s="264"/>
      <c r="T196" s="264"/>
      <c r="U196" s="264"/>
      <c r="V196" s="264">
        <f t="shared" ref="V196:V204" si="45">P196</f>
        <v>34221330</v>
      </c>
      <c r="W196" s="1617" t="s">
        <v>2364</v>
      </c>
      <c r="X196" s="1598">
        <v>42620</v>
      </c>
      <c r="Y196" s="1598">
        <v>42627</v>
      </c>
      <c r="Z196" s="1618">
        <f t="shared" si="42"/>
        <v>34221330</v>
      </c>
      <c r="AA196" s="1233">
        <v>1</v>
      </c>
      <c r="AB196" s="507">
        <f t="shared" si="43"/>
        <v>-34221330</v>
      </c>
      <c r="AC196" s="352"/>
      <c r="AD196" s="53"/>
      <c r="AL196" s="103"/>
      <c r="AM196" s="103"/>
      <c r="AN196" s="103"/>
      <c r="AO196" s="103"/>
      <c r="AP196" s="103"/>
      <c r="AQ196" s="103"/>
      <c r="AR196" s="103"/>
      <c r="AS196" s="430"/>
      <c r="AT196" s="100"/>
      <c r="AU196" s="461"/>
    </row>
    <row r="197" spans="1:47" s="54" customFormat="1" ht="30">
      <c r="A197" s="561"/>
      <c r="B197" s="1037"/>
      <c r="C197" s="1037"/>
      <c r="D197" s="1038"/>
      <c r="E197" s="264"/>
      <c r="F197" s="264"/>
      <c r="G197" s="264"/>
      <c r="H197" s="1125"/>
      <c r="I197" s="1116"/>
      <c r="J197" s="344"/>
      <c r="K197" s="1173" t="s">
        <v>2369</v>
      </c>
      <c r="L197" s="1232" t="s">
        <v>1096</v>
      </c>
      <c r="M197" s="1247" t="s">
        <v>2370</v>
      </c>
      <c r="N197" s="1229"/>
      <c r="O197" s="1252">
        <v>592536214</v>
      </c>
      <c r="P197" s="344">
        <f t="shared" si="44"/>
        <v>592536214</v>
      </c>
      <c r="Q197" s="264"/>
      <c r="R197" s="264"/>
      <c r="S197" s="264"/>
      <c r="T197" s="264"/>
      <c r="U197" s="264"/>
      <c r="V197" s="264">
        <f t="shared" si="45"/>
        <v>592536214</v>
      </c>
      <c r="W197" s="1617" t="s">
        <v>2367</v>
      </c>
      <c r="X197" s="1598">
        <v>42622</v>
      </c>
      <c r="Y197" s="1598">
        <v>42627</v>
      </c>
      <c r="Z197" s="1618">
        <f t="shared" si="42"/>
        <v>592536214</v>
      </c>
      <c r="AA197" s="1233">
        <v>1</v>
      </c>
      <c r="AB197" s="507">
        <f t="shared" si="43"/>
        <v>-592536214</v>
      </c>
      <c r="AC197" s="352"/>
      <c r="AD197" s="53"/>
      <c r="AL197" s="103"/>
      <c r="AM197" s="103"/>
      <c r="AN197" s="103"/>
      <c r="AO197" s="103"/>
      <c r="AP197" s="103"/>
      <c r="AQ197" s="103"/>
      <c r="AR197" s="103"/>
      <c r="AS197" s="430"/>
      <c r="AT197" s="100"/>
      <c r="AU197" s="461"/>
    </row>
    <row r="198" spans="1:47" s="54" customFormat="1" ht="30">
      <c r="A198" s="561"/>
      <c r="B198" s="1037"/>
      <c r="C198" s="1037"/>
      <c r="D198" s="1038"/>
      <c r="E198" s="264"/>
      <c r="F198" s="264"/>
      <c r="G198" s="264"/>
      <c r="H198" s="1125"/>
      <c r="I198" s="1116"/>
      <c r="J198" s="344"/>
      <c r="K198" s="1173" t="s">
        <v>2371</v>
      </c>
      <c r="L198" s="1232" t="s">
        <v>1096</v>
      </c>
      <c r="M198" s="1247" t="s">
        <v>2372</v>
      </c>
      <c r="N198" s="1229"/>
      <c r="O198" s="1252">
        <v>164358051</v>
      </c>
      <c r="P198" s="344">
        <f t="shared" si="44"/>
        <v>164358051</v>
      </c>
      <c r="Q198" s="264"/>
      <c r="R198" s="264"/>
      <c r="S198" s="264"/>
      <c r="T198" s="264"/>
      <c r="U198" s="264"/>
      <c r="V198" s="264">
        <f t="shared" si="45"/>
        <v>164358051</v>
      </c>
      <c r="W198" s="1617" t="s">
        <v>2367</v>
      </c>
      <c r="X198" s="1598">
        <v>42622</v>
      </c>
      <c r="Y198" s="1598">
        <v>42627</v>
      </c>
      <c r="Z198" s="1618">
        <f t="shared" si="42"/>
        <v>164358051</v>
      </c>
      <c r="AA198" s="1233">
        <v>1</v>
      </c>
      <c r="AB198" s="507">
        <f t="shared" si="43"/>
        <v>-164358051</v>
      </c>
      <c r="AC198" s="352"/>
      <c r="AD198" s="53"/>
      <c r="AL198" s="103"/>
      <c r="AM198" s="103"/>
      <c r="AN198" s="103"/>
      <c r="AO198" s="103"/>
      <c r="AP198" s="103"/>
      <c r="AQ198" s="103"/>
      <c r="AR198" s="103"/>
      <c r="AS198" s="430"/>
      <c r="AT198" s="100"/>
      <c r="AU198" s="461"/>
    </row>
    <row r="199" spans="1:47" s="54" customFormat="1" ht="31.5">
      <c r="A199" s="561"/>
      <c r="B199" s="1037"/>
      <c r="C199" s="1037"/>
      <c r="D199" s="1038"/>
      <c r="E199" s="264"/>
      <c r="F199" s="264"/>
      <c r="G199" s="264"/>
      <c r="H199" s="1125"/>
      <c r="I199" s="1116"/>
      <c r="J199" s="344"/>
      <c r="K199" s="1173" t="s">
        <v>2373</v>
      </c>
      <c r="L199" s="437" t="s">
        <v>1082</v>
      </c>
      <c r="M199" s="1247" t="s">
        <v>2374</v>
      </c>
      <c r="N199" s="1229"/>
      <c r="O199" s="1252">
        <v>156161808</v>
      </c>
      <c r="P199" s="344">
        <f t="shared" si="44"/>
        <v>156161808</v>
      </c>
      <c r="Q199" s="264"/>
      <c r="R199" s="264"/>
      <c r="S199" s="264"/>
      <c r="T199" s="264"/>
      <c r="U199" s="264"/>
      <c r="V199" s="264">
        <f t="shared" si="45"/>
        <v>156161808</v>
      </c>
      <c r="W199" s="1617" t="s">
        <v>2367</v>
      </c>
      <c r="X199" s="1598">
        <v>42622</v>
      </c>
      <c r="Y199" s="1598">
        <v>42627</v>
      </c>
      <c r="Z199" s="1618">
        <f t="shared" si="42"/>
        <v>156161808</v>
      </c>
      <c r="AA199" s="1233">
        <v>1</v>
      </c>
      <c r="AB199" s="507">
        <f t="shared" si="43"/>
        <v>-156161808</v>
      </c>
      <c r="AC199" s="352"/>
      <c r="AD199" s="53"/>
      <c r="AL199" s="103"/>
      <c r="AM199" s="103"/>
      <c r="AN199" s="103"/>
      <c r="AO199" s="103"/>
      <c r="AP199" s="103"/>
      <c r="AQ199" s="103"/>
      <c r="AR199" s="103"/>
      <c r="AS199" s="430"/>
      <c r="AT199" s="100"/>
      <c r="AU199" s="461"/>
    </row>
    <row r="200" spans="1:47" s="54" customFormat="1" ht="30">
      <c r="A200" s="561"/>
      <c r="B200" s="1037"/>
      <c r="C200" s="1037"/>
      <c r="D200" s="1038"/>
      <c r="E200" s="264"/>
      <c r="F200" s="264"/>
      <c r="G200" s="264"/>
      <c r="H200" s="1125"/>
      <c r="I200" s="1116"/>
      <c r="J200" s="344"/>
      <c r="K200" s="1173" t="s">
        <v>2375</v>
      </c>
      <c r="L200" s="1232" t="s">
        <v>1096</v>
      </c>
      <c r="M200" s="1247" t="s">
        <v>2376</v>
      </c>
      <c r="N200" s="1229"/>
      <c r="O200" s="1252">
        <v>5974980</v>
      </c>
      <c r="P200" s="344">
        <f t="shared" si="44"/>
        <v>5974980</v>
      </c>
      <c r="Q200" s="264"/>
      <c r="R200" s="264"/>
      <c r="S200" s="264"/>
      <c r="T200" s="264"/>
      <c r="U200" s="264"/>
      <c r="V200" s="264">
        <f t="shared" si="45"/>
        <v>5974980</v>
      </c>
      <c r="W200" s="1617" t="s">
        <v>2385</v>
      </c>
      <c r="X200" s="1598">
        <v>42622</v>
      </c>
      <c r="Y200" s="1598">
        <v>42627</v>
      </c>
      <c r="Z200" s="1618">
        <f t="shared" si="42"/>
        <v>5974980</v>
      </c>
      <c r="AA200" s="1233">
        <v>1</v>
      </c>
      <c r="AB200" s="507">
        <f t="shared" si="43"/>
        <v>-5974980</v>
      </c>
      <c r="AC200" s="352"/>
      <c r="AD200" s="53"/>
      <c r="AL200" s="103"/>
      <c r="AM200" s="103"/>
      <c r="AN200" s="103"/>
      <c r="AO200" s="103"/>
      <c r="AP200" s="103"/>
      <c r="AQ200" s="103"/>
      <c r="AR200" s="103"/>
      <c r="AS200" s="430"/>
      <c r="AT200" s="100"/>
      <c r="AU200" s="461"/>
    </row>
    <row r="201" spans="1:47" s="54" customFormat="1" ht="30">
      <c r="A201" s="561"/>
      <c r="B201" s="1037"/>
      <c r="C201" s="1037"/>
      <c r="D201" s="1038"/>
      <c r="E201" s="264"/>
      <c r="F201" s="264"/>
      <c r="G201" s="264"/>
      <c r="H201" s="1125"/>
      <c r="I201" s="1116"/>
      <c r="J201" s="344"/>
      <c r="K201" s="1173" t="s">
        <v>2377</v>
      </c>
      <c r="L201" s="1232" t="s">
        <v>1096</v>
      </c>
      <c r="M201" s="1247" t="s">
        <v>2378</v>
      </c>
      <c r="N201" s="1229"/>
      <c r="O201" s="1252">
        <v>5964090</v>
      </c>
      <c r="P201" s="344">
        <f t="shared" si="44"/>
        <v>5964090</v>
      </c>
      <c r="Q201" s="264"/>
      <c r="R201" s="264"/>
      <c r="S201" s="264"/>
      <c r="T201" s="264"/>
      <c r="U201" s="264"/>
      <c r="V201" s="264">
        <f t="shared" si="45"/>
        <v>5964090</v>
      </c>
      <c r="W201" s="1617" t="s">
        <v>2385</v>
      </c>
      <c r="X201" s="1598">
        <v>42622</v>
      </c>
      <c r="Y201" s="1598">
        <v>42627</v>
      </c>
      <c r="Z201" s="1618">
        <f t="shared" si="42"/>
        <v>5964090</v>
      </c>
      <c r="AA201" s="1233">
        <v>1</v>
      </c>
      <c r="AB201" s="507">
        <f t="shared" si="43"/>
        <v>-5964090</v>
      </c>
      <c r="AC201" s="352"/>
      <c r="AD201" s="53"/>
      <c r="AL201" s="103"/>
      <c r="AM201" s="103"/>
      <c r="AN201" s="103"/>
      <c r="AO201" s="103"/>
      <c r="AP201" s="103"/>
      <c r="AQ201" s="103"/>
      <c r="AR201" s="103"/>
      <c r="AS201" s="430"/>
      <c r="AT201" s="100"/>
      <c r="AU201" s="461"/>
    </row>
    <row r="202" spans="1:47" s="54" customFormat="1" ht="30">
      <c r="A202" s="561"/>
      <c r="B202" s="1037"/>
      <c r="C202" s="1037"/>
      <c r="D202" s="1038"/>
      <c r="E202" s="264"/>
      <c r="F202" s="264"/>
      <c r="G202" s="264"/>
      <c r="H202" s="1125"/>
      <c r="I202" s="1116"/>
      <c r="J202" s="344"/>
      <c r="K202" s="1173" t="s">
        <v>2379</v>
      </c>
      <c r="L202" s="1232" t="s">
        <v>1096</v>
      </c>
      <c r="M202" s="1247" t="s">
        <v>2380</v>
      </c>
      <c r="N202" s="1229"/>
      <c r="O202" s="1252">
        <v>5961670</v>
      </c>
      <c r="P202" s="344">
        <f t="shared" si="44"/>
        <v>5961670</v>
      </c>
      <c r="Q202" s="264"/>
      <c r="R202" s="264"/>
      <c r="S202" s="264"/>
      <c r="T202" s="264"/>
      <c r="U202" s="264"/>
      <c r="V202" s="264">
        <f t="shared" si="45"/>
        <v>5961670</v>
      </c>
      <c r="W202" s="1617" t="s">
        <v>2385</v>
      </c>
      <c r="X202" s="1598">
        <v>42622</v>
      </c>
      <c r="Y202" s="1598">
        <v>42627</v>
      </c>
      <c r="Z202" s="1618">
        <f t="shared" si="42"/>
        <v>5961670</v>
      </c>
      <c r="AA202" s="1233">
        <v>1</v>
      </c>
      <c r="AB202" s="507">
        <f t="shared" si="43"/>
        <v>-5961670</v>
      </c>
      <c r="AC202" s="352"/>
      <c r="AD202" s="53"/>
      <c r="AL202" s="103"/>
      <c r="AM202" s="103"/>
      <c r="AN202" s="103"/>
      <c r="AO202" s="103"/>
      <c r="AP202" s="103"/>
      <c r="AQ202" s="103"/>
      <c r="AR202" s="103"/>
      <c r="AS202" s="430"/>
      <c r="AT202" s="100"/>
      <c r="AU202" s="461"/>
    </row>
    <row r="203" spans="1:47" s="54" customFormat="1" ht="30">
      <c r="A203" s="561"/>
      <c r="B203" s="1037"/>
      <c r="C203" s="1037"/>
      <c r="D203" s="1038"/>
      <c r="E203" s="264"/>
      <c r="F203" s="264"/>
      <c r="G203" s="264"/>
      <c r="H203" s="1125"/>
      <c r="I203" s="1116"/>
      <c r="J203" s="344"/>
      <c r="K203" s="1173" t="s">
        <v>2381</v>
      </c>
      <c r="L203" s="1232" t="s">
        <v>1096</v>
      </c>
      <c r="M203" s="1247" t="s">
        <v>2382</v>
      </c>
      <c r="N203" s="1229"/>
      <c r="O203" s="1252">
        <v>19076376</v>
      </c>
      <c r="P203" s="344">
        <f t="shared" si="44"/>
        <v>19076376</v>
      </c>
      <c r="Q203" s="264"/>
      <c r="R203" s="264"/>
      <c r="S203" s="264"/>
      <c r="T203" s="264"/>
      <c r="U203" s="264"/>
      <c r="V203" s="264">
        <f t="shared" si="45"/>
        <v>19076376</v>
      </c>
      <c r="W203" s="1617" t="s">
        <v>2385</v>
      </c>
      <c r="X203" s="1598">
        <v>42622</v>
      </c>
      <c r="Y203" s="1598">
        <v>42627</v>
      </c>
      <c r="Z203" s="1618">
        <f t="shared" si="42"/>
        <v>19076376</v>
      </c>
      <c r="AA203" s="1233">
        <v>1</v>
      </c>
      <c r="AB203" s="507">
        <f t="shared" si="43"/>
        <v>-19076376</v>
      </c>
      <c r="AC203" s="352"/>
      <c r="AD203" s="53"/>
      <c r="AL203" s="103"/>
      <c r="AM203" s="103"/>
      <c r="AN203" s="103"/>
      <c r="AO203" s="103"/>
      <c r="AP203" s="103"/>
      <c r="AQ203" s="103"/>
      <c r="AR203" s="103"/>
      <c r="AS203" s="430"/>
      <c r="AT203" s="100"/>
      <c r="AU203" s="461"/>
    </row>
    <row r="204" spans="1:47" s="54" customFormat="1" ht="30">
      <c r="A204" s="561"/>
      <c r="B204" s="1037"/>
      <c r="C204" s="1037"/>
      <c r="D204" s="1038"/>
      <c r="E204" s="264"/>
      <c r="F204" s="264"/>
      <c r="G204" s="264"/>
      <c r="H204" s="1125"/>
      <c r="I204" s="1116"/>
      <c r="J204" s="344"/>
      <c r="K204" s="1173" t="s">
        <v>2383</v>
      </c>
      <c r="L204" s="1232" t="s">
        <v>1096</v>
      </c>
      <c r="M204" s="1247" t="s">
        <v>2384</v>
      </c>
      <c r="N204" s="1229"/>
      <c r="O204" s="1252">
        <v>23937427</v>
      </c>
      <c r="P204" s="344">
        <f t="shared" si="44"/>
        <v>23937427</v>
      </c>
      <c r="Q204" s="264"/>
      <c r="R204" s="264"/>
      <c r="S204" s="264"/>
      <c r="T204" s="264"/>
      <c r="U204" s="264"/>
      <c r="V204" s="264">
        <f t="shared" si="45"/>
        <v>23937427</v>
      </c>
      <c r="W204" s="1617" t="s">
        <v>2385</v>
      </c>
      <c r="X204" s="1598">
        <v>42622</v>
      </c>
      <c r="Y204" s="1598">
        <v>42627</v>
      </c>
      <c r="Z204" s="1618">
        <f t="shared" si="42"/>
        <v>23937427</v>
      </c>
      <c r="AA204" s="1233">
        <v>1</v>
      </c>
      <c r="AB204" s="507">
        <f t="shared" si="43"/>
        <v>-23937427</v>
      </c>
      <c r="AC204" s="352"/>
      <c r="AD204" s="53"/>
      <c r="AL204" s="103"/>
      <c r="AM204" s="103"/>
      <c r="AN204" s="103"/>
      <c r="AO204" s="103"/>
      <c r="AP204" s="103"/>
      <c r="AQ204" s="103"/>
      <c r="AR204" s="103"/>
      <c r="AS204" s="430"/>
      <c r="AT204" s="100"/>
      <c r="AU204" s="461"/>
    </row>
    <row r="205" spans="1:47" s="54" customFormat="1" ht="31.5">
      <c r="A205" s="561"/>
      <c r="B205" s="1037"/>
      <c r="C205" s="1037"/>
      <c r="D205" s="1038"/>
      <c r="E205" s="264"/>
      <c r="F205" s="264"/>
      <c r="G205" s="264"/>
      <c r="H205" s="1125"/>
      <c r="I205" s="1116"/>
      <c r="J205" s="344"/>
      <c r="K205" s="1322" t="s">
        <v>2470</v>
      </c>
      <c r="L205" s="437" t="s">
        <v>1082</v>
      </c>
      <c r="M205" s="1323" t="s">
        <v>2471</v>
      </c>
      <c r="N205" s="1128"/>
      <c r="O205" s="1128">
        <v>123323558</v>
      </c>
      <c r="P205" s="344">
        <f t="shared" ref="P205:P215" si="46">N205+O205</f>
        <v>123323558</v>
      </c>
      <c r="Q205" s="264"/>
      <c r="R205" s="264"/>
      <c r="S205" s="264"/>
      <c r="T205" s="264"/>
      <c r="U205" s="264"/>
      <c r="V205" s="264">
        <f t="shared" ref="V205:V214" si="47">P205</f>
        <v>123323558</v>
      </c>
      <c r="W205" s="1617" t="s">
        <v>2469</v>
      </c>
      <c r="X205" s="1598">
        <v>42629</v>
      </c>
      <c r="Y205" s="1598">
        <v>42636</v>
      </c>
      <c r="Z205" s="1618">
        <f t="shared" ref="Z205:Z214" si="48">V205</f>
        <v>123323558</v>
      </c>
      <c r="AA205" s="1233">
        <v>1</v>
      </c>
      <c r="AB205" s="507">
        <f t="shared" ref="AB205:AB221" si="49">+G205-P205</f>
        <v>-123323558</v>
      </c>
      <c r="AC205" s="352"/>
      <c r="AD205" s="53"/>
      <c r="AL205" s="103"/>
      <c r="AM205" s="103"/>
      <c r="AN205" s="103"/>
      <c r="AO205" s="103"/>
      <c r="AP205" s="103"/>
      <c r="AQ205" s="103"/>
      <c r="AR205" s="103"/>
      <c r="AS205" s="430"/>
      <c r="AT205" s="100"/>
      <c r="AU205" s="461"/>
    </row>
    <row r="206" spans="1:47" s="54" customFormat="1" ht="31.5">
      <c r="A206" s="561"/>
      <c r="B206" s="1037"/>
      <c r="C206" s="1037"/>
      <c r="D206" s="1038"/>
      <c r="E206" s="264"/>
      <c r="F206" s="264"/>
      <c r="G206" s="264"/>
      <c r="H206" s="1125"/>
      <c r="I206" s="1116"/>
      <c r="J206" s="344"/>
      <c r="K206" s="1322" t="s">
        <v>2472</v>
      </c>
      <c r="L206" s="437" t="s">
        <v>1082</v>
      </c>
      <c r="M206" s="1323" t="s">
        <v>2473</v>
      </c>
      <c r="N206" s="1128"/>
      <c r="O206" s="1128">
        <v>161211160</v>
      </c>
      <c r="P206" s="344">
        <f t="shared" si="46"/>
        <v>161211160</v>
      </c>
      <c r="Q206" s="264"/>
      <c r="R206" s="264"/>
      <c r="S206" s="264"/>
      <c r="T206" s="264"/>
      <c r="U206" s="264"/>
      <c r="V206" s="264">
        <f t="shared" si="47"/>
        <v>161211160</v>
      </c>
      <c r="W206" s="1617" t="s">
        <v>2469</v>
      </c>
      <c r="X206" s="1598">
        <v>42629</v>
      </c>
      <c r="Y206" s="1598">
        <v>42636</v>
      </c>
      <c r="Z206" s="1618">
        <f t="shared" si="48"/>
        <v>161211160</v>
      </c>
      <c r="AA206" s="1233">
        <v>1</v>
      </c>
      <c r="AB206" s="507">
        <f t="shared" si="49"/>
        <v>-161211160</v>
      </c>
      <c r="AC206" s="352"/>
      <c r="AD206" s="53"/>
      <c r="AL206" s="103"/>
      <c r="AM206" s="103"/>
      <c r="AN206" s="103"/>
      <c r="AO206" s="103"/>
      <c r="AP206" s="103"/>
      <c r="AQ206" s="103"/>
      <c r="AR206" s="103"/>
      <c r="AS206" s="430"/>
      <c r="AT206" s="100"/>
      <c r="AU206" s="461"/>
    </row>
    <row r="207" spans="1:47" s="54" customFormat="1" ht="30">
      <c r="A207" s="561"/>
      <c r="B207" s="1037"/>
      <c r="C207" s="1037"/>
      <c r="D207" s="1038"/>
      <c r="E207" s="264"/>
      <c r="F207" s="264"/>
      <c r="G207" s="264"/>
      <c r="H207" s="1125"/>
      <c r="I207" s="1116"/>
      <c r="J207" s="344"/>
      <c r="K207" s="1173" t="s">
        <v>2475</v>
      </c>
      <c r="L207" s="1232" t="s">
        <v>1096</v>
      </c>
      <c r="M207" s="1246" t="s">
        <v>2476</v>
      </c>
      <c r="N207" s="1247"/>
      <c r="O207" s="1401">
        <v>23934650</v>
      </c>
      <c r="P207" s="344">
        <f t="shared" si="46"/>
        <v>23934650</v>
      </c>
      <c r="Q207" s="264"/>
      <c r="R207" s="264"/>
      <c r="S207" s="264"/>
      <c r="T207" s="264"/>
      <c r="U207" s="264"/>
      <c r="V207" s="264">
        <f t="shared" si="47"/>
        <v>23934650</v>
      </c>
      <c r="W207" s="1617" t="s">
        <v>2474</v>
      </c>
      <c r="X207" s="1598">
        <v>42634</v>
      </c>
      <c r="Y207" s="1598">
        <v>42636</v>
      </c>
      <c r="Z207" s="1618">
        <f t="shared" si="48"/>
        <v>23934650</v>
      </c>
      <c r="AA207" s="1233">
        <v>1</v>
      </c>
      <c r="AB207" s="507">
        <f t="shared" si="49"/>
        <v>-23934650</v>
      </c>
      <c r="AC207" s="352"/>
      <c r="AD207" s="53"/>
      <c r="AL207" s="103"/>
      <c r="AM207" s="103"/>
      <c r="AN207" s="103"/>
      <c r="AO207" s="103"/>
      <c r="AP207" s="103"/>
      <c r="AQ207" s="103"/>
      <c r="AR207" s="103"/>
      <c r="AS207" s="430"/>
      <c r="AT207" s="100"/>
      <c r="AU207" s="461"/>
    </row>
    <row r="208" spans="1:47" s="54" customFormat="1" ht="30">
      <c r="A208" s="561"/>
      <c r="B208" s="1037"/>
      <c r="C208" s="1037"/>
      <c r="D208" s="1038"/>
      <c r="E208" s="264"/>
      <c r="F208" s="264"/>
      <c r="G208" s="264"/>
      <c r="H208" s="1125"/>
      <c r="I208" s="1116"/>
      <c r="J208" s="344"/>
      <c r="K208" s="1173" t="s">
        <v>2477</v>
      </c>
      <c r="L208" s="1232" t="s">
        <v>1096</v>
      </c>
      <c r="M208" s="1246" t="s">
        <v>2478</v>
      </c>
      <c r="N208" s="1247"/>
      <c r="O208" s="1401">
        <v>23411916</v>
      </c>
      <c r="P208" s="344">
        <f t="shared" si="46"/>
        <v>23411916</v>
      </c>
      <c r="Q208" s="264"/>
      <c r="R208" s="264"/>
      <c r="S208" s="264"/>
      <c r="T208" s="264"/>
      <c r="U208" s="264"/>
      <c r="V208" s="264">
        <f t="shared" si="47"/>
        <v>23411916</v>
      </c>
      <c r="W208" s="1617" t="s">
        <v>2474</v>
      </c>
      <c r="X208" s="1598">
        <v>42634</v>
      </c>
      <c r="Y208" s="1598">
        <v>42636</v>
      </c>
      <c r="Z208" s="1618">
        <f t="shared" si="48"/>
        <v>23411916</v>
      </c>
      <c r="AA208" s="1233">
        <v>1</v>
      </c>
      <c r="AB208" s="507">
        <f t="shared" si="49"/>
        <v>-23411916</v>
      </c>
      <c r="AC208" s="352"/>
      <c r="AD208" s="53"/>
      <c r="AL208" s="103"/>
      <c r="AM208" s="103"/>
      <c r="AN208" s="103"/>
      <c r="AO208" s="103"/>
      <c r="AP208" s="103"/>
      <c r="AQ208" s="103"/>
      <c r="AR208" s="103"/>
      <c r="AS208" s="430"/>
      <c r="AT208" s="100"/>
      <c r="AU208" s="461"/>
    </row>
    <row r="209" spans="1:49" s="54" customFormat="1" ht="31.5">
      <c r="A209" s="561"/>
      <c r="B209" s="1037"/>
      <c r="C209" s="1037"/>
      <c r="D209" s="1038"/>
      <c r="E209" s="264"/>
      <c r="F209" s="264"/>
      <c r="G209" s="264"/>
      <c r="H209" s="1125"/>
      <c r="I209" s="1116"/>
      <c r="J209" s="344"/>
      <c r="K209" s="1173" t="s">
        <v>2479</v>
      </c>
      <c r="L209" s="437" t="s">
        <v>1082</v>
      </c>
      <c r="M209" s="1246" t="s">
        <v>2480</v>
      </c>
      <c r="N209" s="1247"/>
      <c r="O209" s="1401">
        <v>13017400</v>
      </c>
      <c r="P209" s="344">
        <f t="shared" si="46"/>
        <v>13017400</v>
      </c>
      <c r="Q209" s="264"/>
      <c r="R209" s="264"/>
      <c r="S209" s="264"/>
      <c r="T209" s="264"/>
      <c r="U209" s="264"/>
      <c r="V209" s="264">
        <f t="shared" si="47"/>
        <v>13017400</v>
      </c>
      <c r="W209" s="1617" t="s">
        <v>2474</v>
      </c>
      <c r="X209" s="1598">
        <v>42634</v>
      </c>
      <c r="Y209" s="1598">
        <v>42636</v>
      </c>
      <c r="Z209" s="1618">
        <f t="shared" si="48"/>
        <v>13017400</v>
      </c>
      <c r="AA209" s="1233">
        <v>1</v>
      </c>
      <c r="AB209" s="507">
        <f t="shared" si="49"/>
        <v>-13017400</v>
      </c>
      <c r="AC209" s="352"/>
      <c r="AD209" s="53"/>
      <c r="AL209" s="103"/>
      <c r="AM209" s="103"/>
      <c r="AN209" s="103"/>
      <c r="AO209" s="103"/>
      <c r="AP209" s="103"/>
      <c r="AQ209" s="103"/>
      <c r="AR209" s="103"/>
      <c r="AS209" s="430"/>
      <c r="AT209" s="100"/>
      <c r="AU209" s="461"/>
    </row>
    <row r="210" spans="1:49" s="54" customFormat="1" ht="30">
      <c r="A210" s="561"/>
      <c r="B210" s="1037"/>
      <c r="C210" s="1037"/>
      <c r="D210" s="1038"/>
      <c r="E210" s="264"/>
      <c r="F210" s="264"/>
      <c r="G210" s="264"/>
      <c r="H210" s="1125"/>
      <c r="I210" s="1116"/>
      <c r="J210" s="344"/>
      <c r="K210" s="1358" t="s">
        <v>2536</v>
      </c>
      <c r="L210" s="1232" t="s">
        <v>1096</v>
      </c>
      <c r="M210" s="1359" t="s">
        <v>2537</v>
      </c>
      <c r="N210" s="1128"/>
      <c r="O210" s="1128">
        <v>34143120</v>
      </c>
      <c r="P210" s="344">
        <f t="shared" si="46"/>
        <v>34143120</v>
      </c>
      <c r="Q210" s="264"/>
      <c r="R210" s="264"/>
      <c r="S210" s="264"/>
      <c r="T210" s="264"/>
      <c r="U210" s="264"/>
      <c r="V210" s="264">
        <f t="shared" si="47"/>
        <v>34143120</v>
      </c>
      <c r="W210" s="1617" t="s">
        <v>2535</v>
      </c>
      <c r="X210" s="1598">
        <v>42635</v>
      </c>
      <c r="Y210" s="1598">
        <v>42641</v>
      </c>
      <c r="Z210" s="1618">
        <f t="shared" si="48"/>
        <v>34143120</v>
      </c>
      <c r="AA210" s="1233">
        <v>1</v>
      </c>
      <c r="AB210" s="507">
        <f t="shared" si="49"/>
        <v>-34143120</v>
      </c>
      <c r="AC210" s="352"/>
      <c r="AD210" s="53"/>
      <c r="AL210" s="103"/>
      <c r="AM210" s="103"/>
      <c r="AN210" s="103"/>
      <c r="AO210" s="103"/>
      <c r="AP210" s="103"/>
      <c r="AQ210" s="103"/>
      <c r="AR210" s="103"/>
      <c r="AS210" s="430"/>
      <c r="AT210" s="100"/>
      <c r="AU210" s="461"/>
    </row>
    <row r="211" spans="1:49" s="54" customFormat="1" ht="30">
      <c r="A211" s="561"/>
      <c r="B211" s="1037"/>
      <c r="C211" s="1037"/>
      <c r="D211" s="1038"/>
      <c r="E211" s="264"/>
      <c r="F211" s="264"/>
      <c r="G211" s="264"/>
      <c r="H211" s="1125"/>
      <c r="I211" s="1116"/>
      <c r="J211" s="344"/>
      <c r="K211" s="1360" t="s">
        <v>2541</v>
      </c>
      <c r="L211" s="1361" t="s">
        <v>1082</v>
      </c>
      <c r="M211" s="1357" t="s">
        <v>2542</v>
      </c>
      <c r="N211" s="1231"/>
      <c r="O211" s="1362">
        <v>156860000</v>
      </c>
      <c r="P211" s="344">
        <f t="shared" si="46"/>
        <v>156860000</v>
      </c>
      <c r="Q211" s="264"/>
      <c r="R211" s="264"/>
      <c r="S211" s="264"/>
      <c r="T211" s="264"/>
      <c r="U211" s="264"/>
      <c r="V211" s="264">
        <f t="shared" si="47"/>
        <v>156860000</v>
      </c>
      <c r="W211" s="1617" t="s">
        <v>2539</v>
      </c>
      <c r="X211" s="1598">
        <v>42635</v>
      </c>
      <c r="Y211" s="1598">
        <v>42641</v>
      </c>
      <c r="Z211" s="1618">
        <f t="shared" si="48"/>
        <v>156860000</v>
      </c>
      <c r="AA211" s="1233">
        <v>1</v>
      </c>
      <c r="AB211" s="507">
        <f t="shared" si="49"/>
        <v>-156860000</v>
      </c>
      <c r="AC211" s="352"/>
      <c r="AD211" s="53"/>
      <c r="AL211" s="103"/>
      <c r="AM211" s="103"/>
      <c r="AN211" s="103"/>
      <c r="AO211" s="103"/>
      <c r="AP211" s="103"/>
      <c r="AQ211" s="103"/>
      <c r="AR211" s="103"/>
      <c r="AS211" s="430"/>
      <c r="AT211" s="100"/>
      <c r="AU211" s="461"/>
    </row>
    <row r="212" spans="1:49" s="54" customFormat="1" ht="30">
      <c r="A212" s="561"/>
      <c r="B212" s="1037"/>
      <c r="C212" s="1037"/>
      <c r="D212" s="1038"/>
      <c r="E212" s="264"/>
      <c r="F212" s="264"/>
      <c r="G212" s="264"/>
      <c r="H212" s="1125"/>
      <c r="I212" s="1116"/>
      <c r="J212" s="344"/>
      <c r="K212" s="1360" t="s">
        <v>2543</v>
      </c>
      <c r="L212" s="1361" t="s">
        <v>1082</v>
      </c>
      <c r="M212" s="1357" t="s">
        <v>2544</v>
      </c>
      <c r="N212" s="1231"/>
      <c r="O212" s="1362">
        <v>153450000</v>
      </c>
      <c r="P212" s="344">
        <f t="shared" si="46"/>
        <v>153450000</v>
      </c>
      <c r="Q212" s="264"/>
      <c r="R212" s="264"/>
      <c r="S212" s="264"/>
      <c r="T212" s="264"/>
      <c r="U212" s="264"/>
      <c r="V212" s="264">
        <f t="shared" si="47"/>
        <v>153450000</v>
      </c>
      <c r="W212" s="1617" t="s">
        <v>2539</v>
      </c>
      <c r="X212" s="1598">
        <v>42635</v>
      </c>
      <c r="Y212" s="1598">
        <v>42641</v>
      </c>
      <c r="Z212" s="1618">
        <f t="shared" si="48"/>
        <v>153450000</v>
      </c>
      <c r="AA212" s="1233">
        <v>1</v>
      </c>
      <c r="AB212" s="507">
        <f t="shared" si="49"/>
        <v>-153450000</v>
      </c>
      <c r="AC212" s="352"/>
      <c r="AD212" s="53"/>
      <c r="AL212" s="103"/>
      <c r="AM212" s="103"/>
      <c r="AN212" s="103"/>
      <c r="AO212" s="103"/>
      <c r="AP212" s="103"/>
      <c r="AQ212" s="103"/>
      <c r="AR212" s="103"/>
      <c r="AS212" s="430"/>
      <c r="AT212" s="100"/>
      <c r="AU212" s="461"/>
    </row>
    <row r="213" spans="1:49" s="54" customFormat="1" ht="30">
      <c r="A213" s="561"/>
      <c r="B213" s="1037"/>
      <c r="C213" s="1037"/>
      <c r="D213" s="1038"/>
      <c r="E213" s="264"/>
      <c r="F213" s="264"/>
      <c r="G213" s="264"/>
      <c r="H213" s="1125"/>
      <c r="I213" s="1116"/>
      <c r="J213" s="344"/>
      <c r="K213" s="1246" t="s">
        <v>2545</v>
      </c>
      <c r="L213" s="1361" t="s">
        <v>1082</v>
      </c>
      <c r="M213" s="1247" t="s">
        <v>2546</v>
      </c>
      <c r="N213" s="1323"/>
      <c r="O213" s="1363">
        <v>153450000</v>
      </c>
      <c r="P213" s="344">
        <f t="shared" si="46"/>
        <v>153450000</v>
      </c>
      <c r="Q213" s="264"/>
      <c r="R213" s="264"/>
      <c r="S213" s="264"/>
      <c r="T213" s="264"/>
      <c r="U213" s="264"/>
      <c r="V213" s="264">
        <f t="shared" si="47"/>
        <v>153450000</v>
      </c>
      <c r="W213" s="1617" t="s">
        <v>2539</v>
      </c>
      <c r="X213" s="1598">
        <v>42635</v>
      </c>
      <c r="Y213" s="1598">
        <v>42641</v>
      </c>
      <c r="Z213" s="1618">
        <f t="shared" si="48"/>
        <v>153450000</v>
      </c>
      <c r="AA213" s="1233">
        <v>1</v>
      </c>
      <c r="AB213" s="507">
        <f t="shared" si="49"/>
        <v>-153450000</v>
      </c>
      <c r="AC213" s="352"/>
      <c r="AD213" s="53"/>
      <c r="AL213" s="103"/>
      <c r="AM213" s="103"/>
      <c r="AN213" s="103"/>
      <c r="AO213" s="103"/>
      <c r="AP213" s="103"/>
      <c r="AQ213" s="103"/>
      <c r="AR213" s="103"/>
      <c r="AS213" s="430"/>
      <c r="AT213" s="100"/>
      <c r="AU213" s="461"/>
    </row>
    <row r="214" spans="1:49" s="54" customFormat="1" ht="30">
      <c r="A214" s="561"/>
      <c r="B214" s="1037"/>
      <c r="C214" s="1037"/>
      <c r="D214" s="1038"/>
      <c r="E214" s="264"/>
      <c r="F214" s="264"/>
      <c r="G214" s="264"/>
      <c r="H214" s="1125"/>
      <c r="I214" s="1116"/>
      <c r="J214" s="344" t="s">
        <v>2608</v>
      </c>
      <c r="K214" s="1625" t="s">
        <v>3055</v>
      </c>
      <c r="L214" s="1360" t="s">
        <v>3039</v>
      </c>
      <c r="M214" s="1399" t="s">
        <v>2609</v>
      </c>
      <c r="N214" s="1400">
        <v>8360000</v>
      </c>
      <c r="O214" s="1398"/>
      <c r="P214" s="344">
        <f t="shared" si="46"/>
        <v>8360000</v>
      </c>
      <c r="Q214" s="264"/>
      <c r="R214" s="264"/>
      <c r="S214" s="264"/>
      <c r="T214" s="264"/>
      <c r="U214" s="264"/>
      <c r="V214" s="264">
        <f t="shared" si="47"/>
        <v>8360000</v>
      </c>
      <c r="W214" s="1617" t="s">
        <v>3052</v>
      </c>
      <c r="X214" s="1598">
        <v>42675</v>
      </c>
      <c r="Y214" s="1598">
        <v>42682</v>
      </c>
      <c r="Z214" s="1618">
        <f t="shared" si="48"/>
        <v>8360000</v>
      </c>
      <c r="AA214" s="1233">
        <v>1</v>
      </c>
      <c r="AB214" s="507">
        <f t="shared" si="49"/>
        <v>-8360000</v>
      </c>
      <c r="AC214" s="352"/>
      <c r="AD214" s="53"/>
      <c r="AL214" s="103"/>
      <c r="AM214" s="103"/>
      <c r="AN214" s="103"/>
      <c r="AO214" s="103"/>
      <c r="AP214" s="103"/>
      <c r="AQ214" s="103"/>
      <c r="AR214" s="103"/>
      <c r="AS214" s="430"/>
      <c r="AT214" s="100"/>
      <c r="AU214" s="461"/>
      <c r="AW214" s="958">
        <f>V214</f>
        <v>8360000</v>
      </c>
    </row>
    <row r="215" spans="1:49" s="54" customFormat="1" ht="47.25">
      <c r="A215" s="561"/>
      <c r="B215" s="1037"/>
      <c r="C215" s="1037"/>
      <c r="D215" s="1038"/>
      <c r="E215" s="264"/>
      <c r="F215" s="264"/>
      <c r="G215" s="264"/>
      <c r="H215" s="379" t="s">
        <v>2700</v>
      </c>
      <c r="I215" s="1116">
        <v>42641</v>
      </c>
      <c r="J215" s="344" t="s">
        <v>2610</v>
      </c>
      <c r="K215" s="1173"/>
      <c r="L215" s="1246"/>
      <c r="M215" s="1399" t="s">
        <v>2611</v>
      </c>
      <c r="N215" s="1402">
        <v>288420000</v>
      </c>
      <c r="O215" s="1252"/>
      <c r="P215" s="344">
        <f t="shared" si="46"/>
        <v>288420000</v>
      </c>
      <c r="Q215" s="264"/>
      <c r="R215" s="264"/>
      <c r="S215" s="264"/>
      <c r="T215" s="264"/>
      <c r="U215" s="264"/>
      <c r="V215" s="264"/>
      <c r="W215" s="1617"/>
      <c r="X215" s="1598"/>
      <c r="Y215" s="1598"/>
      <c r="Z215" s="1618"/>
      <c r="AA215" s="1233"/>
      <c r="AB215" s="507">
        <f t="shared" si="49"/>
        <v>-288420000</v>
      </c>
      <c r="AC215" s="352"/>
      <c r="AD215" s="53"/>
      <c r="AL215" s="103"/>
      <c r="AM215" s="103"/>
      <c r="AN215" s="103"/>
      <c r="AO215" s="103"/>
      <c r="AP215" s="103"/>
      <c r="AQ215" s="103"/>
      <c r="AR215" s="103"/>
      <c r="AS215" s="430"/>
      <c r="AT215" s="100"/>
      <c r="AU215" s="461"/>
    </row>
    <row r="216" spans="1:49" s="54" customFormat="1" ht="30">
      <c r="A216" s="561"/>
      <c r="B216" s="1037"/>
      <c r="C216" s="1037"/>
      <c r="D216" s="1038"/>
      <c r="E216" s="264"/>
      <c r="F216" s="264"/>
      <c r="G216" s="264"/>
      <c r="H216" s="1125"/>
      <c r="I216" s="1116"/>
      <c r="J216" s="344"/>
      <c r="K216" s="1246" t="s">
        <v>2645</v>
      </c>
      <c r="L216" s="1361" t="s">
        <v>1082</v>
      </c>
      <c r="M216" s="1399" t="s">
        <v>2646</v>
      </c>
      <c r="N216" s="1402"/>
      <c r="O216" s="1402">
        <v>13048200</v>
      </c>
      <c r="P216" s="344">
        <f t="shared" ref="P216:P224" si="50">N216+O216</f>
        <v>13048200</v>
      </c>
      <c r="Q216" s="264"/>
      <c r="R216" s="264"/>
      <c r="S216" s="264"/>
      <c r="T216" s="264"/>
      <c r="U216" s="264"/>
      <c r="V216" s="264">
        <f t="shared" ref="V216:V224" si="51">P216</f>
        <v>13048200</v>
      </c>
      <c r="W216" s="1595" t="s">
        <v>2643</v>
      </c>
      <c r="X216" s="1595">
        <v>42642</v>
      </c>
      <c r="Y216" s="1596">
        <v>42648</v>
      </c>
      <c r="Z216" s="1618">
        <f t="shared" ref="Z216:Z221" si="52">V216</f>
        <v>13048200</v>
      </c>
      <c r="AA216" s="1233">
        <v>1</v>
      </c>
      <c r="AB216" s="507">
        <f t="shared" si="49"/>
        <v>-13048200</v>
      </c>
      <c r="AC216" s="352"/>
      <c r="AD216" s="53"/>
      <c r="AL216" s="103"/>
      <c r="AM216" s="103"/>
      <c r="AN216" s="103"/>
      <c r="AO216" s="103"/>
      <c r="AP216" s="103"/>
      <c r="AQ216" s="103"/>
      <c r="AR216" s="103"/>
      <c r="AS216" s="430"/>
      <c r="AT216" s="100"/>
      <c r="AU216" s="461"/>
    </row>
    <row r="217" spans="1:49" s="54" customFormat="1" ht="30">
      <c r="A217" s="561"/>
      <c r="B217" s="1037"/>
      <c r="C217" s="1037"/>
      <c r="D217" s="1038"/>
      <c r="E217" s="264"/>
      <c r="F217" s="264"/>
      <c r="G217" s="264"/>
      <c r="H217" s="1125"/>
      <c r="I217" s="1116"/>
      <c r="J217" s="344"/>
      <c r="K217" s="1246" t="s">
        <v>2647</v>
      </c>
      <c r="L217" s="1361" t="s">
        <v>1082</v>
      </c>
      <c r="M217" s="1399" t="s">
        <v>2648</v>
      </c>
      <c r="N217" s="1402"/>
      <c r="O217" s="1402">
        <v>21747000</v>
      </c>
      <c r="P217" s="344">
        <f t="shared" si="50"/>
        <v>21747000</v>
      </c>
      <c r="Q217" s="264"/>
      <c r="R217" s="264"/>
      <c r="S217" s="264"/>
      <c r="T217" s="264"/>
      <c r="U217" s="264"/>
      <c r="V217" s="264">
        <f t="shared" si="51"/>
        <v>21747000</v>
      </c>
      <c r="W217" s="1595" t="s">
        <v>2643</v>
      </c>
      <c r="X217" s="1595">
        <v>42642</v>
      </c>
      <c r="Y217" s="1596">
        <v>42648</v>
      </c>
      <c r="Z217" s="1618">
        <f t="shared" si="52"/>
        <v>21747000</v>
      </c>
      <c r="AA217" s="1233">
        <v>1</v>
      </c>
      <c r="AB217" s="507">
        <f t="shared" si="49"/>
        <v>-21747000</v>
      </c>
      <c r="AC217" s="352"/>
      <c r="AD217" s="53"/>
      <c r="AL217" s="103"/>
      <c r="AM217" s="103"/>
      <c r="AN217" s="103"/>
      <c r="AO217" s="103"/>
      <c r="AP217" s="103"/>
      <c r="AQ217" s="103"/>
      <c r="AR217" s="103"/>
      <c r="AS217" s="430"/>
      <c r="AT217" s="100"/>
      <c r="AU217" s="461"/>
    </row>
    <row r="218" spans="1:49" s="54" customFormat="1" ht="30">
      <c r="A218" s="561"/>
      <c r="B218" s="1037"/>
      <c r="C218" s="1037"/>
      <c r="D218" s="1038"/>
      <c r="E218" s="264"/>
      <c r="F218" s="264"/>
      <c r="G218" s="264"/>
      <c r="H218" s="1125"/>
      <c r="I218" s="1116"/>
      <c r="J218" s="344"/>
      <c r="K218" s="1246" t="s">
        <v>2649</v>
      </c>
      <c r="L218" s="1232" t="s">
        <v>1096</v>
      </c>
      <c r="M218" s="1399" t="s">
        <v>2650</v>
      </c>
      <c r="N218" s="1402"/>
      <c r="O218" s="1402">
        <v>8772533</v>
      </c>
      <c r="P218" s="344">
        <f t="shared" si="50"/>
        <v>8772533</v>
      </c>
      <c r="Q218" s="264"/>
      <c r="R218" s="264"/>
      <c r="S218" s="264"/>
      <c r="T218" s="264"/>
      <c r="U218" s="264"/>
      <c r="V218" s="264">
        <f t="shared" si="51"/>
        <v>8772533</v>
      </c>
      <c r="W218" s="1595" t="s">
        <v>2643</v>
      </c>
      <c r="X218" s="1595">
        <v>42642</v>
      </c>
      <c r="Y218" s="1596">
        <v>42648</v>
      </c>
      <c r="Z218" s="1618">
        <f t="shared" si="52"/>
        <v>8772533</v>
      </c>
      <c r="AA218" s="1233">
        <v>1</v>
      </c>
      <c r="AB218" s="507">
        <f t="shared" si="49"/>
        <v>-8772533</v>
      </c>
      <c r="AC218" s="352"/>
      <c r="AD218" s="53"/>
      <c r="AL218" s="103"/>
      <c r="AM218" s="103"/>
      <c r="AN218" s="103"/>
      <c r="AO218" s="103"/>
      <c r="AP218" s="103"/>
      <c r="AQ218" s="103"/>
      <c r="AR218" s="103"/>
      <c r="AS218" s="430"/>
      <c r="AT218" s="100"/>
      <c r="AU218" s="461"/>
    </row>
    <row r="219" spans="1:49" s="54" customFormat="1" ht="30">
      <c r="A219" s="561"/>
      <c r="B219" s="1037"/>
      <c r="C219" s="1037"/>
      <c r="D219" s="1038"/>
      <c r="E219" s="264"/>
      <c r="F219" s="264"/>
      <c r="G219" s="264"/>
      <c r="H219" s="1125"/>
      <c r="I219" s="1116"/>
      <c r="J219" s="344"/>
      <c r="K219" s="1246" t="s">
        <v>2651</v>
      </c>
      <c r="L219" s="1232" t="s">
        <v>1096</v>
      </c>
      <c r="M219" s="1399" t="s">
        <v>2652</v>
      </c>
      <c r="N219" s="1402"/>
      <c r="O219" s="1402">
        <v>4475764</v>
      </c>
      <c r="P219" s="344">
        <f t="shared" si="50"/>
        <v>4475764</v>
      </c>
      <c r="Q219" s="264"/>
      <c r="R219" s="264"/>
      <c r="S219" s="264"/>
      <c r="T219" s="264"/>
      <c r="U219" s="264"/>
      <c r="V219" s="264">
        <f t="shared" si="51"/>
        <v>4475764</v>
      </c>
      <c r="W219" s="1595" t="s">
        <v>2643</v>
      </c>
      <c r="X219" s="1595">
        <v>42642</v>
      </c>
      <c r="Y219" s="1596">
        <v>42648</v>
      </c>
      <c r="Z219" s="1618">
        <f t="shared" si="52"/>
        <v>4475764</v>
      </c>
      <c r="AA219" s="1233">
        <v>1</v>
      </c>
      <c r="AB219" s="507">
        <f t="shared" si="49"/>
        <v>-4475764</v>
      </c>
      <c r="AC219" s="352"/>
      <c r="AD219" s="53"/>
      <c r="AL219" s="103"/>
      <c r="AM219" s="103"/>
      <c r="AN219" s="103"/>
      <c r="AO219" s="103"/>
      <c r="AP219" s="103"/>
      <c r="AQ219" s="103"/>
      <c r="AR219" s="103"/>
      <c r="AS219" s="430"/>
      <c r="AT219" s="100"/>
      <c r="AU219" s="461"/>
    </row>
    <row r="220" spans="1:49" s="54" customFormat="1" ht="30">
      <c r="A220" s="561"/>
      <c r="B220" s="1037"/>
      <c r="C220" s="1037"/>
      <c r="D220" s="1038"/>
      <c r="E220" s="264"/>
      <c r="F220" s="264"/>
      <c r="G220" s="264"/>
      <c r="H220" s="1125"/>
      <c r="I220" s="1116"/>
      <c r="J220" s="344"/>
      <c r="K220" s="1246" t="s">
        <v>2653</v>
      </c>
      <c r="L220" s="1232" t="s">
        <v>1096</v>
      </c>
      <c r="M220" s="1399" t="s">
        <v>2652</v>
      </c>
      <c r="N220" s="1402"/>
      <c r="O220" s="1402">
        <v>4378543</v>
      </c>
      <c r="P220" s="344">
        <f t="shared" si="50"/>
        <v>4378543</v>
      </c>
      <c r="Q220" s="264"/>
      <c r="R220" s="264"/>
      <c r="S220" s="264"/>
      <c r="T220" s="264"/>
      <c r="U220" s="264"/>
      <c r="V220" s="264">
        <f t="shared" si="51"/>
        <v>4378543</v>
      </c>
      <c r="W220" s="1595" t="s">
        <v>2643</v>
      </c>
      <c r="X220" s="1595">
        <v>42642</v>
      </c>
      <c r="Y220" s="1596">
        <v>42648</v>
      </c>
      <c r="Z220" s="1618">
        <f t="shared" si="52"/>
        <v>4378543</v>
      </c>
      <c r="AA220" s="1233">
        <v>1</v>
      </c>
      <c r="AB220" s="507">
        <f t="shared" si="49"/>
        <v>-4378543</v>
      </c>
      <c r="AC220" s="352"/>
      <c r="AD220" s="53"/>
      <c r="AL220" s="103"/>
      <c r="AM220" s="103"/>
      <c r="AN220" s="103"/>
      <c r="AO220" s="103"/>
      <c r="AP220" s="103"/>
      <c r="AQ220" s="103"/>
      <c r="AR220" s="103"/>
      <c r="AS220" s="430"/>
      <c r="AT220" s="100"/>
      <c r="AU220" s="461"/>
    </row>
    <row r="221" spans="1:49" s="54" customFormat="1" ht="30">
      <c r="A221" s="561"/>
      <c r="B221" s="1037"/>
      <c r="C221" s="1037"/>
      <c r="D221" s="1038"/>
      <c r="E221" s="264"/>
      <c r="F221" s="264"/>
      <c r="G221" s="264"/>
      <c r="H221" s="1125"/>
      <c r="I221" s="1116"/>
      <c r="J221" s="344"/>
      <c r="K221" s="1246" t="s">
        <v>2654</v>
      </c>
      <c r="L221" s="1232" t="s">
        <v>1096</v>
      </c>
      <c r="M221" s="1399" t="s">
        <v>2655</v>
      </c>
      <c r="N221" s="1402"/>
      <c r="O221" s="1402">
        <v>13042953</v>
      </c>
      <c r="P221" s="344">
        <f t="shared" si="50"/>
        <v>13042953</v>
      </c>
      <c r="Q221" s="264"/>
      <c r="R221" s="264"/>
      <c r="S221" s="264"/>
      <c r="T221" s="264"/>
      <c r="U221" s="264"/>
      <c r="V221" s="264">
        <f t="shared" si="51"/>
        <v>13042953</v>
      </c>
      <c r="W221" s="1595" t="s">
        <v>2643</v>
      </c>
      <c r="X221" s="1595">
        <v>42642</v>
      </c>
      <c r="Y221" s="1596">
        <v>42648</v>
      </c>
      <c r="Z221" s="1618">
        <f t="shared" si="52"/>
        <v>13042953</v>
      </c>
      <c r="AA221" s="1233">
        <v>1</v>
      </c>
      <c r="AB221" s="507">
        <f t="shared" si="49"/>
        <v>-13042953</v>
      </c>
      <c r="AC221" s="352"/>
      <c r="AD221" s="53"/>
      <c r="AL221" s="103"/>
      <c r="AM221" s="103"/>
      <c r="AN221" s="103"/>
      <c r="AO221" s="103"/>
      <c r="AP221" s="103"/>
      <c r="AQ221" s="103"/>
      <c r="AR221" s="103"/>
      <c r="AS221" s="430"/>
      <c r="AT221" s="100"/>
      <c r="AU221" s="461"/>
    </row>
    <row r="222" spans="1:49" s="54" customFormat="1" ht="30">
      <c r="A222" s="561"/>
      <c r="B222" s="1037"/>
      <c r="C222" s="1037"/>
      <c r="D222" s="1038"/>
      <c r="E222" s="264"/>
      <c r="F222" s="264"/>
      <c r="G222" s="264"/>
      <c r="H222" s="1125"/>
      <c r="I222" s="1116"/>
      <c r="J222" s="344"/>
      <c r="K222" s="1246" t="s">
        <v>2659</v>
      </c>
      <c r="L222" s="1361" t="s">
        <v>1082</v>
      </c>
      <c r="M222" s="1399" t="s">
        <v>2660</v>
      </c>
      <c r="N222" s="1402"/>
      <c r="O222" s="1402">
        <v>176551018</v>
      </c>
      <c r="P222" s="344">
        <f t="shared" si="50"/>
        <v>176551018</v>
      </c>
      <c r="Q222" s="264"/>
      <c r="R222" s="264"/>
      <c r="S222" s="264"/>
      <c r="T222" s="264"/>
      <c r="U222" s="264"/>
      <c r="V222" s="264">
        <f t="shared" si="51"/>
        <v>176551018</v>
      </c>
      <c r="W222" s="1595" t="s">
        <v>2658</v>
      </c>
      <c r="X222" s="1595">
        <v>42642</v>
      </c>
      <c r="Y222" s="1596">
        <v>42648</v>
      </c>
      <c r="Z222" s="1618">
        <f t="shared" ref="Z222:Z231" si="53">V222</f>
        <v>176551018</v>
      </c>
      <c r="AA222" s="1233">
        <v>1</v>
      </c>
      <c r="AB222" s="507">
        <f t="shared" ref="AB222:AB231" si="54">+G222-P222</f>
        <v>-176551018</v>
      </c>
      <c r="AC222" s="352"/>
      <c r="AD222" s="53"/>
      <c r="AL222" s="103"/>
      <c r="AM222" s="103"/>
      <c r="AN222" s="103"/>
      <c r="AO222" s="103"/>
      <c r="AP222" s="103"/>
      <c r="AQ222" s="103"/>
      <c r="AR222" s="103"/>
      <c r="AS222" s="430"/>
      <c r="AT222" s="100"/>
      <c r="AU222" s="461"/>
    </row>
    <row r="223" spans="1:49" s="54" customFormat="1" ht="30">
      <c r="A223" s="561"/>
      <c r="B223" s="1037"/>
      <c r="C223" s="1037"/>
      <c r="D223" s="1038"/>
      <c r="E223" s="264"/>
      <c r="F223" s="264"/>
      <c r="G223" s="264"/>
      <c r="H223" s="1125"/>
      <c r="I223" s="1116"/>
      <c r="J223" s="344"/>
      <c r="K223" s="1246" t="s">
        <v>2661</v>
      </c>
      <c r="L223" s="1361" t="s">
        <v>1082</v>
      </c>
      <c r="M223" s="1399" t="s">
        <v>2662</v>
      </c>
      <c r="N223" s="1402"/>
      <c r="O223" s="1402">
        <v>43494000</v>
      </c>
      <c r="P223" s="344">
        <f t="shared" si="50"/>
        <v>43494000</v>
      </c>
      <c r="Q223" s="264"/>
      <c r="R223" s="264"/>
      <c r="S223" s="264"/>
      <c r="T223" s="264"/>
      <c r="U223" s="264"/>
      <c r="V223" s="264">
        <f t="shared" si="51"/>
        <v>43494000</v>
      </c>
      <c r="W223" s="1595" t="s">
        <v>2658</v>
      </c>
      <c r="X223" s="1595">
        <v>42642</v>
      </c>
      <c r="Y223" s="1596">
        <v>42648</v>
      </c>
      <c r="Z223" s="1618">
        <f t="shared" si="53"/>
        <v>43494000</v>
      </c>
      <c r="AA223" s="1233">
        <v>1</v>
      </c>
      <c r="AB223" s="507">
        <f t="shared" si="54"/>
        <v>-43494000</v>
      </c>
      <c r="AC223" s="352"/>
      <c r="AD223" s="53"/>
      <c r="AL223" s="103"/>
      <c r="AM223" s="103"/>
      <c r="AN223" s="103"/>
      <c r="AO223" s="103"/>
      <c r="AP223" s="103"/>
      <c r="AQ223" s="103"/>
      <c r="AR223" s="103"/>
      <c r="AS223" s="430"/>
      <c r="AT223" s="100"/>
      <c r="AU223" s="461"/>
    </row>
    <row r="224" spans="1:49" s="54" customFormat="1" ht="30">
      <c r="A224" s="561"/>
      <c r="B224" s="1037"/>
      <c r="C224" s="1037"/>
      <c r="D224" s="1038"/>
      <c r="E224" s="264"/>
      <c r="F224" s="264"/>
      <c r="G224" s="264"/>
      <c r="H224" s="1125"/>
      <c r="I224" s="1116"/>
      <c r="J224" s="344"/>
      <c r="K224" s="1246" t="s">
        <v>2663</v>
      </c>
      <c r="L224" s="1232" t="s">
        <v>1096</v>
      </c>
      <c r="M224" s="1399" t="s">
        <v>2664</v>
      </c>
      <c r="N224" s="1402"/>
      <c r="O224" s="1402">
        <v>550854920</v>
      </c>
      <c r="P224" s="344">
        <f t="shared" si="50"/>
        <v>550854920</v>
      </c>
      <c r="Q224" s="264"/>
      <c r="R224" s="264"/>
      <c r="S224" s="264"/>
      <c r="T224" s="264"/>
      <c r="U224" s="264"/>
      <c r="V224" s="264">
        <f t="shared" si="51"/>
        <v>550854920</v>
      </c>
      <c r="W224" s="1595" t="s">
        <v>2658</v>
      </c>
      <c r="X224" s="1595">
        <v>42642</v>
      </c>
      <c r="Y224" s="1596">
        <v>42648</v>
      </c>
      <c r="Z224" s="1618">
        <f t="shared" si="53"/>
        <v>550854920</v>
      </c>
      <c r="AA224" s="1233">
        <v>1</v>
      </c>
      <c r="AB224" s="507">
        <f t="shared" si="54"/>
        <v>-550854920</v>
      </c>
      <c r="AC224" s="352"/>
      <c r="AD224" s="53"/>
      <c r="AL224" s="103"/>
      <c r="AM224" s="103"/>
      <c r="AN224" s="103"/>
      <c r="AO224" s="103"/>
      <c r="AP224" s="103"/>
      <c r="AQ224" s="103"/>
      <c r="AR224" s="103"/>
      <c r="AS224" s="430"/>
      <c r="AT224" s="100"/>
      <c r="AU224" s="461"/>
    </row>
    <row r="225" spans="1:50" s="54" customFormat="1" ht="30">
      <c r="A225" s="561"/>
      <c r="B225" s="1037"/>
      <c r="C225" s="1037"/>
      <c r="D225" s="1038"/>
      <c r="E225" s="264"/>
      <c r="F225" s="264"/>
      <c r="G225" s="264"/>
      <c r="H225" s="1125"/>
      <c r="I225" s="1116"/>
      <c r="J225" s="344"/>
      <c r="K225" s="1246" t="s">
        <v>2665</v>
      </c>
      <c r="L225" s="1232" t="s">
        <v>1096</v>
      </c>
      <c r="M225" s="1399" t="s">
        <v>2666</v>
      </c>
      <c r="N225" s="1402"/>
      <c r="O225" s="1402">
        <v>37652843</v>
      </c>
      <c r="P225" s="344">
        <f t="shared" ref="P225:P230" si="55">N225+O225</f>
        <v>37652843</v>
      </c>
      <c r="Q225" s="264"/>
      <c r="R225" s="264"/>
      <c r="S225" s="264"/>
      <c r="T225" s="264"/>
      <c r="U225" s="264"/>
      <c r="V225" s="264">
        <f t="shared" ref="V225:V230" si="56">P225</f>
        <v>37652843</v>
      </c>
      <c r="W225" s="1595" t="s">
        <v>2677</v>
      </c>
      <c r="X225" s="1595">
        <v>42643</v>
      </c>
      <c r="Y225" s="1596">
        <v>42648</v>
      </c>
      <c r="Z225" s="1618">
        <f t="shared" si="53"/>
        <v>37652843</v>
      </c>
      <c r="AA225" s="1233">
        <v>1</v>
      </c>
      <c r="AB225" s="507">
        <f t="shared" si="54"/>
        <v>-37652843</v>
      </c>
      <c r="AC225" s="352"/>
      <c r="AD225" s="53"/>
      <c r="AL225" s="103"/>
      <c r="AM225" s="103"/>
      <c r="AN225" s="103"/>
      <c r="AO225" s="103"/>
      <c r="AP225" s="103"/>
      <c r="AQ225" s="103"/>
      <c r="AR225" s="103"/>
      <c r="AS225" s="430"/>
      <c r="AT225" s="100"/>
      <c r="AU225" s="461"/>
    </row>
    <row r="226" spans="1:50" s="54" customFormat="1" ht="30">
      <c r="A226" s="561"/>
      <c r="B226" s="1037"/>
      <c r="C226" s="1037"/>
      <c r="D226" s="1038"/>
      <c r="E226" s="264"/>
      <c r="F226" s="264"/>
      <c r="G226" s="264"/>
      <c r="H226" s="1125"/>
      <c r="I226" s="1116"/>
      <c r="J226" s="344"/>
      <c r="K226" s="1246" t="s">
        <v>2667</v>
      </c>
      <c r="L226" s="1232" t="s">
        <v>1096</v>
      </c>
      <c r="M226" s="1399" t="s">
        <v>2668</v>
      </c>
      <c r="N226" s="1402"/>
      <c r="O226" s="1402">
        <v>38179856</v>
      </c>
      <c r="P226" s="344">
        <f t="shared" si="55"/>
        <v>38179856</v>
      </c>
      <c r="Q226" s="264"/>
      <c r="R226" s="264"/>
      <c r="S226" s="264"/>
      <c r="T226" s="264"/>
      <c r="U226" s="264"/>
      <c r="V226" s="264">
        <f t="shared" si="56"/>
        <v>38179856</v>
      </c>
      <c r="W226" s="1595" t="s">
        <v>2677</v>
      </c>
      <c r="X226" s="1595">
        <v>42643</v>
      </c>
      <c r="Y226" s="1596">
        <v>42648</v>
      </c>
      <c r="Z226" s="1618">
        <f t="shared" si="53"/>
        <v>38179856</v>
      </c>
      <c r="AA226" s="1233">
        <v>1</v>
      </c>
      <c r="AB226" s="507">
        <f t="shared" si="54"/>
        <v>-38179856</v>
      </c>
      <c r="AC226" s="352"/>
      <c r="AD226" s="53"/>
      <c r="AL226" s="103"/>
      <c r="AM226" s="103"/>
      <c r="AN226" s="103"/>
      <c r="AO226" s="103"/>
      <c r="AP226" s="103"/>
      <c r="AQ226" s="103"/>
      <c r="AR226" s="103"/>
      <c r="AS226" s="430"/>
      <c r="AT226" s="100"/>
      <c r="AU226" s="461"/>
    </row>
    <row r="227" spans="1:50" s="54" customFormat="1" ht="30">
      <c r="A227" s="561"/>
      <c r="B227" s="1037"/>
      <c r="C227" s="1037"/>
      <c r="D227" s="1038"/>
      <c r="E227" s="264"/>
      <c r="F227" s="264"/>
      <c r="G227" s="264"/>
      <c r="H227" s="1125"/>
      <c r="I227" s="1116"/>
      <c r="J227" s="344"/>
      <c r="K227" s="1246" t="s">
        <v>2669</v>
      </c>
      <c r="L227" s="1232" t="s">
        <v>1096</v>
      </c>
      <c r="M227" s="1399" t="s">
        <v>2670</v>
      </c>
      <c r="N227" s="1402"/>
      <c r="O227" s="1402">
        <v>34199550</v>
      </c>
      <c r="P227" s="344">
        <f t="shared" si="55"/>
        <v>34199550</v>
      </c>
      <c r="Q227" s="264"/>
      <c r="R227" s="264"/>
      <c r="S227" s="264"/>
      <c r="T227" s="264"/>
      <c r="U227" s="264"/>
      <c r="V227" s="264">
        <f t="shared" si="56"/>
        <v>34199550</v>
      </c>
      <c r="W227" s="1595" t="s">
        <v>2677</v>
      </c>
      <c r="X227" s="1595">
        <v>42643</v>
      </c>
      <c r="Y227" s="1596">
        <v>42648</v>
      </c>
      <c r="Z227" s="1618">
        <f t="shared" si="53"/>
        <v>34199550</v>
      </c>
      <c r="AA227" s="1233">
        <v>1</v>
      </c>
      <c r="AB227" s="507">
        <f t="shared" si="54"/>
        <v>-34199550</v>
      </c>
      <c r="AC227" s="352"/>
      <c r="AD227" s="53"/>
      <c r="AL227" s="103"/>
      <c r="AM227" s="103"/>
      <c r="AN227" s="103"/>
      <c r="AO227" s="103"/>
      <c r="AP227" s="103"/>
      <c r="AQ227" s="103"/>
      <c r="AR227" s="103"/>
      <c r="AS227" s="430"/>
      <c r="AT227" s="100"/>
      <c r="AU227" s="461"/>
    </row>
    <row r="228" spans="1:50" s="54" customFormat="1" ht="30">
      <c r="A228" s="561"/>
      <c r="B228" s="1037"/>
      <c r="C228" s="1037"/>
      <c r="D228" s="1038"/>
      <c r="E228" s="264"/>
      <c r="F228" s="264"/>
      <c r="G228" s="264"/>
      <c r="H228" s="1125"/>
      <c r="I228" s="1116"/>
      <c r="J228" s="344"/>
      <c r="K228" s="1246" t="s">
        <v>2671</v>
      </c>
      <c r="L228" s="1232" t="s">
        <v>1096</v>
      </c>
      <c r="M228" s="1399" t="s">
        <v>2672</v>
      </c>
      <c r="N228" s="1402"/>
      <c r="O228" s="1402">
        <v>542519170</v>
      </c>
      <c r="P228" s="344">
        <f t="shared" si="55"/>
        <v>542519170</v>
      </c>
      <c r="Q228" s="264"/>
      <c r="R228" s="264"/>
      <c r="S228" s="264"/>
      <c r="T228" s="264"/>
      <c r="U228" s="264"/>
      <c r="V228" s="264">
        <f t="shared" si="56"/>
        <v>542519170</v>
      </c>
      <c r="W228" s="1595" t="s">
        <v>2677</v>
      </c>
      <c r="X228" s="1595">
        <v>42643</v>
      </c>
      <c r="Y228" s="1596">
        <v>42648</v>
      </c>
      <c r="Z228" s="1618">
        <f t="shared" si="53"/>
        <v>542519170</v>
      </c>
      <c r="AA228" s="1233">
        <v>1</v>
      </c>
      <c r="AB228" s="507">
        <f t="shared" si="54"/>
        <v>-542519170</v>
      </c>
      <c r="AC228" s="352"/>
      <c r="AD228" s="53"/>
      <c r="AL228" s="103"/>
      <c r="AM228" s="103"/>
      <c r="AN228" s="103"/>
      <c r="AO228" s="103"/>
      <c r="AP228" s="103"/>
      <c r="AQ228" s="103"/>
      <c r="AR228" s="103"/>
      <c r="AS228" s="430"/>
      <c r="AT228" s="100"/>
      <c r="AU228" s="461"/>
    </row>
    <row r="229" spans="1:50" s="54" customFormat="1" ht="30">
      <c r="A229" s="561"/>
      <c r="B229" s="1037"/>
      <c r="C229" s="1037"/>
      <c r="D229" s="1038"/>
      <c r="E229" s="264"/>
      <c r="F229" s="264"/>
      <c r="G229" s="264"/>
      <c r="H229" s="1125"/>
      <c r="I229" s="1116"/>
      <c r="J229" s="344"/>
      <c r="K229" s="1246" t="s">
        <v>2673</v>
      </c>
      <c r="L229" s="1361" t="s">
        <v>1082</v>
      </c>
      <c r="M229" s="1399" t="s">
        <v>2674</v>
      </c>
      <c r="N229" s="1402"/>
      <c r="O229" s="1402">
        <v>51708019</v>
      </c>
      <c r="P229" s="344">
        <f t="shared" si="55"/>
        <v>51708019</v>
      </c>
      <c r="Q229" s="264"/>
      <c r="R229" s="264"/>
      <c r="S229" s="264"/>
      <c r="T229" s="264"/>
      <c r="U229" s="264"/>
      <c r="V229" s="264">
        <f t="shared" si="56"/>
        <v>51708019</v>
      </c>
      <c r="W229" s="1595" t="s">
        <v>2677</v>
      </c>
      <c r="X229" s="1595">
        <v>42643</v>
      </c>
      <c r="Y229" s="1596">
        <v>42648</v>
      </c>
      <c r="Z229" s="1618">
        <f t="shared" si="53"/>
        <v>51708019</v>
      </c>
      <c r="AA229" s="1233">
        <v>1</v>
      </c>
      <c r="AB229" s="507">
        <f t="shared" si="54"/>
        <v>-51708019</v>
      </c>
      <c r="AC229" s="352"/>
      <c r="AD229" s="53"/>
      <c r="AL229" s="103"/>
      <c r="AM229" s="103"/>
      <c r="AN229" s="103"/>
      <c r="AO229" s="103"/>
      <c r="AP229" s="103"/>
      <c r="AQ229" s="103"/>
      <c r="AR229" s="103"/>
      <c r="AS229" s="430"/>
      <c r="AT229" s="100"/>
      <c r="AU229" s="461"/>
    </row>
    <row r="230" spans="1:50" s="54" customFormat="1" ht="30">
      <c r="A230" s="561"/>
      <c r="B230" s="1037"/>
      <c r="C230" s="1037"/>
      <c r="D230" s="1038"/>
      <c r="E230" s="264"/>
      <c r="F230" s="264"/>
      <c r="G230" s="264"/>
      <c r="H230" s="1125"/>
      <c r="I230" s="1116"/>
      <c r="J230" s="344"/>
      <c r="K230" s="1246" t="s">
        <v>2675</v>
      </c>
      <c r="L230" s="1361" t="s">
        <v>1082</v>
      </c>
      <c r="M230" s="1399" t="s">
        <v>2676</v>
      </c>
      <c r="N230" s="1402"/>
      <c r="O230" s="1402">
        <v>728463736</v>
      </c>
      <c r="P230" s="344">
        <f t="shared" si="55"/>
        <v>728463736</v>
      </c>
      <c r="Q230" s="264"/>
      <c r="R230" s="264"/>
      <c r="S230" s="264"/>
      <c r="T230" s="264"/>
      <c r="U230" s="264"/>
      <c r="V230" s="264">
        <f t="shared" si="56"/>
        <v>728463736</v>
      </c>
      <c r="W230" s="1595" t="s">
        <v>2677</v>
      </c>
      <c r="X230" s="1595">
        <v>42643</v>
      </c>
      <c r="Y230" s="1596">
        <v>42648</v>
      </c>
      <c r="Z230" s="1618">
        <f t="shared" si="53"/>
        <v>728463736</v>
      </c>
      <c r="AA230" s="1233">
        <v>1</v>
      </c>
      <c r="AB230" s="507">
        <f t="shared" si="54"/>
        <v>-728463736</v>
      </c>
      <c r="AC230" s="352"/>
      <c r="AD230" s="53"/>
      <c r="AL230" s="103"/>
      <c r="AM230" s="103"/>
      <c r="AN230" s="103"/>
      <c r="AO230" s="103"/>
      <c r="AP230" s="103"/>
      <c r="AQ230" s="103"/>
      <c r="AR230" s="103"/>
      <c r="AS230" s="430"/>
      <c r="AT230" s="100"/>
      <c r="AU230" s="461"/>
    </row>
    <row r="231" spans="1:50" s="54" customFormat="1" ht="30">
      <c r="A231" s="561"/>
      <c r="B231" s="1037"/>
      <c r="C231" s="1037"/>
      <c r="D231" s="1038"/>
      <c r="E231" s="264"/>
      <c r="F231" s="264"/>
      <c r="G231" s="264"/>
      <c r="H231" s="1125"/>
      <c r="I231" s="1116"/>
      <c r="J231" s="344"/>
      <c r="K231" s="1360" t="s">
        <v>2678</v>
      </c>
      <c r="L231" s="1232" t="s">
        <v>1096</v>
      </c>
      <c r="M231" s="1399" t="s">
        <v>2679</v>
      </c>
      <c r="N231" s="1402"/>
      <c r="O231" s="1402">
        <v>15308370</v>
      </c>
      <c r="P231" s="344">
        <f t="shared" ref="P231:P242" si="57">N231+O231</f>
        <v>15308370</v>
      </c>
      <c r="Q231" s="264"/>
      <c r="R231" s="264"/>
      <c r="S231" s="264"/>
      <c r="T231" s="264"/>
      <c r="U231" s="264"/>
      <c r="V231" s="264">
        <f t="shared" ref="V231:V238" si="58">P231</f>
        <v>15308370</v>
      </c>
      <c r="W231" s="1595" t="s">
        <v>2692</v>
      </c>
      <c r="X231" s="1595">
        <v>42643</v>
      </c>
      <c r="Y231" s="1596">
        <v>42648</v>
      </c>
      <c r="Z231" s="1618">
        <f t="shared" si="53"/>
        <v>15308370</v>
      </c>
      <c r="AA231" s="1233">
        <v>1</v>
      </c>
      <c r="AB231" s="507">
        <f t="shared" si="54"/>
        <v>-15308370</v>
      </c>
      <c r="AC231" s="352"/>
      <c r="AD231" s="53"/>
      <c r="AL231" s="103"/>
      <c r="AM231" s="103"/>
      <c r="AN231" s="103"/>
      <c r="AO231" s="103"/>
      <c r="AP231" s="103"/>
      <c r="AQ231" s="103"/>
      <c r="AR231" s="103"/>
      <c r="AS231" s="430"/>
      <c r="AT231" s="100"/>
      <c r="AU231" s="461"/>
    </row>
    <row r="232" spans="1:50" s="54" customFormat="1" ht="30">
      <c r="A232" s="561"/>
      <c r="B232" s="1037"/>
      <c r="C232" s="1037"/>
      <c r="D232" s="1038"/>
      <c r="E232" s="264"/>
      <c r="F232" s="264"/>
      <c r="G232" s="264"/>
      <c r="H232" s="1125"/>
      <c r="I232" s="1116"/>
      <c r="J232" s="344"/>
      <c r="K232" s="1360" t="s">
        <v>2680</v>
      </c>
      <c r="L232" s="1232" t="s">
        <v>1096</v>
      </c>
      <c r="M232" s="1399" t="s">
        <v>2681</v>
      </c>
      <c r="N232" s="1402"/>
      <c r="O232" s="1402">
        <v>23451120</v>
      </c>
      <c r="P232" s="344">
        <f t="shared" si="57"/>
        <v>23451120</v>
      </c>
      <c r="Q232" s="264"/>
      <c r="R232" s="264"/>
      <c r="S232" s="264"/>
      <c r="T232" s="264"/>
      <c r="U232" s="264"/>
      <c r="V232" s="264">
        <f t="shared" si="58"/>
        <v>23451120</v>
      </c>
      <c r="W232" s="1595" t="s">
        <v>2692</v>
      </c>
      <c r="X232" s="1595">
        <v>42643</v>
      </c>
      <c r="Y232" s="1596">
        <v>42648</v>
      </c>
      <c r="Z232" s="1618">
        <f t="shared" ref="Z232:Z239" si="59">V232</f>
        <v>23451120</v>
      </c>
      <c r="AA232" s="1233">
        <v>1</v>
      </c>
      <c r="AB232" s="507">
        <f t="shared" ref="AB232:AB242" si="60">+G232-P232</f>
        <v>-23451120</v>
      </c>
      <c r="AC232" s="352"/>
      <c r="AD232" s="53"/>
      <c r="AL232" s="103"/>
      <c r="AM232" s="103"/>
      <c r="AN232" s="103"/>
      <c r="AO232" s="103"/>
      <c r="AP232" s="103"/>
      <c r="AQ232" s="103"/>
      <c r="AR232" s="103"/>
      <c r="AS232" s="430"/>
      <c r="AT232" s="100"/>
      <c r="AU232" s="461"/>
    </row>
    <row r="233" spans="1:50" s="54" customFormat="1" ht="30">
      <c r="A233" s="561"/>
      <c r="B233" s="1037"/>
      <c r="C233" s="1037"/>
      <c r="D233" s="1038"/>
      <c r="E233" s="264"/>
      <c r="F233" s="264"/>
      <c r="G233" s="264"/>
      <c r="H233" s="1125"/>
      <c r="I233" s="1116"/>
      <c r="J233" s="344"/>
      <c r="K233" s="1360" t="s">
        <v>2682</v>
      </c>
      <c r="L233" s="1232" t="s">
        <v>1096</v>
      </c>
      <c r="M233" s="1399" t="s">
        <v>2683</v>
      </c>
      <c r="N233" s="1402"/>
      <c r="O233" s="1402">
        <v>4348560</v>
      </c>
      <c r="P233" s="344">
        <f t="shared" si="57"/>
        <v>4348560</v>
      </c>
      <c r="Q233" s="264"/>
      <c r="R233" s="264"/>
      <c r="S233" s="264"/>
      <c r="T233" s="264"/>
      <c r="U233" s="264"/>
      <c r="V233" s="264">
        <f t="shared" si="58"/>
        <v>4348560</v>
      </c>
      <c r="W233" s="1595" t="s">
        <v>2692</v>
      </c>
      <c r="X233" s="1595">
        <v>42643</v>
      </c>
      <c r="Y233" s="1596">
        <v>42648</v>
      </c>
      <c r="Z233" s="1618">
        <f t="shared" si="59"/>
        <v>4348560</v>
      </c>
      <c r="AA233" s="1233">
        <v>1</v>
      </c>
      <c r="AB233" s="507">
        <f t="shared" si="60"/>
        <v>-4348560</v>
      </c>
      <c r="AC233" s="352"/>
      <c r="AD233" s="53"/>
      <c r="AL233" s="103"/>
      <c r="AM233" s="103"/>
      <c r="AN233" s="103"/>
      <c r="AO233" s="103"/>
      <c r="AP233" s="103"/>
      <c r="AQ233" s="103"/>
      <c r="AR233" s="103"/>
      <c r="AS233" s="430"/>
      <c r="AT233" s="100"/>
      <c r="AU233" s="461"/>
    </row>
    <row r="234" spans="1:50" s="54" customFormat="1" ht="30">
      <c r="A234" s="561"/>
      <c r="B234" s="1037"/>
      <c r="C234" s="1037"/>
      <c r="D234" s="1038"/>
      <c r="E234" s="264"/>
      <c r="F234" s="264"/>
      <c r="G234" s="264"/>
      <c r="H234" s="1125"/>
      <c r="I234" s="1116"/>
      <c r="J234" s="344"/>
      <c r="K234" s="1360" t="s">
        <v>2684</v>
      </c>
      <c r="L234" s="1232" t="s">
        <v>1096</v>
      </c>
      <c r="M234" s="1399" t="s">
        <v>2685</v>
      </c>
      <c r="N234" s="1402"/>
      <c r="O234" s="1402">
        <v>5958040</v>
      </c>
      <c r="P234" s="344">
        <f t="shared" si="57"/>
        <v>5958040</v>
      </c>
      <c r="Q234" s="264"/>
      <c r="R234" s="264"/>
      <c r="S234" s="264"/>
      <c r="T234" s="264"/>
      <c r="U234" s="264"/>
      <c r="V234" s="264">
        <f t="shared" si="58"/>
        <v>5958040</v>
      </c>
      <c r="W234" s="1595" t="s">
        <v>2692</v>
      </c>
      <c r="X234" s="1595">
        <v>42643</v>
      </c>
      <c r="Y234" s="1596">
        <v>42648</v>
      </c>
      <c r="Z234" s="1618">
        <f t="shared" si="59"/>
        <v>5958040</v>
      </c>
      <c r="AA234" s="1233">
        <v>1</v>
      </c>
      <c r="AB234" s="507">
        <f t="shared" si="60"/>
        <v>-5958040</v>
      </c>
      <c r="AC234" s="352"/>
      <c r="AD234" s="53"/>
      <c r="AL234" s="103"/>
      <c r="AM234" s="103"/>
      <c r="AN234" s="103"/>
      <c r="AO234" s="103"/>
      <c r="AP234" s="103"/>
      <c r="AQ234" s="103"/>
      <c r="AR234" s="103"/>
      <c r="AS234" s="430"/>
      <c r="AT234" s="100"/>
      <c r="AU234" s="461"/>
    </row>
    <row r="235" spans="1:50" s="54" customFormat="1" ht="30">
      <c r="A235" s="561"/>
      <c r="B235" s="1037"/>
      <c r="C235" s="1037"/>
      <c r="D235" s="1038"/>
      <c r="E235" s="264"/>
      <c r="F235" s="264"/>
      <c r="G235" s="264"/>
      <c r="H235" s="1125"/>
      <c r="I235" s="1116"/>
      <c r="J235" s="344"/>
      <c r="K235" s="1360" t="s">
        <v>2686</v>
      </c>
      <c r="L235" s="1232" t="s">
        <v>1096</v>
      </c>
      <c r="M235" s="1399" t="s">
        <v>2687</v>
      </c>
      <c r="N235" s="1402"/>
      <c r="O235" s="1402">
        <v>8834318</v>
      </c>
      <c r="P235" s="344">
        <f t="shared" si="57"/>
        <v>8834318</v>
      </c>
      <c r="Q235" s="264"/>
      <c r="R235" s="264"/>
      <c r="S235" s="264"/>
      <c r="T235" s="264"/>
      <c r="U235" s="264"/>
      <c r="V235" s="264">
        <f t="shared" si="58"/>
        <v>8834318</v>
      </c>
      <c r="W235" s="1595" t="s">
        <v>2692</v>
      </c>
      <c r="X235" s="1595">
        <v>42643</v>
      </c>
      <c r="Y235" s="1596">
        <v>42648</v>
      </c>
      <c r="Z235" s="1618">
        <f t="shared" si="59"/>
        <v>8834318</v>
      </c>
      <c r="AA235" s="1233">
        <v>1</v>
      </c>
      <c r="AB235" s="507">
        <f t="shared" si="60"/>
        <v>-8834318</v>
      </c>
      <c r="AC235" s="352"/>
      <c r="AD235" s="53"/>
      <c r="AL235" s="103"/>
      <c r="AM235" s="103"/>
      <c r="AN235" s="103"/>
      <c r="AO235" s="103"/>
      <c r="AP235" s="103"/>
      <c r="AQ235" s="103"/>
      <c r="AR235" s="103"/>
      <c r="AS235" s="430"/>
      <c r="AT235" s="100"/>
      <c r="AU235" s="461"/>
    </row>
    <row r="236" spans="1:50" s="54" customFormat="1" ht="30">
      <c r="A236" s="561"/>
      <c r="B236" s="1037"/>
      <c r="C236" s="1037"/>
      <c r="D236" s="1038"/>
      <c r="E236" s="264"/>
      <c r="F236" s="264"/>
      <c r="G236" s="264"/>
      <c r="H236" s="1125"/>
      <c r="I236" s="1116"/>
      <c r="J236" s="344"/>
      <c r="K236" s="1360" t="s">
        <v>2688</v>
      </c>
      <c r="L236" s="1361" t="s">
        <v>1082</v>
      </c>
      <c r="M236" s="1399" t="s">
        <v>2689</v>
      </c>
      <c r="N236" s="1402"/>
      <c r="O236" s="1402">
        <v>21747000</v>
      </c>
      <c r="P236" s="344">
        <f t="shared" si="57"/>
        <v>21747000</v>
      </c>
      <c r="Q236" s="264"/>
      <c r="R236" s="264"/>
      <c r="S236" s="264"/>
      <c r="T236" s="264"/>
      <c r="U236" s="264"/>
      <c r="V236" s="264">
        <f t="shared" si="58"/>
        <v>21747000</v>
      </c>
      <c r="W236" s="1595" t="s">
        <v>2692</v>
      </c>
      <c r="X236" s="1595">
        <v>42643</v>
      </c>
      <c r="Y236" s="1596">
        <v>42648</v>
      </c>
      <c r="Z236" s="1618">
        <f t="shared" si="59"/>
        <v>21747000</v>
      </c>
      <c r="AA236" s="1233">
        <v>1</v>
      </c>
      <c r="AB236" s="507">
        <f t="shared" si="60"/>
        <v>-21747000</v>
      </c>
      <c r="AC236" s="352"/>
      <c r="AD236" s="53"/>
      <c r="AL236" s="103"/>
      <c r="AM236" s="103"/>
      <c r="AN236" s="103"/>
      <c r="AO236" s="103"/>
      <c r="AP236" s="103"/>
      <c r="AQ236" s="103"/>
      <c r="AR236" s="103"/>
      <c r="AS236" s="430"/>
      <c r="AT236" s="100"/>
      <c r="AU236" s="461"/>
    </row>
    <row r="237" spans="1:50" s="54" customFormat="1" ht="30">
      <c r="A237" s="561"/>
      <c r="B237" s="1037"/>
      <c r="C237" s="1037"/>
      <c r="D237" s="1038"/>
      <c r="E237" s="264"/>
      <c r="F237" s="264"/>
      <c r="G237" s="264"/>
      <c r="H237" s="1125"/>
      <c r="I237" s="1116"/>
      <c r="J237" s="344"/>
      <c r="K237" s="1360" t="s">
        <v>2690</v>
      </c>
      <c r="L237" s="1361" t="s">
        <v>1082</v>
      </c>
      <c r="M237" s="1399" t="s">
        <v>2691</v>
      </c>
      <c r="N237" s="1402"/>
      <c r="O237" s="1402">
        <v>16297600</v>
      </c>
      <c r="P237" s="344">
        <f t="shared" si="57"/>
        <v>16297600</v>
      </c>
      <c r="Q237" s="264"/>
      <c r="R237" s="264"/>
      <c r="S237" s="264"/>
      <c r="T237" s="264"/>
      <c r="U237" s="264"/>
      <c r="V237" s="264">
        <f t="shared" si="58"/>
        <v>16297600</v>
      </c>
      <c r="W237" s="1595" t="s">
        <v>2692</v>
      </c>
      <c r="X237" s="1595">
        <v>42643</v>
      </c>
      <c r="Y237" s="1596">
        <v>42648</v>
      </c>
      <c r="Z237" s="1618">
        <f t="shared" si="59"/>
        <v>16297600</v>
      </c>
      <c r="AA237" s="1233">
        <v>1</v>
      </c>
      <c r="AB237" s="507">
        <f t="shared" si="60"/>
        <v>-16297600</v>
      </c>
      <c r="AC237" s="352"/>
      <c r="AD237" s="53"/>
      <c r="AL237" s="103"/>
      <c r="AM237" s="103"/>
      <c r="AN237" s="103"/>
      <c r="AO237" s="103"/>
      <c r="AP237" s="103"/>
      <c r="AQ237" s="103"/>
      <c r="AR237" s="103"/>
      <c r="AS237" s="430"/>
      <c r="AT237" s="100"/>
      <c r="AU237" s="461"/>
    </row>
    <row r="238" spans="1:50" s="54" customFormat="1" ht="47.25">
      <c r="A238" s="561"/>
      <c r="B238" s="1037"/>
      <c r="C238" s="1037"/>
      <c r="D238" s="1038"/>
      <c r="E238" s="264"/>
      <c r="F238" s="264"/>
      <c r="G238" s="264"/>
      <c r="H238" s="379" t="s">
        <v>2735</v>
      </c>
      <c r="I238" s="1116">
        <v>42641</v>
      </c>
      <c r="J238" s="344" t="s">
        <v>2698</v>
      </c>
      <c r="K238" s="1397" t="s">
        <v>3568</v>
      </c>
      <c r="L238" s="1767" t="s">
        <v>3407</v>
      </c>
      <c r="M238" s="1399" t="s">
        <v>2697</v>
      </c>
      <c r="N238" s="1402"/>
      <c r="O238" s="1398">
        <v>159720000</v>
      </c>
      <c r="P238" s="344">
        <f t="shared" si="57"/>
        <v>159720000</v>
      </c>
      <c r="Q238" s="264"/>
      <c r="R238" s="264"/>
      <c r="S238" s="264"/>
      <c r="T238" s="264"/>
      <c r="U238" s="264"/>
      <c r="V238" s="264">
        <f t="shared" si="58"/>
        <v>159720000</v>
      </c>
      <c r="W238" s="1617" t="s">
        <v>3541</v>
      </c>
      <c r="X238" s="1598">
        <v>42724</v>
      </c>
      <c r="Y238" s="1598">
        <v>42731</v>
      </c>
      <c r="Z238" s="1618">
        <f>V238</f>
        <v>159720000</v>
      </c>
      <c r="AA238" s="1233">
        <v>1</v>
      </c>
      <c r="AB238" s="507">
        <f t="shared" si="60"/>
        <v>-159720000</v>
      </c>
      <c r="AC238" s="352"/>
      <c r="AD238" s="53"/>
      <c r="AL238" s="103"/>
      <c r="AM238" s="103"/>
      <c r="AN238" s="103"/>
      <c r="AO238" s="103"/>
      <c r="AP238" s="103"/>
      <c r="AQ238" s="103"/>
      <c r="AR238" s="103"/>
      <c r="AS238" s="430"/>
      <c r="AT238" s="100"/>
      <c r="AU238" s="461"/>
      <c r="AX238" s="958">
        <f>P238</f>
        <v>159720000</v>
      </c>
    </row>
    <row r="239" spans="1:50" s="54" customFormat="1" ht="47.25">
      <c r="A239" s="561"/>
      <c r="B239" s="1037"/>
      <c r="C239" s="1037"/>
      <c r="D239" s="1038"/>
      <c r="E239" s="264"/>
      <c r="F239" s="264"/>
      <c r="G239" s="264"/>
      <c r="H239" s="379" t="s">
        <v>2855</v>
      </c>
      <c r="I239" s="1116">
        <v>42482</v>
      </c>
      <c r="J239" s="344" t="s">
        <v>2766</v>
      </c>
      <c r="K239" s="1173"/>
      <c r="L239" s="1246"/>
      <c r="M239" s="1399" t="s">
        <v>2767</v>
      </c>
      <c r="N239" s="1402"/>
      <c r="O239" s="1252">
        <v>259406400</v>
      </c>
      <c r="P239" s="344">
        <f t="shared" si="57"/>
        <v>259406400</v>
      </c>
      <c r="Q239" s="264"/>
      <c r="R239" s="264"/>
      <c r="S239" s="264"/>
      <c r="T239" s="264"/>
      <c r="U239" s="264"/>
      <c r="V239" s="264"/>
      <c r="W239" s="1617"/>
      <c r="X239" s="1598"/>
      <c r="Y239" s="1598"/>
      <c r="Z239" s="1618">
        <f t="shared" si="59"/>
        <v>0</v>
      </c>
      <c r="AA239" s="1233"/>
      <c r="AB239" s="507">
        <f t="shared" si="60"/>
        <v>-259406400</v>
      </c>
      <c r="AC239" s="352"/>
      <c r="AD239" s="53"/>
      <c r="AL239" s="103"/>
      <c r="AM239" s="103"/>
      <c r="AN239" s="103"/>
      <c r="AO239" s="103"/>
      <c r="AP239" s="103"/>
      <c r="AQ239" s="103"/>
      <c r="AR239" s="103"/>
      <c r="AS239" s="430"/>
      <c r="AT239" s="100"/>
      <c r="AU239" s="461"/>
    </row>
    <row r="240" spans="1:50" s="54" customFormat="1" ht="47.25">
      <c r="A240" s="561"/>
      <c r="B240" s="1037"/>
      <c r="C240" s="1037"/>
      <c r="D240" s="1038"/>
      <c r="E240" s="264"/>
      <c r="F240" s="264"/>
      <c r="G240" s="264"/>
      <c r="H240" s="379" t="s">
        <v>2856</v>
      </c>
      <c r="I240" s="1116">
        <v>42400</v>
      </c>
      <c r="J240" s="344" t="s">
        <v>2768</v>
      </c>
      <c r="K240" s="1173"/>
      <c r="L240" s="1246"/>
      <c r="M240" s="1399" t="s">
        <v>2769</v>
      </c>
      <c r="N240" s="1402"/>
      <c r="O240" s="1252">
        <v>247011600</v>
      </c>
      <c r="P240" s="344">
        <f t="shared" si="57"/>
        <v>247011600</v>
      </c>
      <c r="Q240" s="264"/>
      <c r="R240" s="264"/>
      <c r="S240" s="264"/>
      <c r="T240" s="264"/>
      <c r="U240" s="264"/>
      <c r="V240" s="264"/>
      <c r="W240" s="1617"/>
      <c r="X240" s="1598"/>
      <c r="Y240" s="1598"/>
      <c r="Z240" s="1618"/>
      <c r="AA240" s="1233"/>
      <c r="AB240" s="507">
        <f t="shared" si="60"/>
        <v>-247011600</v>
      </c>
      <c r="AC240" s="352"/>
      <c r="AD240" s="53"/>
      <c r="AL240" s="103"/>
      <c r="AM240" s="103"/>
      <c r="AN240" s="103"/>
      <c r="AO240" s="103"/>
      <c r="AP240" s="103"/>
      <c r="AQ240" s="103"/>
      <c r="AR240" s="103"/>
      <c r="AS240" s="430"/>
      <c r="AT240" s="100"/>
      <c r="AU240" s="461"/>
    </row>
    <row r="241" spans="1:47" s="54" customFormat="1" ht="47.25">
      <c r="A241" s="561"/>
      <c r="B241" s="1037"/>
      <c r="C241" s="1037"/>
      <c r="D241" s="1038"/>
      <c r="E241" s="264"/>
      <c r="F241" s="264"/>
      <c r="G241" s="264"/>
      <c r="H241" s="379" t="s">
        <v>2857</v>
      </c>
      <c r="I241" s="1116">
        <v>42419</v>
      </c>
      <c r="J241" s="344" t="s">
        <v>2770</v>
      </c>
      <c r="K241" s="1173"/>
      <c r="L241" s="1246"/>
      <c r="M241" s="1399" t="s">
        <v>2771</v>
      </c>
      <c r="N241" s="1402"/>
      <c r="O241" s="1252">
        <v>263630400</v>
      </c>
      <c r="P241" s="344">
        <f t="shared" si="57"/>
        <v>263630400</v>
      </c>
      <c r="Q241" s="264"/>
      <c r="R241" s="264"/>
      <c r="S241" s="264"/>
      <c r="T241" s="264"/>
      <c r="U241" s="264"/>
      <c r="V241" s="264"/>
      <c r="W241" s="1617"/>
      <c r="X241" s="1598"/>
      <c r="Y241" s="1598"/>
      <c r="Z241" s="1618"/>
      <c r="AA241" s="1233"/>
      <c r="AB241" s="507">
        <f t="shared" si="60"/>
        <v>-263630400</v>
      </c>
      <c r="AC241" s="352"/>
      <c r="AD241" s="53"/>
      <c r="AL241" s="103"/>
      <c r="AM241" s="103"/>
      <c r="AN241" s="103"/>
      <c r="AO241" s="103"/>
      <c r="AP241" s="103"/>
      <c r="AQ241" s="103"/>
      <c r="AR241" s="103"/>
      <c r="AS241" s="430"/>
      <c r="AT241" s="100"/>
      <c r="AU241" s="461"/>
    </row>
    <row r="242" spans="1:47" s="54" customFormat="1" ht="47.25">
      <c r="A242" s="561"/>
      <c r="B242" s="1037"/>
      <c r="C242" s="1037"/>
      <c r="D242" s="1038"/>
      <c r="E242" s="264"/>
      <c r="F242" s="264"/>
      <c r="G242" s="264"/>
      <c r="H242" s="379" t="s">
        <v>2858</v>
      </c>
      <c r="I242" s="1116">
        <v>42458</v>
      </c>
      <c r="J242" s="344" t="s">
        <v>2772</v>
      </c>
      <c r="K242" s="1173"/>
      <c r="L242" s="1246"/>
      <c r="M242" s="1399" t="s">
        <v>2773</v>
      </c>
      <c r="N242" s="1402"/>
      <c r="O242" s="1252">
        <v>264105600</v>
      </c>
      <c r="P242" s="344">
        <f t="shared" si="57"/>
        <v>264105600</v>
      </c>
      <c r="Q242" s="264"/>
      <c r="R242" s="264"/>
      <c r="S242" s="264"/>
      <c r="T242" s="264"/>
      <c r="U242" s="264"/>
      <c r="V242" s="264"/>
      <c r="W242" s="1617"/>
      <c r="X242" s="1598"/>
      <c r="Y242" s="1598"/>
      <c r="Z242" s="1618"/>
      <c r="AA242" s="1233"/>
      <c r="AB242" s="507">
        <f t="shared" si="60"/>
        <v>-264105600</v>
      </c>
      <c r="AC242" s="352"/>
      <c r="AD242" s="53"/>
      <c r="AL242" s="103"/>
      <c r="AM242" s="103"/>
      <c r="AN242" s="103"/>
      <c r="AO242" s="103"/>
      <c r="AP242" s="103"/>
      <c r="AQ242" s="103"/>
      <c r="AR242" s="103"/>
      <c r="AS242" s="430"/>
      <c r="AT242" s="100"/>
      <c r="AU242" s="461"/>
    </row>
    <row r="243" spans="1:47" s="54" customFormat="1" ht="30">
      <c r="A243" s="561"/>
      <c r="B243" s="1037"/>
      <c r="C243" s="1037"/>
      <c r="D243" s="1038"/>
      <c r="E243" s="264"/>
      <c r="F243" s="264"/>
      <c r="G243" s="264"/>
      <c r="H243" s="1125"/>
      <c r="I243" s="1116"/>
      <c r="J243" s="344"/>
      <c r="K243" s="1173" t="s">
        <v>2793</v>
      </c>
      <c r="L243" s="1232" t="s">
        <v>1096</v>
      </c>
      <c r="M243" s="1246" t="s">
        <v>2794</v>
      </c>
      <c r="N243" s="1399"/>
      <c r="O243" s="1476">
        <v>128797482</v>
      </c>
      <c r="P243" s="344">
        <f>N243+O243</f>
        <v>128797482</v>
      </c>
      <c r="Q243" s="264"/>
      <c r="R243" s="264"/>
      <c r="S243" s="264"/>
      <c r="T243" s="264"/>
      <c r="U243" s="264"/>
      <c r="V243" s="264">
        <f>P243</f>
        <v>128797482</v>
      </c>
      <c r="W243" s="1617" t="s">
        <v>2792</v>
      </c>
      <c r="X243" s="1598">
        <v>42655</v>
      </c>
      <c r="Y243" s="1598">
        <v>42655</v>
      </c>
      <c r="Z243" s="1618">
        <f t="shared" ref="Z243:Z252" si="61">V243</f>
        <v>128797482</v>
      </c>
      <c r="AA243" s="1233">
        <v>1</v>
      </c>
      <c r="AB243" s="507">
        <f t="shared" ref="AB243:AB252" si="62">+G243-P243</f>
        <v>-128797482</v>
      </c>
      <c r="AC243" s="352"/>
      <c r="AD243" s="53"/>
      <c r="AL243" s="103"/>
      <c r="AM243" s="103"/>
      <c r="AN243" s="103"/>
      <c r="AO243" s="103"/>
      <c r="AP243" s="103"/>
      <c r="AQ243" s="103"/>
      <c r="AR243" s="103"/>
      <c r="AS243" s="430"/>
      <c r="AT243" s="100"/>
      <c r="AU243" s="461"/>
    </row>
    <row r="244" spans="1:47" s="54" customFormat="1" ht="30">
      <c r="A244" s="561"/>
      <c r="B244" s="1037"/>
      <c r="C244" s="1037"/>
      <c r="D244" s="1038"/>
      <c r="E244" s="264"/>
      <c r="F244" s="264"/>
      <c r="G244" s="264"/>
      <c r="H244" s="1125"/>
      <c r="I244" s="1116"/>
      <c r="J244" s="344"/>
      <c r="K244" s="1477" t="s">
        <v>2795</v>
      </c>
      <c r="L244" s="1361" t="s">
        <v>1082</v>
      </c>
      <c r="M244" s="1478" t="s">
        <v>2796</v>
      </c>
      <c r="N244" s="1128"/>
      <c r="O244" s="1128">
        <v>730049936</v>
      </c>
      <c r="P244" s="344">
        <f t="shared" ref="P244:P249" si="63">N244+O244</f>
        <v>730049936</v>
      </c>
      <c r="Q244" s="264"/>
      <c r="R244" s="264"/>
      <c r="S244" s="264"/>
      <c r="T244" s="264"/>
      <c r="U244" s="264"/>
      <c r="V244" s="264">
        <f t="shared" ref="V244:V249" si="64">P244</f>
        <v>730049936</v>
      </c>
      <c r="W244" s="1617" t="s">
        <v>2807</v>
      </c>
      <c r="X244" s="1598">
        <v>42656</v>
      </c>
      <c r="Y244" s="1598">
        <v>42656</v>
      </c>
      <c r="Z244" s="1618">
        <f t="shared" si="61"/>
        <v>730049936</v>
      </c>
      <c r="AA244" s="1233">
        <v>1</v>
      </c>
      <c r="AB244" s="507">
        <f t="shared" si="62"/>
        <v>-730049936</v>
      </c>
      <c r="AC244" s="352"/>
      <c r="AD244" s="53"/>
      <c r="AL244" s="103"/>
      <c r="AM244" s="103"/>
      <c r="AN244" s="103"/>
      <c r="AO244" s="103"/>
      <c r="AP244" s="103"/>
      <c r="AQ244" s="103"/>
      <c r="AR244" s="103"/>
      <c r="AS244" s="430"/>
      <c r="AT244" s="100"/>
      <c r="AU244" s="461"/>
    </row>
    <row r="245" spans="1:47" s="54" customFormat="1" ht="30">
      <c r="A245" s="561"/>
      <c r="B245" s="1037"/>
      <c r="C245" s="1037"/>
      <c r="D245" s="1038"/>
      <c r="E245" s="264"/>
      <c r="F245" s="264"/>
      <c r="G245" s="264"/>
      <c r="H245" s="1125"/>
      <c r="I245" s="1116"/>
      <c r="J245" s="344"/>
      <c r="K245" s="1477" t="s">
        <v>2797</v>
      </c>
      <c r="L245" s="1361" t="s">
        <v>1082</v>
      </c>
      <c r="M245" s="1478" t="s">
        <v>2798</v>
      </c>
      <c r="N245" s="1128"/>
      <c r="O245" s="1128">
        <v>123299248</v>
      </c>
      <c r="P245" s="344">
        <f t="shared" si="63"/>
        <v>123299248</v>
      </c>
      <c r="Q245" s="264"/>
      <c r="R245" s="264"/>
      <c r="S245" s="264"/>
      <c r="T245" s="264"/>
      <c r="U245" s="264"/>
      <c r="V245" s="264">
        <f t="shared" si="64"/>
        <v>123299248</v>
      </c>
      <c r="W245" s="1617" t="s">
        <v>2807</v>
      </c>
      <c r="X245" s="1598">
        <v>42656</v>
      </c>
      <c r="Y245" s="1598">
        <v>42656</v>
      </c>
      <c r="Z245" s="1618">
        <f t="shared" si="61"/>
        <v>123299248</v>
      </c>
      <c r="AA245" s="1233">
        <v>1</v>
      </c>
      <c r="AB245" s="507">
        <f t="shared" si="62"/>
        <v>-123299248</v>
      </c>
      <c r="AC245" s="352"/>
      <c r="AD245" s="53"/>
      <c r="AL245" s="103"/>
      <c r="AM245" s="103"/>
      <c r="AN245" s="103"/>
      <c r="AO245" s="103"/>
      <c r="AP245" s="103"/>
      <c r="AQ245" s="103"/>
      <c r="AR245" s="103"/>
      <c r="AS245" s="430"/>
      <c r="AT245" s="100"/>
      <c r="AU245" s="461"/>
    </row>
    <row r="246" spans="1:47" s="54" customFormat="1" ht="30">
      <c r="A246" s="561"/>
      <c r="B246" s="1037"/>
      <c r="C246" s="1037"/>
      <c r="D246" s="1038"/>
      <c r="E246" s="264"/>
      <c r="F246" s="264"/>
      <c r="G246" s="264"/>
      <c r="H246" s="1125"/>
      <c r="I246" s="1116"/>
      <c r="J246" s="344"/>
      <c r="K246" s="1477" t="s">
        <v>2799</v>
      </c>
      <c r="L246" s="1361" t="s">
        <v>1082</v>
      </c>
      <c r="M246" s="1478" t="s">
        <v>2800</v>
      </c>
      <c r="N246" s="1128"/>
      <c r="O246" s="1128">
        <v>172426914</v>
      </c>
      <c r="P246" s="344">
        <f t="shared" si="63"/>
        <v>172426914</v>
      </c>
      <c r="Q246" s="264"/>
      <c r="R246" s="264"/>
      <c r="S246" s="264"/>
      <c r="T246" s="264"/>
      <c r="U246" s="264"/>
      <c r="V246" s="264">
        <f t="shared" si="64"/>
        <v>172426914</v>
      </c>
      <c r="W246" s="1617" t="s">
        <v>2807</v>
      </c>
      <c r="X246" s="1598">
        <v>42656</v>
      </c>
      <c r="Y246" s="1598">
        <v>42656</v>
      </c>
      <c r="Z246" s="1618">
        <f t="shared" si="61"/>
        <v>172426914</v>
      </c>
      <c r="AA246" s="1233">
        <v>1</v>
      </c>
      <c r="AB246" s="507">
        <f t="shared" si="62"/>
        <v>-172426914</v>
      </c>
      <c r="AC246" s="352"/>
      <c r="AD246" s="53"/>
      <c r="AL246" s="103"/>
      <c r="AM246" s="103"/>
      <c r="AN246" s="103"/>
      <c r="AO246" s="103"/>
      <c r="AP246" s="103"/>
      <c r="AQ246" s="103"/>
      <c r="AR246" s="103"/>
      <c r="AS246" s="430"/>
      <c r="AT246" s="100"/>
      <c r="AU246" s="461"/>
    </row>
    <row r="247" spans="1:47" s="54" customFormat="1" ht="30">
      <c r="A247" s="561"/>
      <c r="B247" s="1037"/>
      <c r="C247" s="1037"/>
      <c r="D247" s="1038"/>
      <c r="E247" s="264"/>
      <c r="F247" s="264"/>
      <c r="G247" s="264"/>
      <c r="H247" s="1125"/>
      <c r="I247" s="1116"/>
      <c r="J247" s="344"/>
      <c r="K247" s="1477" t="s">
        <v>2801</v>
      </c>
      <c r="L247" s="1361" t="s">
        <v>1082</v>
      </c>
      <c r="M247" s="1478" t="s">
        <v>2802</v>
      </c>
      <c r="N247" s="1128"/>
      <c r="O247" s="1128">
        <v>141092023</v>
      </c>
      <c r="P247" s="344">
        <f t="shared" si="63"/>
        <v>141092023</v>
      </c>
      <c r="Q247" s="264"/>
      <c r="R247" s="264"/>
      <c r="S247" s="264"/>
      <c r="T247" s="264"/>
      <c r="U247" s="264"/>
      <c r="V247" s="264">
        <f t="shared" si="64"/>
        <v>141092023</v>
      </c>
      <c r="W247" s="1617" t="s">
        <v>2807</v>
      </c>
      <c r="X247" s="1598">
        <v>42656</v>
      </c>
      <c r="Y247" s="1598">
        <v>42656</v>
      </c>
      <c r="Z247" s="1618">
        <f t="shared" si="61"/>
        <v>141092023</v>
      </c>
      <c r="AA247" s="1233">
        <v>1</v>
      </c>
      <c r="AB247" s="507">
        <f t="shared" si="62"/>
        <v>-141092023</v>
      </c>
      <c r="AC247" s="352"/>
      <c r="AD247" s="53"/>
      <c r="AL247" s="103"/>
      <c r="AM247" s="103"/>
      <c r="AN247" s="103"/>
      <c r="AO247" s="103"/>
      <c r="AP247" s="103"/>
      <c r="AQ247" s="103"/>
      <c r="AR247" s="103"/>
      <c r="AS247" s="430"/>
      <c r="AT247" s="100"/>
      <c r="AU247" s="461"/>
    </row>
    <row r="248" spans="1:47" s="54" customFormat="1" ht="30">
      <c r="A248" s="561"/>
      <c r="B248" s="1037"/>
      <c r="C248" s="1037"/>
      <c r="D248" s="1038"/>
      <c r="E248" s="264"/>
      <c r="F248" s="264"/>
      <c r="G248" s="264"/>
      <c r="H248" s="1125"/>
      <c r="I248" s="1116"/>
      <c r="J248" s="344"/>
      <c r="K248" s="1477" t="s">
        <v>2803</v>
      </c>
      <c r="L248" s="1361" t="s">
        <v>1082</v>
      </c>
      <c r="M248" s="1478" t="s">
        <v>2804</v>
      </c>
      <c r="N248" s="1128"/>
      <c r="O248" s="1128">
        <v>30357800</v>
      </c>
      <c r="P248" s="344">
        <f t="shared" si="63"/>
        <v>30357800</v>
      </c>
      <c r="Q248" s="264"/>
      <c r="R248" s="264"/>
      <c r="S248" s="264"/>
      <c r="T248" s="264"/>
      <c r="U248" s="264"/>
      <c r="V248" s="264">
        <f t="shared" si="64"/>
        <v>30357800</v>
      </c>
      <c r="W248" s="1617" t="s">
        <v>2807</v>
      </c>
      <c r="X248" s="1598">
        <v>42656</v>
      </c>
      <c r="Y248" s="1598">
        <v>42656</v>
      </c>
      <c r="Z248" s="1618">
        <f t="shared" si="61"/>
        <v>30357800</v>
      </c>
      <c r="AA248" s="1233">
        <v>1</v>
      </c>
      <c r="AB248" s="507">
        <f t="shared" si="62"/>
        <v>-30357800</v>
      </c>
      <c r="AC248" s="352"/>
      <c r="AD248" s="53"/>
      <c r="AL248" s="103"/>
      <c r="AM248" s="103"/>
      <c r="AN248" s="103"/>
      <c r="AO248" s="103"/>
      <c r="AP248" s="103"/>
      <c r="AQ248" s="103"/>
      <c r="AR248" s="103"/>
      <c r="AS248" s="430"/>
      <c r="AT248" s="100"/>
      <c r="AU248" s="461"/>
    </row>
    <row r="249" spans="1:47" s="54" customFormat="1" ht="30">
      <c r="A249" s="561"/>
      <c r="B249" s="1037"/>
      <c r="C249" s="1037"/>
      <c r="D249" s="1038"/>
      <c r="E249" s="264"/>
      <c r="F249" s="264"/>
      <c r="G249" s="264"/>
      <c r="H249" s="1125"/>
      <c r="I249" s="1116"/>
      <c r="J249" s="344"/>
      <c r="K249" s="1477" t="s">
        <v>2805</v>
      </c>
      <c r="L249" s="1361" t="s">
        <v>1082</v>
      </c>
      <c r="M249" s="1478" t="s">
        <v>2806</v>
      </c>
      <c r="N249" s="1128"/>
      <c r="O249" s="1128">
        <v>65073800</v>
      </c>
      <c r="P249" s="344">
        <f t="shared" si="63"/>
        <v>65073800</v>
      </c>
      <c r="Q249" s="264"/>
      <c r="R249" s="264"/>
      <c r="S249" s="264"/>
      <c r="T249" s="264"/>
      <c r="U249" s="264"/>
      <c r="V249" s="264">
        <f t="shared" si="64"/>
        <v>65073800</v>
      </c>
      <c r="W249" s="1617" t="s">
        <v>2807</v>
      </c>
      <c r="X249" s="1598">
        <v>42656</v>
      </c>
      <c r="Y249" s="1598">
        <v>42656</v>
      </c>
      <c r="Z249" s="1618">
        <f t="shared" si="61"/>
        <v>65073800</v>
      </c>
      <c r="AA249" s="1233">
        <v>1</v>
      </c>
      <c r="AB249" s="507">
        <f t="shared" si="62"/>
        <v>-65073800</v>
      </c>
      <c r="AC249" s="352"/>
      <c r="AD249" s="53"/>
      <c r="AL249" s="103"/>
      <c r="AM249" s="103"/>
      <c r="AN249" s="103"/>
      <c r="AO249" s="103"/>
      <c r="AP249" s="103"/>
      <c r="AQ249" s="103"/>
      <c r="AR249" s="103"/>
      <c r="AS249" s="430"/>
      <c r="AT249" s="100"/>
      <c r="AU249" s="461"/>
    </row>
    <row r="250" spans="1:47" s="54" customFormat="1" ht="30">
      <c r="A250" s="561"/>
      <c r="B250" s="1037"/>
      <c r="C250" s="1037"/>
      <c r="D250" s="1038"/>
      <c r="E250" s="264"/>
      <c r="F250" s="264"/>
      <c r="G250" s="264"/>
      <c r="H250" s="1125"/>
      <c r="I250" s="1116"/>
      <c r="J250" s="344"/>
      <c r="K250" s="1479" t="s">
        <v>2810</v>
      </c>
      <c r="L250" s="1232" t="s">
        <v>1096</v>
      </c>
      <c r="M250" s="1481" t="s">
        <v>2811</v>
      </c>
      <c r="N250" s="1480"/>
      <c r="O250" s="1362">
        <v>76068244</v>
      </c>
      <c r="P250" s="344">
        <f t="shared" ref="P250:P259" si="65">N250+O250</f>
        <v>76068244</v>
      </c>
      <c r="Q250" s="264"/>
      <c r="R250" s="264"/>
      <c r="S250" s="264"/>
      <c r="T250" s="264"/>
      <c r="U250" s="264"/>
      <c r="V250" s="264">
        <f t="shared" ref="V250:V259" si="66">P250</f>
        <v>76068244</v>
      </c>
      <c r="W250" s="1617" t="s">
        <v>2814</v>
      </c>
      <c r="X250" s="1598">
        <v>42661</v>
      </c>
      <c r="Y250" s="1598">
        <v>42664</v>
      </c>
      <c r="Z250" s="1618">
        <f t="shared" si="61"/>
        <v>76068244</v>
      </c>
      <c r="AA250" s="1233">
        <v>1</v>
      </c>
      <c r="AB250" s="507">
        <f t="shared" si="62"/>
        <v>-76068244</v>
      </c>
      <c r="AC250" s="352"/>
      <c r="AD250" s="53"/>
      <c r="AL250" s="103"/>
      <c r="AM250" s="103"/>
      <c r="AN250" s="103"/>
      <c r="AO250" s="103"/>
      <c r="AP250" s="103"/>
      <c r="AQ250" s="103"/>
      <c r="AR250" s="103"/>
      <c r="AS250" s="430"/>
      <c r="AT250" s="100"/>
      <c r="AU250" s="461"/>
    </row>
    <row r="251" spans="1:47" s="54" customFormat="1" ht="30">
      <c r="A251" s="561"/>
      <c r="B251" s="1037"/>
      <c r="C251" s="1037"/>
      <c r="D251" s="1038"/>
      <c r="E251" s="264"/>
      <c r="F251" s="264"/>
      <c r="G251" s="264"/>
      <c r="H251" s="1125"/>
      <c r="I251" s="1116"/>
      <c r="J251" s="344"/>
      <c r="K251" s="1479" t="s">
        <v>2812</v>
      </c>
      <c r="L251" s="1232" t="s">
        <v>1096</v>
      </c>
      <c r="M251" s="1481" t="s">
        <v>2813</v>
      </c>
      <c r="N251" s="1480"/>
      <c r="O251" s="1362">
        <v>53202045</v>
      </c>
      <c r="P251" s="344">
        <f t="shared" si="65"/>
        <v>53202045</v>
      </c>
      <c r="Q251" s="264"/>
      <c r="R251" s="264"/>
      <c r="S251" s="264"/>
      <c r="T251" s="264"/>
      <c r="U251" s="264"/>
      <c r="V251" s="264">
        <f t="shared" si="66"/>
        <v>53202045</v>
      </c>
      <c r="W251" s="1617" t="s">
        <v>2814</v>
      </c>
      <c r="X251" s="1598">
        <v>42661</v>
      </c>
      <c r="Y251" s="1598">
        <v>42664</v>
      </c>
      <c r="Z251" s="1618">
        <f t="shared" si="61"/>
        <v>53202045</v>
      </c>
      <c r="AA251" s="1233">
        <v>1</v>
      </c>
      <c r="AB251" s="507">
        <f t="shared" si="62"/>
        <v>-53202045</v>
      </c>
      <c r="AC251" s="352"/>
      <c r="AD251" s="53"/>
      <c r="AL251" s="103"/>
      <c r="AM251" s="103"/>
      <c r="AN251" s="103"/>
      <c r="AO251" s="103"/>
      <c r="AP251" s="103"/>
      <c r="AQ251" s="103"/>
      <c r="AR251" s="103"/>
      <c r="AS251" s="430"/>
      <c r="AT251" s="100"/>
      <c r="AU251" s="461"/>
    </row>
    <row r="252" spans="1:47" s="54" customFormat="1" ht="30">
      <c r="A252" s="561"/>
      <c r="B252" s="1037"/>
      <c r="C252" s="1037"/>
      <c r="D252" s="1038"/>
      <c r="E252" s="264"/>
      <c r="F252" s="264"/>
      <c r="G252" s="264"/>
      <c r="H252" s="1125"/>
      <c r="I252" s="1116"/>
      <c r="J252" s="344"/>
      <c r="K252" s="1482" t="s">
        <v>2818</v>
      </c>
      <c r="L252" s="1361" t="s">
        <v>1082</v>
      </c>
      <c r="M252" s="1482" t="s">
        <v>2819</v>
      </c>
      <c r="N252" s="1483"/>
      <c r="O252" s="1483">
        <v>13010800</v>
      </c>
      <c r="P252" s="344">
        <f t="shared" si="65"/>
        <v>13010800</v>
      </c>
      <c r="Q252" s="264"/>
      <c r="R252" s="264"/>
      <c r="S252" s="264"/>
      <c r="T252" s="264"/>
      <c r="U252" s="264"/>
      <c r="V252" s="264">
        <f t="shared" si="66"/>
        <v>13010800</v>
      </c>
      <c r="W252" s="1617" t="s">
        <v>2902</v>
      </c>
      <c r="X252" s="1598">
        <v>42667</v>
      </c>
      <c r="Y252" s="1598">
        <v>42671</v>
      </c>
      <c r="Z252" s="1618">
        <f t="shared" si="61"/>
        <v>13010800</v>
      </c>
      <c r="AA252" s="1233">
        <v>1</v>
      </c>
      <c r="AB252" s="507">
        <f t="shared" si="62"/>
        <v>-13010800</v>
      </c>
      <c r="AC252" s="352"/>
      <c r="AD252" s="53"/>
      <c r="AL252" s="103"/>
      <c r="AM252" s="103"/>
      <c r="AN252" s="103"/>
      <c r="AO252" s="103"/>
      <c r="AP252" s="103"/>
      <c r="AQ252" s="103"/>
      <c r="AR252" s="103"/>
      <c r="AS252" s="430"/>
      <c r="AT252" s="100"/>
      <c r="AU252" s="461"/>
    </row>
    <row r="253" spans="1:47" s="54" customFormat="1" ht="30">
      <c r="A253" s="561"/>
      <c r="B253" s="1037"/>
      <c r="C253" s="1037"/>
      <c r="D253" s="1038"/>
      <c r="E253" s="264"/>
      <c r="F253" s="264"/>
      <c r="G253" s="264"/>
      <c r="H253" s="1125"/>
      <c r="I253" s="1116"/>
      <c r="J253" s="344"/>
      <c r="K253" s="1360" t="s">
        <v>2904</v>
      </c>
      <c r="L253" s="1361" t="s">
        <v>1082</v>
      </c>
      <c r="M253" s="1519" t="s">
        <v>2905</v>
      </c>
      <c r="N253" s="1483"/>
      <c r="O253" s="1483">
        <v>104142192</v>
      </c>
      <c r="P253" s="344">
        <f t="shared" si="65"/>
        <v>104142192</v>
      </c>
      <c r="Q253" s="264"/>
      <c r="R253" s="264"/>
      <c r="S253" s="264"/>
      <c r="T253" s="264"/>
      <c r="U253" s="264"/>
      <c r="V253" s="264">
        <f t="shared" si="66"/>
        <v>104142192</v>
      </c>
      <c r="W253" s="1617" t="s">
        <v>2903</v>
      </c>
      <c r="X253" s="1598">
        <v>42667</v>
      </c>
      <c r="Y253" s="1598">
        <v>42671</v>
      </c>
      <c r="Z253" s="1618">
        <f t="shared" ref="Z253:Z262" si="67">V253</f>
        <v>104142192</v>
      </c>
      <c r="AA253" s="1233">
        <v>1</v>
      </c>
      <c r="AB253" s="507">
        <f t="shared" ref="AB253:AB262" si="68">+G253-P253</f>
        <v>-104142192</v>
      </c>
      <c r="AC253" s="352"/>
      <c r="AD253" s="53"/>
      <c r="AL253" s="103"/>
      <c r="AM253" s="103"/>
      <c r="AN253" s="103"/>
      <c r="AO253" s="103"/>
      <c r="AP253" s="103"/>
      <c r="AQ253" s="103"/>
      <c r="AR253" s="103"/>
      <c r="AS253" s="430"/>
      <c r="AT253" s="100"/>
      <c r="AU253" s="461"/>
    </row>
    <row r="254" spans="1:47" s="54" customFormat="1" ht="30">
      <c r="A254" s="561"/>
      <c r="B254" s="1037"/>
      <c r="C254" s="1037"/>
      <c r="D254" s="1038"/>
      <c r="E254" s="264"/>
      <c r="F254" s="264"/>
      <c r="G254" s="264"/>
      <c r="H254" s="1125"/>
      <c r="I254" s="1116"/>
      <c r="J254" s="344"/>
      <c r="K254" s="1360" t="s">
        <v>2906</v>
      </c>
      <c r="L254" s="1361" t="s">
        <v>1082</v>
      </c>
      <c r="M254" s="1519" t="s">
        <v>2907</v>
      </c>
      <c r="N254" s="1483"/>
      <c r="O254" s="1483">
        <v>104222976</v>
      </c>
      <c r="P254" s="344">
        <f t="shared" si="65"/>
        <v>104222976</v>
      </c>
      <c r="Q254" s="264"/>
      <c r="R254" s="264"/>
      <c r="S254" s="264"/>
      <c r="T254" s="264"/>
      <c r="U254" s="264"/>
      <c r="V254" s="264">
        <f t="shared" si="66"/>
        <v>104222976</v>
      </c>
      <c r="W254" s="1617" t="s">
        <v>2903</v>
      </c>
      <c r="X254" s="1598">
        <v>42667</v>
      </c>
      <c r="Y254" s="1598">
        <v>42671</v>
      </c>
      <c r="Z254" s="1618">
        <f t="shared" si="67"/>
        <v>104222976</v>
      </c>
      <c r="AA254" s="1233">
        <v>1</v>
      </c>
      <c r="AB254" s="507">
        <f t="shared" si="68"/>
        <v>-104222976</v>
      </c>
      <c r="AC254" s="352"/>
      <c r="AD254" s="53"/>
      <c r="AL254" s="103"/>
      <c r="AM254" s="103"/>
      <c r="AN254" s="103"/>
      <c r="AO254" s="103"/>
      <c r="AP254" s="103"/>
      <c r="AQ254" s="103"/>
      <c r="AR254" s="103"/>
      <c r="AS254" s="430"/>
      <c r="AT254" s="100"/>
      <c r="AU254" s="461"/>
    </row>
    <row r="255" spans="1:47" s="54" customFormat="1" ht="30">
      <c r="A255" s="561"/>
      <c r="B255" s="1037"/>
      <c r="C255" s="1037"/>
      <c r="D255" s="1038"/>
      <c r="E255" s="264"/>
      <c r="F255" s="264"/>
      <c r="G255" s="264"/>
      <c r="H255" s="1125"/>
      <c r="I255" s="1116"/>
      <c r="J255" s="344"/>
      <c r="K255" s="1360" t="s">
        <v>2908</v>
      </c>
      <c r="L255" s="1361" t="s">
        <v>1082</v>
      </c>
      <c r="M255" s="1519" t="s">
        <v>2909</v>
      </c>
      <c r="N255" s="1483"/>
      <c r="O255" s="1483">
        <v>140578944</v>
      </c>
      <c r="P255" s="344">
        <f t="shared" si="65"/>
        <v>140578944</v>
      </c>
      <c r="Q255" s="264"/>
      <c r="R255" s="264"/>
      <c r="S255" s="264"/>
      <c r="T255" s="264"/>
      <c r="U255" s="264"/>
      <c r="V255" s="264">
        <f t="shared" si="66"/>
        <v>140578944</v>
      </c>
      <c r="W255" s="1617" t="s">
        <v>2903</v>
      </c>
      <c r="X255" s="1598">
        <v>42667</v>
      </c>
      <c r="Y255" s="1598">
        <v>42671</v>
      </c>
      <c r="Z255" s="1618">
        <f t="shared" si="67"/>
        <v>140578944</v>
      </c>
      <c r="AA255" s="1233">
        <v>1</v>
      </c>
      <c r="AB255" s="507">
        <f t="shared" si="68"/>
        <v>-140578944</v>
      </c>
      <c r="AC255" s="352"/>
      <c r="AD255" s="53"/>
      <c r="AL255" s="103"/>
      <c r="AM255" s="103"/>
      <c r="AN255" s="103"/>
      <c r="AO255" s="103"/>
      <c r="AP255" s="103"/>
      <c r="AQ255" s="103"/>
      <c r="AR255" s="103"/>
      <c r="AS255" s="430"/>
      <c r="AT255" s="100"/>
      <c r="AU255" s="461"/>
    </row>
    <row r="256" spans="1:47" s="54" customFormat="1" ht="30">
      <c r="A256" s="561"/>
      <c r="B256" s="1037"/>
      <c r="C256" s="1037"/>
      <c r="D256" s="1038"/>
      <c r="E256" s="264"/>
      <c r="F256" s="264"/>
      <c r="G256" s="264"/>
      <c r="H256" s="1125"/>
      <c r="I256" s="1116"/>
      <c r="J256" s="344"/>
      <c r="K256" s="1360" t="s">
        <v>2910</v>
      </c>
      <c r="L256" s="1361" t="s">
        <v>1082</v>
      </c>
      <c r="M256" s="1519" t="s">
        <v>2911</v>
      </c>
      <c r="N256" s="1483"/>
      <c r="O256" s="1483">
        <v>728434168</v>
      </c>
      <c r="P256" s="344">
        <f t="shared" si="65"/>
        <v>728434168</v>
      </c>
      <c r="Q256" s="264"/>
      <c r="R256" s="264"/>
      <c r="S256" s="264"/>
      <c r="T256" s="264"/>
      <c r="U256" s="264"/>
      <c r="V256" s="264">
        <f t="shared" si="66"/>
        <v>728434168</v>
      </c>
      <c r="W256" s="1617" t="s">
        <v>2903</v>
      </c>
      <c r="X256" s="1598">
        <v>42667</v>
      </c>
      <c r="Y256" s="1598">
        <v>42671</v>
      </c>
      <c r="Z256" s="1618">
        <f t="shared" si="67"/>
        <v>728434168</v>
      </c>
      <c r="AA256" s="1233">
        <v>1</v>
      </c>
      <c r="AB256" s="507">
        <f t="shared" si="68"/>
        <v>-728434168</v>
      </c>
      <c r="AC256" s="352"/>
      <c r="AD256" s="53"/>
      <c r="AL256" s="103"/>
      <c r="AM256" s="103"/>
      <c r="AN256" s="103"/>
      <c r="AO256" s="103"/>
      <c r="AP256" s="103"/>
      <c r="AQ256" s="103"/>
      <c r="AR256" s="103"/>
      <c r="AS256" s="430"/>
      <c r="AT256" s="100"/>
      <c r="AU256" s="461"/>
    </row>
    <row r="257" spans="1:47" s="54" customFormat="1" ht="30">
      <c r="A257" s="561"/>
      <c r="B257" s="1037"/>
      <c r="C257" s="1037"/>
      <c r="D257" s="1038"/>
      <c r="E257" s="264"/>
      <c r="F257" s="264"/>
      <c r="G257" s="264"/>
      <c r="H257" s="1125"/>
      <c r="I257" s="1116"/>
      <c r="J257" s="344"/>
      <c r="K257" s="1360" t="s">
        <v>2912</v>
      </c>
      <c r="L257" s="1361" t="s">
        <v>1082</v>
      </c>
      <c r="M257" s="1519" t="s">
        <v>2913</v>
      </c>
      <c r="N257" s="1483"/>
      <c r="O257" s="1483">
        <v>728788984</v>
      </c>
      <c r="P257" s="344">
        <f t="shared" si="65"/>
        <v>728788984</v>
      </c>
      <c r="Q257" s="264"/>
      <c r="R257" s="264"/>
      <c r="S257" s="264"/>
      <c r="T257" s="264"/>
      <c r="U257" s="264"/>
      <c r="V257" s="264">
        <f t="shared" si="66"/>
        <v>728788984</v>
      </c>
      <c r="W257" s="1617" t="s">
        <v>2903</v>
      </c>
      <c r="X257" s="1598">
        <v>42667</v>
      </c>
      <c r="Y257" s="1598">
        <v>42671</v>
      </c>
      <c r="Z257" s="1618">
        <f t="shared" si="67"/>
        <v>728788984</v>
      </c>
      <c r="AA257" s="1233">
        <v>1</v>
      </c>
      <c r="AB257" s="507">
        <f t="shared" si="68"/>
        <v>-728788984</v>
      </c>
      <c r="AC257" s="352"/>
      <c r="AD257" s="53"/>
      <c r="AL257" s="103"/>
      <c r="AM257" s="103"/>
      <c r="AN257" s="103"/>
      <c r="AO257" s="103"/>
      <c r="AP257" s="103"/>
      <c r="AQ257" s="103"/>
      <c r="AR257" s="103"/>
      <c r="AS257" s="430"/>
      <c r="AT257" s="100"/>
      <c r="AU257" s="461"/>
    </row>
    <row r="258" spans="1:47" s="54" customFormat="1" ht="30">
      <c r="A258" s="561"/>
      <c r="B258" s="1037"/>
      <c r="C258" s="1037"/>
      <c r="D258" s="1038"/>
      <c r="E258" s="264"/>
      <c r="F258" s="264"/>
      <c r="G258" s="264"/>
      <c r="H258" s="1125"/>
      <c r="I258" s="1116"/>
      <c r="J258" s="344"/>
      <c r="K258" s="1625" t="s">
        <v>3169</v>
      </c>
      <c r="L258" s="1361" t="s">
        <v>1082</v>
      </c>
      <c r="M258" s="1481" t="s">
        <v>3170</v>
      </c>
      <c r="N258" s="1519"/>
      <c r="O258" s="1520">
        <v>10864700</v>
      </c>
      <c r="P258" s="344">
        <f t="shared" si="65"/>
        <v>10864700</v>
      </c>
      <c r="Q258" s="264"/>
      <c r="R258" s="264"/>
      <c r="S258" s="264"/>
      <c r="T258" s="264"/>
      <c r="U258" s="264"/>
      <c r="V258" s="264">
        <f t="shared" si="66"/>
        <v>10864700</v>
      </c>
      <c r="W258" s="1617" t="s">
        <v>3168</v>
      </c>
      <c r="X258" s="1598">
        <v>42690</v>
      </c>
      <c r="Y258" s="1598">
        <v>42697</v>
      </c>
      <c r="Z258" s="1618">
        <f t="shared" si="67"/>
        <v>10864700</v>
      </c>
      <c r="AA258" s="1233">
        <v>1</v>
      </c>
      <c r="AB258" s="507">
        <f t="shared" si="68"/>
        <v>-10864700</v>
      </c>
      <c r="AC258" s="352"/>
      <c r="AD258" s="53"/>
      <c r="AL258" s="103"/>
      <c r="AM258" s="103"/>
      <c r="AN258" s="103"/>
      <c r="AO258" s="103"/>
      <c r="AP258" s="103"/>
      <c r="AQ258" s="103"/>
      <c r="AR258" s="103"/>
      <c r="AS258" s="430"/>
      <c r="AT258" s="100"/>
      <c r="AU258" s="461"/>
    </row>
    <row r="259" spans="1:47" s="54" customFormat="1" ht="30">
      <c r="A259" s="561"/>
      <c r="B259" s="1037"/>
      <c r="C259" s="1037"/>
      <c r="D259" s="1038"/>
      <c r="E259" s="264"/>
      <c r="F259" s="264"/>
      <c r="G259" s="264"/>
      <c r="H259" s="1125"/>
      <c r="I259" s="1116"/>
      <c r="J259" s="344"/>
      <c r="K259" s="1518" t="s">
        <v>3171</v>
      </c>
      <c r="L259" s="1361" t="s">
        <v>1082</v>
      </c>
      <c r="M259" s="1481" t="s">
        <v>3172</v>
      </c>
      <c r="N259" s="1519"/>
      <c r="O259" s="1520">
        <v>10863600</v>
      </c>
      <c r="P259" s="344">
        <f t="shared" si="65"/>
        <v>10863600</v>
      </c>
      <c r="Q259" s="264"/>
      <c r="R259" s="264"/>
      <c r="S259" s="264"/>
      <c r="T259" s="264"/>
      <c r="U259" s="264"/>
      <c r="V259" s="264">
        <f t="shared" si="66"/>
        <v>10863600</v>
      </c>
      <c r="W259" s="1617" t="s">
        <v>3168</v>
      </c>
      <c r="X259" s="1598">
        <v>42690</v>
      </c>
      <c r="Y259" s="1598">
        <v>42697</v>
      </c>
      <c r="Z259" s="1618">
        <f t="shared" si="67"/>
        <v>10863600</v>
      </c>
      <c r="AA259" s="1233">
        <v>1</v>
      </c>
      <c r="AB259" s="507">
        <f t="shared" si="68"/>
        <v>-10863600</v>
      </c>
      <c r="AC259" s="352"/>
      <c r="AD259" s="53"/>
      <c r="AL259" s="103"/>
      <c r="AM259" s="103"/>
      <c r="AN259" s="103"/>
      <c r="AO259" s="103"/>
      <c r="AP259" s="103"/>
      <c r="AQ259" s="103"/>
      <c r="AR259" s="103"/>
      <c r="AS259" s="430"/>
      <c r="AT259" s="100"/>
      <c r="AU259" s="461"/>
    </row>
    <row r="260" spans="1:47" s="54" customFormat="1" ht="30">
      <c r="A260" s="561"/>
      <c r="B260" s="1037"/>
      <c r="C260" s="1037"/>
      <c r="D260" s="1038"/>
      <c r="E260" s="264"/>
      <c r="F260" s="264"/>
      <c r="G260" s="264"/>
      <c r="H260" s="1125"/>
      <c r="I260" s="1116"/>
      <c r="J260" s="344"/>
      <c r="K260" s="1518" t="s">
        <v>3176</v>
      </c>
      <c r="L260" s="1361" t="s">
        <v>1082</v>
      </c>
      <c r="M260" s="1481" t="s">
        <v>3177</v>
      </c>
      <c r="N260" s="1668"/>
      <c r="O260" s="1520">
        <v>27090800</v>
      </c>
      <c r="P260" s="344">
        <f t="shared" ref="P260:P266" si="69">N260+O260</f>
        <v>27090800</v>
      </c>
      <c r="Q260" s="264"/>
      <c r="R260" s="264"/>
      <c r="S260" s="264"/>
      <c r="T260" s="264"/>
      <c r="U260" s="264"/>
      <c r="V260" s="264">
        <f t="shared" ref="V260:V265" si="70">P260</f>
        <v>27090800</v>
      </c>
      <c r="W260" s="1617" t="s">
        <v>3175</v>
      </c>
      <c r="X260" s="1598">
        <v>42691</v>
      </c>
      <c r="Y260" s="1598">
        <v>42697</v>
      </c>
      <c r="Z260" s="1618">
        <f t="shared" si="67"/>
        <v>27090800</v>
      </c>
      <c r="AA260" s="1233">
        <v>1</v>
      </c>
      <c r="AB260" s="507">
        <f t="shared" si="68"/>
        <v>-27090800</v>
      </c>
      <c r="AC260" s="352"/>
      <c r="AD260" s="53"/>
      <c r="AL260" s="103"/>
      <c r="AM260" s="103"/>
      <c r="AN260" s="103"/>
      <c r="AO260" s="103"/>
      <c r="AP260" s="103"/>
      <c r="AQ260" s="103"/>
      <c r="AR260" s="103"/>
      <c r="AS260" s="430"/>
      <c r="AT260" s="100"/>
      <c r="AU260" s="461"/>
    </row>
    <row r="261" spans="1:47" s="54" customFormat="1" ht="30">
      <c r="A261" s="561"/>
      <c r="B261" s="1037"/>
      <c r="C261" s="1037"/>
      <c r="D261" s="1038"/>
      <c r="E261" s="264"/>
      <c r="F261" s="264"/>
      <c r="G261" s="264"/>
      <c r="H261" s="1125"/>
      <c r="I261" s="1116"/>
      <c r="J261" s="344"/>
      <c r="K261" s="1518" t="s">
        <v>3178</v>
      </c>
      <c r="L261" s="1361" t="s">
        <v>1082</v>
      </c>
      <c r="M261" s="1481" t="s">
        <v>3179</v>
      </c>
      <c r="N261" s="1668"/>
      <c r="O261" s="1520">
        <v>27160100</v>
      </c>
      <c r="P261" s="344">
        <f t="shared" si="69"/>
        <v>27160100</v>
      </c>
      <c r="Q261" s="264"/>
      <c r="R261" s="264"/>
      <c r="S261" s="264"/>
      <c r="T261" s="264"/>
      <c r="U261" s="264"/>
      <c r="V261" s="264">
        <f t="shared" si="70"/>
        <v>27160100</v>
      </c>
      <c r="W261" s="1617" t="s">
        <v>3175</v>
      </c>
      <c r="X261" s="1598">
        <v>42691</v>
      </c>
      <c r="Y261" s="1598">
        <v>42697</v>
      </c>
      <c r="Z261" s="1618">
        <f t="shared" si="67"/>
        <v>27160100</v>
      </c>
      <c r="AA261" s="1233">
        <v>1</v>
      </c>
      <c r="AB261" s="507">
        <f t="shared" si="68"/>
        <v>-27160100</v>
      </c>
      <c r="AC261" s="352"/>
      <c r="AD261" s="53"/>
      <c r="AL261" s="103"/>
      <c r="AM261" s="103"/>
      <c r="AN261" s="103"/>
      <c r="AO261" s="103"/>
      <c r="AP261" s="103"/>
      <c r="AQ261" s="103"/>
      <c r="AR261" s="103"/>
      <c r="AS261" s="430"/>
      <c r="AT261" s="100"/>
      <c r="AU261" s="461"/>
    </row>
    <row r="262" spans="1:47" s="54" customFormat="1" ht="30">
      <c r="A262" s="561"/>
      <c r="B262" s="1037"/>
      <c r="C262" s="1037"/>
      <c r="D262" s="1038"/>
      <c r="E262" s="264"/>
      <c r="F262" s="264"/>
      <c r="G262" s="264"/>
      <c r="H262" s="1125"/>
      <c r="I262" s="1116"/>
      <c r="J262" s="344"/>
      <c r="K262" s="1518" t="s">
        <v>3180</v>
      </c>
      <c r="L262" s="1361" t="s">
        <v>1082</v>
      </c>
      <c r="M262" s="1481" t="s">
        <v>3181</v>
      </c>
      <c r="N262" s="1668"/>
      <c r="O262" s="1520">
        <v>27162300</v>
      </c>
      <c r="P262" s="344">
        <f t="shared" si="69"/>
        <v>27162300</v>
      </c>
      <c r="Q262" s="264"/>
      <c r="R262" s="264"/>
      <c r="S262" s="264"/>
      <c r="T262" s="264"/>
      <c r="U262" s="264"/>
      <c r="V262" s="264">
        <f t="shared" si="70"/>
        <v>27162300</v>
      </c>
      <c r="W262" s="1617" t="s">
        <v>3175</v>
      </c>
      <c r="X262" s="1598">
        <v>42691</v>
      </c>
      <c r="Y262" s="1598">
        <v>42697</v>
      </c>
      <c r="Z262" s="1618">
        <f t="shared" si="67"/>
        <v>27162300</v>
      </c>
      <c r="AA262" s="1233">
        <v>1</v>
      </c>
      <c r="AB262" s="507">
        <f t="shared" si="68"/>
        <v>-27162300</v>
      </c>
      <c r="AC262" s="352"/>
      <c r="AD262" s="53"/>
      <c r="AL262" s="103"/>
      <c r="AM262" s="103"/>
      <c r="AN262" s="103"/>
      <c r="AO262" s="103"/>
      <c r="AP262" s="103"/>
      <c r="AQ262" s="103"/>
      <c r="AR262" s="103"/>
      <c r="AS262" s="430"/>
      <c r="AT262" s="100"/>
      <c r="AU262" s="461"/>
    </row>
    <row r="263" spans="1:47" s="54" customFormat="1" ht="30">
      <c r="A263" s="561"/>
      <c r="B263" s="1037"/>
      <c r="C263" s="1037"/>
      <c r="D263" s="1038"/>
      <c r="E263" s="264"/>
      <c r="F263" s="264"/>
      <c r="G263" s="264"/>
      <c r="H263" s="1125"/>
      <c r="I263" s="1116"/>
      <c r="J263" s="344"/>
      <c r="K263" s="1518" t="s">
        <v>3201</v>
      </c>
      <c r="L263" s="1361" t="s">
        <v>1082</v>
      </c>
      <c r="M263" s="1481" t="s">
        <v>3202</v>
      </c>
      <c r="N263" s="1668"/>
      <c r="O263" s="1520">
        <v>268622750</v>
      </c>
      <c r="P263" s="344">
        <f t="shared" si="69"/>
        <v>268622750</v>
      </c>
      <c r="Q263" s="264"/>
      <c r="R263" s="264"/>
      <c r="S263" s="264"/>
      <c r="T263" s="264"/>
      <c r="U263" s="264"/>
      <c r="V263" s="264">
        <f t="shared" si="70"/>
        <v>268622750</v>
      </c>
      <c r="W263" s="1617" t="s">
        <v>3200</v>
      </c>
      <c r="X263" s="1598">
        <v>42698</v>
      </c>
      <c r="Y263" s="1598">
        <v>42704</v>
      </c>
      <c r="Z263" s="1618">
        <f t="shared" ref="Z263:Z268" si="71">V263</f>
        <v>268622750</v>
      </c>
      <c r="AA263" s="1233">
        <v>1</v>
      </c>
      <c r="AB263" s="507">
        <f t="shared" ref="AB263:AB268" si="72">+G263-P263</f>
        <v>-268622750</v>
      </c>
      <c r="AC263" s="352"/>
      <c r="AD263" s="53"/>
      <c r="AL263" s="103"/>
      <c r="AM263" s="103"/>
      <c r="AN263" s="103"/>
      <c r="AO263" s="103"/>
      <c r="AP263" s="103"/>
      <c r="AQ263" s="103"/>
      <c r="AR263" s="103"/>
      <c r="AS263" s="430"/>
      <c r="AT263" s="100"/>
      <c r="AU263" s="461"/>
    </row>
    <row r="264" spans="1:47" s="54" customFormat="1" ht="30">
      <c r="A264" s="561"/>
      <c r="B264" s="1037"/>
      <c r="C264" s="1037"/>
      <c r="D264" s="1038"/>
      <c r="E264" s="264"/>
      <c r="F264" s="264"/>
      <c r="G264" s="264"/>
      <c r="H264" s="1125"/>
      <c r="I264" s="1116"/>
      <c r="J264" s="344"/>
      <c r="K264" s="1518" t="s">
        <v>3207</v>
      </c>
      <c r="L264" s="1361" t="s">
        <v>1082</v>
      </c>
      <c r="M264" s="1481" t="s">
        <v>3208</v>
      </c>
      <c r="N264" s="1668"/>
      <c r="O264" s="1520">
        <v>30342400</v>
      </c>
      <c r="P264" s="344">
        <f t="shared" si="69"/>
        <v>30342400</v>
      </c>
      <c r="Q264" s="264"/>
      <c r="R264" s="264"/>
      <c r="S264" s="264"/>
      <c r="T264" s="264"/>
      <c r="U264" s="264"/>
      <c r="V264" s="264">
        <f t="shared" si="70"/>
        <v>30342400</v>
      </c>
      <c r="W264" s="1617" t="s">
        <v>3206</v>
      </c>
      <c r="X264" s="1598">
        <v>42698</v>
      </c>
      <c r="Y264" s="1598">
        <v>42704</v>
      </c>
      <c r="Z264" s="1618">
        <f t="shared" si="71"/>
        <v>30342400</v>
      </c>
      <c r="AA264" s="1233">
        <v>1</v>
      </c>
      <c r="AB264" s="507">
        <f t="shared" si="72"/>
        <v>-30342400</v>
      </c>
      <c r="AC264" s="352"/>
      <c r="AD264" s="53"/>
      <c r="AL264" s="103"/>
      <c r="AM264" s="103"/>
      <c r="AN264" s="103"/>
      <c r="AO264" s="103"/>
      <c r="AP264" s="103"/>
      <c r="AQ264" s="103"/>
      <c r="AR264" s="103"/>
      <c r="AS264" s="430"/>
      <c r="AT264" s="100"/>
      <c r="AU264" s="461"/>
    </row>
    <row r="265" spans="1:47" s="54" customFormat="1" ht="30">
      <c r="A265" s="561"/>
      <c r="B265" s="1037"/>
      <c r="C265" s="1037"/>
      <c r="D265" s="1038"/>
      <c r="E265" s="264"/>
      <c r="F265" s="264"/>
      <c r="G265" s="264"/>
      <c r="H265" s="1125"/>
      <c r="I265" s="1116"/>
      <c r="J265" s="344"/>
      <c r="K265" s="1173" t="s">
        <v>3209</v>
      </c>
      <c r="L265" s="1361" t="s">
        <v>1082</v>
      </c>
      <c r="M265" s="1246" t="s">
        <v>3210</v>
      </c>
      <c r="N265" s="1247"/>
      <c r="O265" s="1248">
        <v>27162300</v>
      </c>
      <c r="P265" s="344">
        <f t="shared" si="69"/>
        <v>27162300</v>
      </c>
      <c r="Q265" s="264"/>
      <c r="R265" s="264"/>
      <c r="S265" s="264"/>
      <c r="T265" s="264"/>
      <c r="U265" s="264"/>
      <c r="V265" s="264">
        <f t="shared" si="70"/>
        <v>27162300</v>
      </c>
      <c r="W265" s="1617" t="s">
        <v>3206</v>
      </c>
      <c r="X265" s="1598">
        <v>42698</v>
      </c>
      <c r="Y265" s="1598">
        <v>42704</v>
      </c>
      <c r="Z265" s="1618">
        <f t="shared" si="71"/>
        <v>27162300</v>
      </c>
      <c r="AA265" s="1233">
        <v>1</v>
      </c>
      <c r="AB265" s="507">
        <f t="shared" si="72"/>
        <v>-27162300</v>
      </c>
      <c r="AC265" s="352"/>
      <c r="AD265" s="53"/>
      <c r="AL265" s="103"/>
      <c r="AM265" s="103"/>
      <c r="AN265" s="103"/>
      <c r="AO265" s="103"/>
      <c r="AP265" s="103"/>
      <c r="AQ265" s="103"/>
      <c r="AR265" s="103"/>
      <c r="AS265" s="430"/>
      <c r="AT265" s="100"/>
      <c r="AU265" s="461"/>
    </row>
    <row r="266" spans="1:47" s="54" customFormat="1" ht="30">
      <c r="A266" s="561"/>
      <c r="B266" s="1037"/>
      <c r="C266" s="1037"/>
      <c r="D266" s="1038"/>
      <c r="E266" s="264"/>
      <c r="F266" s="264"/>
      <c r="G266" s="264"/>
      <c r="H266" s="1125"/>
      <c r="I266" s="1116"/>
      <c r="J266" s="344" t="s">
        <v>3285</v>
      </c>
      <c r="K266" s="1479"/>
      <c r="L266" s="1360"/>
      <c r="M266" s="1694" t="s">
        <v>3286</v>
      </c>
      <c r="N266" s="1694"/>
      <c r="O266" s="1693">
        <v>232320000</v>
      </c>
      <c r="P266" s="344">
        <f t="shared" si="69"/>
        <v>232320000</v>
      </c>
      <c r="Q266" s="264"/>
      <c r="R266" s="264"/>
      <c r="S266" s="264"/>
      <c r="T266" s="264"/>
      <c r="U266" s="264"/>
      <c r="V266" s="264"/>
      <c r="W266" s="1617"/>
      <c r="X266" s="1598"/>
      <c r="Y266" s="1598"/>
      <c r="Z266" s="1618">
        <f t="shared" si="71"/>
        <v>0</v>
      </c>
      <c r="AA266" s="1233"/>
      <c r="AB266" s="507">
        <f t="shared" si="72"/>
        <v>-232320000</v>
      </c>
      <c r="AC266" s="352"/>
      <c r="AD266" s="53"/>
      <c r="AL266" s="103"/>
      <c r="AM266" s="103"/>
      <c r="AN266" s="103"/>
      <c r="AO266" s="103"/>
      <c r="AP266" s="103"/>
      <c r="AQ266" s="103"/>
      <c r="AR266" s="103"/>
      <c r="AS266" s="430"/>
      <c r="AT266" s="100"/>
      <c r="AU266" s="461"/>
    </row>
    <row r="267" spans="1:47" s="54" customFormat="1" ht="30">
      <c r="A267" s="561"/>
      <c r="B267" s="1037"/>
      <c r="C267" s="1037"/>
      <c r="D267" s="1038"/>
      <c r="E267" s="264"/>
      <c r="F267" s="264"/>
      <c r="G267" s="264"/>
      <c r="H267" s="1125"/>
      <c r="I267" s="1116"/>
      <c r="J267" s="344"/>
      <c r="K267" s="1479" t="s">
        <v>3293</v>
      </c>
      <c r="L267" s="1361" t="s">
        <v>1082</v>
      </c>
      <c r="M267" s="1481" t="s">
        <v>2909</v>
      </c>
      <c r="N267" s="1694"/>
      <c r="O267" s="1693">
        <v>86753480</v>
      </c>
      <c r="P267" s="344">
        <f t="shared" ref="P267:P276" si="73">N267+O267</f>
        <v>86753480</v>
      </c>
      <c r="Q267" s="264"/>
      <c r="R267" s="264"/>
      <c r="S267" s="264"/>
      <c r="T267" s="264"/>
      <c r="U267" s="264"/>
      <c r="V267" s="264">
        <f t="shared" ref="V267:V276" si="74">P267</f>
        <v>86753480</v>
      </c>
      <c r="W267" s="1617" t="s">
        <v>3296</v>
      </c>
      <c r="X267" s="1598">
        <v>42703</v>
      </c>
      <c r="Y267" s="1598">
        <v>42706</v>
      </c>
      <c r="Z267" s="1618">
        <f t="shared" si="71"/>
        <v>86753480</v>
      </c>
      <c r="AA267" s="1233">
        <v>1</v>
      </c>
      <c r="AB267" s="507">
        <f t="shared" si="72"/>
        <v>-86753480</v>
      </c>
      <c r="AC267" s="352"/>
      <c r="AD267" s="53"/>
      <c r="AL267" s="103"/>
      <c r="AM267" s="103"/>
      <c r="AN267" s="103"/>
      <c r="AO267" s="103"/>
      <c r="AP267" s="103"/>
      <c r="AQ267" s="103"/>
      <c r="AR267" s="103"/>
      <c r="AS267" s="430"/>
      <c r="AT267" s="100"/>
      <c r="AU267" s="461"/>
    </row>
    <row r="268" spans="1:47" s="54" customFormat="1" ht="30">
      <c r="A268" s="561"/>
      <c r="B268" s="1037"/>
      <c r="C268" s="1037"/>
      <c r="D268" s="1038"/>
      <c r="E268" s="264"/>
      <c r="F268" s="264"/>
      <c r="G268" s="264"/>
      <c r="H268" s="1125"/>
      <c r="I268" s="1116"/>
      <c r="J268" s="344"/>
      <c r="K268" s="1479" t="s">
        <v>3294</v>
      </c>
      <c r="L268" s="1361" t="s">
        <v>1082</v>
      </c>
      <c r="M268" s="1481" t="s">
        <v>3295</v>
      </c>
      <c r="N268" s="1694"/>
      <c r="O268" s="1693">
        <v>86700240</v>
      </c>
      <c r="P268" s="344">
        <f t="shared" si="73"/>
        <v>86700240</v>
      </c>
      <c r="Q268" s="264"/>
      <c r="R268" s="264"/>
      <c r="S268" s="264"/>
      <c r="T268" s="264"/>
      <c r="U268" s="264"/>
      <c r="V268" s="264">
        <f t="shared" si="74"/>
        <v>86700240</v>
      </c>
      <c r="W268" s="1617" t="s">
        <v>3296</v>
      </c>
      <c r="X268" s="1598">
        <v>42703</v>
      </c>
      <c r="Y268" s="1598">
        <v>42706</v>
      </c>
      <c r="Z268" s="1618">
        <f t="shared" si="71"/>
        <v>86700240</v>
      </c>
      <c r="AA268" s="1233">
        <v>1</v>
      </c>
      <c r="AB268" s="507">
        <f t="shared" si="72"/>
        <v>-86700240</v>
      </c>
      <c r="AC268" s="352"/>
      <c r="AD268" s="53"/>
      <c r="AL268" s="103"/>
      <c r="AM268" s="103"/>
      <c r="AN268" s="103"/>
      <c r="AO268" s="103"/>
      <c r="AP268" s="103"/>
      <c r="AQ268" s="103"/>
      <c r="AR268" s="103"/>
      <c r="AS268" s="430"/>
      <c r="AT268" s="100"/>
      <c r="AU268" s="461"/>
    </row>
    <row r="269" spans="1:47" s="54" customFormat="1" ht="30">
      <c r="A269" s="561"/>
      <c r="B269" s="1037"/>
      <c r="C269" s="1037"/>
      <c r="D269" s="1038"/>
      <c r="E269" s="264"/>
      <c r="F269" s="264"/>
      <c r="G269" s="264"/>
      <c r="H269" s="1125"/>
      <c r="I269" s="1116"/>
      <c r="J269" s="344"/>
      <c r="K269" s="1479" t="s">
        <v>3361</v>
      </c>
      <c r="L269" s="1232" t="s">
        <v>1096</v>
      </c>
      <c r="M269" s="1481" t="s">
        <v>3362</v>
      </c>
      <c r="N269" s="1481"/>
      <c r="O269" s="1693">
        <v>21509542</v>
      </c>
      <c r="P269" s="344">
        <f t="shared" si="73"/>
        <v>21509542</v>
      </c>
      <c r="Q269" s="264"/>
      <c r="R269" s="264"/>
      <c r="S269" s="264"/>
      <c r="T269" s="264"/>
      <c r="U269" s="264"/>
      <c r="V269" s="264">
        <f t="shared" si="74"/>
        <v>21509542</v>
      </c>
      <c r="W269" s="1617" t="s">
        <v>3369</v>
      </c>
      <c r="X269" s="1598">
        <v>42704</v>
      </c>
      <c r="Y269" s="1598">
        <v>42710</v>
      </c>
      <c r="Z269" s="1618">
        <f t="shared" ref="Z269:Z277" si="75">V269</f>
        <v>21509542</v>
      </c>
      <c r="AA269" s="1233">
        <v>1</v>
      </c>
      <c r="AB269" s="507">
        <f t="shared" ref="AB269:AB277" si="76">+G269-P269</f>
        <v>-21509542</v>
      </c>
      <c r="AC269" s="352"/>
      <c r="AD269" s="53"/>
      <c r="AL269" s="103"/>
      <c r="AM269" s="103"/>
      <c r="AN269" s="103"/>
      <c r="AO269" s="103"/>
      <c r="AP269" s="103"/>
      <c r="AQ269" s="103"/>
      <c r="AR269" s="103"/>
      <c r="AS269" s="430"/>
      <c r="AT269" s="100"/>
      <c r="AU269" s="461"/>
    </row>
    <row r="270" spans="1:47" s="54" customFormat="1" ht="30">
      <c r="A270" s="561"/>
      <c r="B270" s="1037"/>
      <c r="C270" s="1037"/>
      <c r="D270" s="1038"/>
      <c r="E270" s="264"/>
      <c r="F270" s="264"/>
      <c r="G270" s="264"/>
      <c r="H270" s="1125"/>
      <c r="I270" s="1116"/>
      <c r="J270" s="344"/>
      <c r="K270" s="1479" t="s">
        <v>3363</v>
      </c>
      <c r="L270" s="1232" t="s">
        <v>1096</v>
      </c>
      <c r="M270" s="1481" t="s">
        <v>3364</v>
      </c>
      <c r="N270" s="1481"/>
      <c r="O270" s="1693">
        <v>20030195</v>
      </c>
      <c r="P270" s="344">
        <f t="shared" si="73"/>
        <v>20030195</v>
      </c>
      <c r="Q270" s="264"/>
      <c r="R270" s="264"/>
      <c r="S270" s="264"/>
      <c r="T270" s="264"/>
      <c r="U270" s="264"/>
      <c r="V270" s="264">
        <f t="shared" si="74"/>
        <v>20030195</v>
      </c>
      <c r="W270" s="1617" t="s">
        <v>3369</v>
      </c>
      <c r="X270" s="1598">
        <v>42704</v>
      </c>
      <c r="Y270" s="1598">
        <v>42710</v>
      </c>
      <c r="Z270" s="1618">
        <f t="shared" si="75"/>
        <v>20030195</v>
      </c>
      <c r="AA270" s="1233">
        <v>1</v>
      </c>
      <c r="AB270" s="507">
        <f t="shared" si="76"/>
        <v>-20030195</v>
      </c>
      <c r="AC270" s="352"/>
      <c r="AD270" s="53"/>
      <c r="AL270" s="103"/>
      <c r="AM270" s="103"/>
      <c r="AN270" s="103"/>
      <c r="AO270" s="103"/>
      <c r="AP270" s="103"/>
      <c r="AQ270" s="103"/>
      <c r="AR270" s="103"/>
      <c r="AS270" s="430"/>
      <c r="AT270" s="100"/>
      <c r="AU270" s="461"/>
    </row>
    <row r="271" spans="1:47" s="54" customFormat="1" ht="30">
      <c r="A271" s="561"/>
      <c r="B271" s="1037"/>
      <c r="C271" s="1037"/>
      <c r="D271" s="1038"/>
      <c r="E271" s="264"/>
      <c r="F271" s="264"/>
      <c r="G271" s="264"/>
      <c r="H271" s="1125"/>
      <c r="I271" s="1116"/>
      <c r="J271" s="344"/>
      <c r="K271" s="1479" t="s">
        <v>3365</v>
      </c>
      <c r="L271" s="1232" t="s">
        <v>1096</v>
      </c>
      <c r="M271" s="1481" t="s">
        <v>3366</v>
      </c>
      <c r="N271" s="1481"/>
      <c r="O271" s="1693">
        <v>16077848</v>
      </c>
      <c r="P271" s="344">
        <f t="shared" si="73"/>
        <v>16077848</v>
      </c>
      <c r="Q271" s="264"/>
      <c r="R271" s="264"/>
      <c r="S271" s="264"/>
      <c r="T271" s="264"/>
      <c r="U271" s="264"/>
      <c r="V271" s="264">
        <f t="shared" si="74"/>
        <v>16077848</v>
      </c>
      <c r="W271" s="1617" t="s">
        <v>3369</v>
      </c>
      <c r="X271" s="1598">
        <v>42704</v>
      </c>
      <c r="Y271" s="1598">
        <v>42710</v>
      </c>
      <c r="Z271" s="1618">
        <f t="shared" si="75"/>
        <v>16077848</v>
      </c>
      <c r="AA271" s="1233">
        <v>1</v>
      </c>
      <c r="AB271" s="507">
        <f t="shared" si="76"/>
        <v>-16077848</v>
      </c>
      <c r="AC271" s="352"/>
      <c r="AD271" s="53"/>
      <c r="AL271" s="103"/>
      <c r="AM271" s="103"/>
      <c r="AN271" s="103"/>
      <c r="AO271" s="103"/>
      <c r="AP271" s="103"/>
      <c r="AQ271" s="103"/>
      <c r="AR271" s="103"/>
      <c r="AS271" s="430"/>
      <c r="AT271" s="100"/>
      <c r="AU271" s="461"/>
    </row>
    <row r="272" spans="1:47" s="54" customFormat="1" ht="30">
      <c r="A272" s="561"/>
      <c r="B272" s="1037"/>
      <c r="C272" s="1037"/>
      <c r="D272" s="1038"/>
      <c r="E272" s="264"/>
      <c r="F272" s="264"/>
      <c r="G272" s="264"/>
      <c r="H272" s="1125"/>
      <c r="I272" s="1116"/>
      <c r="J272" s="344"/>
      <c r="K272" s="1479" t="s">
        <v>3367</v>
      </c>
      <c r="L272" s="1232" t="s">
        <v>1096</v>
      </c>
      <c r="M272" s="1481" t="s">
        <v>3368</v>
      </c>
      <c r="N272" s="1481"/>
      <c r="O272" s="1693">
        <v>6270260</v>
      </c>
      <c r="P272" s="344">
        <f t="shared" si="73"/>
        <v>6270260</v>
      </c>
      <c r="Q272" s="264"/>
      <c r="R272" s="264"/>
      <c r="S272" s="264"/>
      <c r="T272" s="264"/>
      <c r="U272" s="264"/>
      <c r="V272" s="264">
        <f t="shared" si="74"/>
        <v>6270260</v>
      </c>
      <c r="W272" s="1617" t="s">
        <v>3369</v>
      </c>
      <c r="X272" s="1598">
        <v>42704</v>
      </c>
      <c r="Y272" s="1598">
        <v>42710</v>
      </c>
      <c r="Z272" s="1618">
        <f t="shared" si="75"/>
        <v>6270260</v>
      </c>
      <c r="AA272" s="1233">
        <v>1</v>
      </c>
      <c r="AB272" s="507">
        <f t="shared" si="76"/>
        <v>-6270260</v>
      </c>
      <c r="AC272" s="352"/>
      <c r="AD272" s="53"/>
      <c r="AL272" s="103"/>
      <c r="AM272" s="103"/>
      <c r="AN272" s="103"/>
      <c r="AO272" s="103"/>
      <c r="AP272" s="103"/>
      <c r="AQ272" s="103"/>
      <c r="AR272" s="103"/>
      <c r="AS272" s="430"/>
      <c r="AT272" s="100"/>
      <c r="AU272" s="461"/>
    </row>
    <row r="273" spans="1:47" s="54" customFormat="1" ht="30">
      <c r="A273" s="561"/>
      <c r="B273" s="1037"/>
      <c r="C273" s="1037"/>
      <c r="D273" s="1038"/>
      <c r="E273" s="264"/>
      <c r="F273" s="264"/>
      <c r="G273" s="264"/>
      <c r="H273" s="1125"/>
      <c r="I273" s="1116"/>
      <c r="J273" s="344"/>
      <c r="K273" s="1479" t="s">
        <v>3373</v>
      </c>
      <c r="L273" s="1232" t="s">
        <v>1096</v>
      </c>
      <c r="M273" s="1246" t="s">
        <v>3374</v>
      </c>
      <c r="N273" s="1481"/>
      <c r="O273" s="1693">
        <v>136992147</v>
      </c>
      <c r="P273" s="344">
        <f t="shared" si="73"/>
        <v>136992147</v>
      </c>
      <c r="Q273" s="264"/>
      <c r="R273" s="264"/>
      <c r="S273" s="264"/>
      <c r="T273" s="264"/>
      <c r="U273" s="264"/>
      <c r="V273" s="264">
        <f t="shared" si="74"/>
        <v>136992147</v>
      </c>
      <c r="W273" s="1617" t="s">
        <v>3379</v>
      </c>
      <c r="X273" s="1598">
        <v>42704</v>
      </c>
      <c r="Y273" s="1598">
        <v>42706</v>
      </c>
      <c r="Z273" s="1618">
        <f t="shared" si="75"/>
        <v>136992147</v>
      </c>
      <c r="AA273" s="1233">
        <v>1</v>
      </c>
      <c r="AB273" s="507">
        <f t="shared" si="76"/>
        <v>-136992147</v>
      </c>
      <c r="AC273" s="352"/>
      <c r="AD273" s="53"/>
      <c r="AL273" s="103"/>
      <c r="AM273" s="103"/>
      <c r="AN273" s="103"/>
      <c r="AO273" s="103"/>
      <c r="AP273" s="103"/>
      <c r="AQ273" s="103"/>
      <c r="AR273" s="103"/>
      <c r="AS273" s="430"/>
      <c r="AT273" s="100"/>
      <c r="AU273" s="461"/>
    </row>
    <row r="274" spans="1:47" s="54" customFormat="1" ht="30">
      <c r="A274" s="561"/>
      <c r="B274" s="1037"/>
      <c r="C274" s="1037"/>
      <c r="D274" s="1038"/>
      <c r="E274" s="264"/>
      <c r="F274" s="264"/>
      <c r="G274" s="264"/>
      <c r="H274" s="1125"/>
      <c r="I274" s="1116"/>
      <c r="J274" s="344"/>
      <c r="K274" s="1479" t="s">
        <v>3375</v>
      </c>
      <c r="L274" s="1361" t="s">
        <v>1082</v>
      </c>
      <c r="M274" s="1246" t="s">
        <v>3376</v>
      </c>
      <c r="N274" s="1481"/>
      <c r="O274" s="1693">
        <v>149700100</v>
      </c>
      <c r="P274" s="344">
        <f t="shared" si="73"/>
        <v>149700100</v>
      </c>
      <c r="Q274" s="264"/>
      <c r="R274" s="264"/>
      <c r="S274" s="264"/>
      <c r="T274" s="264"/>
      <c r="U274" s="264"/>
      <c r="V274" s="264">
        <f t="shared" si="74"/>
        <v>149700100</v>
      </c>
      <c r="W274" s="1617" t="s">
        <v>3379</v>
      </c>
      <c r="X274" s="1598">
        <v>42704</v>
      </c>
      <c r="Y274" s="1598">
        <v>42706</v>
      </c>
      <c r="Z274" s="1618">
        <f t="shared" si="75"/>
        <v>149700100</v>
      </c>
      <c r="AA274" s="1233">
        <v>1</v>
      </c>
      <c r="AB274" s="507">
        <f t="shared" si="76"/>
        <v>-149700100</v>
      </c>
      <c r="AC274" s="352"/>
      <c r="AD274" s="53"/>
      <c r="AL274" s="103"/>
      <c r="AM274" s="103"/>
      <c r="AN274" s="103"/>
      <c r="AO274" s="103"/>
      <c r="AP274" s="103"/>
      <c r="AQ274" s="103"/>
      <c r="AR274" s="103"/>
      <c r="AS274" s="430"/>
      <c r="AT274" s="100"/>
      <c r="AU274" s="461"/>
    </row>
    <row r="275" spans="1:47" s="54" customFormat="1" ht="30">
      <c r="A275" s="561"/>
      <c r="B275" s="1037"/>
      <c r="C275" s="1037"/>
      <c r="D275" s="1038"/>
      <c r="E275" s="264"/>
      <c r="F275" s="264"/>
      <c r="G275" s="264"/>
      <c r="H275" s="1125"/>
      <c r="I275" s="1116"/>
      <c r="J275" s="344"/>
      <c r="K275" s="1479" t="s">
        <v>3377</v>
      </c>
      <c r="L275" s="1361" t="s">
        <v>1082</v>
      </c>
      <c r="M275" s="1246" t="s">
        <v>3378</v>
      </c>
      <c r="N275" s="1481"/>
      <c r="O275" s="1693">
        <v>747976158</v>
      </c>
      <c r="P275" s="344">
        <f t="shared" si="73"/>
        <v>747976158</v>
      </c>
      <c r="Q275" s="264"/>
      <c r="R275" s="264"/>
      <c r="S275" s="264"/>
      <c r="T275" s="264"/>
      <c r="U275" s="264"/>
      <c r="V275" s="264">
        <f t="shared" si="74"/>
        <v>747976158</v>
      </c>
      <c r="W275" s="1617" t="s">
        <v>3379</v>
      </c>
      <c r="X275" s="1598">
        <v>42704</v>
      </c>
      <c r="Y275" s="1598">
        <v>42706</v>
      </c>
      <c r="Z275" s="1618">
        <f t="shared" si="75"/>
        <v>747976158</v>
      </c>
      <c r="AA275" s="1233">
        <v>1</v>
      </c>
      <c r="AB275" s="507">
        <f t="shared" si="76"/>
        <v>-747976158</v>
      </c>
      <c r="AC275" s="352"/>
      <c r="AD275" s="53"/>
      <c r="AL275" s="103"/>
      <c r="AM275" s="103"/>
      <c r="AN275" s="103"/>
      <c r="AO275" s="103"/>
      <c r="AP275" s="103"/>
      <c r="AQ275" s="103"/>
      <c r="AR275" s="103"/>
      <c r="AS275" s="430"/>
      <c r="AT275" s="100"/>
      <c r="AU275" s="461"/>
    </row>
    <row r="276" spans="1:47" s="54" customFormat="1" ht="30">
      <c r="A276" s="561"/>
      <c r="B276" s="1037"/>
      <c r="C276" s="1037"/>
      <c r="D276" s="1038"/>
      <c r="E276" s="264"/>
      <c r="F276" s="264"/>
      <c r="G276" s="264"/>
      <c r="H276" s="1125"/>
      <c r="I276" s="1116"/>
      <c r="J276" s="344"/>
      <c r="K276" s="1479" t="s">
        <v>3412</v>
      </c>
      <c r="L276" s="1232" t="s">
        <v>1096</v>
      </c>
      <c r="M276" s="1246" t="s">
        <v>3413</v>
      </c>
      <c r="N276" s="1481"/>
      <c r="O276" s="1693">
        <v>434627740</v>
      </c>
      <c r="P276" s="344">
        <f t="shared" si="73"/>
        <v>434627740</v>
      </c>
      <c r="Q276" s="264"/>
      <c r="R276" s="264"/>
      <c r="S276" s="264"/>
      <c r="T276" s="264"/>
      <c r="U276" s="264"/>
      <c r="V276" s="264">
        <f t="shared" si="74"/>
        <v>434627740</v>
      </c>
      <c r="W276" s="1617" t="s">
        <v>3408</v>
      </c>
      <c r="X276" s="1598">
        <v>42711</v>
      </c>
      <c r="Y276" s="1598">
        <v>42718</v>
      </c>
      <c r="Z276" s="1618">
        <f t="shared" si="75"/>
        <v>434627740</v>
      </c>
      <c r="AA276" s="1233">
        <v>1</v>
      </c>
      <c r="AB276" s="507">
        <f t="shared" si="76"/>
        <v>-434627740</v>
      </c>
      <c r="AC276" s="352"/>
      <c r="AD276" s="53"/>
      <c r="AL276" s="103"/>
      <c r="AM276" s="103"/>
      <c r="AN276" s="103"/>
      <c r="AO276" s="103"/>
      <c r="AP276" s="103"/>
      <c r="AQ276" s="103"/>
      <c r="AR276" s="103"/>
      <c r="AS276" s="430"/>
      <c r="AT276" s="100"/>
      <c r="AU276" s="461"/>
    </row>
    <row r="277" spans="1:47" s="54" customFormat="1" ht="30">
      <c r="A277" s="561"/>
      <c r="B277" s="1037"/>
      <c r="C277" s="1037"/>
      <c r="D277" s="1038"/>
      <c r="E277" s="264"/>
      <c r="F277" s="264"/>
      <c r="G277" s="264"/>
      <c r="H277" s="1125"/>
      <c r="I277" s="1116"/>
      <c r="J277" s="344"/>
      <c r="K277" s="1246" t="s">
        <v>3425</v>
      </c>
      <c r="L277" s="1232" t="s">
        <v>1096</v>
      </c>
      <c r="M277" s="1246" t="s">
        <v>3426</v>
      </c>
      <c r="N277" s="1481"/>
      <c r="O277" s="1693">
        <v>25071539</v>
      </c>
      <c r="P277" s="344">
        <f t="shared" ref="P277:P284" si="77">N277+O277</f>
        <v>25071539</v>
      </c>
      <c r="Q277" s="264"/>
      <c r="R277" s="264"/>
      <c r="S277" s="264"/>
      <c r="T277" s="264"/>
      <c r="U277" s="264"/>
      <c r="V277" s="264">
        <f t="shared" ref="V277:V284" si="78">P277</f>
        <v>25071539</v>
      </c>
      <c r="W277" s="1617" t="s">
        <v>3424</v>
      </c>
      <c r="X277" s="1598">
        <v>42713</v>
      </c>
      <c r="Y277" s="1598">
        <v>42718</v>
      </c>
      <c r="Z277" s="1618">
        <f t="shared" si="75"/>
        <v>25071539</v>
      </c>
      <c r="AA277" s="1233">
        <v>1</v>
      </c>
      <c r="AB277" s="507">
        <f t="shared" si="76"/>
        <v>-25071539</v>
      </c>
      <c r="AC277" s="352"/>
      <c r="AD277" s="53"/>
      <c r="AL277" s="103"/>
      <c r="AM277" s="103"/>
      <c r="AN277" s="103"/>
      <c r="AO277" s="103"/>
      <c r="AP277" s="103"/>
      <c r="AQ277" s="103"/>
      <c r="AR277" s="103"/>
      <c r="AS277" s="430"/>
      <c r="AT277" s="100"/>
      <c r="AU277" s="461"/>
    </row>
    <row r="278" spans="1:47" s="54" customFormat="1" ht="30">
      <c r="A278" s="561"/>
      <c r="B278" s="1037"/>
      <c r="C278" s="1037"/>
      <c r="D278" s="1038"/>
      <c r="E278" s="264"/>
      <c r="F278" s="264"/>
      <c r="G278" s="264"/>
      <c r="H278" s="1125"/>
      <c r="I278" s="1116"/>
      <c r="J278" s="344"/>
      <c r="K278" s="1246" t="s">
        <v>3427</v>
      </c>
      <c r="L278" s="1232" t="s">
        <v>1096</v>
      </c>
      <c r="M278" s="1246" t="s">
        <v>3428</v>
      </c>
      <c r="N278" s="1481"/>
      <c r="O278" s="1693">
        <v>478110937</v>
      </c>
      <c r="P278" s="344">
        <f t="shared" si="77"/>
        <v>478110937</v>
      </c>
      <c r="Q278" s="264"/>
      <c r="R278" s="264"/>
      <c r="S278" s="264"/>
      <c r="T278" s="264"/>
      <c r="U278" s="264"/>
      <c r="V278" s="264">
        <f t="shared" si="78"/>
        <v>478110937</v>
      </c>
      <c r="W278" s="1617" t="s">
        <v>3424</v>
      </c>
      <c r="X278" s="1598">
        <v>42713</v>
      </c>
      <c r="Y278" s="1598">
        <v>42718</v>
      </c>
      <c r="Z278" s="1618">
        <f t="shared" ref="Z278:Z284" si="79">V278</f>
        <v>478110937</v>
      </c>
      <c r="AA278" s="1233">
        <v>1</v>
      </c>
      <c r="AB278" s="507">
        <f t="shared" ref="AB278:AB284" si="80">+G278-P278</f>
        <v>-478110937</v>
      </c>
      <c r="AC278" s="352"/>
      <c r="AD278" s="53"/>
      <c r="AL278" s="103"/>
      <c r="AM278" s="103"/>
      <c r="AN278" s="103"/>
      <c r="AO278" s="103"/>
      <c r="AP278" s="103"/>
      <c r="AQ278" s="103"/>
      <c r="AR278" s="103"/>
      <c r="AS278" s="430"/>
      <c r="AT278" s="100"/>
      <c r="AU278" s="461"/>
    </row>
    <row r="279" spans="1:47" s="54" customFormat="1" ht="30">
      <c r="A279" s="561"/>
      <c r="B279" s="1037"/>
      <c r="C279" s="1037"/>
      <c r="D279" s="1038"/>
      <c r="E279" s="264"/>
      <c r="F279" s="264"/>
      <c r="G279" s="264"/>
      <c r="H279" s="1125"/>
      <c r="I279" s="1116"/>
      <c r="J279" s="344"/>
      <c r="K279" s="1246" t="s">
        <v>3429</v>
      </c>
      <c r="L279" s="1232" t="s">
        <v>1096</v>
      </c>
      <c r="M279" s="1246" t="s">
        <v>3430</v>
      </c>
      <c r="N279" s="1481"/>
      <c r="O279" s="1693">
        <v>131379633</v>
      </c>
      <c r="P279" s="344">
        <f t="shared" si="77"/>
        <v>131379633</v>
      </c>
      <c r="Q279" s="264"/>
      <c r="R279" s="264"/>
      <c r="S279" s="264"/>
      <c r="T279" s="264"/>
      <c r="U279" s="264"/>
      <c r="V279" s="264">
        <f t="shared" si="78"/>
        <v>131379633</v>
      </c>
      <c r="W279" s="1617" t="s">
        <v>3424</v>
      </c>
      <c r="X279" s="1598">
        <v>42713</v>
      </c>
      <c r="Y279" s="1598">
        <v>42718</v>
      </c>
      <c r="Z279" s="1618">
        <f t="shared" si="79"/>
        <v>131379633</v>
      </c>
      <c r="AA279" s="1233">
        <v>1</v>
      </c>
      <c r="AB279" s="507">
        <f t="shared" si="80"/>
        <v>-131379633</v>
      </c>
      <c r="AC279" s="352"/>
      <c r="AD279" s="53"/>
      <c r="AL279" s="103"/>
      <c r="AM279" s="103"/>
      <c r="AN279" s="103"/>
      <c r="AO279" s="103"/>
      <c r="AP279" s="103"/>
      <c r="AQ279" s="103"/>
      <c r="AR279" s="103"/>
      <c r="AS279" s="430"/>
      <c r="AT279" s="100"/>
      <c r="AU279" s="461"/>
    </row>
    <row r="280" spans="1:47" s="54" customFormat="1" ht="30">
      <c r="A280" s="561"/>
      <c r="B280" s="1037"/>
      <c r="C280" s="1037"/>
      <c r="D280" s="1038"/>
      <c r="E280" s="264"/>
      <c r="F280" s="264"/>
      <c r="G280" s="264"/>
      <c r="H280" s="1125"/>
      <c r="I280" s="1116"/>
      <c r="J280" s="344"/>
      <c r="K280" s="1246" t="s">
        <v>3431</v>
      </c>
      <c r="L280" s="1232" t="s">
        <v>1096</v>
      </c>
      <c r="M280" s="1246" t="s">
        <v>3432</v>
      </c>
      <c r="N280" s="1481"/>
      <c r="O280" s="1693">
        <v>71700206</v>
      </c>
      <c r="P280" s="344">
        <f t="shared" si="77"/>
        <v>71700206</v>
      </c>
      <c r="Q280" s="264"/>
      <c r="R280" s="264"/>
      <c r="S280" s="264"/>
      <c r="T280" s="264"/>
      <c r="U280" s="264"/>
      <c r="V280" s="264">
        <f t="shared" si="78"/>
        <v>71700206</v>
      </c>
      <c r="W280" s="1617" t="s">
        <v>3424</v>
      </c>
      <c r="X280" s="1598">
        <v>42713</v>
      </c>
      <c r="Y280" s="1598">
        <v>42718</v>
      </c>
      <c r="Z280" s="1618">
        <f t="shared" si="79"/>
        <v>71700206</v>
      </c>
      <c r="AA280" s="1233">
        <v>1</v>
      </c>
      <c r="AB280" s="507">
        <f t="shared" si="80"/>
        <v>-71700206</v>
      </c>
      <c r="AC280" s="352"/>
      <c r="AD280" s="53"/>
      <c r="AL280" s="103"/>
      <c r="AM280" s="103"/>
      <c r="AN280" s="103"/>
      <c r="AO280" s="103"/>
      <c r="AP280" s="103"/>
      <c r="AQ280" s="103"/>
      <c r="AR280" s="103"/>
      <c r="AS280" s="430"/>
      <c r="AT280" s="100"/>
      <c r="AU280" s="461"/>
    </row>
    <row r="281" spans="1:47" s="54" customFormat="1" ht="30">
      <c r="A281" s="561"/>
      <c r="B281" s="1037"/>
      <c r="C281" s="1037"/>
      <c r="D281" s="1038"/>
      <c r="E281" s="264"/>
      <c r="F281" s="264"/>
      <c r="G281" s="264"/>
      <c r="H281" s="1125"/>
      <c r="I281" s="1116"/>
      <c r="J281" s="344"/>
      <c r="K281" s="1246" t="s">
        <v>3433</v>
      </c>
      <c r="L281" s="1232" t="s">
        <v>1096</v>
      </c>
      <c r="M281" s="1246" t="s">
        <v>3434</v>
      </c>
      <c r="N281" s="1481"/>
      <c r="O281" s="1693">
        <v>429838717</v>
      </c>
      <c r="P281" s="344">
        <f t="shared" si="77"/>
        <v>429838717</v>
      </c>
      <c r="Q281" s="264"/>
      <c r="R281" s="264"/>
      <c r="S281" s="264"/>
      <c r="T281" s="264"/>
      <c r="U281" s="264"/>
      <c r="V281" s="264">
        <f t="shared" si="78"/>
        <v>429838717</v>
      </c>
      <c r="W281" s="1617" t="s">
        <v>3424</v>
      </c>
      <c r="X281" s="1598">
        <v>42713</v>
      </c>
      <c r="Y281" s="1598">
        <v>42718</v>
      </c>
      <c r="Z281" s="1618">
        <f t="shared" si="79"/>
        <v>429838717</v>
      </c>
      <c r="AA281" s="1233">
        <v>1</v>
      </c>
      <c r="AB281" s="507">
        <f t="shared" si="80"/>
        <v>-429838717</v>
      </c>
      <c r="AC281" s="352"/>
      <c r="AD281" s="53"/>
      <c r="AL281" s="103"/>
      <c r="AM281" s="103"/>
      <c r="AN281" s="103"/>
      <c r="AO281" s="103"/>
      <c r="AP281" s="103"/>
      <c r="AQ281" s="103"/>
      <c r="AR281" s="103"/>
      <c r="AS281" s="430"/>
      <c r="AT281" s="100"/>
      <c r="AU281" s="461"/>
    </row>
    <row r="282" spans="1:47" s="54" customFormat="1" ht="30">
      <c r="A282" s="561"/>
      <c r="B282" s="1037"/>
      <c r="C282" s="1037"/>
      <c r="D282" s="1038"/>
      <c r="E282" s="264"/>
      <c r="F282" s="264"/>
      <c r="G282" s="264"/>
      <c r="H282" s="1125"/>
      <c r="I282" s="1116"/>
      <c r="J282" s="344"/>
      <c r="K282" s="1246" t="s">
        <v>3435</v>
      </c>
      <c r="L282" s="1232" t="s">
        <v>1096</v>
      </c>
      <c r="M282" s="1246" t="s">
        <v>3436</v>
      </c>
      <c r="N282" s="1481"/>
      <c r="O282" s="1693">
        <v>35896014</v>
      </c>
      <c r="P282" s="344">
        <f t="shared" si="77"/>
        <v>35896014</v>
      </c>
      <c r="Q282" s="264"/>
      <c r="R282" s="264"/>
      <c r="S282" s="264"/>
      <c r="T282" s="264"/>
      <c r="U282" s="264"/>
      <c r="V282" s="264">
        <f t="shared" si="78"/>
        <v>35896014</v>
      </c>
      <c r="W282" s="1617" t="s">
        <v>3424</v>
      </c>
      <c r="X282" s="1598">
        <v>42713</v>
      </c>
      <c r="Y282" s="1598">
        <v>42718</v>
      </c>
      <c r="Z282" s="1618">
        <f t="shared" si="79"/>
        <v>35896014</v>
      </c>
      <c r="AA282" s="1233">
        <v>1</v>
      </c>
      <c r="AB282" s="507">
        <f t="shared" si="80"/>
        <v>-35896014</v>
      </c>
      <c r="AC282" s="352"/>
      <c r="AD282" s="53"/>
      <c r="AL282" s="103"/>
      <c r="AM282" s="103"/>
      <c r="AN282" s="103"/>
      <c r="AO282" s="103"/>
      <c r="AP282" s="103"/>
      <c r="AQ282" s="103"/>
      <c r="AR282" s="103"/>
      <c r="AS282" s="430"/>
      <c r="AT282" s="100"/>
      <c r="AU282" s="461"/>
    </row>
    <row r="283" spans="1:47" s="54" customFormat="1" ht="30">
      <c r="A283" s="561"/>
      <c r="B283" s="1037"/>
      <c r="C283" s="1037"/>
      <c r="D283" s="1038"/>
      <c r="E283" s="264"/>
      <c r="F283" s="264"/>
      <c r="G283" s="264"/>
      <c r="H283" s="1125"/>
      <c r="I283" s="1116"/>
      <c r="J283" s="344"/>
      <c r="K283" s="1246" t="s">
        <v>3437</v>
      </c>
      <c r="L283" s="1232" t="s">
        <v>1096</v>
      </c>
      <c r="M283" s="1246" t="s">
        <v>3438</v>
      </c>
      <c r="N283" s="1481"/>
      <c r="O283" s="1693">
        <v>35963582</v>
      </c>
      <c r="P283" s="344">
        <f t="shared" si="77"/>
        <v>35963582</v>
      </c>
      <c r="Q283" s="264"/>
      <c r="R283" s="264"/>
      <c r="S283" s="264"/>
      <c r="T283" s="264"/>
      <c r="U283" s="264"/>
      <c r="V283" s="264">
        <f t="shared" si="78"/>
        <v>35963582</v>
      </c>
      <c r="W283" s="1617" t="s">
        <v>3424</v>
      </c>
      <c r="X283" s="1598">
        <v>42713</v>
      </c>
      <c r="Y283" s="1598">
        <v>42718</v>
      </c>
      <c r="Z283" s="1618">
        <f t="shared" si="79"/>
        <v>35963582</v>
      </c>
      <c r="AA283" s="1233">
        <v>1</v>
      </c>
      <c r="AB283" s="507">
        <f t="shared" si="80"/>
        <v>-35963582</v>
      </c>
      <c r="AC283" s="352"/>
      <c r="AD283" s="53"/>
      <c r="AL283" s="103"/>
      <c r="AM283" s="103"/>
      <c r="AN283" s="103"/>
      <c r="AO283" s="103"/>
      <c r="AP283" s="103"/>
      <c r="AQ283" s="103"/>
      <c r="AR283" s="103"/>
      <c r="AS283" s="430"/>
      <c r="AT283" s="100"/>
      <c r="AU283" s="461"/>
    </row>
    <row r="284" spans="1:47" s="54" customFormat="1" ht="30">
      <c r="A284" s="561"/>
      <c r="B284" s="1037"/>
      <c r="C284" s="1037"/>
      <c r="D284" s="1038"/>
      <c r="E284" s="264"/>
      <c r="F284" s="264"/>
      <c r="G284" s="264"/>
      <c r="H284" s="1125"/>
      <c r="I284" s="1116"/>
      <c r="J284" s="344"/>
      <c r="K284" s="1246" t="s">
        <v>3439</v>
      </c>
      <c r="L284" s="1232" t="s">
        <v>1096</v>
      </c>
      <c r="M284" s="1246" t="s">
        <v>3440</v>
      </c>
      <c r="N284" s="1481"/>
      <c r="O284" s="1693">
        <v>35849237</v>
      </c>
      <c r="P284" s="344">
        <f t="shared" si="77"/>
        <v>35849237</v>
      </c>
      <c r="Q284" s="264"/>
      <c r="R284" s="264"/>
      <c r="S284" s="264"/>
      <c r="T284" s="264"/>
      <c r="U284" s="264"/>
      <c r="V284" s="264">
        <f t="shared" si="78"/>
        <v>35849237</v>
      </c>
      <c r="W284" s="1617" t="s">
        <v>3424</v>
      </c>
      <c r="X284" s="1598">
        <v>42713</v>
      </c>
      <c r="Y284" s="1598">
        <v>42718</v>
      </c>
      <c r="Z284" s="1618">
        <f t="shared" si="79"/>
        <v>35849237</v>
      </c>
      <c r="AA284" s="1233">
        <v>1</v>
      </c>
      <c r="AB284" s="507">
        <f t="shared" si="80"/>
        <v>-35849237</v>
      </c>
      <c r="AC284" s="352"/>
      <c r="AD284" s="53"/>
      <c r="AL284" s="103"/>
      <c r="AM284" s="103"/>
      <c r="AN284" s="103"/>
      <c r="AO284" s="103"/>
      <c r="AP284" s="103"/>
      <c r="AQ284" s="103"/>
      <c r="AR284" s="103"/>
      <c r="AS284" s="430"/>
      <c r="AT284" s="100"/>
      <c r="AU284" s="461"/>
    </row>
    <row r="285" spans="1:47" s="54" customFormat="1" ht="30">
      <c r="A285" s="561"/>
      <c r="B285" s="1037"/>
      <c r="C285" s="1037"/>
      <c r="D285" s="1038"/>
      <c r="E285" s="264"/>
      <c r="F285" s="264"/>
      <c r="G285" s="264"/>
      <c r="H285" s="1125"/>
      <c r="I285" s="1116"/>
      <c r="J285" s="344"/>
      <c r="K285" s="1360" t="s">
        <v>3441</v>
      </c>
      <c r="L285" s="1361" t="s">
        <v>1082</v>
      </c>
      <c r="M285" s="1481" t="s">
        <v>3442</v>
      </c>
      <c r="N285" s="1481"/>
      <c r="O285" s="1693">
        <v>10847100</v>
      </c>
      <c r="P285" s="344">
        <f t="shared" ref="P285:P290" si="81">N285+O285</f>
        <v>10847100</v>
      </c>
      <c r="Q285" s="264"/>
      <c r="R285" s="264"/>
      <c r="S285" s="264"/>
      <c r="T285" s="264"/>
      <c r="U285" s="264"/>
      <c r="V285" s="264">
        <f t="shared" ref="V285:V290" si="82">P285</f>
        <v>10847100</v>
      </c>
      <c r="W285" s="1617" t="s">
        <v>3443</v>
      </c>
      <c r="X285" s="1598">
        <v>42717</v>
      </c>
      <c r="Y285" s="1598">
        <v>42720</v>
      </c>
      <c r="Z285" s="1618">
        <f t="shared" ref="Z285:Z290" si="83">V285</f>
        <v>10847100</v>
      </c>
      <c r="AA285" s="1233">
        <v>1</v>
      </c>
      <c r="AB285" s="507">
        <f t="shared" ref="AB285:AB290" si="84">+G285-P285</f>
        <v>-10847100</v>
      </c>
      <c r="AC285" s="352"/>
      <c r="AD285" s="53"/>
      <c r="AL285" s="103"/>
      <c r="AM285" s="103"/>
      <c r="AN285" s="103"/>
      <c r="AO285" s="103"/>
      <c r="AP285" s="103"/>
      <c r="AQ285" s="103"/>
      <c r="AR285" s="103"/>
      <c r="AS285" s="430"/>
      <c r="AT285" s="100"/>
      <c r="AU285" s="461"/>
    </row>
    <row r="286" spans="1:47" s="54" customFormat="1" ht="30">
      <c r="A286" s="561"/>
      <c r="B286" s="1037"/>
      <c r="C286" s="1037"/>
      <c r="D286" s="1038"/>
      <c r="E286" s="264"/>
      <c r="F286" s="264"/>
      <c r="G286" s="264"/>
      <c r="H286" s="1125"/>
      <c r="I286" s="1116"/>
      <c r="J286" s="344"/>
      <c r="K286" s="1479" t="s">
        <v>3444</v>
      </c>
      <c r="L286" s="1232" t="s">
        <v>1096</v>
      </c>
      <c r="M286" s="1481" t="s">
        <v>3445</v>
      </c>
      <c r="N286" s="1481"/>
      <c r="O286" s="1693">
        <v>14459026</v>
      </c>
      <c r="P286" s="344">
        <f t="shared" si="81"/>
        <v>14459026</v>
      </c>
      <c r="Q286" s="264"/>
      <c r="R286" s="264"/>
      <c r="S286" s="264"/>
      <c r="T286" s="264"/>
      <c r="U286" s="264"/>
      <c r="V286" s="264">
        <f t="shared" si="82"/>
        <v>14459026</v>
      </c>
      <c r="W286" s="1617" t="s">
        <v>3443</v>
      </c>
      <c r="X286" s="1598">
        <v>42717</v>
      </c>
      <c r="Y286" s="1598">
        <v>42720</v>
      </c>
      <c r="Z286" s="1618">
        <f t="shared" si="83"/>
        <v>14459026</v>
      </c>
      <c r="AA286" s="1233">
        <v>1</v>
      </c>
      <c r="AB286" s="507">
        <f t="shared" si="84"/>
        <v>-14459026</v>
      </c>
      <c r="AC286" s="352"/>
      <c r="AD286" s="53"/>
      <c r="AL286" s="103"/>
      <c r="AM286" s="103"/>
      <c r="AN286" s="103"/>
      <c r="AO286" s="103"/>
      <c r="AP286" s="103"/>
      <c r="AQ286" s="103"/>
      <c r="AR286" s="103"/>
      <c r="AS286" s="430"/>
      <c r="AT286" s="100"/>
      <c r="AU286" s="461"/>
    </row>
    <row r="287" spans="1:47" s="54" customFormat="1" ht="30">
      <c r="A287" s="561"/>
      <c r="B287" s="1037"/>
      <c r="C287" s="1037"/>
      <c r="D287" s="1038"/>
      <c r="E287" s="264"/>
      <c r="F287" s="264"/>
      <c r="G287" s="264"/>
      <c r="H287" s="1125"/>
      <c r="I287" s="1116"/>
      <c r="J287" s="344"/>
      <c r="K287" s="1479" t="s">
        <v>3447</v>
      </c>
      <c r="L287" s="1361" t="s">
        <v>1082</v>
      </c>
      <c r="M287" s="1246" t="s">
        <v>3448</v>
      </c>
      <c r="N287" s="1481"/>
      <c r="O287" s="1693">
        <v>153038204</v>
      </c>
      <c r="P287" s="344">
        <f t="shared" si="81"/>
        <v>153038204</v>
      </c>
      <c r="Q287" s="264"/>
      <c r="R287" s="264"/>
      <c r="S287" s="264"/>
      <c r="T287" s="264"/>
      <c r="U287" s="264"/>
      <c r="V287" s="264">
        <f t="shared" si="82"/>
        <v>153038204</v>
      </c>
      <c r="W287" s="1617" t="s">
        <v>3446</v>
      </c>
      <c r="X287" s="1598">
        <v>42718</v>
      </c>
      <c r="Y287" s="1598">
        <v>42720</v>
      </c>
      <c r="Z287" s="1618">
        <f t="shared" si="83"/>
        <v>153038204</v>
      </c>
      <c r="AA287" s="1233">
        <v>1</v>
      </c>
      <c r="AB287" s="507">
        <f t="shared" si="84"/>
        <v>-153038204</v>
      </c>
      <c r="AC287" s="352"/>
      <c r="AD287" s="53"/>
      <c r="AL287" s="103"/>
      <c r="AM287" s="103"/>
      <c r="AN287" s="103"/>
      <c r="AO287" s="103"/>
      <c r="AP287" s="103"/>
      <c r="AQ287" s="103"/>
      <c r="AR287" s="103"/>
      <c r="AS287" s="430"/>
      <c r="AT287" s="100"/>
      <c r="AU287" s="461"/>
    </row>
    <row r="288" spans="1:47" s="54" customFormat="1" ht="30">
      <c r="A288" s="561"/>
      <c r="B288" s="1037"/>
      <c r="C288" s="1037"/>
      <c r="D288" s="1038"/>
      <c r="E288" s="264"/>
      <c r="F288" s="264"/>
      <c r="G288" s="264"/>
      <c r="H288" s="1125"/>
      <c r="I288" s="1116"/>
      <c r="J288" s="344"/>
      <c r="K288" s="1479" t="s">
        <v>3449</v>
      </c>
      <c r="L288" s="1361" t="s">
        <v>1082</v>
      </c>
      <c r="M288" s="1246" t="s">
        <v>3450</v>
      </c>
      <c r="N288" s="1481"/>
      <c r="O288" s="1693">
        <v>101920346</v>
      </c>
      <c r="P288" s="344">
        <f t="shared" si="81"/>
        <v>101920346</v>
      </c>
      <c r="Q288" s="264"/>
      <c r="R288" s="264"/>
      <c r="S288" s="264"/>
      <c r="T288" s="264"/>
      <c r="U288" s="264"/>
      <c r="V288" s="264">
        <f t="shared" si="82"/>
        <v>101920346</v>
      </c>
      <c r="W288" s="1617" t="s">
        <v>3446</v>
      </c>
      <c r="X288" s="1598">
        <v>42718</v>
      </c>
      <c r="Y288" s="1598">
        <v>42720</v>
      </c>
      <c r="Z288" s="1618">
        <f t="shared" si="83"/>
        <v>101920346</v>
      </c>
      <c r="AA288" s="1233">
        <v>1</v>
      </c>
      <c r="AB288" s="507">
        <f t="shared" si="84"/>
        <v>-101920346</v>
      </c>
      <c r="AC288" s="352"/>
      <c r="AD288" s="53"/>
      <c r="AL288" s="103"/>
      <c r="AM288" s="103"/>
      <c r="AN288" s="103"/>
      <c r="AO288" s="103"/>
      <c r="AP288" s="103"/>
      <c r="AQ288" s="103"/>
      <c r="AR288" s="103"/>
      <c r="AS288" s="430"/>
      <c r="AT288" s="100"/>
      <c r="AU288" s="461"/>
    </row>
    <row r="289" spans="1:47" s="54" customFormat="1" ht="30">
      <c r="A289" s="561"/>
      <c r="B289" s="1037"/>
      <c r="C289" s="1037"/>
      <c r="D289" s="1038"/>
      <c r="E289" s="264"/>
      <c r="F289" s="264"/>
      <c r="G289" s="264"/>
      <c r="H289" s="1125"/>
      <c r="I289" s="1116"/>
      <c r="J289" s="344"/>
      <c r="K289" s="1479" t="s">
        <v>3451</v>
      </c>
      <c r="L289" s="1361" t="s">
        <v>1082</v>
      </c>
      <c r="M289" s="1246" t="s">
        <v>3452</v>
      </c>
      <c r="N289" s="1481"/>
      <c r="O289" s="1693">
        <v>27118300</v>
      </c>
      <c r="P289" s="344">
        <f t="shared" si="81"/>
        <v>27118300</v>
      </c>
      <c r="Q289" s="264"/>
      <c r="R289" s="264"/>
      <c r="S289" s="264"/>
      <c r="T289" s="264"/>
      <c r="U289" s="264"/>
      <c r="V289" s="264">
        <f t="shared" si="82"/>
        <v>27118300</v>
      </c>
      <c r="W289" s="1617" t="s">
        <v>3446</v>
      </c>
      <c r="X289" s="1598">
        <v>42718</v>
      </c>
      <c r="Y289" s="1598">
        <v>42720</v>
      </c>
      <c r="Z289" s="1618">
        <f t="shared" si="83"/>
        <v>27118300</v>
      </c>
      <c r="AA289" s="1233">
        <v>1</v>
      </c>
      <c r="AB289" s="507">
        <f t="shared" si="84"/>
        <v>-27118300</v>
      </c>
      <c r="AC289" s="352"/>
      <c r="AD289" s="53"/>
      <c r="AL289" s="103"/>
      <c r="AM289" s="103"/>
      <c r="AN289" s="103"/>
      <c r="AO289" s="103"/>
      <c r="AP289" s="103"/>
      <c r="AQ289" s="103"/>
      <c r="AR289" s="103"/>
      <c r="AS289" s="430"/>
      <c r="AT289" s="100"/>
      <c r="AU289" s="461"/>
    </row>
    <row r="290" spans="1:47" s="54" customFormat="1" ht="30">
      <c r="A290" s="561"/>
      <c r="B290" s="1037"/>
      <c r="C290" s="1037"/>
      <c r="D290" s="1038"/>
      <c r="E290" s="264"/>
      <c r="F290" s="264"/>
      <c r="G290" s="264"/>
      <c r="H290" s="1125"/>
      <c r="I290" s="1116"/>
      <c r="J290" s="344"/>
      <c r="K290" s="1479" t="s">
        <v>3453</v>
      </c>
      <c r="L290" s="1361" t="s">
        <v>1082</v>
      </c>
      <c r="M290" s="1246" t="s">
        <v>3454</v>
      </c>
      <c r="N290" s="1481"/>
      <c r="O290" s="1693">
        <v>21695300</v>
      </c>
      <c r="P290" s="344">
        <f t="shared" si="81"/>
        <v>21695300</v>
      </c>
      <c r="Q290" s="264"/>
      <c r="R290" s="264"/>
      <c r="S290" s="264"/>
      <c r="T290" s="264"/>
      <c r="U290" s="264"/>
      <c r="V290" s="264">
        <f t="shared" si="82"/>
        <v>21695300</v>
      </c>
      <c r="W290" s="1617" t="s">
        <v>3455</v>
      </c>
      <c r="X290" s="1598">
        <v>42718</v>
      </c>
      <c r="Y290" s="1598">
        <v>42720</v>
      </c>
      <c r="Z290" s="1618">
        <f t="shared" si="83"/>
        <v>21695300</v>
      </c>
      <c r="AA290" s="1233">
        <v>1</v>
      </c>
      <c r="AB290" s="507">
        <f t="shared" si="84"/>
        <v>-21695300</v>
      </c>
      <c r="AC290" s="352"/>
      <c r="AD290" s="53"/>
      <c r="AL290" s="103"/>
      <c r="AM290" s="103"/>
      <c r="AN290" s="103"/>
      <c r="AO290" s="103"/>
      <c r="AP290" s="103"/>
      <c r="AQ290" s="103"/>
      <c r="AR290" s="103"/>
      <c r="AS290" s="430"/>
      <c r="AT290" s="100"/>
      <c r="AU290" s="461"/>
    </row>
    <row r="291" spans="1:47" s="54" customFormat="1" ht="31.5">
      <c r="A291" s="561"/>
      <c r="B291" s="1037"/>
      <c r="C291" s="1037"/>
      <c r="D291" s="1038"/>
      <c r="E291" s="264"/>
      <c r="F291" s="264"/>
      <c r="G291" s="264"/>
      <c r="H291" s="1125"/>
      <c r="I291" s="1116"/>
      <c r="J291" s="344"/>
      <c r="K291" s="1759" t="s">
        <v>3551</v>
      </c>
      <c r="L291" s="1774" t="s">
        <v>840</v>
      </c>
      <c r="M291" s="1488" t="s">
        <v>3552</v>
      </c>
      <c r="N291" s="1760"/>
      <c r="O291" s="1760">
        <v>214429666</v>
      </c>
      <c r="P291" s="344">
        <f>N291+O291</f>
        <v>214429666</v>
      </c>
      <c r="Q291" s="264"/>
      <c r="R291" s="264"/>
      <c r="S291" s="264"/>
      <c r="T291" s="264"/>
      <c r="U291" s="264"/>
      <c r="V291" s="264">
        <f>P291</f>
        <v>214429666</v>
      </c>
      <c r="W291" s="1617" t="s">
        <v>3540</v>
      </c>
      <c r="X291" s="1598">
        <v>42719</v>
      </c>
      <c r="Y291" s="1598">
        <v>42724</v>
      </c>
      <c r="Z291" s="1618">
        <f t="shared" ref="Z291:Z296" si="85">V291</f>
        <v>214429666</v>
      </c>
      <c r="AA291" s="1233">
        <v>1</v>
      </c>
      <c r="AB291" s="507">
        <f t="shared" ref="AB291:AB296" si="86">+G291-P291</f>
        <v>-214429666</v>
      </c>
      <c r="AC291" s="352"/>
      <c r="AD291" s="53"/>
      <c r="AL291" s="103"/>
      <c r="AM291" s="103"/>
      <c r="AN291" s="103"/>
      <c r="AO291" s="103"/>
      <c r="AP291" s="103"/>
      <c r="AQ291" s="103"/>
      <c r="AR291" s="103"/>
      <c r="AS291" s="430"/>
      <c r="AT291" s="100"/>
      <c r="AU291" s="461"/>
    </row>
    <row r="292" spans="1:47" s="54" customFormat="1" ht="31.5">
      <c r="A292" s="561"/>
      <c r="B292" s="1037"/>
      <c r="C292" s="1037"/>
      <c r="D292" s="1038"/>
      <c r="E292" s="264"/>
      <c r="F292" s="264"/>
      <c r="G292" s="264"/>
      <c r="H292" s="1125"/>
      <c r="I292" s="1116"/>
      <c r="J292" s="344"/>
      <c r="K292" s="1759" t="s">
        <v>3553</v>
      </c>
      <c r="L292" s="1361" t="s">
        <v>1082</v>
      </c>
      <c r="M292" s="1488" t="s">
        <v>3554</v>
      </c>
      <c r="N292" s="1760"/>
      <c r="O292" s="1760">
        <v>747842700</v>
      </c>
      <c r="P292" s="344">
        <f>N292+O292</f>
        <v>747842700</v>
      </c>
      <c r="Q292" s="264"/>
      <c r="R292" s="264"/>
      <c r="S292" s="264"/>
      <c r="T292" s="264"/>
      <c r="U292" s="264"/>
      <c r="V292" s="264">
        <f>P292</f>
        <v>747842700</v>
      </c>
      <c r="W292" s="1617" t="s">
        <v>3540</v>
      </c>
      <c r="X292" s="1598">
        <v>42719</v>
      </c>
      <c r="Y292" s="1598">
        <v>42724</v>
      </c>
      <c r="Z292" s="1618">
        <f t="shared" si="85"/>
        <v>747842700</v>
      </c>
      <c r="AA292" s="1233">
        <v>1</v>
      </c>
      <c r="AB292" s="507">
        <f t="shared" si="86"/>
        <v>-747842700</v>
      </c>
      <c r="AC292" s="352"/>
      <c r="AD292" s="53"/>
      <c r="AL292" s="103"/>
      <c r="AM292" s="103"/>
      <c r="AN292" s="103"/>
      <c r="AO292" s="103"/>
      <c r="AP292" s="103"/>
      <c r="AQ292" s="103"/>
      <c r="AR292" s="103"/>
      <c r="AS292" s="430"/>
      <c r="AT292" s="100"/>
      <c r="AU292" s="461"/>
    </row>
    <row r="293" spans="1:47" s="54" customFormat="1" ht="30">
      <c r="A293" s="561"/>
      <c r="B293" s="1037"/>
      <c r="C293" s="1037"/>
      <c r="D293" s="1038"/>
      <c r="E293" s="264"/>
      <c r="F293" s="264"/>
      <c r="G293" s="264"/>
      <c r="H293" s="1125"/>
      <c r="I293" s="1116"/>
      <c r="J293" s="344"/>
      <c r="K293" s="1761" t="s">
        <v>3571</v>
      </c>
      <c r="L293" s="1361" t="s">
        <v>1082</v>
      </c>
      <c r="M293" s="1481" t="s">
        <v>3572</v>
      </c>
      <c r="N293" s="1760"/>
      <c r="O293" s="1763">
        <v>311856655</v>
      </c>
      <c r="P293" s="344">
        <f>N293+O293</f>
        <v>311856655</v>
      </c>
      <c r="Q293" s="264"/>
      <c r="R293" s="264"/>
      <c r="S293" s="264"/>
      <c r="T293" s="264"/>
      <c r="U293" s="264"/>
      <c r="V293" s="264">
        <f>P293</f>
        <v>311856655</v>
      </c>
      <c r="W293" s="1617" t="s">
        <v>3541</v>
      </c>
      <c r="X293" s="1598">
        <v>42724</v>
      </c>
      <c r="Y293" s="1598">
        <v>42731</v>
      </c>
      <c r="Z293" s="1618">
        <f t="shared" si="85"/>
        <v>311856655</v>
      </c>
      <c r="AA293" s="1233">
        <v>1</v>
      </c>
      <c r="AB293" s="507">
        <f t="shared" si="86"/>
        <v>-311856655</v>
      </c>
      <c r="AC293" s="352"/>
      <c r="AD293" s="53"/>
      <c r="AL293" s="103"/>
      <c r="AM293" s="103"/>
      <c r="AN293" s="103"/>
      <c r="AO293" s="103"/>
      <c r="AP293" s="103"/>
      <c r="AQ293" s="103"/>
      <c r="AR293" s="103"/>
      <c r="AS293" s="430"/>
      <c r="AT293" s="100"/>
      <c r="AU293" s="461"/>
    </row>
    <row r="294" spans="1:47" s="54" customFormat="1" ht="30">
      <c r="A294" s="561"/>
      <c r="B294" s="1037"/>
      <c r="C294" s="1037"/>
      <c r="D294" s="1038"/>
      <c r="E294" s="264"/>
      <c r="F294" s="264"/>
      <c r="G294" s="264"/>
      <c r="H294" s="1125"/>
      <c r="I294" s="1116"/>
      <c r="J294" s="344"/>
      <c r="K294" s="1761" t="s">
        <v>3573</v>
      </c>
      <c r="L294" s="1361" t="s">
        <v>1082</v>
      </c>
      <c r="M294" s="1481" t="s">
        <v>3574</v>
      </c>
      <c r="N294" s="1760"/>
      <c r="O294" s="1763">
        <v>86749960</v>
      </c>
      <c r="P294" s="344">
        <f>N294+O294</f>
        <v>86749960</v>
      </c>
      <c r="Q294" s="264"/>
      <c r="R294" s="264"/>
      <c r="S294" s="264"/>
      <c r="T294" s="264"/>
      <c r="U294" s="264"/>
      <c r="V294" s="264">
        <f>P294</f>
        <v>86749960</v>
      </c>
      <c r="W294" s="1617" t="s">
        <v>3541</v>
      </c>
      <c r="X294" s="1598">
        <v>42724</v>
      </c>
      <c r="Y294" s="1598">
        <v>42731</v>
      </c>
      <c r="Z294" s="1618">
        <f t="shared" si="85"/>
        <v>86749960</v>
      </c>
      <c r="AA294" s="1233">
        <v>1</v>
      </c>
      <c r="AB294" s="507">
        <f t="shared" si="86"/>
        <v>-86749960</v>
      </c>
      <c r="AC294" s="352"/>
      <c r="AD294" s="53"/>
      <c r="AL294" s="103"/>
      <c r="AM294" s="103"/>
      <c r="AN294" s="103"/>
      <c r="AO294" s="103"/>
      <c r="AP294" s="103"/>
      <c r="AQ294" s="103"/>
      <c r="AR294" s="103"/>
      <c r="AS294" s="430"/>
      <c r="AT294" s="100"/>
      <c r="AU294" s="461"/>
    </row>
    <row r="295" spans="1:47" s="54" customFormat="1" ht="30">
      <c r="A295" s="561"/>
      <c r="B295" s="1037"/>
      <c r="C295" s="1037"/>
      <c r="D295" s="1038"/>
      <c r="E295" s="264"/>
      <c r="F295" s="264"/>
      <c r="G295" s="264"/>
      <c r="H295" s="1125"/>
      <c r="I295" s="1116"/>
      <c r="J295" s="344"/>
      <c r="K295" s="1761" t="s">
        <v>3586</v>
      </c>
      <c r="L295" s="1775" t="s">
        <v>801</v>
      </c>
      <c r="M295" s="1481" t="s">
        <v>3587</v>
      </c>
      <c r="N295" s="1760"/>
      <c r="O295" s="1776">
        <v>79895162</v>
      </c>
      <c r="P295" s="344">
        <f>N295+O295</f>
        <v>79895162</v>
      </c>
      <c r="Q295" s="264"/>
      <c r="R295" s="264"/>
      <c r="S295" s="264"/>
      <c r="T295" s="264"/>
      <c r="U295" s="264"/>
      <c r="V295" s="264">
        <f>P295</f>
        <v>79895162</v>
      </c>
      <c r="W295" s="1617" t="s">
        <v>3543</v>
      </c>
      <c r="X295" s="1598">
        <v>42725</v>
      </c>
      <c r="Y295" s="1598">
        <v>42731</v>
      </c>
      <c r="Z295" s="1618">
        <f t="shared" si="85"/>
        <v>79895162</v>
      </c>
      <c r="AA295" s="1233">
        <v>1</v>
      </c>
      <c r="AB295" s="507">
        <f t="shared" si="86"/>
        <v>-79895162</v>
      </c>
      <c r="AC295" s="352"/>
      <c r="AD295" s="53"/>
      <c r="AL295" s="103"/>
      <c r="AM295" s="103"/>
      <c r="AN295" s="103"/>
      <c r="AO295" s="103"/>
      <c r="AP295" s="103"/>
      <c r="AQ295" s="103"/>
      <c r="AR295" s="103"/>
      <c r="AS295" s="430"/>
      <c r="AT295" s="100"/>
      <c r="AU295" s="461"/>
    </row>
    <row r="296" spans="1:47" s="54" customFormat="1" ht="30">
      <c r="A296" s="561"/>
      <c r="B296" s="1037"/>
      <c r="C296" s="1037"/>
      <c r="D296" s="1038"/>
      <c r="E296" s="264"/>
      <c r="F296" s="264"/>
      <c r="G296" s="264"/>
      <c r="H296" s="1125"/>
      <c r="I296" s="1116"/>
      <c r="J296" s="344"/>
      <c r="K296" s="1761" t="s">
        <v>3588</v>
      </c>
      <c r="L296" s="1775" t="s">
        <v>801</v>
      </c>
      <c r="M296" s="1479" t="s">
        <v>3589</v>
      </c>
      <c r="N296" s="1760"/>
      <c r="O296" s="1776">
        <v>196088026</v>
      </c>
      <c r="P296" s="344">
        <f t="shared" ref="P296:P307" si="87">N296+O296</f>
        <v>196088026</v>
      </c>
      <c r="Q296" s="264"/>
      <c r="R296" s="264"/>
      <c r="S296" s="264"/>
      <c r="T296" s="264"/>
      <c r="U296" s="264"/>
      <c r="V296" s="264">
        <f t="shared" ref="V296:V307" si="88">P296</f>
        <v>196088026</v>
      </c>
      <c r="W296" s="1617" t="s">
        <v>3612</v>
      </c>
      <c r="X296" s="1598">
        <v>42728</v>
      </c>
      <c r="Y296" s="1598">
        <v>42731</v>
      </c>
      <c r="Z296" s="1618">
        <f t="shared" si="85"/>
        <v>196088026</v>
      </c>
      <c r="AA296" s="1233">
        <v>1</v>
      </c>
      <c r="AB296" s="507">
        <f t="shared" si="86"/>
        <v>-196088026</v>
      </c>
      <c r="AC296" s="352"/>
      <c r="AD296" s="53"/>
      <c r="AL296" s="103"/>
      <c r="AM296" s="103"/>
      <c r="AN296" s="103"/>
      <c r="AO296" s="103"/>
      <c r="AP296" s="103"/>
      <c r="AQ296" s="103"/>
      <c r="AR296" s="103"/>
      <c r="AS296" s="430"/>
      <c r="AT296" s="100"/>
      <c r="AU296" s="461"/>
    </row>
    <row r="297" spans="1:47" s="54" customFormat="1" ht="30">
      <c r="A297" s="561"/>
      <c r="B297" s="1037"/>
      <c r="C297" s="1037"/>
      <c r="D297" s="1038"/>
      <c r="E297" s="264"/>
      <c r="F297" s="264"/>
      <c r="G297" s="264"/>
      <c r="H297" s="1125"/>
      <c r="I297" s="1116"/>
      <c r="J297" s="344"/>
      <c r="K297" s="1761" t="s">
        <v>3590</v>
      </c>
      <c r="L297" s="1775" t="s">
        <v>801</v>
      </c>
      <c r="M297" s="1479" t="s">
        <v>3591</v>
      </c>
      <c r="N297" s="1760"/>
      <c r="O297" s="1776">
        <v>91790622</v>
      </c>
      <c r="P297" s="344">
        <f t="shared" si="87"/>
        <v>91790622</v>
      </c>
      <c r="Q297" s="264"/>
      <c r="R297" s="264"/>
      <c r="S297" s="264"/>
      <c r="T297" s="264"/>
      <c r="U297" s="264"/>
      <c r="V297" s="264">
        <f t="shared" si="88"/>
        <v>91790622</v>
      </c>
      <c r="W297" s="1617" t="s">
        <v>3612</v>
      </c>
      <c r="X297" s="1598">
        <v>42728</v>
      </c>
      <c r="Y297" s="1598">
        <v>42731</v>
      </c>
      <c r="Z297" s="1618">
        <f t="shared" ref="Z297:Z307" si="89">V297</f>
        <v>91790622</v>
      </c>
      <c r="AA297" s="1233">
        <v>1</v>
      </c>
      <c r="AB297" s="507">
        <f t="shared" ref="AB297:AB307" si="90">+G297-P297</f>
        <v>-91790622</v>
      </c>
      <c r="AC297" s="352"/>
      <c r="AD297" s="53"/>
      <c r="AL297" s="103"/>
      <c r="AM297" s="103"/>
      <c r="AN297" s="103"/>
      <c r="AO297" s="103"/>
      <c r="AP297" s="103"/>
      <c r="AQ297" s="103"/>
      <c r="AR297" s="103"/>
      <c r="AS297" s="430"/>
      <c r="AT297" s="100"/>
      <c r="AU297" s="461"/>
    </row>
    <row r="298" spans="1:47" s="54" customFormat="1" ht="30">
      <c r="A298" s="561"/>
      <c r="B298" s="1037"/>
      <c r="C298" s="1037"/>
      <c r="D298" s="1038"/>
      <c r="E298" s="264"/>
      <c r="F298" s="264"/>
      <c r="G298" s="264"/>
      <c r="H298" s="1125"/>
      <c r="I298" s="1116"/>
      <c r="J298" s="344"/>
      <c r="K298" s="1761" t="s">
        <v>3592</v>
      </c>
      <c r="L298" s="1775" t="s">
        <v>801</v>
      </c>
      <c r="M298" s="1479" t="s">
        <v>3593</v>
      </c>
      <c r="N298" s="1760"/>
      <c r="O298" s="1776">
        <v>521494004</v>
      </c>
      <c r="P298" s="344">
        <f t="shared" si="87"/>
        <v>521494004</v>
      </c>
      <c r="Q298" s="264"/>
      <c r="R298" s="264"/>
      <c r="S298" s="264"/>
      <c r="T298" s="264"/>
      <c r="U298" s="264"/>
      <c r="V298" s="264">
        <f t="shared" si="88"/>
        <v>521494004</v>
      </c>
      <c r="W298" s="1617" t="s">
        <v>3612</v>
      </c>
      <c r="X298" s="1598">
        <v>42728</v>
      </c>
      <c r="Y298" s="1598">
        <v>42731</v>
      </c>
      <c r="Z298" s="1618">
        <f t="shared" si="89"/>
        <v>521494004</v>
      </c>
      <c r="AA298" s="1233">
        <v>1</v>
      </c>
      <c r="AB298" s="507">
        <f t="shared" si="90"/>
        <v>-521494004</v>
      </c>
      <c r="AC298" s="352"/>
      <c r="AD298" s="53"/>
      <c r="AL298" s="103"/>
      <c r="AM298" s="103"/>
      <c r="AN298" s="103"/>
      <c r="AO298" s="103"/>
      <c r="AP298" s="103"/>
      <c r="AQ298" s="103"/>
      <c r="AR298" s="103"/>
      <c r="AS298" s="430"/>
      <c r="AT298" s="100"/>
      <c r="AU298" s="461"/>
    </row>
    <row r="299" spans="1:47" s="54" customFormat="1" ht="30">
      <c r="A299" s="561"/>
      <c r="B299" s="1037"/>
      <c r="C299" s="1037"/>
      <c r="D299" s="1038"/>
      <c r="E299" s="264"/>
      <c r="F299" s="264"/>
      <c r="G299" s="264"/>
      <c r="H299" s="1125"/>
      <c r="I299" s="1116"/>
      <c r="J299" s="344"/>
      <c r="K299" s="1761" t="s">
        <v>3594</v>
      </c>
      <c r="L299" s="1775" t="s">
        <v>801</v>
      </c>
      <c r="M299" s="1479" t="s">
        <v>3595</v>
      </c>
      <c r="N299" s="1760"/>
      <c r="O299" s="1776">
        <v>35939673</v>
      </c>
      <c r="P299" s="344">
        <f t="shared" si="87"/>
        <v>35939673</v>
      </c>
      <c r="Q299" s="264"/>
      <c r="R299" s="264"/>
      <c r="S299" s="264"/>
      <c r="T299" s="264"/>
      <c r="U299" s="264"/>
      <c r="V299" s="264">
        <f t="shared" si="88"/>
        <v>35939673</v>
      </c>
      <c r="W299" s="1617" t="s">
        <v>3612</v>
      </c>
      <c r="X299" s="1598">
        <v>42728</v>
      </c>
      <c r="Y299" s="1598">
        <v>42731</v>
      </c>
      <c r="Z299" s="1618">
        <f t="shared" si="89"/>
        <v>35939673</v>
      </c>
      <c r="AA299" s="1233">
        <v>1</v>
      </c>
      <c r="AB299" s="507">
        <f t="shared" si="90"/>
        <v>-35939673</v>
      </c>
      <c r="AC299" s="352"/>
      <c r="AD299" s="53"/>
      <c r="AL299" s="103"/>
      <c r="AM299" s="103"/>
      <c r="AN299" s="103"/>
      <c r="AO299" s="103"/>
      <c r="AP299" s="103"/>
      <c r="AQ299" s="103"/>
      <c r="AR299" s="103"/>
      <c r="AS299" s="430"/>
      <c r="AT299" s="100"/>
      <c r="AU299" s="461"/>
    </row>
    <row r="300" spans="1:47" s="54" customFormat="1" ht="30">
      <c r="A300" s="561"/>
      <c r="B300" s="1037"/>
      <c r="C300" s="1037"/>
      <c r="D300" s="1038"/>
      <c r="E300" s="264"/>
      <c r="F300" s="264"/>
      <c r="G300" s="264"/>
      <c r="H300" s="1125"/>
      <c r="I300" s="1116"/>
      <c r="J300" s="344"/>
      <c r="K300" s="1761" t="s">
        <v>3596</v>
      </c>
      <c r="L300" s="1361" t="s">
        <v>1082</v>
      </c>
      <c r="M300" s="1479" t="s">
        <v>3597</v>
      </c>
      <c r="N300" s="1760"/>
      <c r="O300" s="1776">
        <v>149768916</v>
      </c>
      <c r="P300" s="344">
        <f t="shared" si="87"/>
        <v>149768916</v>
      </c>
      <c r="Q300" s="264"/>
      <c r="R300" s="264"/>
      <c r="S300" s="264"/>
      <c r="T300" s="264"/>
      <c r="U300" s="264"/>
      <c r="V300" s="264">
        <f t="shared" si="88"/>
        <v>149768916</v>
      </c>
      <c r="W300" s="1617" t="s">
        <v>3612</v>
      </c>
      <c r="X300" s="1598">
        <v>42728</v>
      </c>
      <c r="Y300" s="1598">
        <v>42731</v>
      </c>
      <c r="Z300" s="1618">
        <f t="shared" si="89"/>
        <v>149768916</v>
      </c>
      <c r="AA300" s="1233">
        <v>1</v>
      </c>
      <c r="AB300" s="507">
        <f t="shared" si="90"/>
        <v>-149768916</v>
      </c>
      <c r="AC300" s="352"/>
      <c r="AD300" s="53"/>
      <c r="AL300" s="103"/>
      <c r="AM300" s="103"/>
      <c r="AN300" s="103"/>
      <c r="AO300" s="103"/>
      <c r="AP300" s="103"/>
      <c r="AQ300" s="103"/>
      <c r="AR300" s="103"/>
      <c r="AS300" s="430"/>
      <c r="AT300" s="100"/>
      <c r="AU300" s="461"/>
    </row>
    <row r="301" spans="1:47" s="54" customFormat="1" ht="30">
      <c r="A301" s="561"/>
      <c r="B301" s="1037"/>
      <c r="C301" s="1037"/>
      <c r="D301" s="1038"/>
      <c r="E301" s="264"/>
      <c r="F301" s="264"/>
      <c r="G301" s="264"/>
      <c r="H301" s="1125"/>
      <c r="I301" s="1116"/>
      <c r="J301" s="344"/>
      <c r="K301" s="1761" t="s">
        <v>3598</v>
      </c>
      <c r="L301" s="1361" t="s">
        <v>1082</v>
      </c>
      <c r="M301" s="1479" t="s">
        <v>3599</v>
      </c>
      <c r="N301" s="1760"/>
      <c r="O301" s="1776">
        <v>65157400</v>
      </c>
      <c r="P301" s="344">
        <f t="shared" si="87"/>
        <v>65157400</v>
      </c>
      <c r="Q301" s="264"/>
      <c r="R301" s="264"/>
      <c r="S301" s="264"/>
      <c r="T301" s="264"/>
      <c r="U301" s="264"/>
      <c r="V301" s="264">
        <f t="shared" si="88"/>
        <v>65157400</v>
      </c>
      <c r="W301" s="1617" t="s">
        <v>3612</v>
      </c>
      <c r="X301" s="1598">
        <v>42728</v>
      </c>
      <c r="Y301" s="1598">
        <v>42731</v>
      </c>
      <c r="Z301" s="1618">
        <f t="shared" si="89"/>
        <v>65157400</v>
      </c>
      <c r="AA301" s="1233">
        <v>1</v>
      </c>
      <c r="AB301" s="507">
        <f t="shared" si="90"/>
        <v>-65157400</v>
      </c>
      <c r="AC301" s="352"/>
      <c r="AD301" s="53"/>
      <c r="AL301" s="103"/>
      <c r="AM301" s="103"/>
      <c r="AN301" s="103"/>
      <c r="AO301" s="103"/>
      <c r="AP301" s="103"/>
      <c r="AQ301" s="103"/>
      <c r="AR301" s="103"/>
      <c r="AS301" s="430"/>
      <c r="AT301" s="100"/>
      <c r="AU301" s="461"/>
    </row>
    <row r="302" spans="1:47" s="54" customFormat="1" ht="30">
      <c r="A302" s="561"/>
      <c r="B302" s="1037"/>
      <c r="C302" s="1037"/>
      <c r="D302" s="1038"/>
      <c r="E302" s="264"/>
      <c r="F302" s="264"/>
      <c r="G302" s="264"/>
      <c r="H302" s="1125"/>
      <c r="I302" s="1116"/>
      <c r="J302" s="344"/>
      <c r="K302" s="1761" t="s">
        <v>3600</v>
      </c>
      <c r="L302" s="1361" t="s">
        <v>1082</v>
      </c>
      <c r="M302" s="1479" t="s">
        <v>3601</v>
      </c>
      <c r="N302" s="1760"/>
      <c r="O302" s="1776">
        <v>65084800</v>
      </c>
      <c r="P302" s="344">
        <f t="shared" si="87"/>
        <v>65084800</v>
      </c>
      <c r="Q302" s="264"/>
      <c r="R302" s="264"/>
      <c r="S302" s="264"/>
      <c r="T302" s="264"/>
      <c r="U302" s="264"/>
      <c r="V302" s="264">
        <f t="shared" si="88"/>
        <v>65084800</v>
      </c>
      <c r="W302" s="1617" t="s">
        <v>3612</v>
      </c>
      <c r="X302" s="1598">
        <v>42728</v>
      </c>
      <c r="Y302" s="1598">
        <v>42731</v>
      </c>
      <c r="Z302" s="1618">
        <f t="shared" si="89"/>
        <v>65084800</v>
      </c>
      <c r="AA302" s="1233">
        <v>1</v>
      </c>
      <c r="AB302" s="507">
        <f t="shared" si="90"/>
        <v>-65084800</v>
      </c>
      <c r="AC302" s="352"/>
      <c r="AD302" s="53"/>
      <c r="AL302" s="103"/>
      <c r="AM302" s="103"/>
      <c r="AN302" s="103"/>
      <c r="AO302" s="103"/>
      <c r="AP302" s="103"/>
      <c r="AQ302" s="103"/>
      <c r="AR302" s="103"/>
      <c r="AS302" s="430"/>
      <c r="AT302" s="100"/>
      <c r="AU302" s="461"/>
    </row>
    <row r="303" spans="1:47" s="54" customFormat="1" ht="30">
      <c r="A303" s="561"/>
      <c r="B303" s="1037"/>
      <c r="C303" s="1037"/>
      <c r="D303" s="1038"/>
      <c r="E303" s="264"/>
      <c r="F303" s="264"/>
      <c r="G303" s="264"/>
      <c r="H303" s="1125"/>
      <c r="I303" s="1116"/>
      <c r="J303" s="344"/>
      <c r="K303" s="1761" t="s">
        <v>3602</v>
      </c>
      <c r="L303" s="1361" t="s">
        <v>1082</v>
      </c>
      <c r="M303" s="1479" t="s">
        <v>3603</v>
      </c>
      <c r="N303" s="1760"/>
      <c r="O303" s="1776">
        <v>51023237</v>
      </c>
      <c r="P303" s="344">
        <f t="shared" si="87"/>
        <v>51023237</v>
      </c>
      <c r="Q303" s="264"/>
      <c r="R303" s="264"/>
      <c r="S303" s="264"/>
      <c r="T303" s="264"/>
      <c r="U303" s="264"/>
      <c r="V303" s="264">
        <f t="shared" si="88"/>
        <v>51023237</v>
      </c>
      <c r="W303" s="1617" t="s">
        <v>3612</v>
      </c>
      <c r="X303" s="1598">
        <v>42728</v>
      </c>
      <c r="Y303" s="1598">
        <v>42731</v>
      </c>
      <c r="Z303" s="1618">
        <f t="shared" si="89"/>
        <v>51023237</v>
      </c>
      <c r="AA303" s="1233">
        <v>1</v>
      </c>
      <c r="AB303" s="507">
        <f t="shared" si="90"/>
        <v>-51023237</v>
      </c>
      <c r="AC303" s="352"/>
      <c r="AD303" s="53"/>
      <c r="AL303" s="103"/>
      <c r="AM303" s="103"/>
      <c r="AN303" s="103"/>
      <c r="AO303" s="103"/>
      <c r="AP303" s="103"/>
      <c r="AQ303" s="103"/>
      <c r="AR303" s="103"/>
      <c r="AS303" s="430"/>
      <c r="AT303" s="100"/>
      <c r="AU303" s="461"/>
    </row>
    <row r="304" spans="1:47" s="54" customFormat="1" ht="30">
      <c r="A304" s="561"/>
      <c r="B304" s="1037"/>
      <c r="C304" s="1037"/>
      <c r="D304" s="1038"/>
      <c r="E304" s="264"/>
      <c r="F304" s="264"/>
      <c r="G304" s="264"/>
      <c r="H304" s="1125"/>
      <c r="I304" s="1116"/>
      <c r="J304" s="344"/>
      <c r="K304" s="1761" t="s">
        <v>3604</v>
      </c>
      <c r="L304" s="1361" t="s">
        <v>1082</v>
      </c>
      <c r="M304" s="1479" t="s">
        <v>3605</v>
      </c>
      <c r="N304" s="1760"/>
      <c r="O304" s="1776">
        <v>49857192</v>
      </c>
      <c r="P304" s="344">
        <f t="shared" si="87"/>
        <v>49857192</v>
      </c>
      <c r="Q304" s="264"/>
      <c r="R304" s="264"/>
      <c r="S304" s="264"/>
      <c r="T304" s="264"/>
      <c r="U304" s="264"/>
      <c r="V304" s="264">
        <f t="shared" si="88"/>
        <v>49857192</v>
      </c>
      <c r="W304" s="1617" t="s">
        <v>3612</v>
      </c>
      <c r="X304" s="1598">
        <v>42728</v>
      </c>
      <c r="Y304" s="1598">
        <v>42731</v>
      </c>
      <c r="Z304" s="1618">
        <f t="shared" si="89"/>
        <v>49857192</v>
      </c>
      <c r="AA304" s="1233">
        <v>1</v>
      </c>
      <c r="AB304" s="507">
        <f t="shared" si="90"/>
        <v>-49857192</v>
      </c>
      <c r="AC304" s="352"/>
      <c r="AD304" s="53"/>
      <c r="AL304" s="103"/>
      <c r="AM304" s="103"/>
      <c r="AN304" s="103"/>
      <c r="AO304" s="103"/>
      <c r="AP304" s="103"/>
      <c r="AQ304" s="103"/>
      <c r="AR304" s="103"/>
      <c r="AS304" s="430"/>
      <c r="AT304" s="100"/>
      <c r="AU304" s="461"/>
    </row>
    <row r="305" spans="1:47" s="54" customFormat="1" ht="31.5">
      <c r="A305" s="561"/>
      <c r="B305" s="1037"/>
      <c r="C305" s="1037"/>
      <c r="D305" s="1038"/>
      <c r="E305" s="264"/>
      <c r="F305" s="264"/>
      <c r="G305" s="264"/>
      <c r="H305" s="1125"/>
      <c r="I305" s="1116"/>
      <c r="J305" s="344"/>
      <c r="K305" s="1761" t="s">
        <v>3606</v>
      </c>
      <c r="L305" s="1361" t="s">
        <v>1082</v>
      </c>
      <c r="M305" s="1762" t="s">
        <v>3607</v>
      </c>
      <c r="N305" s="1760"/>
      <c r="O305" s="1763">
        <v>149285686</v>
      </c>
      <c r="P305" s="344">
        <f t="shared" si="87"/>
        <v>149285686</v>
      </c>
      <c r="Q305" s="264"/>
      <c r="R305" s="264"/>
      <c r="S305" s="264"/>
      <c r="T305" s="264"/>
      <c r="U305" s="264"/>
      <c r="V305" s="264">
        <f t="shared" si="88"/>
        <v>149285686</v>
      </c>
      <c r="W305" s="1617" t="s">
        <v>3612</v>
      </c>
      <c r="X305" s="1598">
        <v>42728</v>
      </c>
      <c r="Y305" s="1598">
        <v>42731</v>
      </c>
      <c r="Z305" s="1618">
        <f t="shared" si="89"/>
        <v>149285686</v>
      </c>
      <c r="AA305" s="1233">
        <v>1</v>
      </c>
      <c r="AB305" s="507">
        <f t="shared" si="90"/>
        <v>-149285686</v>
      </c>
      <c r="AC305" s="352"/>
      <c r="AD305" s="53"/>
      <c r="AL305" s="103"/>
      <c r="AM305" s="103"/>
      <c r="AN305" s="103"/>
      <c r="AO305" s="103"/>
      <c r="AP305" s="103"/>
      <c r="AQ305" s="103"/>
      <c r="AR305" s="103"/>
      <c r="AS305" s="430"/>
      <c r="AT305" s="100"/>
      <c r="AU305" s="461"/>
    </row>
    <row r="306" spans="1:47" s="54" customFormat="1" ht="31.5">
      <c r="A306" s="561"/>
      <c r="B306" s="1037"/>
      <c r="C306" s="1037"/>
      <c r="D306" s="1038"/>
      <c r="E306" s="264"/>
      <c r="F306" s="264"/>
      <c r="G306" s="264"/>
      <c r="H306" s="1125"/>
      <c r="I306" s="1116"/>
      <c r="J306" s="344"/>
      <c r="K306" s="1761" t="s">
        <v>3608</v>
      </c>
      <c r="L306" s="1361" t="s">
        <v>1082</v>
      </c>
      <c r="M306" s="1762" t="s">
        <v>3609</v>
      </c>
      <c r="N306" s="1760"/>
      <c r="O306" s="1763">
        <v>101922931</v>
      </c>
      <c r="P306" s="344">
        <f t="shared" si="87"/>
        <v>101922931</v>
      </c>
      <c r="Q306" s="264"/>
      <c r="R306" s="264"/>
      <c r="S306" s="264"/>
      <c r="T306" s="264"/>
      <c r="U306" s="264"/>
      <c r="V306" s="264">
        <f t="shared" si="88"/>
        <v>101922931</v>
      </c>
      <c r="W306" s="1617" t="s">
        <v>3612</v>
      </c>
      <c r="X306" s="1598">
        <v>42728</v>
      </c>
      <c r="Y306" s="1598">
        <v>42731</v>
      </c>
      <c r="Z306" s="1618">
        <f t="shared" si="89"/>
        <v>101922931</v>
      </c>
      <c r="AA306" s="1233">
        <v>1</v>
      </c>
      <c r="AB306" s="507">
        <f t="shared" si="90"/>
        <v>-101922931</v>
      </c>
      <c r="AC306" s="352"/>
      <c r="AD306" s="53"/>
      <c r="AL306" s="103"/>
      <c r="AM306" s="103"/>
      <c r="AN306" s="103"/>
      <c r="AO306" s="103"/>
      <c r="AP306" s="103"/>
      <c r="AQ306" s="103"/>
      <c r="AR306" s="103"/>
      <c r="AS306" s="430"/>
      <c r="AT306" s="100"/>
      <c r="AU306" s="461"/>
    </row>
    <row r="307" spans="1:47" s="54" customFormat="1" ht="31.5">
      <c r="A307" s="561"/>
      <c r="B307" s="1037"/>
      <c r="C307" s="1037"/>
      <c r="D307" s="1038"/>
      <c r="E307" s="264"/>
      <c r="F307" s="264"/>
      <c r="G307" s="264"/>
      <c r="H307" s="1125"/>
      <c r="I307" s="1116"/>
      <c r="J307" s="344"/>
      <c r="K307" s="1761" t="s">
        <v>3610</v>
      </c>
      <c r="L307" s="1361" t="s">
        <v>1082</v>
      </c>
      <c r="M307" s="1762" t="s">
        <v>3611</v>
      </c>
      <c r="N307" s="1760"/>
      <c r="O307" s="1763">
        <v>623252218</v>
      </c>
      <c r="P307" s="344">
        <f t="shared" si="87"/>
        <v>623252218</v>
      </c>
      <c r="Q307" s="264"/>
      <c r="R307" s="264"/>
      <c r="S307" s="264"/>
      <c r="T307" s="264"/>
      <c r="U307" s="264"/>
      <c r="V307" s="264">
        <f t="shared" si="88"/>
        <v>623252218</v>
      </c>
      <c r="W307" s="1617" t="s">
        <v>3612</v>
      </c>
      <c r="X307" s="1598">
        <v>42728</v>
      </c>
      <c r="Y307" s="1598">
        <v>42731</v>
      </c>
      <c r="Z307" s="1618">
        <f t="shared" si="89"/>
        <v>623252218</v>
      </c>
      <c r="AA307" s="1233">
        <v>1</v>
      </c>
      <c r="AB307" s="507">
        <f t="shared" si="90"/>
        <v>-623252218</v>
      </c>
      <c r="AC307" s="352"/>
      <c r="AD307" s="53"/>
      <c r="AL307" s="103"/>
      <c r="AM307" s="103"/>
      <c r="AN307" s="103"/>
      <c r="AO307" s="103"/>
      <c r="AP307" s="103"/>
      <c r="AQ307" s="103"/>
      <c r="AR307" s="103"/>
      <c r="AS307" s="430"/>
      <c r="AT307" s="100"/>
      <c r="AU307" s="461"/>
    </row>
    <row r="308" spans="1:47" s="54" customFormat="1" ht="30">
      <c r="A308" s="561"/>
      <c r="B308" s="1037"/>
      <c r="C308" s="1037"/>
      <c r="D308" s="1038"/>
      <c r="E308" s="264"/>
      <c r="F308" s="264"/>
      <c r="G308" s="264"/>
      <c r="H308" s="1125"/>
      <c r="I308" s="1116"/>
      <c r="J308" s="344"/>
      <c r="K308" s="1761" t="s">
        <v>3621</v>
      </c>
      <c r="L308" s="1775" t="s">
        <v>801</v>
      </c>
      <c r="M308" s="1481" t="s">
        <v>3622</v>
      </c>
      <c r="N308" s="1760"/>
      <c r="O308" s="1763">
        <v>24661098</v>
      </c>
      <c r="P308" s="344">
        <f t="shared" ref="P308:P317" si="91">N308+O308</f>
        <v>24661098</v>
      </c>
      <c r="Q308" s="264"/>
      <c r="R308" s="264"/>
      <c r="S308" s="264"/>
      <c r="T308" s="264"/>
      <c r="U308" s="264"/>
      <c r="V308" s="264">
        <f t="shared" ref="V308:V317" si="92">P308</f>
        <v>24661098</v>
      </c>
      <c r="W308" s="1617" t="s">
        <v>3640</v>
      </c>
      <c r="X308" s="1598">
        <v>42728</v>
      </c>
      <c r="Y308" s="1598">
        <v>42732</v>
      </c>
      <c r="Z308" s="1618">
        <f>V308</f>
        <v>24661098</v>
      </c>
      <c r="AA308" s="1233">
        <v>1</v>
      </c>
      <c r="AB308" s="507">
        <f>+G308-P308</f>
        <v>-24661098</v>
      </c>
      <c r="AC308" s="352"/>
      <c r="AD308" s="53"/>
      <c r="AL308" s="103"/>
      <c r="AM308" s="103"/>
      <c r="AN308" s="103"/>
      <c r="AO308" s="103"/>
      <c r="AP308" s="103"/>
      <c r="AQ308" s="103"/>
      <c r="AR308" s="103"/>
      <c r="AS308" s="430"/>
      <c r="AT308" s="100"/>
      <c r="AU308" s="461"/>
    </row>
    <row r="309" spans="1:47" s="54" customFormat="1" ht="30">
      <c r="A309" s="561"/>
      <c r="B309" s="1037"/>
      <c r="C309" s="1037"/>
      <c r="D309" s="1038"/>
      <c r="E309" s="264"/>
      <c r="F309" s="264"/>
      <c r="G309" s="264"/>
      <c r="H309" s="1125"/>
      <c r="I309" s="1116"/>
      <c r="J309" s="344"/>
      <c r="K309" s="1761" t="s">
        <v>3623</v>
      </c>
      <c r="L309" s="1775" t="s">
        <v>801</v>
      </c>
      <c r="M309" s="1481" t="s">
        <v>3624</v>
      </c>
      <c r="N309" s="1760"/>
      <c r="O309" s="1763">
        <v>21742466</v>
      </c>
      <c r="P309" s="344">
        <f t="shared" si="91"/>
        <v>21742466</v>
      </c>
      <c r="Q309" s="264"/>
      <c r="R309" s="264"/>
      <c r="S309" s="264"/>
      <c r="T309" s="264"/>
      <c r="U309" s="264"/>
      <c r="V309" s="264">
        <f t="shared" si="92"/>
        <v>21742466</v>
      </c>
      <c r="W309" s="1617" t="s">
        <v>3640</v>
      </c>
      <c r="X309" s="1598">
        <v>42728</v>
      </c>
      <c r="Y309" s="1598">
        <v>42732</v>
      </c>
      <c r="Z309" s="1618">
        <f t="shared" ref="Z309:Z317" si="93">V309</f>
        <v>21742466</v>
      </c>
      <c r="AA309" s="1233">
        <v>1</v>
      </c>
      <c r="AB309" s="507">
        <f t="shared" ref="AB309:AB317" si="94">+G309-P309</f>
        <v>-21742466</v>
      </c>
      <c r="AC309" s="352"/>
      <c r="AD309" s="53"/>
      <c r="AL309" s="103"/>
      <c r="AM309" s="103"/>
      <c r="AN309" s="103"/>
      <c r="AO309" s="103"/>
      <c r="AP309" s="103"/>
      <c r="AQ309" s="103"/>
      <c r="AR309" s="103"/>
      <c r="AS309" s="430"/>
      <c r="AT309" s="100"/>
      <c r="AU309" s="461"/>
    </row>
    <row r="310" spans="1:47" s="54" customFormat="1" ht="30">
      <c r="A310" s="561"/>
      <c r="B310" s="1037"/>
      <c r="C310" s="1037"/>
      <c r="D310" s="1038"/>
      <c r="E310" s="264"/>
      <c r="F310" s="264"/>
      <c r="G310" s="264"/>
      <c r="H310" s="1125"/>
      <c r="I310" s="1116"/>
      <c r="J310" s="344"/>
      <c r="K310" s="1761" t="s">
        <v>3625</v>
      </c>
      <c r="L310" s="1775" t="s">
        <v>801</v>
      </c>
      <c r="M310" s="1481" t="s">
        <v>3626</v>
      </c>
      <c r="N310" s="1760"/>
      <c r="O310" s="1763">
        <v>16050949</v>
      </c>
      <c r="P310" s="344">
        <f t="shared" si="91"/>
        <v>16050949</v>
      </c>
      <c r="Q310" s="264"/>
      <c r="R310" s="264"/>
      <c r="S310" s="264"/>
      <c r="T310" s="264"/>
      <c r="U310" s="264"/>
      <c r="V310" s="264">
        <f t="shared" si="92"/>
        <v>16050949</v>
      </c>
      <c r="W310" s="1617" t="s">
        <v>3640</v>
      </c>
      <c r="X310" s="1598">
        <v>42728</v>
      </c>
      <c r="Y310" s="1598">
        <v>42732</v>
      </c>
      <c r="Z310" s="1618">
        <f t="shared" si="93"/>
        <v>16050949</v>
      </c>
      <c r="AA310" s="1233">
        <v>1</v>
      </c>
      <c r="AB310" s="507">
        <f t="shared" si="94"/>
        <v>-16050949</v>
      </c>
      <c r="AC310" s="352"/>
      <c r="AD310" s="53"/>
      <c r="AL310" s="103"/>
      <c r="AM310" s="103"/>
      <c r="AN310" s="103"/>
      <c r="AO310" s="103"/>
      <c r="AP310" s="103"/>
      <c r="AQ310" s="103"/>
      <c r="AR310" s="103"/>
      <c r="AS310" s="430"/>
      <c r="AT310" s="100"/>
      <c r="AU310" s="461"/>
    </row>
    <row r="311" spans="1:47" s="54" customFormat="1" ht="30">
      <c r="A311" s="561"/>
      <c r="B311" s="1037"/>
      <c r="C311" s="1037"/>
      <c r="D311" s="1038"/>
      <c r="E311" s="264"/>
      <c r="F311" s="264"/>
      <c r="G311" s="264"/>
      <c r="H311" s="1125"/>
      <c r="I311" s="1116"/>
      <c r="J311" s="344"/>
      <c r="K311" s="1761" t="s">
        <v>3627</v>
      </c>
      <c r="L311" s="1775" t="s">
        <v>801</v>
      </c>
      <c r="M311" s="1481" t="s">
        <v>3628</v>
      </c>
      <c r="N311" s="1760"/>
      <c r="O311" s="1763">
        <v>6270260</v>
      </c>
      <c r="P311" s="344">
        <f t="shared" si="91"/>
        <v>6270260</v>
      </c>
      <c r="Q311" s="264"/>
      <c r="R311" s="264"/>
      <c r="S311" s="264"/>
      <c r="T311" s="264"/>
      <c r="U311" s="264"/>
      <c r="V311" s="264">
        <f t="shared" si="92"/>
        <v>6270260</v>
      </c>
      <c r="W311" s="1617" t="s">
        <v>3640</v>
      </c>
      <c r="X311" s="1598">
        <v>42728</v>
      </c>
      <c r="Y311" s="1598">
        <v>42732</v>
      </c>
      <c r="Z311" s="1618">
        <f t="shared" si="93"/>
        <v>6270260</v>
      </c>
      <c r="AA311" s="1233">
        <v>1</v>
      </c>
      <c r="AB311" s="507">
        <f t="shared" si="94"/>
        <v>-6270260</v>
      </c>
      <c r="AC311" s="352"/>
      <c r="AD311" s="53"/>
      <c r="AL311" s="103"/>
      <c r="AM311" s="103"/>
      <c r="AN311" s="103"/>
      <c r="AO311" s="103"/>
      <c r="AP311" s="103"/>
      <c r="AQ311" s="103"/>
      <c r="AR311" s="103"/>
      <c r="AS311" s="430"/>
      <c r="AT311" s="100"/>
      <c r="AU311" s="461"/>
    </row>
    <row r="312" spans="1:47" s="54" customFormat="1" ht="30">
      <c r="A312" s="561"/>
      <c r="B312" s="1037"/>
      <c r="C312" s="1037"/>
      <c r="D312" s="1038"/>
      <c r="E312" s="264"/>
      <c r="F312" s="264"/>
      <c r="G312" s="264"/>
      <c r="H312" s="1125"/>
      <c r="I312" s="1116"/>
      <c r="J312" s="344"/>
      <c r="K312" s="1761" t="s">
        <v>3629</v>
      </c>
      <c r="L312" s="1775" t="s">
        <v>801</v>
      </c>
      <c r="M312" s="1481" t="s">
        <v>3630</v>
      </c>
      <c r="N312" s="1760"/>
      <c r="O312" s="1763">
        <v>18483350</v>
      </c>
      <c r="P312" s="344">
        <f t="shared" si="91"/>
        <v>18483350</v>
      </c>
      <c r="Q312" s="264"/>
      <c r="R312" s="264"/>
      <c r="S312" s="264"/>
      <c r="T312" s="264"/>
      <c r="U312" s="264"/>
      <c r="V312" s="264">
        <f t="shared" si="92"/>
        <v>18483350</v>
      </c>
      <c r="W312" s="1617" t="s">
        <v>3640</v>
      </c>
      <c r="X312" s="1598">
        <v>42728</v>
      </c>
      <c r="Y312" s="1598">
        <v>42732</v>
      </c>
      <c r="Z312" s="1618">
        <f t="shared" si="93"/>
        <v>18483350</v>
      </c>
      <c r="AA312" s="1233">
        <v>1</v>
      </c>
      <c r="AB312" s="507">
        <f t="shared" si="94"/>
        <v>-18483350</v>
      </c>
      <c r="AC312" s="352"/>
      <c r="AD312" s="53"/>
      <c r="AL312" s="103"/>
      <c r="AM312" s="103"/>
      <c r="AN312" s="103"/>
      <c r="AO312" s="103"/>
      <c r="AP312" s="103"/>
      <c r="AQ312" s="103"/>
      <c r="AR312" s="103"/>
      <c r="AS312" s="430"/>
      <c r="AT312" s="100"/>
      <c r="AU312" s="461"/>
    </row>
    <row r="313" spans="1:47" s="54" customFormat="1" ht="30">
      <c r="A313" s="561"/>
      <c r="B313" s="1037"/>
      <c r="C313" s="1037"/>
      <c r="D313" s="1038"/>
      <c r="E313" s="264"/>
      <c r="F313" s="264"/>
      <c r="G313" s="264"/>
      <c r="H313" s="1125"/>
      <c r="I313" s="1116"/>
      <c r="J313" s="344"/>
      <c r="K313" s="1761" t="s">
        <v>3631</v>
      </c>
      <c r="L313" s="1775" t="s">
        <v>801</v>
      </c>
      <c r="M313" s="1481" t="s">
        <v>3632</v>
      </c>
      <c r="N313" s="1760"/>
      <c r="O313" s="1763">
        <v>20094228</v>
      </c>
      <c r="P313" s="344">
        <f t="shared" si="91"/>
        <v>20094228</v>
      </c>
      <c r="Q313" s="264"/>
      <c r="R313" s="264"/>
      <c r="S313" s="264"/>
      <c r="T313" s="264"/>
      <c r="U313" s="264"/>
      <c r="V313" s="264">
        <f t="shared" si="92"/>
        <v>20094228</v>
      </c>
      <c r="W313" s="1617" t="s">
        <v>3640</v>
      </c>
      <c r="X313" s="1598">
        <v>42728</v>
      </c>
      <c r="Y313" s="1598">
        <v>42732</v>
      </c>
      <c r="Z313" s="1618">
        <f t="shared" si="93"/>
        <v>20094228</v>
      </c>
      <c r="AA313" s="1233">
        <v>1</v>
      </c>
      <c r="AB313" s="507">
        <f t="shared" si="94"/>
        <v>-20094228</v>
      </c>
      <c r="AC313" s="352"/>
      <c r="AD313" s="53"/>
      <c r="AL313" s="103"/>
      <c r="AM313" s="103"/>
      <c r="AN313" s="103"/>
      <c r="AO313" s="103"/>
      <c r="AP313" s="103"/>
      <c r="AQ313" s="103"/>
      <c r="AR313" s="103"/>
      <c r="AS313" s="430"/>
      <c r="AT313" s="100"/>
      <c r="AU313" s="461"/>
    </row>
    <row r="314" spans="1:47" s="54" customFormat="1" ht="30">
      <c r="A314" s="561"/>
      <c r="B314" s="1037"/>
      <c r="C314" s="1037"/>
      <c r="D314" s="1038"/>
      <c r="E314" s="264"/>
      <c r="F314" s="264"/>
      <c r="G314" s="264"/>
      <c r="H314" s="1125"/>
      <c r="I314" s="1116"/>
      <c r="J314" s="344"/>
      <c r="K314" s="1761" t="s">
        <v>3633</v>
      </c>
      <c r="L314" s="1775" t="s">
        <v>801</v>
      </c>
      <c r="M314" s="1481" t="s">
        <v>3628</v>
      </c>
      <c r="N314" s="1760"/>
      <c r="O314" s="1763">
        <v>6271531</v>
      </c>
      <c r="P314" s="344">
        <f t="shared" si="91"/>
        <v>6271531</v>
      </c>
      <c r="Q314" s="264"/>
      <c r="R314" s="264"/>
      <c r="S314" s="264"/>
      <c r="T314" s="264"/>
      <c r="U314" s="264"/>
      <c r="V314" s="264">
        <f t="shared" si="92"/>
        <v>6271531</v>
      </c>
      <c r="W314" s="1617" t="s">
        <v>3640</v>
      </c>
      <c r="X314" s="1598">
        <v>42728</v>
      </c>
      <c r="Y314" s="1598">
        <v>42732</v>
      </c>
      <c r="Z314" s="1618">
        <f t="shared" si="93"/>
        <v>6271531</v>
      </c>
      <c r="AA314" s="1233">
        <v>1</v>
      </c>
      <c r="AB314" s="507">
        <f t="shared" si="94"/>
        <v>-6271531</v>
      </c>
      <c r="AC314" s="352"/>
      <c r="AD314" s="53"/>
      <c r="AL314" s="103"/>
      <c r="AM314" s="103"/>
      <c r="AN314" s="103"/>
      <c r="AO314" s="103"/>
      <c r="AP314" s="103"/>
      <c r="AQ314" s="103"/>
      <c r="AR314" s="103"/>
      <c r="AS314" s="430"/>
      <c r="AT314" s="100"/>
      <c r="AU314" s="461"/>
    </row>
    <row r="315" spans="1:47" s="54" customFormat="1" ht="30">
      <c r="A315" s="561"/>
      <c r="B315" s="1037"/>
      <c r="C315" s="1037"/>
      <c r="D315" s="1038"/>
      <c r="E315" s="264"/>
      <c r="F315" s="264"/>
      <c r="G315" s="264"/>
      <c r="H315" s="1125"/>
      <c r="I315" s="1116"/>
      <c r="J315" s="344"/>
      <c r="K315" s="1761" t="s">
        <v>3634</v>
      </c>
      <c r="L315" s="1361" t="s">
        <v>1082</v>
      </c>
      <c r="M315" s="1481" t="s">
        <v>3635</v>
      </c>
      <c r="N315" s="1760"/>
      <c r="O315" s="1763">
        <v>5433450</v>
      </c>
      <c r="P315" s="344">
        <f t="shared" si="91"/>
        <v>5433450</v>
      </c>
      <c r="Q315" s="264"/>
      <c r="R315" s="264"/>
      <c r="S315" s="264"/>
      <c r="T315" s="264"/>
      <c r="U315" s="264"/>
      <c r="V315" s="264">
        <f t="shared" si="92"/>
        <v>5433450</v>
      </c>
      <c r="W315" s="1617" t="s">
        <v>3640</v>
      </c>
      <c r="X315" s="1598">
        <v>42728</v>
      </c>
      <c r="Y315" s="1598">
        <v>42732</v>
      </c>
      <c r="Z315" s="1618">
        <f t="shared" si="93"/>
        <v>5433450</v>
      </c>
      <c r="AA315" s="1233">
        <v>1</v>
      </c>
      <c r="AB315" s="507">
        <f t="shared" si="94"/>
        <v>-5433450</v>
      </c>
      <c r="AC315" s="352"/>
      <c r="AD315" s="53"/>
      <c r="AL315" s="103"/>
      <c r="AM315" s="103"/>
      <c r="AN315" s="103"/>
      <c r="AO315" s="103"/>
      <c r="AP315" s="103"/>
      <c r="AQ315" s="103"/>
      <c r="AR315" s="103"/>
      <c r="AS315" s="430"/>
      <c r="AT315" s="100"/>
      <c r="AU315" s="461"/>
    </row>
    <row r="316" spans="1:47" s="54" customFormat="1" ht="30">
      <c r="A316" s="561"/>
      <c r="B316" s="1037"/>
      <c r="C316" s="1037"/>
      <c r="D316" s="1038"/>
      <c r="E316" s="264"/>
      <c r="F316" s="264"/>
      <c r="G316" s="264"/>
      <c r="H316" s="1125"/>
      <c r="I316" s="1116"/>
      <c r="J316" s="344"/>
      <c r="K316" s="1761" t="s">
        <v>3636</v>
      </c>
      <c r="L316" s="1361" t="s">
        <v>1082</v>
      </c>
      <c r="M316" s="1481" t="s">
        <v>3637</v>
      </c>
      <c r="N316" s="1760"/>
      <c r="O316" s="1763">
        <v>16288800</v>
      </c>
      <c r="P316" s="344">
        <f t="shared" si="91"/>
        <v>16288800</v>
      </c>
      <c r="Q316" s="264"/>
      <c r="R316" s="264"/>
      <c r="S316" s="264"/>
      <c r="T316" s="264"/>
      <c r="U316" s="264"/>
      <c r="V316" s="264">
        <f t="shared" si="92"/>
        <v>16288800</v>
      </c>
      <c r="W316" s="1617" t="s">
        <v>3640</v>
      </c>
      <c r="X316" s="1598">
        <v>42728</v>
      </c>
      <c r="Y316" s="1598">
        <v>42732</v>
      </c>
      <c r="Z316" s="1618">
        <f t="shared" si="93"/>
        <v>16288800</v>
      </c>
      <c r="AA316" s="1233">
        <v>1</v>
      </c>
      <c r="AB316" s="507">
        <f t="shared" si="94"/>
        <v>-16288800</v>
      </c>
      <c r="AC316" s="352"/>
      <c r="AD316" s="53"/>
      <c r="AL316" s="103"/>
      <c r="AM316" s="103"/>
      <c r="AN316" s="103"/>
      <c r="AO316" s="103"/>
      <c r="AP316" s="103"/>
      <c r="AQ316" s="103"/>
      <c r="AR316" s="103"/>
      <c r="AS316" s="430"/>
      <c r="AT316" s="100"/>
      <c r="AU316" s="461"/>
    </row>
    <row r="317" spans="1:47" s="54" customFormat="1" ht="30">
      <c r="A317" s="561"/>
      <c r="B317" s="1037"/>
      <c r="C317" s="1037"/>
      <c r="D317" s="1038"/>
      <c r="E317" s="264"/>
      <c r="F317" s="264"/>
      <c r="G317" s="264"/>
      <c r="H317" s="1125"/>
      <c r="I317" s="1116"/>
      <c r="J317" s="344"/>
      <c r="K317" s="1761" t="s">
        <v>3638</v>
      </c>
      <c r="L317" s="1361" t="s">
        <v>1082</v>
      </c>
      <c r="M317" s="1481" t="s">
        <v>3639</v>
      </c>
      <c r="N317" s="1760"/>
      <c r="O317" s="1763">
        <v>16288800</v>
      </c>
      <c r="P317" s="344">
        <f t="shared" si="91"/>
        <v>16288800</v>
      </c>
      <c r="Q317" s="264"/>
      <c r="R317" s="264"/>
      <c r="S317" s="264"/>
      <c r="T317" s="264"/>
      <c r="U317" s="264"/>
      <c r="V317" s="264">
        <f t="shared" si="92"/>
        <v>16288800</v>
      </c>
      <c r="W317" s="1617" t="s">
        <v>3640</v>
      </c>
      <c r="X317" s="1598">
        <v>42728</v>
      </c>
      <c r="Y317" s="1598">
        <v>42732</v>
      </c>
      <c r="Z317" s="1618">
        <f t="shared" si="93"/>
        <v>16288800</v>
      </c>
      <c r="AA317" s="1233">
        <v>1</v>
      </c>
      <c r="AB317" s="507">
        <f t="shared" si="94"/>
        <v>-16288800</v>
      </c>
      <c r="AC317" s="352"/>
      <c r="AD317" s="53"/>
      <c r="AL317" s="103"/>
      <c r="AM317" s="103"/>
      <c r="AN317" s="103"/>
      <c r="AO317" s="103"/>
      <c r="AP317" s="103"/>
      <c r="AQ317" s="103"/>
      <c r="AR317" s="103"/>
      <c r="AS317" s="430"/>
      <c r="AT317" s="100"/>
      <c r="AU317" s="461"/>
    </row>
    <row r="318" spans="1:47" s="54" customFormat="1" ht="31.5">
      <c r="A318" s="561"/>
      <c r="B318" s="1037"/>
      <c r="C318" s="1037"/>
      <c r="D318" s="1038"/>
      <c r="E318" s="264"/>
      <c r="F318" s="264"/>
      <c r="G318" s="264"/>
      <c r="H318" s="1125"/>
      <c r="I318" s="1116"/>
      <c r="J318" s="344"/>
      <c r="K318" s="1761" t="s">
        <v>3642</v>
      </c>
      <c r="L318" s="1361" t="s">
        <v>1082</v>
      </c>
      <c r="M318" s="1481" t="s">
        <v>3643</v>
      </c>
      <c r="N318" s="1760"/>
      <c r="O318" s="1763">
        <v>197234400</v>
      </c>
      <c r="P318" s="344">
        <f>N318+O318</f>
        <v>197234400</v>
      </c>
      <c r="Q318" s="264"/>
      <c r="R318" s="264"/>
      <c r="S318" s="264"/>
      <c r="T318" s="264"/>
      <c r="U318" s="264"/>
      <c r="V318" s="264">
        <f>P318</f>
        <v>197234400</v>
      </c>
      <c r="W318" s="1617" t="s">
        <v>3547</v>
      </c>
      <c r="X318" s="1598">
        <v>42728</v>
      </c>
      <c r="Y318" s="1598">
        <v>42734</v>
      </c>
      <c r="Z318" s="1618">
        <f>V318</f>
        <v>197234400</v>
      </c>
      <c r="AA318" s="1233">
        <v>1</v>
      </c>
      <c r="AB318" s="507">
        <f>+G318-P318</f>
        <v>-197234400</v>
      </c>
      <c r="AC318" s="352"/>
      <c r="AD318" s="53"/>
      <c r="AL318" s="103"/>
      <c r="AM318" s="103"/>
      <c r="AN318" s="103"/>
      <c r="AO318" s="103"/>
      <c r="AP318" s="103"/>
      <c r="AQ318" s="103"/>
      <c r="AR318" s="103"/>
      <c r="AS318" s="430"/>
      <c r="AT318" s="100"/>
      <c r="AU318" s="461"/>
    </row>
    <row r="319" spans="1:47" s="54" customFormat="1" ht="31.5">
      <c r="A319" s="561"/>
      <c r="B319" s="1037"/>
      <c r="C319" s="1037"/>
      <c r="D319" s="1038"/>
      <c r="E319" s="264"/>
      <c r="F319" s="264"/>
      <c r="G319" s="264"/>
      <c r="H319" s="1125"/>
      <c r="I319" s="1116"/>
      <c r="J319" s="344"/>
      <c r="K319" s="1761" t="s">
        <v>3644</v>
      </c>
      <c r="L319" s="1361" t="s">
        <v>1082</v>
      </c>
      <c r="M319" s="1481" t="s">
        <v>3645</v>
      </c>
      <c r="N319" s="1760"/>
      <c r="O319" s="1763">
        <v>357522000</v>
      </c>
      <c r="P319" s="344">
        <f>N319+O319</f>
        <v>357522000</v>
      </c>
      <c r="Q319" s="264"/>
      <c r="R319" s="264"/>
      <c r="S319" s="264"/>
      <c r="T319" s="264"/>
      <c r="U319" s="264"/>
      <c r="V319" s="264">
        <f>P319</f>
        <v>357522000</v>
      </c>
      <c r="W319" s="1617" t="s">
        <v>3547</v>
      </c>
      <c r="X319" s="1598">
        <v>42728</v>
      </c>
      <c r="Y319" s="1598">
        <v>42734</v>
      </c>
      <c r="Z319" s="1618">
        <f>V319</f>
        <v>357522000</v>
      </c>
      <c r="AA319" s="1233">
        <v>1</v>
      </c>
      <c r="AB319" s="507">
        <f>+G319-P319</f>
        <v>-357522000</v>
      </c>
      <c r="AC319" s="352"/>
      <c r="AD319" s="53"/>
      <c r="AL319" s="103"/>
      <c r="AM319" s="103"/>
      <c r="AN319" s="103"/>
      <c r="AO319" s="103"/>
      <c r="AP319" s="103"/>
      <c r="AQ319" s="103"/>
      <c r="AR319" s="103"/>
      <c r="AS319" s="430"/>
      <c r="AT319" s="100"/>
      <c r="AU319" s="461"/>
    </row>
    <row r="320" spans="1:47" s="54" customFormat="1" ht="31.5">
      <c r="A320" s="561"/>
      <c r="B320" s="1037"/>
      <c r="C320" s="1037"/>
      <c r="D320" s="1038"/>
      <c r="E320" s="264"/>
      <c r="F320" s="264"/>
      <c r="G320" s="264"/>
      <c r="H320" s="1125"/>
      <c r="I320" s="1116"/>
      <c r="J320" s="344"/>
      <c r="K320" s="1761" t="s">
        <v>3646</v>
      </c>
      <c r="L320" s="1361" t="s">
        <v>1082</v>
      </c>
      <c r="M320" s="1481" t="s">
        <v>3647</v>
      </c>
      <c r="N320" s="1760"/>
      <c r="O320" s="1763">
        <v>62172000</v>
      </c>
      <c r="P320" s="344">
        <f>N320+O320</f>
        <v>62172000</v>
      </c>
      <c r="Q320" s="264"/>
      <c r="R320" s="264"/>
      <c r="S320" s="264"/>
      <c r="T320" s="264"/>
      <c r="U320" s="264"/>
      <c r="V320" s="264">
        <f>P320</f>
        <v>62172000</v>
      </c>
      <c r="W320" s="1617" t="s">
        <v>3547</v>
      </c>
      <c r="X320" s="1598">
        <v>42728</v>
      </c>
      <c r="Y320" s="1598">
        <v>42734</v>
      </c>
      <c r="Z320" s="1618">
        <f>V320</f>
        <v>62172000</v>
      </c>
      <c r="AA320" s="1233">
        <v>1</v>
      </c>
      <c r="AB320" s="507">
        <f>+G320-P320</f>
        <v>-62172000</v>
      </c>
      <c r="AC320" s="352"/>
      <c r="AD320" s="53"/>
      <c r="AL320" s="103"/>
      <c r="AM320" s="103"/>
      <c r="AN320" s="103"/>
      <c r="AO320" s="103"/>
      <c r="AP320" s="103"/>
      <c r="AQ320" s="103"/>
      <c r="AR320" s="103"/>
      <c r="AS320" s="430"/>
      <c r="AT320" s="100"/>
      <c r="AU320" s="461"/>
    </row>
    <row r="321" spans="1:47" s="54" customFormat="1" ht="30">
      <c r="A321" s="561"/>
      <c r="B321" s="1037"/>
      <c r="C321" s="1037"/>
      <c r="D321" s="1038"/>
      <c r="E321" s="264"/>
      <c r="F321" s="264"/>
      <c r="G321" s="264"/>
      <c r="H321" s="1125"/>
      <c r="I321" s="1116"/>
      <c r="J321" s="344"/>
      <c r="K321" s="1479" t="s">
        <v>3652</v>
      </c>
      <c r="L321" s="1775" t="s">
        <v>801</v>
      </c>
      <c r="M321" s="1481" t="s">
        <v>3653</v>
      </c>
      <c r="N321" s="1481"/>
      <c r="O321" s="1525">
        <v>50545327</v>
      </c>
      <c r="P321" s="344">
        <f>N321+O321</f>
        <v>50545327</v>
      </c>
      <c r="Q321" s="264"/>
      <c r="R321" s="264"/>
      <c r="S321" s="264"/>
      <c r="T321" s="264"/>
      <c r="U321" s="264"/>
      <c r="V321" s="264">
        <f>P321</f>
        <v>50545327</v>
      </c>
      <c r="W321" s="1617" t="s">
        <v>3649</v>
      </c>
      <c r="X321" s="1598">
        <v>42728</v>
      </c>
      <c r="Y321" s="1598">
        <v>42732</v>
      </c>
      <c r="Z321" s="1618">
        <f>V321</f>
        <v>50545327</v>
      </c>
      <c r="AA321" s="1233">
        <v>1</v>
      </c>
      <c r="AB321" s="507">
        <f>+G321-P321</f>
        <v>-50545327</v>
      </c>
      <c r="AC321" s="352"/>
      <c r="AD321" s="53"/>
      <c r="AL321" s="103"/>
      <c r="AM321" s="103"/>
      <c r="AN321" s="103"/>
      <c r="AO321" s="103"/>
      <c r="AP321" s="103"/>
      <c r="AQ321" s="103"/>
      <c r="AR321" s="103"/>
      <c r="AS321" s="430"/>
      <c r="AT321" s="100"/>
      <c r="AU321" s="461"/>
    </row>
    <row r="322" spans="1:47" s="54" customFormat="1" ht="30">
      <c r="A322" s="561"/>
      <c r="B322" s="1037"/>
      <c r="C322" s="1037"/>
      <c r="D322" s="1038"/>
      <c r="E322" s="264"/>
      <c r="F322" s="264"/>
      <c r="G322" s="264"/>
      <c r="H322" s="1125"/>
      <c r="I322" s="1116"/>
      <c r="J322" s="344"/>
      <c r="K322" s="1479" t="s">
        <v>3654</v>
      </c>
      <c r="L322" s="1775" t="s">
        <v>801</v>
      </c>
      <c r="M322" s="1775" t="s">
        <v>3655</v>
      </c>
      <c r="N322" s="1360"/>
      <c r="O322" s="1525">
        <v>63721119</v>
      </c>
      <c r="P322" s="344">
        <f t="shared" ref="P322:P331" si="95">N322+O322</f>
        <v>63721119</v>
      </c>
      <c r="Q322" s="264"/>
      <c r="R322" s="264"/>
      <c r="S322" s="264"/>
      <c r="T322" s="264"/>
      <c r="U322" s="264"/>
      <c r="V322" s="264">
        <f t="shared" ref="V322:V331" si="96">P322</f>
        <v>63721119</v>
      </c>
      <c r="W322" s="1617" t="s">
        <v>3582</v>
      </c>
      <c r="X322" s="1598">
        <v>42731</v>
      </c>
      <c r="Y322" s="1598">
        <v>42732</v>
      </c>
      <c r="Z322" s="1618">
        <f>V322</f>
        <v>63721119</v>
      </c>
      <c r="AA322" s="1233">
        <v>1</v>
      </c>
      <c r="AB322" s="507">
        <f>+G322-P322</f>
        <v>-63721119</v>
      </c>
      <c r="AC322" s="352"/>
      <c r="AD322" s="53"/>
      <c r="AL322" s="103"/>
      <c r="AM322" s="103"/>
      <c r="AN322" s="103"/>
      <c r="AO322" s="103"/>
      <c r="AP322" s="103"/>
      <c r="AQ322" s="103"/>
      <c r="AR322" s="103"/>
      <c r="AS322" s="430"/>
      <c r="AT322" s="100"/>
      <c r="AU322" s="461"/>
    </row>
    <row r="323" spans="1:47" s="54" customFormat="1" ht="30">
      <c r="A323" s="561"/>
      <c r="B323" s="1037"/>
      <c r="C323" s="1037"/>
      <c r="D323" s="1038"/>
      <c r="E323" s="264"/>
      <c r="F323" s="264"/>
      <c r="G323" s="264"/>
      <c r="H323" s="1125"/>
      <c r="I323" s="1116"/>
      <c r="J323" s="344"/>
      <c r="K323" s="1479" t="s">
        <v>3656</v>
      </c>
      <c r="L323" s="1775" t="s">
        <v>801</v>
      </c>
      <c r="M323" s="1775" t="s">
        <v>3657</v>
      </c>
      <c r="N323" s="1360"/>
      <c r="O323" s="1525">
        <v>290130097</v>
      </c>
      <c r="P323" s="344">
        <f t="shared" si="95"/>
        <v>290130097</v>
      </c>
      <c r="Q323" s="264"/>
      <c r="R323" s="264"/>
      <c r="S323" s="264"/>
      <c r="T323" s="264"/>
      <c r="U323" s="264"/>
      <c r="V323" s="264">
        <f t="shared" si="96"/>
        <v>290130097</v>
      </c>
      <c r="W323" s="1617" t="s">
        <v>3582</v>
      </c>
      <c r="X323" s="1598">
        <v>42731</v>
      </c>
      <c r="Y323" s="1598">
        <v>42732</v>
      </c>
      <c r="Z323" s="1618">
        <f t="shared" ref="Z323:Z331" si="97">V323</f>
        <v>290130097</v>
      </c>
      <c r="AA323" s="1233">
        <v>1</v>
      </c>
      <c r="AB323" s="507">
        <f t="shared" ref="AB323:AB331" si="98">+G323-P323</f>
        <v>-290130097</v>
      </c>
      <c r="AC323" s="352"/>
      <c r="AD323" s="53"/>
      <c r="AL323" s="103"/>
      <c r="AM323" s="103"/>
      <c r="AN323" s="103"/>
      <c r="AO323" s="103"/>
      <c r="AP323" s="103"/>
      <c r="AQ323" s="103"/>
      <c r="AR323" s="103"/>
      <c r="AS323" s="430"/>
      <c r="AT323" s="100"/>
      <c r="AU323" s="461"/>
    </row>
    <row r="324" spans="1:47" s="54" customFormat="1" ht="30">
      <c r="A324" s="561"/>
      <c r="B324" s="1037"/>
      <c r="C324" s="1037"/>
      <c r="D324" s="1038"/>
      <c r="E324" s="264"/>
      <c r="F324" s="264"/>
      <c r="G324" s="264"/>
      <c r="H324" s="1125"/>
      <c r="I324" s="1116"/>
      <c r="J324" s="344"/>
      <c r="K324" s="1479" t="s">
        <v>3658</v>
      </c>
      <c r="L324" s="1361" t="s">
        <v>1082</v>
      </c>
      <c r="M324" s="1775" t="s">
        <v>3659</v>
      </c>
      <c r="N324" s="1360"/>
      <c r="O324" s="1525">
        <v>86828270</v>
      </c>
      <c r="P324" s="344">
        <f t="shared" si="95"/>
        <v>86828270</v>
      </c>
      <c r="Q324" s="264"/>
      <c r="R324" s="264"/>
      <c r="S324" s="264"/>
      <c r="T324" s="264"/>
      <c r="U324" s="264"/>
      <c r="V324" s="264">
        <f t="shared" si="96"/>
        <v>86828270</v>
      </c>
      <c r="W324" s="1617" t="s">
        <v>3582</v>
      </c>
      <c r="X324" s="1598">
        <v>42731</v>
      </c>
      <c r="Y324" s="1598">
        <v>42732</v>
      </c>
      <c r="Z324" s="1618">
        <f t="shared" si="97"/>
        <v>86828270</v>
      </c>
      <c r="AA324" s="1233">
        <v>1</v>
      </c>
      <c r="AB324" s="507">
        <f t="shared" si="98"/>
        <v>-86828270</v>
      </c>
      <c r="AC324" s="352"/>
      <c r="AD324" s="53"/>
      <c r="AL324" s="103"/>
      <c r="AM324" s="103"/>
      <c r="AN324" s="103"/>
      <c r="AO324" s="103"/>
      <c r="AP324" s="103"/>
      <c r="AQ324" s="103"/>
      <c r="AR324" s="103"/>
      <c r="AS324" s="430"/>
      <c r="AT324" s="100"/>
      <c r="AU324" s="461"/>
    </row>
    <row r="325" spans="1:47" s="54" customFormat="1" ht="30">
      <c r="A325" s="561"/>
      <c r="B325" s="1037"/>
      <c r="C325" s="1037"/>
      <c r="D325" s="1038"/>
      <c r="E325" s="264"/>
      <c r="F325" s="264"/>
      <c r="G325" s="264"/>
      <c r="H325" s="1125"/>
      <c r="I325" s="1116"/>
      <c r="J325" s="344"/>
      <c r="K325" s="1479" t="s">
        <v>3660</v>
      </c>
      <c r="L325" s="1361" t="s">
        <v>1082</v>
      </c>
      <c r="M325" s="1775" t="s">
        <v>3661</v>
      </c>
      <c r="N325" s="1360"/>
      <c r="O325" s="1525">
        <v>102021161</v>
      </c>
      <c r="P325" s="344">
        <f t="shared" si="95"/>
        <v>102021161</v>
      </c>
      <c r="Q325" s="264"/>
      <c r="R325" s="264"/>
      <c r="S325" s="264"/>
      <c r="T325" s="264"/>
      <c r="U325" s="264"/>
      <c r="V325" s="264">
        <f t="shared" si="96"/>
        <v>102021161</v>
      </c>
      <c r="W325" s="1617" t="s">
        <v>3582</v>
      </c>
      <c r="X325" s="1598">
        <v>42731</v>
      </c>
      <c r="Y325" s="1598">
        <v>42732</v>
      </c>
      <c r="Z325" s="1618">
        <f t="shared" si="97"/>
        <v>102021161</v>
      </c>
      <c r="AA325" s="1233">
        <v>1</v>
      </c>
      <c r="AB325" s="507">
        <f t="shared" si="98"/>
        <v>-102021161</v>
      </c>
      <c r="AC325" s="352"/>
      <c r="AD325" s="53"/>
      <c r="AL325" s="103"/>
      <c r="AM325" s="103"/>
      <c r="AN325" s="103"/>
      <c r="AO325" s="103"/>
      <c r="AP325" s="103"/>
      <c r="AQ325" s="103"/>
      <c r="AR325" s="103"/>
      <c r="AS325" s="430"/>
      <c r="AT325" s="100"/>
      <c r="AU325" s="461"/>
    </row>
    <row r="326" spans="1:47" s="54" customFormat="1" ht="30">
      <c r="A326" s="561"/>
      <c r="B326" s="1037"/>
      <c r="C326" s="1037"/>
      <c r="D326" s="1038"/>
      <c r="E326" s="264"/>
      <c r="F326" s="264"/>
      <c r="G326" s="264"/>
      <c r="H326" s="1125"/>
      <c r="I326" s="1116"/>
      <c r="J326" s="344"/>
      <c r="K326" s="1479" t="s">
        <v>2793</v>
      </c>
      <c r="L326" s="1361" t="s">
        <v>1082</v>
      </c>
      <c r="M326" s="1775" t="s">
        <v>3662</v>
      </c>
      <c r="N326" s="1360"/>
      <c r="O326" s="1525">
        <v>160491650</v>
      </c>
      <c r="P326" s="344">
        <f t="shared" si="95"/>
        <v>160491650</v>
      </c>
      <c r="Q326" s="264"/>
      <c r="R326" s="264"/>
      <c r="S326" s="264"/>
      <c r="T326" s="264"/>
      <c r="U326" s="264"/>
      <c r="V326" s="264">
        <f t="shared" si="96"/>
        <v>160491650</v>
      </c>
      <c r="W326" s="1617" t="s">
        <v>3582</v>
      </c>
      <c r="X326" s="1598">
        <v>42731</v>
      </c>
      <c r="Y326" s="1598">
        <v>42732</v>
      </c>
      <c r="Z326" s="1618">
        <f t="shared" si="97"/>
        <v>160491650</v>
      </c>
      <c r="AA326" s="1233">
        <v>1</v>
      </c>
      <c r="AB326" s="507">
        <f t="shared" si="98"/>
        <v>-160491650</v>
      </c>
      <c r="AC326" s="352"/>
      <c r="AD326" s="53"/>
      <c r="AL326" s="103"/>
      <c r="AM326" s="103"/>
      <c r="AN326" s="103"/>
      <c r="AO326" s="103"/>
      <c r="AP326" s="103"/>
      <c r="AQ326" s="103"/>
      <c r="AR326" s="103"/>
      <c r="AS326" s="430"/>
      <c r="AT326" s="100"/>
      <c r="AU326" s="461"/>
    </row>
    <row r="327" spans="1:47" s="54" customFormat="1" ht="30">
      <c r="A327" s="561"/>
      <c r="B327" s="1037"/>
      <c r="C327" s="1037"/>
      <c r="D327" s="1038"/>
      <c r="E327" s="264"/>
      <c r="F327" s="264"/>
      <c r="G327" s="264"/>
      <c r="H327" s="1125"/>
      <c r="I327" s="1116"/>
      <c r="J327" s="344"/>
      <c r="K327" s="1479" t="s">
        <v>3663</v>
      </c>
      <c r="L327" s="1361" t="s">
        <v>1082</v>
      </c>
      <c r="M327" s="1775" t="s">
        <v>3664</v>
      </c>
      <c r="N327" s="1360"/>
      <c r="O327" s="1525">
        <v>576654678</v>
      </c>
      <c r="P327" s="344">
        <f t="shared" si="95"/>
        <v>576654678</v>
      </c>
      <c r="Q327" s="264"/>
      <c r="R327" s="264"/>
      <c r="S327" s="264"/>
      <c r="T327" s="264"/>
      <c r="U327" s="264"/>
      <c r="V327" s="264">
        <f t="shared" si="96"/>
        <v>576654678</v>
      </c>
      <c r="W327" s="1617" t="s">
        <v>3582</v>
      </c>
      <c r="X327" s="1598">
        <v>42731</v>
      </c>
      <c r="Y327" s="1598">
        <v>42732</v>
      </c>
      <c r="Z327" s="1618">
        <f t="shared" si="97"/>
        <v>576654678</v>
      </c>
      <c r="AA327" s="1233">
        <v>1</v>
      </c>
      <c r="AB327" s="507">
        <f t="shared" si="98"/>
        <v>-576654678</v>
      </c>
      <c r="AC327" s="352"/>
      <c r="AD327" s="53"/>
      <c r="AL327" s="103"/>
      <c r="AM327" s="103"/>
      <c r="AN327" s="103"/>
      <c r="AO327" s="103"/>
      <c r="AP327" s="103"/>
      <c r="AQ327" s="103"/>
      <c r="AR327" s="103"/>
      <c r="AS327" s="430"/>
      <c r="AT327" s="100"/>
      <c r="AU327" s="461"/>
    </row>
    <row r="328" spans="1:47" s="54" customFormat="1" ht="30">
      <c r="A328" s="561"/>
      <c r="B328" s="1037"/>
      <c r="C328" s="1037"/>
      <c r="D328" s="1038"/>
      <c r="E328" s="264"/>
      <c r="F328" s="264"/>
      <c r="G328" s="264"/>
      <c r="H328" s="1125"/>
      <c r="I328" s="1116"/>
      <c r="J328" s="344"/>
      <c r="K328" s="1479" t="s">
        <v>3665</v>
      </c>
      <c r="L328" s="1361" t="s">
        <v>1082</v>
      </c>
      <c r="M328" s="1775" t="s">
        <v>3666</v>
      </c>
      <c r="N328" s="1360"/>
      <c r="O328" s="1525">
        <v>426250000</v>
      </c>
      <c r="P328" s="344">
        <f t="shared" si="95"/>
        <v>426250000</v>
      </c>
      <c r="Q328" s="264"/>
      <c r="R328" s="264"/>
      <c r="S328" s="264"/>
      <c r="T328" s="264"/>
      <c r="U328" s="264"/>
      <c r="V328" s="264">
        <f t="shared" si="96"/>
        <v>426250000</v>
      </c>
      <c r="W328" s="1617" t="s">
        <v>3582</v>
      </c>
      <c r="X328" s="1598">
        <v>42731</v>
      </c>
      <c r="Y328" s="1598">
        <v>42732</v>
      </c>
      <c r="Z328" s="1618">
        <f t="shared" si="97"/>
        <v>426250000</v>
      </c>
      <c r="AA328" s="1233">
        <v>1</v>
      </c>
      <c r="AB328" s="507">
        <f t="shared" si="98"/>
        <v>-426250000</v>
      </c>
      <c r="AC328" s="352"/>
      <c r="AD328" s="53"/>
      <c r="AL328" s="103"/>
      <c r="AM328" s="103"/>
      <c r="AN328" s="103"/>
      <c r="AO328" s="103"/>
      <c r="AP328" s="103"/>
      <c r="AQ328" s="103"/>
      <c r="AR328" s="103"/>
      <c r="AS328" s="430"/>
      <c r="AT328" s="100"/>
      <c r="AU328" s="461"/>
    </row>
    <row r="329" spans="1:47" s="54" customFormat="1" ht="30">
      <c r="A329" s="561"/>
      <c r="B329" s="1037"/>
      <c r="C329" s="1037"/>
      <c r="D329" s="1038"/>
      <c r="E329" s="264"/>
      <c r="F329" s="264"/>
      <c r="G329" s="264"/>
      <c r="H329" s="1125"/>
      <c r="I329" s="1116"/>
      <c r="J329" s="344"/>
      <c r="K329" s="1479" t="s">
        <v>3667</v>
      </c>
      <c r="L329" s="1361" t="s">
        <v>1082</v>
      </c>
      <c r="M329" s="1775" t="s">
        <v>3668</v>
      </c>
      <c r="N329" s="1360"/>
      <c r="O329" s="1525">
        <v>443300000</v>
      </c>
      <c r="P329" s="344">
        <f t="shared" si="95"/>
        <v>443300000</v>
      </c>
      <c r="Q329" s="264"/>
      <c r="R329" s="264"/>
      <c r="S329" s="264"/>
      <c r="T329" s="264"/>
      <c r="U329" s="264"/>
      <c r="V329" s="264">
        <f t="shared" si="96"/>
        <v>443300000</v>
      </c>
      <c r="W329" s="1617" t="s">
        <v>3582</v>
      </c>
      <c r="X329" s="1598">
        <v>42731</v>
      </c>
      <c r="Y329" s="1598">
        <v>42732</v>
      </c>
      <c r="Z329" s="1618">
        <f t="shared" si="97"/>
        <v>443300000</v>
      </c>
      <c r="AA329" s="1233">
        <v>1</v>
      </c>
      <c r="AB329" s="507">
        <f t="shared" si="98"/>
        <v>-443300000</v>
      </c>
      <c r="AC329" s="352"/>
      <c r="AD329" s="53"/>
      <c r="AL329" s="103"/>
      <c r="AM329" s="103"/>
      <c r="AN329" s="103"/>
      <c r="AO329" s="103"/>
      <c r="AP329" s="103"/>
      <c r="AQ329" s="103"/>
      <c r="AR329" s="103"/>
      <c r="AS329" s="430"/>
      <c r="AT329" s="100"/>
      <c r="AU329" s="461"/>
    </row>
    <row r="330" spans="1:47" s="54" customFormat="1" ht="30">
      <c r="A330" s="561"/>
      <c r="B330" s="1037"/>
      <c r="C330" s="1037"/>
      <c r="D330" s="1038"/>
      <c r="E330" s="264"/>
      <c r="F330" s="264"/>
      <c r="G330" s="264"/>
      <c r="H330" s="1125"/>
      <c r="I330" s="1116"/>
      <c r="J330" s="344"/>
      <c r="K330" s="1479" t="s">
        <v>3669</v>
      </c>
      <c r="L330" s="1361" t="s">
        <v>1082</v>
      </c>
      <c r="M330" s="1775" t="s">
        <v>3670</v>
      </c>
      <c r="N330" s="1360"/>
      <c r="O330" s="1525">
        <v>65183800</v>
      </c>
      <c r="P330" s="344">
        <f t="shared" si="95"/>
        <v>65183800</v>
      </c>
      <c r="Q330" s="264"/>
      <c r="R330" s="264"/>
      <c r="S330" s="264"/>
      <c r="T330" s="264"/>
      <c r="U330" s="264"/>
      <c r="V330" s="264">
        <f t="shared" si="96"/>
        <v>65183800</v>
      </c>
      <c r="W330" s="1617" t="s">
        <v>3582</v>
      </c>
      <c r="X330" s="1598">
        <v>42731</v>
      </c>
      <c r="Y330" s="1598">
        <v>42732</v>
      </c>
      <c r="Z330" s="1618">
        <f t="shared" si="97"/>
        <v>65183800</v>
      </c>
      <c r="AA330" s="1233">
        <v>1</v>
      </c>
      <c r="AB330" s="507">
        <f t="shared" si="98"/>
        <v>-65183800</v>
      </c>
      <c r="AC330" s="352"/>
      <c r="AD330" s="53"/>
      <c r="AL330" s="103"/>
      <c r="AM330" s="103"/>
      <c r="AN330" s="103"/>
      <c r="AO330" s="103"/>
      <c r="AP330" s="103"/>
      <c r="AQ330" s="103"/>
      <c r="AR330" s="103"/>
      <c r="AS330" s="430"/>
      <c r="AT330" s="100"/>
      <c r="AU330" s="461"/>
    </row>
    <row r="331" spans="1:47" s="54" customFormat="1" ht="30">
      <c r="A331" s="561"/>
      <c r="B331" s="1037"/>
      <c r="C331" s="1037"/>
      <c r="D331" s="1038"/>
      <c r="E331" s="264"/>
      <c r="F331" s="264"/>
      <c r="G331" s="264"/>
      <c r="H331" s="1125"/>
      <c r="I331" s="1116"/>
      <c r="J331" s="344"/>
      <c r="K331" s="1479" t="s">
        <v>3671</v>
      </c>
      <c r="L331" s="1361" t="s">
        <v>1082</v>
      </c>
      <c r="M331" s="1775" t="s">
        <v>3672</v>
      </c>
      <c r="N331" s="1360"/>
      <c r="O331" s="1525">
        <v>27140300</v>
      </c>
      <c r="P331" s="344">
        <f t="shared" si="95"/>
        <v>27140300</v>
      </c>
      <c r="Q331" s="264"/>
      <c r="R331" s="264"/>
      <c r="S331" s="264"/>
      <c r="T331" s="264"/>
      <c r="U331" s="264"/>
      <c r="V331" s="264">
        <f t="shared" si="96"/>
        <v>27140300</v>
      </c>
      <c r="W331" s="1617" t="s">
        <v>3582</v>
      </c>
      <c r="X331" s="1598">
        <v>42731</v>
      </c>
      <c r="Y331" s="1598">
        <v>42732</v>
      </c>
      <c r="Z331" s="1618">
        <f t="shared" si="97"/>
        <v>27140300</v>
      </c>
      <c r="AA331" s="1233">
        <v>1</v>
      </c>
      <c r="AB331" s="507">
        <f t="shared" si="98"/>
        <v>-27140300</v>
      </c>
      <c r="AC331" s="352"/>
      <c r="AD331" s="53"/>
      <c r="AL331" s="103"/>
      <c r="AM331" s="103"/>
      <c r="AN331" s="103"/>
      <c r="AO331" s="103"/>
      <c r="AP331" s="103"/>
      <c r="AQ331" s="103"/>
      <c r="AR331" s="103"/>
      <c r="AS331" s="430"/>
      <c r="AT331" s="100"/>
      <c r="AU331" s="461"/>
    </row>
    <row r="332" spans="1:47" s="54" customFormat="1" ht="30">
      <c r="A332" s="561"/>
      <c r="B332" s="1037"/>
      <c r="C332" s="1037"/>
      <c r="D332" s="1038"/>
      <c r="E332" s="264"/>
      <c r="F332" s="264"/>
      <c r="G332" s="264"/>
      <c r="H332" s="1125"/>
      <c r="I332" s="1116"/>
      <c r="J332" s="344"/>
      <c r="K332" s="1479" t="s">
        <v>3674</v>
      </c>
      <c r="L332" s="1775" t="s">
        <v>801</v>
      </c>
      <c r="M332" s="1481" t="s">
        <v>3675</v>
      </c>
      <c r="N332" s="1775"/>
      <c r="O332" s="1525">
        <v>21725591</v>
      </c>
      <c r="P332" s="344">
        <f t="shared" ref="P332:P337" si="99">N332+O332</f>
        <v>21725591</v>
      </c>
      <c r="Q332" s="264"/>
      <c r="R332" s="264"/>
      <c r="S332" s="264"/>
      <c r="T332" s="264"/>
      <c r="U332" s="264"/>
      <c r="V332" s="264">
        <f t="shared" ref="V332:V337" si="100">P332</f>
        <v>21725591</v>
      </c>
      <c r="W332" s="1617" t="s">
        <v>587</v>
      </c>
      <c r="X332" s="1598">
        <v>42731</v>
      </c>
      <c r="Y332" s="1598">
        <v>42734</v>
      </c>
      <c r="Z332" s="1618">
        <f t="shared" ref="Z332:Z337" si="101">V332</f>
        <v>21725591</v>
      </c>
      <c r="AA332" s="1233">
        <v>1</v>
      </c>
      <c r="AB332" s="507">
        <f t="shared" ref="AB332:AB337" si="102">+G332-P332</f>
        <v>-21725591</v>
      </c>
      <c r="AC332" s="352"/>
      <c r="AD332" s="53"/>
      <c r="AL332" s="103"/>
      <c r="AM332" s="103"/>
      <c r="AN332" s="103"/>
      <c r="AO332" s="103"/>
      <c r="AP332" s="103"/>
      <c r="AQ332" s="103"/>
      <c r="AR332" s="103"/>
      <c r="AS332" s="430"/>
      <c r="AT332" s="100"/>
      <c r="AU332" s="461"/>
    </row>
    <row r="333" spans="1:47" s="54" customFormat="1" ht="30">
      <c r="A333" s="561"/>
      <c r="B333" s="1037"/>
      <c r="C333" s="1037"/>
      <c r="D333" s="1038"/>
      <c r="E333" s="264"/>
      <c r="F333" s="264"/>
      <c r="G333" s="264"/>
      <c r="H333" s="1125"/>
      <c r="I333" s="1116"/>
      <c r="J333" s="344"/>
      <c r="K333" s="1479" t="s">
        <v>3676</v>
      </c>
      <c r="L333" s="1775" t="s">
        <v>801</v>
      </c>
      <c r="M333" s="1481" t="s">
        <v>3677</v>
      </c>
      <c r="N333" s="1775"/>
      <c r="O333" s="1525">
        <v>6270260</v>
      </c>
      <c r="P333" s="344">
        <f t="shared" si="99"/>
        <v>6270260</v>
      </c>
      <c r="Q333" s="264"/>
      <c r="R333" s="264"/>
      <c r="S333" s="264"/>
      <c r="T333" s="264"/>
      <c r="U333" s="264"/>
      <c r="V333" s="264">
        <f t="shared" si="100"/>
        <v>6270260</v>
      </c>
      <c r="W333" s="1617" t="s">
        <v>587</v>
      </c>
      <c r="X333" s="1598">
        <v>42731</v>
      </c>
      <c r="Y333" s="1598">
        <v>42734</v>
      </c>
      <c r="Z333" s="1618">
        <f t="shared" si="101"/>
        <v>6270260</v>
      </c>
      <c r="AA333" s="1233">
        <v>1</v>
      </c>
      <c r="AB333" s="507">
        <f t="shared" si="102"/>
        <v>-6270260</v>
      </c>
      <c r="AC333" s="352"/>
      <c r="AD333" s="53"/>
      <c r="AL333" s="103"/>
      <c r="AM333" s="103"/>
      <c r="AN333" s="103"/>
      <c r="AO333" s="103"/>
      <c r="AP333" s="103"/>
      <c r="AQ333" s="103"/>
      <c r="AR333" s="103"/>
      <c r="AS333" s="430"/>
      <c r="AT333" s="100"/>
      <c r="AU333" s="461"/>
    </row>
    <row r="334" spans="1:47" s="54" customFormat="1" ht="30">
      <c r="A334" s="561"/>
      <c r="B334" s="1037"/>
      <c r="C334" s="1037"/>
      <c r="D334" s="1038"/>
      <c r="E334" s="264"/>
      <c r="F334" s="264"/>
      <c r="G334" s="264"/>
      <c r="H334" s="1125"/>
      <c r="I334" s="1116"/>
      <c r="J334" s="344"/>
      <c r="K334" s="1479" t="s">
        <v>3678</v>
      </c>
      <c r="L334" s="1775" t="s">
        <v>801</v>
      </c>
      <c r="M334" s="1481" t="s">
        <v>3679</v>
      </c>
      <c r="N334" s="1775"/>
      <c r="O334" s="1525">
        <v>24624300</v>
      </c>
      <c r="P334" s="344">
        <f t="shared" si="99"/>
        <v>24624300</v>
      </c>
      <c r="Q334" s="264"/>
      <c r="R334" s="264"/>
      <c r="S334" s="264"/>
      <c r="T334" s="264"/>
      <c r="U334" s="264"/>
      <c r="V334" s="264">
        <f t="shared" si="100"/>
        <v>24624300</v>
      </c>
      <c r="W334" s="1617" t="s">
        <v>587</v>
      </c>
      <c r="X334" s="1598">
        <v>42731</v>
      </c>
      <c r="Y334" s="1598">
        <v>42734</v>
      </c>
      <c r="Z334" s="1618">
        <f t="shared" si="101"/>
        <v>24624300</v>
      </c>
      <c r="AA334" s="1233">
        <v>1</v>
      </c>
      <c r="AB334" s="507">
        <f t="shared" si="102"/>
        <v>-24624300</v>
      </c>
      <c r="AC334" s="352"/>
      <c r="AD334" s="53"/>
      <c r="AL334" s="103"/>
      <c r="AM334" s="103"/>
      <c r="AN334" s="103"/>
      <c r="AO334" s="103"/>
      <c r="AP334" s="103"/>
      <c r="AQ334" s="103"/>
      <c r="AR334" s="103"/>
      <c r="AS334" s="430"/>
      <c r="AT334" s="100"/>
      <c r="AU334" s="461"/>
    </row>
    <row r="335" spans="1:47" s="54" customFormat="1" ht="30">
      <c r="A335" s="561"/>
      <c r="B335" s="1037"/>
      <c r="C335" s="1037"/>
      <c r="D335" s="1038"/>
      <c r="E335" s="264"/>
      <c r="F335" s="264"/>
      <c r="G335" s="264"/>
      <c r="H335" s="1125"/>
      <c r="I335" s="1116"/>
      <c r="J335" s="344"/>
      <c r="K335" s="1479" t="s">
        <v>3680</v>
      </c>
      <c r="L335" s="1775" t="s">
        <v>801</v>
      </c>
      <c r="M335" s="1775" t="s">
        <v>3681</v>
      </c>
      <c r="N335" s="1360"/>
      <c r="O335" s="1525">
        <v>20039342</v>
      </c>
      <c r="P335" s="344">
        <f t="shared" si="99"/>
        <v>20039342</v>
      </c>
      <c r="Q335" s="264"/>
      <c r="R335" s="264"/>
      <c r="S335" s="264"/>
      <c r="T335" s="264"/>
      <c r="U335" s="264"/>
      <c r="V335" s="264">
        <f t="shared" si="100"/>
        <v>20039342</v>
      </c>
      <c r="W335" s="1617" t="s">
        <v>587</v>
      </c>
      <c r="X335" s="1598">
        <v>42731</v>
      </c>
      <c r="Y335" s="1598">
        <v>42734</v>
      </c>
      <c r="Z335" s="1618">
        <f t="shared" si="101"/>
        <v>20039342</v>
      </c>
      <c r="AA335" s="1233">
        <v>1</v>
      </c>
      <c r="AB335" s="507">
        <f t="shared" si="102"/>
        <v>-20039342</v>
      </c>
      <c r="AC335" s="352"/>
      <c r="AD335" s="53"/>
      <c r="AL335" s="103"/>
      <c r="AM335" s="103"/>
      <c r="AN335" s="103"/>
      <c r="AO335" s="103"/>
      <c r="AP335" s="103"/>
      <c r="AQ335" s="103"/>
      <c r="AR335" s="103"/>
      <c r="AS335" s="430"/>
      <c r="AT335" s="100"/>
      <c r="AU335" s="461"/>
    </row>
    <row r="336" spans="1:47" s="54" customFormat="1" ht="30">
      <c r="A336" s="561"/>
      <c r="B336" s="1037"/>
      <c r="C336" s="1037"/>
      <c r="D336" s="1038"/>
      <c r="E336" s="264"/>
      <c r="F336" s="264"/>
      <c r="G336" s="264"/>
      <c r="H336" s="1125"/>
      <c r="I336" s="1116"/>
      <c r="J336" s="344"/>
      <c r="K336" s="1479" t="s">
        <v>3682</v>
      </c>
      <c r="L336" s="1775" t="s">
        <v>801</v>
      </c>
      <c r="M336" s="1775" t="s">
        <v>3683</v>
      </c>
      <c r="N336" s="1360"/>
      <c r="O336" s="1525">
        <v>24621805</v>
      </c>
      <c r="P336" s="344">
        <f t="shared" si="99"/>
        <v>24621805</v>
      </c>
      <c r="Q336" s="264"/>
      <c r="R336" s="264"/>
      <c r="S336" s="264"/>
      <c r="T336" s="264"/>
      <c r="U336" s="264"/>
      <c r="V336" s="264">
        <f t="shared" si="100"/>
        <v>24621805</v>
      </c>
      <c r="W336" s="1617" t="s">
        <v>587</v>
      </c>
      <c r="X336" s="1598">
        <v>42731</v>
      </c>
      <c r="Y336" s="1598">
        <v>42734</v>
      </c>
      <c r="Z336" s="1618">
        <f t="shared" si="101"/>
        <v>24621805</v>
      </c>
      <c r="AA336" s="1233">
        <v>1</v>
      </c>
      <c r="AB336" s="507">
        <f t="shared" si="102"/>
        <v>-24621805</v>
      </c>
      <c r="AC336" s="352"/>
      <c r="AD336" s="53"/>
      <c r="AL336" s="103"/>
      <c r="AM336" s="103"/>
      <c r="AN336" s="103"/>
      <c r="AO336" s="103"/>
      <c r="AP336" s="103"/>
      <c r="AQ336" s="103"/>
      <c r="AR336" s="103"/>
      <c r="AS336" s="430"/>
      <c r="AT336" s="100"/>
      <c r="AU336" s="461"/>
    </row>
    <row r="337" spans="1:47" s="54" customFormat="1" ht="30">
      <c r="A337" s="561"/>
      <c r="B337" s="1037"/>
      <c r="C337" s="1037"/>
      <c r="D337" s="1038"/>
      <c r="E337" s="264"/>
      <c r="F337" s="264"/>
      <c r="G337" s="264"/>
      <c r="H337" s="1125"/>
      <c r="I337" s="1116"/>
      <c r="J337" s="344"/>
      <c r="K337" s="1479" t="s">
        <v>3685</v>
      </c>
      <c r="L337" s="1361" t="s">
        <v>1082</v>
      </c>
      <c r="M337" s="1775" t="s">
        <v>3686</v>
      </c>
      <c r="N337" s="1775"/>
      <c r="O337" s="1525">
        <v>552882000</v>
      </c>
      <c r="P337" s="344">
        <f t="shared" si="99"/>
        <v>552882000</v>
      </c>
      <c r="Q337" s="264"/>
      <c r="R337" s="264"/>
      <c r="S337" s="264"/>
      <c r="T337" s="264"/>
      <c r="U337" s="264"/>
      <c r="V337" s="264">
        <f t="shared" si="100"/>
        <v>552882000</v>
      </c>
      <c r="W337" s="1617" t="s">
        <v>3585</v>
      </c>
      <c r="X337" s="1598">
        <v>42732</v>
      </c>
      <c r="Y337" s="1598">
        <v>42734</v>
      </c>
      <c r="Z337" s="1618">
        <f t="shared" si="101"/>
        <v>552882000</v>
      </c>
      <c r="AA337" s="1233">
        <v>1</v>
      </c>
      <c r="AB337" s="507">
        <f t="shared" si="102"/>
        <v>-552882000</v>
      </c>
      <c r="AC337" s="352"/>
      <c r="AD337" s="53"/>
      <c r="AL337" s="103"/>
      <c r="AM337" s="103"/>
      <c r="AN337" s="103"/>
      <c r="AO337" s="103"/>
      <c r="AP337" s="103"/>
      <c r="AQ337" s="103"/>
      <c r="AR337" s="103"/>
      <c r="AS337" s="430"/>
      <c r="AT337" s="100"/>
      <c r="AU337" s="461"/>
    </row>
    <row r="338" spans="1:47" s="54" customFormat="1" ht="30">
      <c r="A338" s="561"/>
      <c r="B338" s="1037"/>
      <c r="C338" s="1037"/>
      <c r="D338" s="1038"/>
      <c r="E338" s="264"/>
      <c r="F338" s="264"/>
      <c r="G338" s="264"/>
      <c r="H338" s="1125"/>
      <c r="I338" s="1116"/>
      <c r="J338" s="344"/>
      <c r="K338" s="1479" t="s">
        <v>3687</v>
      </c>
      <c r="L338" s="1361" t="s">
        <v>1082</v>
      </c>
      <c r="M338" s="1775" t="s">
        <v>3688</v>
      </c>
      <c r="N338" s="1775"/>
      <c r="O338" s="1525">
        <v>526772400</v>
      </c>
      <c r="P338" s="344">
        <f t="shared" ref="P338:P343" si="103">N338+O338</f>
        <v>526772400</v>
      </c>
      <c r="Q338" s="264"/>
      <c r="R338" s="264"/>
      <c r="S338" s="264"/>
      <c r="T338" s="264"/>
      <c r="U338" s="264"/>
      <c r="V338" s="264">
        <f t="shared" ref="V338:V343" si="104">P338</f>
        <v>526772400</v>
      </c>
      <c r="W338" s="1617" t="s">
        <v>3585</v>
      </c>
      <c r="X338" s="1598">
        <v>42732</v>
      </c>
      <c r="Y338" s="1598">
        <v>42734</v>
      </c>
      <c r="Z338" s="1618">
        <f t="shared" ref="Z338:Z343" si="105">V338</f>
        <v>526772400</v>
      </c>
      <c r="AA338" s="1233">
        <v>1</v>
      </c>
      <c r="AB338" s="507">
        <f t="shared" ref="AB338:AB343" si="106">+G338-P338</f>
        <v>-526772400</v>
      </c>
      <c r="AC338" s="352"/>
      <c r="AD338" s="53"/>
      <c r="AL338" s="103"/>
      <c r="AM338" s="103"/>
      <c r="AN338" s="103"/>
      <c r="AO338" s="103"/>
      <c r="AP338" s="103"/>
      <c r="AQ338" s="103"/>
      <c r="AR338" s="103"/>
      <c r="AS338" s="430"/>
      <c r="AT338" s="100"/>
      <c r="AU338" s="461"/>
    </row>
    <row r="339" spans="1:47" s="54" customFormat="1" ht="30">
      <c r="A339" s="561"/>
      <c r="B339" s="1037"/>
      <c r="C339" s="1037"/>
      <c r="D339" s="1038"/>
      <c r="E339" s="264"/>
      <c r="F339" s="264"/>
      <c r="G339" s="264"/>
      <c r="H339" s="1125"/>
      <c r="I339" s="1116"/>
      <c r="J339" s="344"/>
      <c r="K339" s="1479" t="s">
        <v>3689</v>
      </c>
      <c r="L339" s="1361" t="s">
        <v>1082</v>
      </c>
      <c r="M339" s="1775" t="s">
        <v>3690</v>
      </c>
      <c r="N339" s="1775"/>
      <c r="O339" s="1525">
        <v>391591200</v>
      </c>
      <c r="P339" s="344">
        <f t="shared" si="103"/>
        <v>391591200</v>
      </c>
      <c r="Q339" s="264"/>
      <c r="R339" s="264"/>
      <c r="S339" s="264"/>
      <c r="T339" s="264"/>
      <c r="U339" s="264"/>
      <c r="V339" s="264">
        <f t="shared" si="104"/>
        <v>391591200</v>
      </c>
      <c r="W339" s="1617" t="s">
        <v>3585</v>
      </c>
      <c r="X339" s="1598">
        <v>42732</v>
      </c>
      <c r="Y339" s="1598">
        <v>42734</v>
      </c>
      <c r="Z339" s="1618">
        <f t="shared" si="105"/>
        <v>391591200</v>
      </c>
      <c r="AA339" s="1233">
        <v>1</v>
      </c>
      <c r="AB339" s="507">
        <f t="shared" si="106"/>
        <v>-391591200</v>
      </c>
      <c r="AC339" s="352"/>
      <c r="AD339" s="53"/>
      <c r="AL339" s="103"/>
      <c r="AM339" s="103"/>
      <c r="AN339" s="103"/>
      <c r="AO339" s="103"/>
      <c r="AP339" s="103"/>
      <c r="AQ339" s="103"/>
      <c r="AR339" s="103"/>
      <c r="AS339" s="430"/>
      <c r="AT339" s="100"/>
      <c r="AU339" s="461"/>
    </row>
    <row r="340" spans="1:47" s="54" customFormat="1" ht="30">
      <c r="A340" s="561"/>
      <c r="B340" s="1037"/>
      <c r="C340" s="1037"/>
      <c r="D340" s="1038"/>
      <c r="E340" s="264"/>
      <c r="F340" s="264"/>
      <c r="G340" s="264"/>
      <c r="H340" s="1125"/>
      <c r="I340" s="1116"/>
      <c r="J340" s="344"/>
      <c r="K340" s="1479" t="s">
        <v>3691</v>
      </c>
      <c r="L340" s="1361" t="s">
        <v>1082</v>
      </c>
      <c r="M340" s="1775" t="s">
        <v>3690</v>
      </c>
      <c r="N340" s="1775"/>
      <c r="O340" s="1525">
        <v>150084000</v>
      </c>
      <c r="P340" s="344">
        <f t="shared" si="103"/>
        <v>150084000</v>
      </c>
      <c r="Q340" s="264"/>
      <c r="R340" s="264"/>
      <c r="S340" s="264"/>
      <c r="T340" s="264"/>
      <c r="U340" s="264"/>
      <c r="V340" s="264">
        <f t="shared" si="104"/>
        <v>150084000</v>
      </c>
      <c r="W340" s="1617" t="s">
        <v>3585</v>
      </c>
      <c r="X340" s="1598">
        <v>42732</v>
      </c>
      <c r="Y340" s="1598">
        <v>42734</v>
      </c>
      <c r="Z340" s="1618">
        <f t="shared" si="105"/>
        <v>150084000</v>
      </c>
      <c r="AA340" s="1233">
        <v>1</v>
      </c>
      <c r="AB340" s="507">
        <f t="shared" si="106"/>
        <v>-150084000</v>
      </c>
      <c r="AC340" s="352"/>
      <c r="AD340" s="53"/>
      <c r="AL340" s="103"/>
      <c r="AM340" s="103"/>
      <c r="AN340" s="103"/>
      <c r="AO340" s="103"/>
      <c r="AP340" s="103"/>
      <c r="AQ340" s="103"/>
      <c r="AR340" s="103"/>
      <c r="AS340" s="430"/>
      <c r="AT340" s="100"/>
      <c r="AU340" s="461"/>
    </row>
    <row r="341" spans="1:47" s="54" customFormat="1" ht="30">
      <c r="A341" s="561"/>
      <c r="B341" s="1037"/>
      <c r="C341" s="1037"/>
      <c r="D341" s="1038"/>
      <c r="E341" s="264"/>
      <c r="F341" s="264"/>
      <c r="G341" s="264"/>
      <c r="H341" s="1125"/>
      <c r="I341" s="1116"/>
      <c r="J341" s="344"/>
      <c r="K341" s="1479" t="s">
        <v>3692</v>
      </c>
      <c r="L341" s="1361" t="s">
        <v>1082</v>
      </c>
      <c r="M341" s="1775" t="s">
        <v>3693</v>
      </c>
      <c r="N341" s="1775"/>
      <c r="O341" s="1525">
        <v>155364000</v>
      </c>
      <c r="P341" s="344">
        <f t="shared" si="103"/>
        <v>155364000</v>
      </c>
      <c r="Q341" s="264"/>
      <c r="R341" s="264"/>
      <c r="S341" s="264"/>
      <c r="T341" s="264"/>
      <c r="U341" s="264"/>
      <c r="V341" s="264">
        <f t="shared" si="104"/>
        <v>155364000</v>
      </c>
      <c r="W341" s="1617" t="s">
        <v>3585</v>
      </c>
      <c r="X341" s="1598">
        <v>42732</v>
      </c>
      <c r="Y341" s="1598">
        <v>42734</v>
      </c>
      <c r="Z341" s="1618">
        <f t="shared" si="105"/>
        <v>155364000</v>
      </c>
      <c r="AA341" s="1233">
        <v>1</v>
      </c>
      <c r="AB341" s="507">
        <f t="shared" si="106"/>
        <v>-155364000</v>
      </c>
      <c r="AC341" s="352"/>
      <c r="AD341" s="53"/>
      <c r="AL341" s="103"/>
      <c r="AM341" s="103"/>
      <c r="AN341" s="103"/>
      <c r="AO341" s="103"/>
      <c r="AP341" s="103"/>
      <c r="AQ341" s="103"/>
      <c r="AR341" s="103"/>
      <c r="AS341" s="430"/>
      <c r="AT341" s="100"/>
      <c r="AU341" s="461"/>
    </row>
    <row r="342" spans="1:47" s="54" customFormat="1" ht="30">
      <c r="A342" s="561"/>
      <c r="B342" s="1037"/>
      <c r="C342" s="1037"/>
      <c r="D342" s="1038"/>
      <c r="E342" s="264"/>
      <c r="F342" s="264"/>
      <c r="G342" s="264"/>
      <c r="H342" s="1125"/>
      <c r="I342" s="1116"/>
      <c r="J342" s="344"/>
      <c r="K342" s="1479" t="s">
        <v>3694</v>
      </c>
      <c r="L342" s="1361" t="s">
        <v>1082</v>
      </c>
      <c r="M342" s="1775" t="s">
        <v>3695</v>
      </c>
      <c r="N342" s="1775"/>
      <c r="O342" s="1525">
        <v>265108800</v>
      </c>
      <c r="P342" s="344">
        <f t="shared" si="103"/>
        <v>265108800</v>
      </c>
      <c r="Q342" s="264"/>
      <c r="R342" s="264"/>
      <c r="S342" s="264"/>
      <c r="T342" s="264"/>
      <c r="U342" s="264"/>
      <c r="V342" s="264">
        <f t="shared" si="104"/>
        <v>265108800</v>
      </c>
      <c r="W342" s="1617" t="s">
        <v>3585</v>
      </c>
      <c r="X342" s="1598">
        <v>42732</v>
      </c>
      <c r="Y342" s="1598">
        <v>42734</v>
      </c>
      <c r="Z342" s="1618">
        <f t="shared" si="105"/>
        <v>265108800</v>
      </c>
      <c r="AA342" s="1233">
        <v>1</v>
      </c>
      <c r="AB342" s="507">
        <f t="shared" si="106"/>
        <v>-265108800</v>
      </c>
      <c r="AC342" s="352"/>
      <c r="AD342" s="53"/>
      <c r="AL342" s="103"/>
      <c r="AM342" s="103"/>
      <c r="AN342" s="103"/>
      <c r="AO342" s="103"/>
      <c r="AP342" s="103"/>
      <c r="AQ342" s="103"/>
      <c r="AR342" s="103"/>
      <c r="AS342" s="430"/>
      <c r="AT342" s="100"/>
      <c r="AU342" s="461"/>
    </row>
    <row r="343" spans="1:47" s="54" customFormat="1" ht="30">
      <c r="A343" s="561"/>
      <c r="B343" s="1037"/>
      <c r="C343" s="1037"/>
      <c r="D343" s="1038"/>
      <c r="E343" s="264"/>
      <c r="F343" s="264"/>
      <c r="G343" s="264"/>
      <c r="H343" s="1125"/>
      <c r="I343" s="1116"/>
      <c r="J343" s="344"/>
      <c r="K343" s="1479" t="s">
        <v>3696</v>
      </c>
      <c r="L343" s="1361" t="s">
        <v>1082</v>
      </c>
      <c r="M343" s="1775" t="s">
        <v>3690</v>
      </c>
      <c r="N343" s="1775"/>
      <c r="O343" s="1525">
        <v>296142000</v>
      </c>
      <c r="P343" s="344">
        <f t="shared" si="103"/>
        <v>296142000</v>
      </c>
      <c r="Q343" s="264"/>
      <c r="R343" s="264"/>
      <c r="S343" s="264"/>
      <c r="T343" s="264"/>
      <c r="U343" s="264"/>
      <c r="V343" s="264">
        <f t="shared" si="104"/>
        <v>296142000</v>
      </c>
      <c r="W343" s="1617" t="s">
        <v>3585</v>
      </c>
      <c r="X343" s="1598">
        <v>42732</v>
      </c>
      <c r="Y343" s="1598">
        <v>42734</v>
      </c>
      <c r="Z343" s="1618">
        <f t="shared" si="105"/>
        <v>296142000</v>
      </c>
      <c r="AA343" s="1233">
        <v>1</v>
      </c>
      <c r="AB343" s="507">
        <f t="shared" si="106"/>
        <v>-296142000</v>
      </c>
      <c r="AC343" s="352"/>
      <c r="AD343" s="53"/>
      <c r="AL343" s="103"/>
      <c r="AM343" s="103"/>
      <c r="AN343" s="103"/>
      <c r="AO343" s="103"/>
      <c r="AP343" s="103"/>
      <c r="AQ343" s="103"/>
      <c r="AR343" s="103"/>
      <c r="AS343" s="430"/>
      <c r="AT343" s="100"/>
      <c r="AU343" s="461"/>
    </row>
    <row r="344" spans="1:47" s="54" customFormat="1" ht="30">
      <c r="A344" s="561"/>
      <c r="B344" s="1037"/>
      <c r="C344" s="1037"/>
      <c r="D344" s="1038"/>
      <c r="E344" s="264"/>
      <c r="F344" s="264"/>
      <c r="G344" s="264"/>
      <c r="H344" s="1125"/>
      <c r="I344" s="1116"/>
      <c r="J344" s="344"/>
      <c r="K344" s="1479" t="s">
        <v>3697</v>
      </c>
      <c r="L344" s="1361" t="s">
        <v>1082</v>
      </c>
      <c r="M344" s="1481" t="s">
        <v>3695</v>
      </c>
      <c r="N344" s="1775"/>
      <c r="O344" s="1525">
        <v>394416000</v>
      </c>
      <c r="P344" s="344">
        <f t="shared" ref="P344:P354" si="107">N344+O344</f>
        <v>394416000</v>
      </c>
      <c r="Q344" s="264"/>
      <c r="R344" s="264"/>
      <c r="S344" s="264"/>
      <c r="T344" s="264"/>
      <c r="U344" s="264"/>
      <c r="V344" s="264">
        <f t="shared" ref="V344:V354" si="108">P344</f>
        <v>394416000</v>
      </c>
      <c r="W344" s="1617" t="s">
        <v>3713</v>
      </c>
      <c r="X344" s="1598">
        <v>42732</v>
      </c>
      <c r="Y344" s="1598">
        <v>42734</v>
      </c>
      <c r="Z344" s="1618">
        <f>V344</f>
        <v>394416000</v>
      </c>
      <c r="AA344" s="1233">
        <v>1</v>
      </c>
      <c r="AB344" s="507">
        <f>+G344-P344</f>
        <v>-394416000</v>
      </c>
      <c r="AC344" s="352"/>
      <c r="AD344" s="53"/>
      <c r="AL344" s="103"/>
      <c r="AM344" s="103"/>
      <c r="AN344" s="103"/>
      <c r="AO344" s="103"/>
      <c r="AP344" s="103"/>
      <c r="AQ344" s="103"/>
      <c r="AR344" s="103"/>
      <c r="AS344" s="430"/>
      <c r="AT344" s="100"/>
      <c r="AU344" s="461"/>
    </row>
    <row r="345" spans="1:47" s="54" customFormat="1" ht="30">
      <c r="A345" s="561"/>
      <c r="B345" s="1037"/>
      <c r="C345" s="1037"/>
      <c r="D345" s="1038"/>
      <c r="E345" s="264"/>
      <c r="F345" s="264"/>
      <c r="G345" s="264"/>
      <c r="H345" s="1125"/>
      <c r="I345" s="1116"/>
      <c r="J345" s="344"/>
      <c r="K345" s="1479" t="s">
        <v>3698</v>
      </c>
      <c r="L345" s="1361" t="s">
        <v>1082</v>
      </c>
      <c r="M345" s="1481" t="s">
        <v>3699</v>
      </c>
      <c r="N345" s="1775"/>
      <c r="O345" s="1525">
        <v>86713440</v>
      </c>
      <c r="P345" s="344">
        <f t="shared" si="107"/>
        <v>86713440</v>
      </c>
      <c r="Q345" s="264"/>
      <c r="R345" s="264"/>
      <c r="S345" s="264"/>
      <c r="T345" s="264"/>
      <c r="U345" s="264"/>
      <c r="V345" s="264">
        <f t="shared" si="108"/>
        <v>86713440</v>
      </c>
      <c r="W345" s="1617" t="s">
        <v>3713</v>
      </c>
      <c r="X345" s="1598">
        <v>42732</v>
      </c>
      <c r="Y345" s="1598">
        <v>42734</v>
      </c>
      <c r="Z345" s="1618">
        <f t="shared" ref="Z345:Z354" si="109">V345</f>
        <v>86713440</v>
      </c>
      <c r="AA345" s="1233">
        <v>1</v>
      </c>
      <c r="AB345" s="507">
        <f t="shared" ref="AB345:AB354" si="110">+G345-P345</f>
        <v>-86713440</v>
      </c>
      <c r="AC345" s="352"/>
      <c r="AD345" s="53"/>
      <c r="AL345" s="103"/>
      <c r="AM345" s="103"/>
      <c r="AN345" s="103"/>
      <c r="AO345" s="103"/>
      <c r="AP345" s="103"/>
      <c r="AQ345" s="103"/>
      <c r="AR345" s="103"/>
      <c r="AS345" s="430"/>
      <c r="AT345" s="100"/>
      <c r="AU345" s="461"/>
    </row>
    <row r="346" spans="1:47" s="54" customFormat="1" ht="30">
      <c r="A346" s="561"/>
      <c r="B346" s="1037"/>
      <c r="C346" s="1037"/>
      <c r="D346" s="1038"/>
      <c r="E346" s="264"/>
      <c r="F346" s="264"/>
      <c r="G346" s="264"/>
      <c r="H346" s="1125"/>
      <c r="I346" s="1116"/>
      <c r="J346" s="344"/>
      <c r="K346" s="1479" t="s">
        <v>3700</v>
      </c>
      <c r="L346" s="1361" t="s">
        <v>1082</v>
      </c>
      <c r="M346" s="1481" t="s">
        <v>3695</v>
      </c>
      <c r="N346" s="1775"/>
      <c r="O346" s="1525">
        <v>528330000</v>
      </c>
      <c r="P346" s="344">
        <f t="shared" si="107"/>
        <v>528330000</v>
      </c>
      <c r="Q346" s="264"/>
      <c r="R346" s="264"/>
      <c r="S346" s="264"/>
      <c r="T346" s="264"/>
      <c r="U346" s="264"/>
      <c r="V346" s="264">
        <f t="shared" si="108"/>
        <v>528330000</v>
      </c>
      <c r="W346" s="1617" t="s">
        <v>3713</v>
      </c>
      <c r="X346" s="1598">
        <v>42732</v>
      </c>
      <c r="Y346" s="1598">
        <v>42734</v>
      </c>
      <c r="Z346" s="1618">
        <f t="shared" si="109"/>
        <v>528330000</v>
      </c>
      <c r="AA346" s="1233">
        <v>1</v>
      </c>
      <c r="AB346" s="507">
        <f t="shared" si="110"/>
        <v>-528330000</v>
      </c>
      <c r="AC346" s="352"/>
      <c r="AD346" s="53"/>
      <c r="AL346" s="103"/>
      <c r="AM346" s="103"/>
      <c r="AN346" s="103"/>
      <c r="AO346" s="103"/>
      <c r="AP346" s="103"/>
      <c r="AQ346" s="103"/>
      <c r="AR346" s="103"/>
      <c r="AS346" s="430"/>
      <c r="AT346" s="100"/>
      <c r="AU346" s="461"/>
    </row>
    <row r="347" spans="1:47" s="54" customFormat="1" ht="30">
      <c r="A347" s="561"/>
      <c r="B347" s="1037"/>
      <c r="C347" s="1037"/>
      <c r="D347" s="1038"/>
      <c r="E347" s="264"/>
      <c r="F347" s="264"/>
      <c r="G347" s="264"/>
      <c r="H347" s="1125"/>
      <c r="I347" s="1116"/>
      <c r="J347" s="344"/>
      <c r="K347" s="1479" t="s">
        <v>3701</v>
      </c>
      <c r="L347" s="1361" t="s">
        <v>1082</v>
      </c>
      <c r="M347" s="1481" t="s">
        <v>3702</v>
      </c>
      <c r="N347" s="1775"/>
      <c r="O347" s="1525">
        <v>103588606</v>
      </c>
      <c r="P347" s="344">
        <f t="shared" si="107"/>
        <v>103588606</v>
      </c>
      <c r="Q347" s="264"/>
      <c r="R347" s="264"/>
      <c r="S347" s="264"/>
      <c r="T347" s="264"/>
      <c r="U347" s="264"/>
      <c r="V347" s="264">
        <f t="shared" si="108"/>
        <v>103588606</v>
      </c>
      <c r="W347" s="1617" t="s">
        <v>3713</v>
      </c>
      <c r="X347" s="1598">
        <v>42732</v>
      </c>
      <c r="Y347" s="1598">
        <v>42734</v>
      </c>
      <c r="Z347" s="1618">
        <f t="shared" si="109"/>
        <v>103588606</v>
      </c>
      <c r="AA347" s="1233">
        <v>1</v>
      </c>
      <c r="AB347" s="507">
        <f t="shared" si="110"/>
        <v>-103588606</v>
      </c>
      <c r="AC347" s="352"/>
      <c r="AD347" s="53"/>
      <c r="AL347" s="103"/>
      <c r="AM347" s="103"/>
      <c r="AN347" s="103"/>
      <c r="AO347" s="103"/>
      <c r="AP347" s="103"/>
      <c r="AQ347" s="103"/>
      <c r="AR347" s="103"/>
      <c r="AS347" s="430"/>
      <c r="AT347" s="100"/>
      <c r="AU347" s="461"/>
    </row>
    <row r="348" spans="1:47" s="54" customFormat="1" ht="30">
      <c r="A348" s="561"/>
      <c r="B348" s="1037"/>
      <c r="C348" s="1037"/>
      <c r="D348" s="1038"/>
      <c r="E348" s="264"/>
      <c r="F348" s="264"/>
      <c r="G348" s="264"/>
      <c r="H348" s="1125"/>
      <c r="I348" s="1116"/>
      <c r="J348" s="344"/>
      <c r="K348" s="1479" t="s">
        <v>3703</v>
      </c>
      <c r="L348" s="1361" t="s">
        <v>1082</v>
      </c>
      <c r="M348" s="1481" t="s">
        <v>3704</v>
      </c>
      <c r="N348" s="1775"/>
      <c r="O348" s="1525">
        <v>137167250</v>
      </c>
      <c r="P348" s="344">
        <f t="shared" si="107"/>
        <v>137167250</v>
      </c>
      <c r="Q348" s="264"/>
      <c r="R348" s="264"/>
      <c r="S348" s="264"/>
      <c r="T348" s="264"/>
      <c r="U348" s="264"/>
      <c r="V348" s="264">
        <f t="shared" si="108"/>
        <v>137167250</v>
      </c>
      <c r="W348" s="1617" t="s">
        <v>3713</v>
      </c>
      <c r="X348" s="1598">
        <v>42732</v>
      </c>
      <c r="Y348" s="1598">
        <v>42734</v>
      </c>
      <c r="Z348" s="1618">
        <f t="shared" si="109"/>
        <v>137167250</v>
      </c>
      <c r="AA348" s="1233">
        <v>1</v>
      </c>
      <c r="AB348" s="507">
        <f t="shared" si="110"/>
        <v>-137167250</v>
      </c>
      <c r="AC348" s="352"/>
      <c r="AD348" s="53"/>
      <c r="AL348" s="103"/>
      <c r="AM348" s="103"/>
      <c r="AN348" s="103"/>
      <c r="AO348" s="103"/>
      <c r="AP348" s="103"/>
      <c r="AQ348" s="103"/>
      <c r="AR348" s="103"/>
      <c r="AS348" s="430"/>
      <c r="AT348" s="100"/>
      <c r="AU348" s="461"/>
    </row>
    <row r="349" spans="1:47" s="54" customFormat="1" ht="30">
      <c r="A349" s="561"/>
      <c r="B349" s="1037"/>
      <c r="C349" s="1037"/>
      <c r="D349" s="1038"/>
      <c r="E349" s="264"/>
      <c r="F349" s="264"/>
      <c r="G349" s="264"/>
      <c r="H349" s="1125"/>
      <c r="I349" s="1116"/>
      <c r="J349" s="344"/>
      <c r="K349" s="1479" t="s">
        <v>3705</v>
      </c>
      <c r="L349" s="1361" t="s">
        <v>1082</v>
      </c>
      <c r="M349" s="1481" t="s">
        <v>3695</v>
      </c>
      <c r="N349" s="1775"/>
      <c r="O349" s="1525">
        <v>654274000</v>
      </c>
      <c r="P349" s="344">
        <f t="shared" si="107"/>
        <v>654274000</v>
      </c>
      <c r="Q349" s="264"/>
      <c r="R349" s="264"/>
      <c r="S349" s="264"/>
      <c r="T349" s="264"/>
      <c r="U349" s="264"/>
      <c r="V349" s="264">
        <f t="shared" si="108"/>
        <v>654274000</v>
      </c>
      <c r="W349" s="1617" t="s">
        <v>3713</v>
      </c>
      <c r="X349" s="1598">
        <v>42732</v>
      </c>
      <c r="Y349" s="1598">
        <v>42734</v>
      </c>
      <c r="Z349" s="1618">
        <f t="shared" si="109"/>
        <v>654274000</v>
      </c>
      <c r="AA349" s="1233">
        <v>1</v>
      </c>
      <c r="AB349" s="507">
        <f t="shared" si="110"/>
        <v>-654274000</v>
      </c>
      <c r="AC349" s="352"/>
      <c r="AD349" s="53"/>
      <c r="AL349" s="103"/>
      <c r="AM349" s="103"/>
      <c r="AN349" s="103"/>
      <c r="AO349" s="103"/>
      <c r="AP349" s="103"/>
      <c r="AQ349" s="103"/>
      <c r="AR349" s="103"/>
      <c r="AS349" s="430"/>
      <c r="AT349" s="100"/>
      <c r="AU349" s="461"/>
    </row>
    <row r="350" spans="1:47" s="54" customFormat="1" ht="30">
      <c r="A350" s="561"/>
      <c r="B350" s="1037"/>
      <c r="C350" s="1037"/>
      <c r="D350" s="1038"/>
      <c r="E350" s="264"/>
      <c r="F350" s="264"/>
      <c r="G350" s="264"/>
      <c r="H350" s="1125"/>
      <c r="I350" s="1116"/>
      <c r="J350" s="344"/>
      <c r="K350" s="1479" t="s">
        <v>3706</v>
      </c>
      <c r="L350" s="1361" t="s">
        <v>1082</v>
      </c>
      <c r="M350" s="1481" t="s">
        <v>3707</v>
      </c>
      <c r="N350" s="1775"/>
      <c r="O350" s="1525">
        <v>321860000</v>
      </c>
      <c r="P350" s="344">
        <f t="shared" si="107"/>
        <v>321860000</v>
      </c>
      <c r="Q350" s="264"/>
      <c r="R350" s="264"/>
      <c r="S350" s="264"/>
      <c r="T350" s="264"/>
      <c r="U350" s="264"/>
      <c r="V350" s="264">
        <f t="shared" si="108"/>
        <v>321860000</v>
      </c>
      <c r="W350" s="1617" t="s">
        <v>3713</v>
      </c>
      <c r="X350" s="1598">
        <v>42732</v>
      </c>
      <c r="Y350" s="1598">
        <v>42734</v>
      </c>
      <c r="Z350" s="1618">
        <f t="shared" si="109"/>
        <v>321860000</v>
      </c>
      <c r="AA350" s="1233">
        <v>1</v>
      </c>
      <c r="AB350" s="507">
        <f t="shared" si="110"/>
        <v>-321860000</v>
      </c>
      <c r="AC350" s="352"/>
      <c r="AD350" s="53"/>
      <c r="AL350" s="103"/>
      <c r="AM350" s="103"/>
      <c r="AN350" s="103"/>
      <c r="AO350" s="103"/>
      <c r="AP350" s="103"/>
      <c r="AQ350" s="103"/>
      <c r="AR350" s="103"/>
      <c r="AS350" s="430"/>
      <c r="AT350" s="100"/>
      <c r="AU350" s="461"/>
    </row>
    <row r="351" spans="1:47" s="54" customFormat="1" ht="30">
      <c r="A351" s="561"/>
      <c r="B351" s="1037"/>
      <c r="C351" s="1037"/>
      <c r="D351" s="1038"/>
      <c r="E351" s="264"/>
      <c r="F351" s="264"/>
      <c r="G351" s="264"/>
      <c r="H351" s="1125"/>
      <c r="I351" s="1116"/>
      <c r="J351" s="344"/>
      <c r="K351" s="1479" t="s">
        <v>3708</v>
      </c>
      <c r="L351" s="1361" t="s">
        <v>1082</v>
      </c>
      <c r="M351" s="1481" t="s">
        <v>3690</v>
      </c>
      <c r="N351" s="1775"/>
      <c r="O351" s="1525">
        <v>261082800</v>
      </c>
      <c r="P351" s="344">
        <f t="shared" si="107"/>
        <v>261082800</v>
      </c>
      <c r="Q351" s="264"/>
      <c r="R351" s="264"/>
      <c r="S351" s="264"/>
      <c r="T351" s="264"/>
      <c r="U351" s="264"/>
      <c r="V351" s="264">
        <f t="shared" si="108"/>
        <v>261082800</v>
      </c>
      <c r="W351" s="1617" t="s">
        <v>3713</v>
      </c>
      <c r="X351" s="1598">
        <v>42732</v>
      </c>
      <c r="Y351" s="1598">
        <v>42734</v>
      </c>
      <c r="Z351" s="1618">
        <f t="shared" si="109"/>
        <v>261082800</v>
      </c>
      <c r="AA351" s="1233">
        <v>1</v>
      </c>
      <c r="AB351" s="507">
        <f t="shared" si="110"/>
        <v>-261082800</v>
      </c>
      <c r="AC351" s="352"/>
      <c r="AD351" s="53"/>
      <c r="AL351" s="103"/>
      <c r="AM351" s="103"/>
      <c r="AN351" s="103"/>
      <c r="AO351" s="103"/>
      <c r="AP351" s="103"/>
      <c r="AQ351" s="103"/>
      <c r="AR351" s="103"/>
      <c r="AS351" s="430"/>
      <c r="AT351" s="100"/>
      <c r="AU351" s="461"/>
    </row>
    <row r="352" spans="1:47" s="54" customFormat="1" ht="30">
      <c r="A352" s="561"/>
      <c r="B352" s="1037"/>
      <c r="C352" s="1037"/>
      <c r="D352" s="1038"/>
      <c r="E352" s="264"/>
      <c r="F352" s="264"/>
      <c r="G352" s="264"/>
      <c r="H352" s="1125"/>
      <c r="I352" s="1116"/>
      <c r="J352" s="344"/>
      <c r="K352" s="1479" t="s">
        <v>3709</v>
      </c>
      <c r="L352" s="1361" t="s">
        <v>1082</v>
      </c>
      <c r="M352" s="1481" t="s">
        <v>3695</v>
      </c>
      <c r="N352" s="1775"/>
      <c r="O352" s="1525">
        <v>395604000</v>
      </c>
      <c r="P352" s="344">
        <f t="shared" si="107"/>
        <v>395604000</v>
      </c>
      <c r="Q352" s="264"/>
      <c r="R352" s="264"/>
      <c r="S352" s="264"/>
      <c r="T352" s="264"/>
      <c r="U352" s="264"/>
      <c r="V352" s="264">
        <f t="shared" si="108"/>
        <v>395604000</v>
      </c>
      <c r="W352" s="1617" t="s">
        <v>3713</v>
      </c>
      <c r="X352" s="1598">
        <v>42732</v>
      </c>
      <c r="Y352" s="1598">
        <v>42734</v>
      </c>
      <c r="Z352" s="1618">
        <f t="shared" si="109"/>
        <v>395604000</v>
      </c>
      <c r="AA352" s="1233">
        <v>1</v>
      </c>
      <c r="AB352" s="507">
        <f t="shared" si="110"/>
        <v>-395604000</v>
      </c>
      <c r="AC352" s="352"/>
      <c r="AD352" s="53"/>
      <c r="AL352" s="103"/>
      <c r="AM352" s="103"/>
      <c r="AN352" s="103"/>
      <c r="AO352" s="103"/>
      <c r="AP352" s="103"/>
      <c r="AQ352" s="103"/>
      <c r="AR352" s="103"/>
      <c r="AS352" s="430"/>
      <c r="AT352" s="100"/>
      <c r="AU352" s="461"/>
    </row>
    <row r="353" spans="1:47" s="54" customFormat="1" ht="30">
      <c r="A353" s="561"/>
      <c r="B353" s="1037"/>
      <c r="C353" s="1037"/>
      <c r="D353" s="1038"/>
      <c r="E353" s="264"/>
      <c r="F353" s="264"/>
      <c r="G353" s="264"/>
      <c r="H353" s="1125"/>
      <c r="I353" s="1116"/>
      <c r="J353" s="344"/>
      <c r="K353" s="1479" t="s">
        <v>3710</v>
      </c>
      <c r="L353" s="1361" t="s">
        <v>1082</v>
      </c>
      <c r="M353" s="1481" t="s">
        <v>3690</v>
      </c>
      <c r="N353" s="1775"/>
      <c r="O353" s="1525">
        <v>263986800</v>
      </c>
      <c r="P353" s="344">
        <f t="shared" si="107"/>
        <v>263986800</v>
      </c>
      <c r="Q353" s="264"/>
      <c r="R353" s="264"/>
      <c r="S353" s="264"/>
      <c r="T353" s="264"/>
      <c r="U353" s="264"/>
      <c r="V353" s="264">
        <f t="shared" si="108"/>
        <v>263986800</v>
      </c>
      <c r="W353" s="1617" t="s">
        <v>3713</v>
      </c>
      <c r="X353" s="1598">
        <v>42732</v>
      </c>
      <c r="Y353" s="1598">
        <v>42734</v>
      </c>
      <c r="Z353" s="1618">
        <f t="shared" si="109"/>
        <v>263986800</v>
      </c>
      <c r="AA353" s="1233">
        <v>1</v>
      </c>
      <c r="AB353" s="507">
        <f t="shared" si="110"/>
        <v>-263986800</v>
      </c>
      <c r="AC353" s="352"/>
      <c r="AD353" s="53"/>
      <c r="AL353" s="103"/>
      <c r="AM353" s="103"/>
      <c r="AN353" s="103"/>
      <c r="AO353" s="103"/>
      <c r="AP353" s="103"/>
      <c r="AQ353" s="103"/>
      <c r="AR353" s="103"/>
      <c r="AS353" s="430"/>
      <c r="AT353" s="100"/>
      <c r="AU353" s="461"/>
    </row>
    <row r="354" spans="1:47" s="54" customFormat="1" ht="30">
      <c r="A354" s="561"/>
      <c r="B354" s="1037"/>
      <c r="C354" s="1037"/>
      <c r="D354" s="1038"/>
      <c r="E354" s="264"/>
      <c r="F354" s="264"/>
      <c r="G354" s="264"/>
      <c r="H354" s="1125"/>
      <c r="I354" s="1116"/>
      <c r="J354" s="344"/>
      <c r="K354" s="1479" t="s">
        <v>3711</v>
      </c>
      <c r="L354" s="1361" t="s">
        <v>1082</v>
      </c>
      <c r="M354" s="1775" t="s">
        <v>3712</v>
      </c>
      <c r="N354" s="1775"/>
      <c r="O354" s="1525">
        <v>234564000</v>
      </c>
      <c r="P354" s="344">
        <f t="shared" si="107"/>
        <v>234564000</v>
      </c>
      <c r="Q354" s="264"/>
      <c r="R354" s="264"/>
      <c r="S354" s="264"/>
      <c r="T354" s="264"/>
      <c r="U354" s="264"/>
      <c r="V354" s="264">
        <f t="shared" si="108"/>
        <v>234564000</v>
      </c>
      <c r="W354" s="1617" t="s">
        <v>3713</v>
      </c>
      <c r="X354" s="1598">
        <v>42732</v>
      </c>
      <c r="Y354" s="1598">
        <v>42734</v>
      </c>
      <c r="Z354" s="1618">
        <f t="shared" si="109"/>
        <v>234564000</v>
      </c>
      <c r="AA354" s="1233">
        <v>1</v>
      </c>
      <c r="AB354" s="507">
        <f t="shared" si="110"/>
        <v>-234564000</v>
      </c>
      <c r="AC354" s="352"/>
      <c r="AD354" s="53"/>
      <c r="AL354" s="103"/>
      <c r="AM354" s="103"/>
      <c r="AN354" s="103"/>
      <c r="AO354" s="103"/>
      <c r="AP354" s="103"/>
      <c r="AQ354" s="103"/>
      <c r="AR354" s="103"/>
      <c r="AS354" s="430"/>
      <c r="AT354" s="100"/>
      <c r="AU354" s="461"/>
    </row>
    <row r="355" spans="1:47" s="54" customFormat="1" ht="30">
      <c r="A355" s="561"/>
      <c r="B355" s="1037"/>
      <c r="C355" s="1037"/>
      <c r="D355" s="1038"/>
      <c r="E355" s="264"/>
      <c r="F355" s="264"/>
      <c r="G355" s="264"/>
      <c r="H355" s="1125"/>
      <c r="I355" s="1116"/>
      <c r="J355" s="344"/>
      <c r="K355" s="1479" t="s">
        <v>1973</v>
      </c>
      <c r="L355" s="1361" t="s">
        <v>1082</v>
      </c>
      <c r="M355" s="1481" t="s">
        <v>3714</v>
      </c>
      <c r="N355" s="1775"/>
      <c r="O355" s="1525">
        <v>16244800</v>
      </c>
      <c r="P355" s="344">
        <f t="shared" ref="P355:P363" si="111">N355+O355</f>
        <v>16244800</v>
      </c>
      <c r="Q355" s="264"/>
      <c r="R355" s="264"/>
      <c r="S355" s="264"/>
      <c r="T355" s="264"/>
      <c r="U355" s="264"/>
      <c r="V355" s="264">
        <f t="shared" ref="V355:V363" si="112">P355</f>
        <v>16244800</v>
      </c>
      <c r="W355" s="1617" t="s">
        <v>3616</v>
      </c>
      <c r="X355" s="1598">
        <v>42732</v>
      </c>
      <c r="Y355" s="1598">
        <v>42734</v>
      </c>
      <c r="Z355" s="1618">
        <f>V355</f>
        <v>16244800</v>
      </c>
      <c r="AA355" s="1233">
        <v>1</v>
      </c>
      <c r="AB355" s="507">
        <f>+G355-P355</f>
        <v>-16244800</v>
      </c>
      <c r="AC355" s="352"/>
      <c r="AD355" s="53"/>
      <c r="AL355" s="103"/>
      <c r="AM355" s="103"/>
      <c r="AN355" s="103"/>
      <c r="AO355" s="103"/>
      <c r="AP355" s="103"/>
      <c r="AQ355" s="103"/>
      <c r="AR355" s="103"/>
      <c r="AS355" s="430"/>
      <c r="AT355" s="100"/>
      <c r="AU355" s="461"/>
    </row>
    <row r="356" spans="1:47" s="54" customFormat="1" ht="30">
      <c r="A356" s="561"/>
      <c r="B356" s="1037"/>
      <c r="C356" s="1037"/>
      <c r="D356" s="1038"/>
      <c r="E356" s="264"/>
      <c r="F356" s="264"/>
      <c r="G356" s="264"/>
      <c r="H356" s="1125"/>
      <c r="I356" s="1116"/>
      <c r="J356" s="344"/>
      <c r="K356" s="1479" t="s">
        <v>3715</v>
      </c>
      <c r="L356" s="1775" t="s">
        <v>801</v>
      </c>
      <c r="M356" s="1481" t="s">
        <v>3716</v>
      </c>
      <c r="N356" s="1775"/>
      <c r="O356" s="1525">
        <v>8822715</v>
      </c>
      <c r="P356" s="344">
        <f t="shared" si="111"/>
        <v>8822715</v>
      </c>
      <c r="Q356" s="264"/>
      <c r="R356" s="264"/>
      <c r="S356" s="264"/>
      <c r="T356" s="264"/>
      <c r="U356" s="264"/>
      <c r="V356" s="264">
        <f t="shared" si="112"/>
        <v>8822715</v>
      </c>
      <c r="W356" s="1617" t="s">
        <v>3616</v>
      </c>
      <c r="X356" s="1598">
        <v>42732</v>
      </c>
      <c r="Y356" s="1598">
        <v>42734</v>
      </c>
      <c r="Z356" s="1618">
        <f t="shared" ref="Z356:Z363" si="113">V356</f>
        <v>8822715</v>
      </c>
      <c r="AA356" s="1233">
        <v>1</v>
      </c>
      <c r="AB356" s="507">
        <f t="shared" ref="AB356:AB363" si="114">+G356-P356</f>
        <v>-8822715</v>
      </c>
      <c r="AC356" s="352"/>
      <c r="AD356" s="53"/>
      <c r="AL356" s="103"/>
      <c r="AM356" s="103"/>
      <c r="AN356" s="103"/>
      <c r="AO356" s="103"/>
      <c r="AP356" s="103"/>
      <c r="AQ356" s="103"/>
      <c r="AR356" s="103"/>
      <c r="AS356" s="430"/>
      <c r="AT356" s="100"/>
      <c r="AU356" s="461"/>
    </row>
    <row r="357" spans="1:47" s="54" customFormat="1" ht="30">
      <c r="A357" s="561"/>
      <c r="B357" s="1037"/>
      <c r="C357" s="1037"/>
      <c r="D357" s="1038"/>
      <c r="E357" s="264"/>
      <c r="F357" s="264"/>
      <c r="G357" s="264"/>
      <c r="H357" s="1125"/>
      <c r="I357" s="1116"/>
      <c r="J357" s="344"/>
      <c r="K357" s="1479" t="s">
        <v>3717</v>
      </c>
      <c r="L357" s="1775" t="s">
        <v>801</v>
      </c>
      <c r="M357" s="1481" t="s">
        <v>3718</v>
      </c>
      <c r="N357" s="1775"/>
      <c r="O357" s="1525">
        <v>4444935</v>
      </c>
      <c r="P357" s="344">
        <f t="shared" si="111"/>
        <v>4444935</v>
      </c>
      <c r="Q357" s="264"/>
      <c r="R357" s="264"/>
      <c r="S357" s="264"/>
      <c r="T357" s="264"/>
      <c r="U357" s="264"/>
      <c r="V357" s="264">
        <f t="shared" si="112"/>
        <v>4444935</v>
      </c>
      <c r="W357" s="1617" t="s">
        <v>3616</v>
      </c>
      <c r="X357" s="1598">
        <v>42732</v>
      </c>
      <c r="Y357" s="1598">
        <v>42734</v>
      </c>
      <c r="Z357" s="1618">
        <f t="shared" si="113"/>
        <v>4444935</v>
      </c>
      <c r="AA357" s="1233">
        <v>1</v>
      </c>
      <c r="AB357" s="507">
        <f t="shared" si="114"/>
        <v>-4444935</v>
      </c>
      <c r="AC357" s="352"/>
      <c r="AD357" s="53"/>
      <c r="AL357" s="103"/>
      <c r="AM357" s="103"/>
      <c r="AN357" s="103"/>
      <c r="AO357" s="103"/>
      <c r="AP357" s="103"/>
      <c r="AQ357" s="103"/>
      <c r="AR357" s="103"/>
      <c r="AS357" s="430"/>
      <c r="AT357" s="100"/>
      <c r="AU357" s="461"/>
    </row>
    <row r="358" spans="1:47" s="54" customFormat="1" ht="30">
      <c r="A358" s="561"/>
      <c r="B358" s="1037"/>
      <c r="C358" s="1037"/>
      <c r="D358" s="1038"/>
      <c r="E358" s="264"/>
      <c r="F358" s="264"/>
      <c r="G358" s="264"/>
      <c r="H358" s="1125"/>
      <c r="I358" s="1116"/>
      <c r="J358" s="344"/>
      <c r="K358" s="1479" t="s">
        <v>3719</v>
      </c>
      <c r="L358" s="1775" t="s">
        <v>801</v>
      </c>
      <c r="M358" s="1481" t="s">
        <v>3720</v>
      </c>
      <c r="N358" s="1775"/>
      <c r="O358" s="1525">
        <v>4450380</v>
      </c>
      <c r="P358" s="344">
        <f t="shared" si="111"/>
        <v>4450380</v>
      </c>
      <c r="Q358" s="264"/>
      <c r="R358" s="264"/>
      <c r="S358" s="264"/>
      <c r="T358" s="264"/>
      <c r="U358" s="264"/>
      <c r="V358" s="264">
        <f t="shared" si="112"/>
        <v>4450380</v>
      </c>
      <c r="W358" s="1617" t="s">
        <v>3616</v>
      </c>
      <c r="X358" s="1598">
        <v>42732</v>
      </c>
      <c r="Y358" s="1598">
        <v>42734</v>
      </c>
      <c r="Z358" s="1618">
        <f t="shared" si="113"/>
        <v>4450380</v>
      </c>
      <c r="AA358" s="1233">
        <v>1</v>
      </c>
      <c r="AB358" s="507">
        <f t="shared" si="114"/>
        <v>-4450380</v>
      </c>
      <c r="AC358" s="352"/>
      <c r="AD358" s="53"/>
      <c r="AL358" s="103"/>
      <c r="AM358" s="103"/>
      <c r="AN358" s="103"/>
      <c r="AO358" s="103"/>
      <c r="AP358" s="103"/>
      <c r="AQ358" s="103"/>
      <c r="AR358" s="103"/>
      <c r="AS358" s="430"/>
      <c r="AT358" s="100"/>
      <c r="AU358" s="461"/>
    </row>
    <row r="359" spans="1:47" s="54" customFormat="1" ht="30">
      <c r="A359" s="561"/>
      <c r="B359" s="1037"/>
      <c r="C359" s="1037"/>
      <c r="D359" s="1038"/>
      <c r="E359" s="264"/>
      <c r="F359" s="264"/>
      <c r="G359" s="264"/>
      <c r="H359" s="1125"/>
      <c r="I359" s="1116"/>
      <c r="J359" s="344"/>
      <c r="K359" s="1479" t="s">
        <v>3721</v>
      </c>
      <c r="L359" s="1775" t="s">
        <v>801</v>
      </c>
      <c r="M359" s="1481" t="s">
        <v>3722</v>
      </c>
      <c r="N359" s="1775"/>
      <c r="O359" s="1525">
        <v>4457640</v>
      </c>
      <c r="P359" s="344">
        <f t="shared" si="111"/>
        <v>4457640</v>
      </c>
      <c r="Q359" s="264"/>
      <c r="R359" s="264"/>
      <c r="S359" s="264"/>
      <c r="T359" s="264"/>
      <c r="U359" s="264"/>
      <c r="V359" s="264">
        <f t="shared" si="112"/>
        <v>4457640</v>
      </c>
      <c r="W359" s="1617" t="s">
        <v>3616</v>
      </c>
      <c r="X359" s="1598">
        <v>42732</v>
      </c>
      <c r="Y359" s="1598">
        <v>42734</v>
      </c>
      <c r="Z359" s="1618">
        <f t="shared" si="113"/>
        <v>4457640</v>
      </c>
      <c r="AA359" s="1233">
        <v>1</v>
      </c>
      <c r="AB359" s="507">
        <f t="shared" si="114"/>
        <v>-4457640</v>
      </c>
      <c r="AC359" s="352"/>
      <c r="AD359" s="53"/>
      <c r="AL359" s="103"/>
      <c r="AM359" s="103"/>
      <c r="AN359" s="103"/>
      <c r="AO359" s="103"/>
      <c r="AP359" s="103"/>
      <c r="AQ359" s="103"/>
      <c r="AR359" s="103"/>
      <c r="AS359" s="430"/>
      <c r="AT359" s="100"/>
      <c r="AU359" s="461"/>
    </row>
    <row r="360" spans="1:47" s="54" customFormat="1" ht="30">
      <c r="A360" s="561"/>
      <c r="B360" s="1037"/>
      <c r="C360" s="1037"/>
      <c r="D360" s="1038"/>
      <c r="E360" s="264"/>
      <c r="F360" s="264"/>
      <c r="G360" s="264"/>
      <c r="H360" s="1125"/>
      <c r="I360" s="1116"/>
      <c r="J360" s="344"/>
      <c r="K360" s="1479" t="s">
        <v>3721</v>
      </c>
      <c r="L360" s="1775" t="s">
        <v>801</v>
      </c>
      <c r="M360" s="1481" t="s">
        <v>3722</v>
      </c>
      <c r="N360" s="1775"/>
      <c r="O360" s="1525">
        <v>4426785</v>
      </c>
      <c r="P360" s="344">
        <f t="shared" si="111"/>
        <v>4426785</v>
      </c>
      <c r="Q360" s="264"/>
      <c r="R360" s="264"/>
      <c r="S360" s="264"/>
      <c r="T360" s="264"/>
      <c r="U360" s="264"/>
      <c r="V360" s="264">
        <f t="shared" si="112"/>
        <v>4426785</v>
      </c>
      <c r="W360" s="1617" t="s">
        <v>3616</v>
      </c>
      <c r="X360" s="1598">
        <v>42732</v>
      </c>
      <c r="Y360" s="1598">
        <v>42734</v>
      </c>
      <c r="Z360" s="1618">
        <f t="shared" si="113"/>
        <v>4426785</v>
      </c>
      <c r="AA360" s="1233">
        <v>1</v>
      </c>
      <c r="AB360" s="507">
        <f t="shared" si="114"/>
        <v>-4426785</v>
      </c>
      <c r="AC360" s="352"/>
      <c r="AD360" s="53"/>
      <c r="AL360" s="103"/>
      <c r="AM360" s="103"/>
      <c r="AN360" s="103"/>
      <c r="AO360" s="103"/>
      <c r="AP360" s="103"/>
      <c r="AQ360" s="103"/>
      <c r="AR360" s="103"/>
      <c r="AS360" s="430"/>
      <c r="AT360" s="100"/>
      <c r="AU360" s="461"/>
    </row>
    <row r="361" spans="1:47" s="54" customFormat="1" ht="30">
      <c r="A361" s="561"/>
      <c r="B361" s="1037"/>
      <c r="C361" s="1037"/>
      <c r="D361" s="1038"/>
      <c r="E361" s="264"/>
      <c r="F361" s="264"/>
      <c r="G361" s="264"/>
      <c r="H361" s="1125"/>
      <c r="I361" s="1116"/>
      <c r="J361" s="344"/>
      <c r="K361" s="1479" t="s">
        <v>3723</v>
      </c>
      <c r="L361" s="1775" t="s">
        <v>801</v>
      </c>
      <c r="M361" s="1481" t="s">
        <v>3724</v>
      </c>
      <c r="N361" s="1775"/>
      <c r="O361" s="1525">
        <v>4373243</v>
      </c>
      <c r="P361" s="344">
        <f t="shared" si="111"/>
        <v>4373243</v>
      </c>
      <c r="Q361" s="264"/>
      <c r="R361" s="264"/>
      <c r="S361" s="264"/>
      <c r="T361" s="264"/>
      <c r="U361" s="264"/>
      <c r="V361" s="264">
        <f t="shared" si="112"/>
        <v>4373243</v>
      </c>
      <c r="W361" s="1617" t="s">
        <v>3616</v>
      </c>
      <c r="X361" s="1598">
        <v>42732</v>
      </c>
      <c r="Y361" s="1598">
        <v>42734</v>
      </c>
      <c r="Z361" s="1618">
        <f t="shared" si="113"/>
        <v>4373243</v>
      </c>
      <c r="AA361" s="1233">
        <v>1</v>
      </c>
      <c r="AB361" s="507">
        <f t="shared" si="114"/>
        <v>-4373243</v>
      </c>
      <c r="AC361" s="352"/>
      <c r="AD361" s="53"/>
      <c r="AL361" s="103"/>
      <c r="AM361" s="103"/>
      <c r="AN361" s="103"/>
      <c r="AO361" s="103"/>
      <c r="AP361" s="103"/>
      <c r="AQ361" s="103"/>
      <c r="AR361" s="103"/>
      <c r="AS361" s="430"/>
      <c r="AT361" s="100"/>
      <c r="AU361" s="461"/>
    </row>
    <row r="362" spans="1:47" s="54" customFormat="1" ht="30">
      <c r="A362" s="561"/>
      <c r="B362" s="1037"/>
      <c r="C362" s="1037"/>
      <c r="D362" s="1038"/>
      <c r="E362" s="264"/>
      <c r="F362" s="264"/>
      <c r="G362" s="264"/>
      <c r="H362" s="1125"/>
      <c r="I362" s="1116"/>
      <c r="J362" s="344"/>
      <c r="K362" s="1479" t="s">
        <v>3723</v>
      </c>
      <c r="L362" s="1775" t="s">
        <v>801</v>
      </c>
      <c r="M362" s="1481" t="s">
        <v>3724</v>
      </c>
      <c r="N362" s="1775"/>
      <c r="O362" s="1525">
        <v>4381410</v>
      </c>
      <c r="P362" s="344">
        <f t="shared" si="111"/>
        <v>4381410</v>
      </c>
      <c r="Q362" s="264"/>
      <c r="R362" s="264"/>
      <c r="S362" s="264"/>
      <c r="T362" s="264"/>
      <c r="U362" s="264"/>
      <c r="V362" s="264">
        <f t="shared" si="112"/>
        <v>4381410</v>
      </c>
      <c r="W362" s="1617" t="s">
        <v>3616</v>
      </c>
      <c r="X362" s="1598">
        <v>42732</v>
      </c>
      <c r="Y362" s="1598">
        <v>42734</v>
      </c>
      <c r="Z362" s="1618">
        <f t="shared" si="113"/>
        <v>4381410</v>
      </c>
      <c r="AA362" s="1233">
        <v>1</v>
      </c>
      <c r="AB362" s="507">
        <f t="shared" si="114"/>
        <v>-4381410</v>
      </c>
      <c r="AC362" s="352"/>
      <c r="AD362" s="53"/>
      <c r="AL362" s="103"/>
      <c r="AM362" s="103"/>
      <c r="AN362" s="103"/>
      <c r="AO362" s="103"/>
      <c r="AP362" s="103"/>
      <c r="AQ362" s="103"/>
      <c r="AR362" s="103"/>
      <c r="AS362" s="430"/>
      <c r="AT362" s="100"/>
      <c r="AU362" s="461"/>
    </row>
    <row r="363" spans="1:47" s="54" customFormat="1" ht="30">
      <c r="A363" s="561"/>
      <c r="B363" s="1037"/>
      <c r="C363" s="1037"/>
      <c r="D363" s="1038"/>
      <c r="E363" s="264"/>
      <c r="F363" s="264"/>
      <c r="G363" s="264"/>
      <c r="H363" s="1125"/>
      <c r="I363" s="1116"/>
      <c r="J363" s="344"/>
      <c r="K363" s="1479" t="s">
        <v>3725</v>
      </c>
      <c r="L363" s="1775" t="s">
        <v>801</v>
      </c>
      <c r="M363" s="1481" t="s">
        <v>3726</v>
      </c>
      <c r="N363" s="1775"/>
      <c r="O363" s="1525">
        <v>4478489</v>
      </c>
      <c r="P363" s="344">
        <f t="shared" si="111"/>
        <v>4478489</v>
      </c>
      <c r="Q363" s="264"/>
      <c r="R363" s="264"/>
      <c r="S363" s="264"/>
      <c r="T363" s="264"/>
      <c r="U363" s="264"/>
      <c r="V363" s="264">
        <f t="shared" si="112"/>
        <v>4478489</v>
      </c>
      <c r="W363" s="1617" t="s">
        <v>3616</v>
      </c>
      <c r="X363" s="1598">
        <v>42732</v>
      </c>
      <c r="Y363" s="1598">
        <v>42734</v>
      </c>
      <c r="Z363" s="1618">
        <f t="shared" si="113"/>
        <v>4478489</v>
      </c>
      <c r="AA363" s="1233">
        <v>1</v>
      </c>
      <c r="AB363" s="507">
        <f t="shared" si="114"/>
        <v>-4478489</v>
      </c>
      <c r="AC363" s="352"/>
      <c r="AD363" s="53"/>
      <c r="AL363" s="103"/>
      <c r="AM363" s="103"/>
      <c r="AN363" s="103"/>
      <c r="AO363" s="103"/>
      <c r="AP363" s="103"/>
      <c r="AQ363" s="103"/>
      <c r="AR363" s="103"/>
      <c r="AS363" s="430"/>
      <c r="AT363" s="100"/>
      <c r="AU363" s="461"/>
    </row>
    <row r="364" spans="1:47" s="54" customFormat="1" ht="30">
      <c r="A364" s="561"/>
      <c r="B364" s="1037"/>
      <c r="C364" s="1037"/>
      <c r="D364" s="1038"/>
      <c r="E364" s="264"/>
      <c r="F364" s="264"/>
      <c r="G364" s="264"/>
      <c r="H364" s="1125"/>
      <c r="I364" s="1116"/>
      <c r="J364" s="344"/>
      <c r="K364" s="1479" t="s">
        <v>3727</v>
      </c>
      <c r="L364" s="1361" t="s">
        <v>1082</v>
      </c>
      <c r="M364" s="1481" t="s">
        <v>3712</v>
      </c>
      <c r="N364" s="1775"/>
      <c r="O364" s="1525">
        <v>196548000</v>
      </c>
      <c r="P364" s="344">
        <f t="shared" ref="P364:P371" si="115">N364+O364</f>
        <v>196548000</v>
      </c>
      <c r="Q364" s="264"/>
      <c r="R364" s="264"/>
      <c r="S364" s="264"/>
      <c r="T364" s="264"/>
      <c r="U364" s="264"/>
      <c r="V364" s="264">
        <f t="shared" ref="V364:V371" si="116">P364</f>
        <v>196548000</v>
      </c>
      <c r="W364" s="1617" t="s">
        <v>3613</v>
      </c>
      <c r="X364" s="1598">
        <v>42732</v>
      </c>
      <c r="Y364" s="1598">
        <v>42734</v>
      </c>
      <c r="Z364" s="1618">
        <f>V364</f>
        <v>196548000</v>
      </c>
      <c r="AA364" s="1233">
        <v>1</v>
      </c>
      <c r="AB364" s="507">
        <f>+G364-P364</f>
        <v>-196548000</v>
      </c>
      <c r="AC364" s="352"/>
      <c r="AD364" s="53"/>
      <c r="AL364" s="103"/>
      <c r="AM364" s="103"/>
      <c r="AN364" s="103"/>
      <c r="AO364" s="103"/>
      <c r="AP364" s="103"/>
      <c r="AQ364" s="103"/>
      <c r="AR364" s="103"/>
      <c r="AS364" s="430"/>
      <c r="AT364" s="100"/>
      <c r="AU364" s="461"/>
    </row>
    <row r="365" spans="1:47" s="54" customFormat="1" ht="30">
      <c r="A365" s="561"/>
      <c r="B365" s="1037"/>
      <c r="C365" s="1037"/>
      <c r="D365" s="1038"/>
      <c r="E365" s="264"/>
      <c r="F365" s="264"/>
      <c r="G365" s="264"/>
      <c r="H365" s="1125"/>
      <c r="I365" s="1116"/>
      <c r="J365" s="344"/>
      <c r="K365" s="1479" t="s">
        <v>3728</v>
      </c>
      <c r="L365" s="1775" t="s">
        <v>801</v>
      </c>
      <c r="M365" s="1481" t="s">
        <v>3690</v>
      </c>
      <c r="N365" s="1775"/>
      <c r="O365" s="1525">
        <v>393399600</v>
      </c>
      <c r="P365" s="344">
        <f t="shared" si="115"/>
        <v>393399600</v>
      </c>
      <c r="Q365" s="264"/>
      <c r="R365" s="264"/>
      <c r="S365" s="264"/>
      <c r="T365" s="264"/>
      <c r="U365" s="264"/>
      <c r="V365" s="264">
        <f t="shared" si="116"/>
        <v>393399600</v>
      </c>
      <c r="W365" s="1617" t="s">
        <v>3613</v>
      </c>
      <c r="X365" s="1598">
        <v>42732</v>
      </c>
      <c r="Y365" s="1598">
        <v>42734</v>
      </c>
      <c r="Z365" s="1618">
        <f t="shared" ref="Z365:Z371" si="117">V365</f>
        <v>393399600</v>
      </c>
      <c r="AA365" s="1233">
        <v>1</v>
      </c>
      <c r="AB365" s="507">
        <f t="shared" ref="AB365:AB371" si="118">+G365-P365</f>
        <v>-393399600</v>
      </c>
      <c r="AC365" s="352"/>
      <c r="AD365" s="53"/>
      <c r="AL365" s="103"/>
      <c r="AM365" s="103"/>
      <c r="AN365" s="103"/>
      <c r="AO365" s="103"/>
      <c r="AP365" s="103"/>
      <c r="AQ365" s="103"/>
      <c r="AR365" s="103"/>
      <c r="AS365" s="430"/>
      <c r="AT365" s="100"/>
      <c r="AU365" s="461"/>
    </row>
    <row r="366" spans="1:47" s="54" customFormat="1" ht="30">
      <c r="A366" s="561"/>
      <c r="B366" s="1037"/>
      <c r="C366" s="1037"/>
      <c r="D366" s="1038"/>
      <c r="E366" s="264"/>
      <c r="F366" s="264"/>
      <c r="G366" s="264"/>
      <c r="H366" s="1125"/>
      <c r="I366" s="1116"/>
      <c r="J366" s="344"/>
      <c r="K366" s="1479" t="s">
        <v>3729</v>
      </c>
      <c r="L366" s="1775" t="s">
        <v>801</v>
      </c>
      <c r="M366" s="1481" t="s">
        <v>3690</v>
      </c>
      <c r="N366" s="1775"/>
      <c r="O366" s="1525">
        <v>500161200</v>
      </c>
      <c r="P366" s="344">
        <f t="shared" si="115"/>
        <v>500161200</v>
      </c>
      <c r="Q366" s="264"/>
      <c r="R366" s="264"/>
      <c r="S366" s="264"/>
      <c r="T366" s="264"/>
      <c r="U366" s="264"/>
      <c r="V366" s="264">
        <f t="shared" si="116"/>
        <v>500161200</v>
      </c>
      <c r="W366" s="1617" t="s">
        <v>3613</v>
      </c>
      <c r="X366" s="1598">
        <v>42732</v>
      </c>
      <c r="Y366" s="1598">
        <v>42734</v>
      </c>
      <c r="Z366" s="1618">
        <f t="shared" si="117"/>
        <v>500161200</v>
      </c>
      <c r="AA366" s="1233">
        <v>1</v>
      </c>
      <c r="AB366" s="507">
        <f t="shared" si="118"/>
        <v>-500161200</v>
      </c>
      <c r="AC366" s="352"/>
      <c r="AD366" s="53"/>
      <c r="AL366" s="103"/>
      <c r="AM366" s="103"/>
      <c r="AN366" s="103"/>
      <c r="AO366" s="103"/>
      <c r="AP366" s="103"/>
      <c r="AQ366" s="103"/>
      <c r="AR366" s="103"/>
      <c r="AS366" s="430"/>
      <c r="AT366" s="100"/>
      <c r="AU366" s="461"/>
    </row>
    <row r="367" spans="1:47" s="54" customFormat="1" ht="30">
      <c r="A367" s="561"/>
      <c r="B367" s="1037"/>
      <c r="C367" s="1037"/>
      <c r="D367" s="1038"/>
      <c r="E367" s="264"/>
      <c r="F367" s="264"/>
      <c r="G367" s="264"/>
      <c r="H367" s="1125"/>
      <c r="I367" s="1116"/>
      <c r="J367" s="344"/>
      <c r="K367" s="1479" t="s">
        <v>3730</v>
      </c>
      <c r="L367" s="1775" t="s">
        <v>801</v>
      </c>
      <c r="M367" s="1481" t="s">
        <v>3690</v>
      </c>
      <c r="N367" s="1775"/>
      <c r="O367" s="1525">
        <v>392673600</v>
      </c>
      <c r="P367" s="344">
        <f t="shared" si="115"/>
        <v>392673600</v>
      </c>
      <c r="Q367" s="264"/>
      <c r="R367" s="264"/>
      <c r="S367" s="264"/>
      <c r="T367" s="264"/>
      <c r="U367" s="264"/>
      <c r="V367" s="264">
        <f t="shared" si="116"/>
        <v>392673600</v>
      </c>
      <c r="W367" s="1617" t="s">
        <v>3613</v>
      </c>
      <c r="X367" s="1598">
        <v>42732</v>
      </c>
      <c r="Y367" s="1598">
        <v>42734</v>
      </c>
      <c r="Z367" s="1618">
        <f t="shared" si="117"/>
        <v>392673600</v>
      </c>
      <c r="AA367" s="1233">
        <v>1</v>
      </c>
      <c r="AB367" s="507">
        <f t="shared" si="118"/>
        <v>-392673600</v>
      </c>
      <c r="AC367" s="352"/>
      <c r="AD367" s="53"/>
      <c r="AL367" s="103"/>
      <c r="AM367" s="103"/>
      <c r="AN367" s="103"/>
      <c r="AO367" s="103"/>
      <c r="AP367" s="103"/>
      <c r="AQ367" s="103"/>
      <c r="AR367" s="103"/>
      <c r="AS367" s="430"/>
      <c r="AT367" s="100"/>
      <c r="AU367" s="461"/>
    </row>
    <row r="368" spans="1:47" s="54" customFormat="1" ht="30">
      <c r="A368" s="561"/>
      <c r="B368" s="1037"/>
      <c r="C368" s="1037"/>
      <c r="D368" s="1038"/>
      <c r="E368" s="264"/>
      <c r="F368" s="264"/>
      <c r="G368" s="264"/>
      <c r="H368" s="1125"/>
      <c r="I368" s="1116"/>
      <c r="J368" s="344"/>
      <c r="K368" s="1479" t="s">
        <v>3731</v>
      </c>
      <c r="L368" s="1775" t="s">
        <v>801</v>
      </c>
      <c r="M368" s="1481" t="s">
        <v>3732</v>
      </c>
      <c r="N368" s="1775"/>
      <c r="O368" s="1525">
        <v>32575400</v>
      </c>
      <c r="P368" s="344">
        <f t="shared" si="115"/>
        <v>32575400</v>
      </c>
      <c r="Q368" s="264"/>
      <c r="R368" s="264"/>
      <c r="S368" s="264"/>
      <c r="T368" s="264"/>
      <c r="U368" s="264"/>
      <c r="V368" s="264">
        <f t="shared" si="116"/>
        <v>32575400</v>
      </c>
      <c r="W368" s="1617" t="s">
        <v>3613</v>
      </c>
      <c r="X368" s="1598">
        <v>42732</v>
      </c>
      <c r="Y368" s="1598">
        <v>42734</v>
      </c>
      <c r="Z368" s="1618">
        <f t="shared" si="117"/>
        <v>32575400</v>
      </c>
      <c r="AA368" s="1233">
        <v>1</v>
      </c>
      <c r="AB368" s="507">
        <f t="shared" si="118"/>
        <v>-32575400</v>
      </c>
      <c r="AC368" s="352"/>
      <c r="AD368" s="53"/>
      <c r="AL368" s="103"/>
      <c r="AM368" s="103"/>
      <c r="AN368" s="103"/>
      <c r="AO368" s="103"/>
      <c r="AP368" s="103"/>
      <c r="AQ368" s="103"/>
      <c r="AR368" s="103"/>
      <c r="AS368" s="430"/>
      <c r="AT368" s="100"/>
      <c r="AU368" s="461"/>
    </row>
    <row r="369" spans="1:47" s="54" customFormat="1" ht="30">
      <c r="A369" s="561"/>
      <c r="B369" s="1037"/>
      <c r="C369" s="1037"/>
      <c r="D369" s="1038"/>
      <c r="E369" s="264"/>
      <c r="F369" s="264"/>
      <c r="G369" s="264"/>
      <c r="H369" s="1125"/>
      <c r="I369" s="1116"/>
      <c r="J369" s="344"/>
      <c r="K369" s="1479" t="s">
        <v>3733</v>
      </c>
      <c r="L369" s="1775" t="s">
        <v>801</v>
      </c>
      <c r="M369" s="1481" t="s">
        <v>3690</v>
      </c>
      <c r="N369" s="1775"/>
      <c r="O369" s="1525">
        <v>263920800</v>
      </c>
      <c r="P369" s="344">
        <f t="shared" si="115"/>
        <v>263920800</v>
      </c>
      <c r="Q369" s="264"/>
      <c r="R369" s="264"/>
      <c r="S369" s="264"/>
      <c r="T369" s="264"/>
      <c r="U369" s="264"/>
      <c r="V369" s="264">
        <f t="shared" si="116"/>
        <v>263920800</v>
      </c>
      <c r="W369" s="1617" t="s">
        <v>3613</v>
      </c>
      <c r="X369" s="1598">
        <v>42732</v>
      </c>
      <c r="Y369" s="1598">
        <v>42734</v>
      </c>
      <c r="Z369" s="1618">
        <f t="shared" si="117"/>
        <v>263920800</v>
      </c>
      <c r="AA369" s="1233">
        <v>1</v>
      </c>
      <c r="AB369" s="507">
        <f t="shared" si="118"/>
        <v>-263920800</v>
      </c>
      <c r="AC369" s="352"/>
      <c r="AD369" s="53"/>
      <c r="AL369" s="103"/>
      <c r="AM369" s="103"/>
      <c r="AN369" s="103"/>
      <c r="AO369" s="103"/>
      <c r="AP369" s="103"/>
      <c r="AQ369" s="103"/>
      <c r="AR369" s="103"/>
      <c r="AS369" s="430"/>
      <c r="AT369" s="100"/>
      <c r="AU369" s="461"/>
    </row>
    <row r="370" spans="1:47" s="54" customFormat="1" ht="30">
      <c r="A370" s="561"/>
      <c r="B370" s="1037"/>
      <c r="C370" s="1037"/>
      <c r="D370" s="1038"/>
      <c r="E370" s="264"/>
      <c r="F370" s="264"/>
      <c r="G370" s="264"/>
      <c r="H370" s="1125"/>
      <c r="I370" s="1116"/>
      <c r="J370" s="344"/>
      <c r="K370" s="1479" t="s">
        <v>3734</v>
      </c>
      <c r="L370" s="1775" t="s">
        <v>801</v>
      </c>
      <c r="M370" s="1481" t="s">
        <v>3735</v>
      </c>
      <c r="N370" s="1775"/>
      <c r="O370" s="1525">
        <v>35859632</v>
      </c>
      <c r="P370" s="344">
        <f t="shared" si="115"/>
        <v>35859632</v>
      </c>
      <c r="Q370" s="264"/>
      <c r="R370" s="264"/>
      <c r="S370" s="264"/>
      <c r="T370" s="264"/>
      <c r="U370" s="264"/>
      <c r="V370" s="264">
        <f t="shared" si="116"/>
        <v>35859632</v>
      </c>
      <c r="W370" s="1617" t="s">
        <v>3613</v>
      </c>
      <c r="X370" s="1598">
        <v>42732</v>
      </c>
      <c r="Y370" s="1598">
        <v>42734</v>
      </c>
      <c r="Z370" s="1618">
        <f t="shared" si="117"/>
        <v>35859632</v>
      </c>
      <c r="AA370" s="1233">
        <v>1</v>
      </c>
      <c r="AB370" s="507">
        <f t="shared" si="118"/>
        <v>-35859632</v>
      </c>
      <c r="AC370" s="352"/>
      <c r="AD370" s="53"/>
      <c r="AL370" s="103"/>
      <c r="AM370" s="103"/>
      <c r="AN370" s="103"/>
      <c r="AO370" s="103"/>
      <c r="AP370" s="103"/>
      <c r="AQ370" s="103"/>
      <c r="AR370" s="103"/>
      <c r="AS370" s="430"/>
      <c r="AT370" s="100"/>
      <c r="AU370" s="461"/>
    </row>
    <row r="371" spans="1:47" s="54" customFormat="1" ht="30">
      <c r="A371" s="561"/>
      <c r="B371" s="1037"/>
      <c r="C371" s="1037"/>
      <c r="D371" s="1038"/>
      <c r="E371" s="264"/>
      <c r="F371" s="264"/>
      <c r="G371" s="264"/>
      <c r="H371" s="1125"/>
      <c r="I371" s="1116"/>
      <c r="J371" s="344"/>
      <c r="K371" s="1479" t="s">
        <v>3736</v>
      </c>
      <c r="L371" s="1775" t="s">
        <v>801</v>
      </c>
      <c r="M371" s="1775" t="s">
        <v>3737</v>
      </c>
      <c r="N371" s="1775"/>
      <c r="O371" s="1525">
        <v>521670444</v>
      </c>
      <c r="P371" s="344">
        <f t="shared" si="115"/>
        <v>521670444</v>
      </c>
      <c r="Q371" s="264"/>
      <c r="R371" s="264"/>
      <c r="S371" s="264"/>
      <c r="T371" s="264"/>
      <c r="U371" s="264"/>
      <c r="V371" s="264">
        <f t="shared" si="116"/>
        <v>521670444</v>
      </c>
      <c r="W371" s="1617" t="s">
        <v>3613</v>
      </c>
      <c r="X371" s="1598">
        <v>42732</v>
      </c>
      <c r="Y371" s="1598">
        <v>42734</v>
      </c>
      <c r="Z371" s="1618">
        <f t="shared" si="117"/>
        <v>521670444</v>
      </c>
      <c r="AA371" s="1233">
        <v>1</v>
      </c>
      <c r="AB371" s="507">
        <f t="shared" si="118"/>
        <v>-521670444</v>
      </c>
      <c r="AC371" s="352"/>
      <c r="AD371" s="53"/>
      <c r="AL371" s="103"/>
      <c r="AM371" s="103"/>
      <c r="AN371" s="103"/>
      <c r="AO371" s="103"/>
      <c r="AP371" s="103"/>
      <c r="AQ371" s="103"/>
      <c r="AR371" s="103"/>
      <c r="AS371" s="430"/>
      <c r="AT371" s="100"/>
      <c r="AU371" s="461"/>
    </row>
    <row r="372" spans="1:47" s="54" customFormat="1">
      <c r="A372" s="561"/>
      <c r="B372" s="1037"/>
      <c r="C372" s="1037"/>
      <c r="D372" s="1038"/>
      <c r="E372" s="264"/>
      <c r="F372" s="264"/>
      <c r="G372" s="264"/>
      <c r="H372" s="1125"/>
      <c r="I372" s="1116"/>
      <c r="J372" s="344"/>
      <c r="K372" s="1479"/>
      <c r="L372" s="1775"/>
      <c r="M372" s="1775"/>
      <c r="N372" s="1360"/>
      <c r="O372" s="1525"/>
      <c r="P372" s="344"/>
      <c r="Q372" s="264"/>
      <c r="R372" s="264"/>
      <c r="S372" s="264"/>
      <c r="T372" s="264"/>
      <c r="U372" s="264"/>
      <c r="V372" s="264"/>
      <c r="W372" s="1617"/>
      <c r="X372" s="1598"/>
      <c r="Y372" s="1598"/>
      <c r="Z372" s="1618"/>
      <c r="AA372" s="1233"/>
      <c r="AB372" s="507"/>
      <c r="AC372" s="352"/>
      <c r="AD372" s="53"/>
      <c r="AL372" s="103"/>
      <c r="AM372" s="103"/>
      <c r="AN372" s="103"/>
      <c r="AO372" s="103"/>
      <c r="AP372" s="103"/>
      <c r="AQ372" s="103"/>
      <c r="AR372" s="103"/>
      <c r="AS372" s="430"/>
      <c r="AT372" s="100"/>
      <c r="AU372" s="461"/>
    </row>
    <row r="373" spans="1:47" s="54" customFormat="1">
      <c r="A373" s="561"/>
      <c r="B373" s="1037"/>
      <c r="C373" s="1037"/>
      <c r="D373" s="1038"/>
      <c r="E373" s="264"/>
      <c r="F373" s="264"/>
      <c r="G373" s="264"/>
      <c r="H373" s="1125"/>
      <c r="I373" s="1116"/>
      <c r="J373" s="344"/>
      <c r="K373" s="1479"/>
      <c r="L373" s="1775"/>
      <c r="M373" s="1775"/>
      <c r="N373" s="1360"/>
      <c r="O373" s="1525"/>
      <c r="P373" s="344"/>
      <c r="Q373" s="264"/>
      <c r="R373" s="264"/>
      <c r="S373" s="264"/>
      <c r="T373" s="264"/>
      <c r="U373" s="264"/>
      <c r="V373" s="264"/>
      <c r="W373" s="1617"/>
      <c r="X373" s="1598"/>
      <c r="Y373" s="1598"/>
      <c r="Z373" s="1618"/>
      <c r="AA373" s="1233"/>
      <c r="AB373" s="507"/>
      <c r="AC373" s="352"/>
      <c r="AD373" s="53"/>
      <c r="AL373" s="103"/>
      <c r="AM373" s="103"/>
      <c r="AN373" s="103"/>
      <c r="AO373" s="103"/>
      <c r="AP373" s="103"/>
      <c r="AQ373" s="103"/>
      <c r="AR373" s="103"/>
      <c r="AS373" s="430"/>
      <c r="AT373" s="100"/>
      <c r="AU373" s="461"/>
    </row>
    <row r="374" spans="1:47" s="54" customFormat="1">
      <c r="A374" s="561"/>
      <c r="B374" s="1037"/>
      <c r="C374" s="1037"/>
      <c r="D374" s="1038"/>
      <c r="E374" s="264"/>
      <c r="F374" s="264"/>
      <c r="G374" s="264"/>
      <c r="H374" s="1125"/>
      <c r="I374" s="1116"/>
      <c r="J374" s="344"/>
      <c r="K374" s="1479"/>
      <c r="L374" s="1360"/>
      <c r="M374" s="1694"/>
      <c r="N374" s="1481"/>
      <c r="O374" s="1693"/>
      <c r="P374" s="344"/>
      <c r="Q374" s="264"/>
      <c r="R374" s="264"/>
      <c r="S374" s="264"/>
      <c r="T374" s="264"/>
      <c r="U374" s="264"/>
      <c r="V374" s="264"/>
      <c r="W374" s="1617"/>
      <c r="X374" s="1598"/>
      <c r="Y374" s="1598"/>
      <c r="Z374" s="1618"/>
      <c r="AA374" s="1233"/>
      <c r="AB374" s="507"/>
      <c r="AC374" s="352"/>
      <c r="AD374" s="53"/>
      <c r="AL374" s="103"/>
      <c r="AM374" s="103"/>
      <c r="AN374" s="103"/>
      <c r="AO374" s="103"/>
      <c r="AP374" s="103"/>
      <c r="AQ374" s="103"/>
      <c r="AR374" s="103"/>
      <c r="AS374" s="430"/>
      <c r="AT374" s="100"/>
      <c r="AU374" s="461"/>
    </row>
    <row r="375" spans="1:47" s="54" customFormat="1" ht="15.75" customHeight="1" thickBot="1">
      <c r="A375" s="561"/>
      <c r="B375" s="1037"/>
      <c r="C375" s="1037"/>
      <c r="D375" s="1038"/>
      <c r="E375" s="264"/>
      <c r="F375" s="264"/>
      <c r="G375" s="264"/>
      <c r="H375" s="264"/>
      <c r="I375" s="264"/>
      <c r="J375" s="264"/>
      <c r="K375" s="1040"/>
      <c r="L375" s="1337"/>
      <c r="M375" s="1099"/>
      <c r="N375" s="264"/>
      <c r="O375" s="264"/>
      <c r="P375" s="264"/>
      <c r="Q375" s="264"/>
      <c r="R375" s="264"/>
      <c r="S375" s="264"/>
      <c r="T375" s="264"/>
      <c r="U375" s="264"/>
      <c r="V375" s="1100"/>
      <c r="W375" s="1617"/>
      <c r="X375" s="1598"/>
      <c r="Y375" s="1598"/>
      <c r="Z375" s="1618"/>
      <c r="AA375" s="264"/>
      <c r="AB375" s="510"/>
      <c r="AC375" s="352"/>
      <c r="AD375" s="53"/>
      <c r="AL375" s="103"/>
      <c r="AM375" s="103"/>
      <c r="AN375" s="103"/>
      <c r="AO375" s="103"/>
      <c r="AP375" s="103"/>
      <c r="AQ375" s="103"/>
      <c r="AR375" s="103"/>
      <c r="AS375" s="430"/>
      <c r="AT375" s="100"/>
      <c r="AU375" s="461"/>
    </row>
    <row r="376" spans="1:47" s="317" customFormat="1" ht="15.75" customHeight="1" thickBot="1">
      <c r="A376" s="2703" t="s">
        <v>575</v>
      </c>
      <c r="B376" s="2704"/>
      <c r="C376" s="2704"/>
      <c r="D376" s="2705"/>
      <c r="E376" s="65">
        <f>SUM(E58+E79+E83+E111)</f>
        <v>0</v>
      </c>
      <c r="F376" s="65">
        <f>SUM(F58+F79+F83+F111)</f>
        <v>25744467000</v>
      </c>
      <c r="G376" s="65">
        <f>SUM(G58+G79+G83+G111)</f>
        <v>25744467000</v>
      </c>
      <c r="H376" s="65"/>
      <c r="I376" s="65"/>
      <c r="J376" s="65"/>
      <c r="K376" s="66"/>
      <c r="L376" s="1334"/>
      <c r="M376" s="315"/>
      <c r="N376" s="65">
        <f>SUM(N58:N375)</f>
        <v>296780000</v>
      </c>
      <c r="O376" s="65">
        <f t="shared" ref="O376:V376" si="119">SUM(O58:O375)</f>
        <v>43094861904</v>
      </c>
      <c r="P376" s="65">
        <f t="shared" si="119"/>
        <v>43391641904</v>
      </c>
      <c r="Q376" s="65">
        <f t="shared" si="119"/>
        <v>0</v>
      </c>
      <c r="R376" s="65">
        <f t="shared" si="119"/>
        <v>0</v>
      </c>
      <c r="S376" s="65">
        <f t="shared" si="119"/>
        <v>0</v>
      </c>
      <c r="T376" s="65">
        <f t="shared" si="119"/>
        <v>0</v>
      </c>
      <c r="U376" s="65">
        <f t="shared" si="119"/>
        <v>0</v>
      </c>
      <c r="V376" s="65">
        <f t="shared" si="119"/>
        <v>39531130304</v>
      </c>
      <c r="W376" s="1619"/>
      <c r="X376" s="1620"/>
      <c r="Y376" s="1620"/>
      <c r="Z376" s="1621">
        <f>SUM(Z58:Z375)</f>
        <v>39370640304</v>
      </c>
      <c r="AA376" s="65"/>
      <c r="AB376" s="68">
        <f>SUM(AB58:AB375)</f>
        <v>-17647174904</v>
      </c>
      <c r="AC376" s="76"/>
      <c r="AD376" s="316"/>
      <c r="AL376" s="318"/>
      <c r="AM376" s="318"/>
      <c r="AN376" s="318"/>
      <c r="AO376" s="318"/>
      <c r="AP376" s="318"/>
      <c r="AQ376" s="318"/>
      <c r="AR376" s="318"/>
      <c r="AS376" s="460"/>
      <c r="AT376" s="56"/>
      <c r="AU376" s="462"/>
    </row>
    <row r="377" spans="1:47" s="54" customFormat="1">
      <c r="A377" s="80"/>
      <c r="B377" s="80"/>
      <c r="C377" s="80"/>
      <c r="D377" s="80"/>
      <c r="E377" s="110"/>
      <c r="F377" s="110"/>
      <c r="G377" s="110"/>
      <c r="H377" s="110"/>
      <c r="I377" s="110"/>
      <c r="J377" s="110"/>
      <c r="P377" s="110"/>
      <c r="Q377" s="110"/>
      <c r="R377" s="110"/>
      <c r="S377" s="110"/>
      <c r="T377" s="110"/>
      <c r="U377" s="110"/>
      <c r="V377" s="103"/>
      <c r="W377" s="1605"/>
      <c r="X377" s="1596"/>
      <c r="Y377" s="1596"/>
      <c r="Z377" s="1606"/>
      <c r="AA377" s="110"/>
      <c r="AB377" s="110"/>
      <c r="AC377" s="113"/>
      <c r="AD377" s="53"/>
      <c r="AL377" s="103"/>
      <c r="AM377" s="103"/>
      <c r="AN377" s="103"/>
      <c r="AO377" s="103"/>
      <c r="AP377" s="103"/>
      <c r="AQ377" s="103"/>
      <c r="AR377" s="103"/>
      <c r="AS377" s="430"/>
      <c r="AT377" s="100"/>
      <c r="AU377" s="461"/>
    </row>
    <row r="378" spans="1:47" s="54" customFormat="1" ht="47.25">
      <c r="A378" s="81">
        <v>2</v>
      </c>
      <c r="B378" s="50" t="s">
        <v>2872</v>
      </c>
      <c r="C378" s="50"/>
      <c r="D378" s="83" t="s">
        <v>2874</v>
      </c>
      <c r="E378" s="103"/>
      <c r="F378" s="51">
        <v>721314000</v>
      </c>
      <c r="G378" s="51">
        <f>E378+F378</f>
        <v>721314000</v>
      </c>
      <c r="H378" s="381"/>
      <c r="I378" s="73"/>
      <c r="J378" s="51"/>
      <c r="K378" s="518" t="s">
        <v>3392</v>
      </c>
      <c r="L378" s="71" t="s">
        <v>3400</v>
      </c>
      <c r="M378" s="1727" t="s">
        <v>3556</v>
      </c>
      <c r="N378" s="519"/>
      <c r="O378" s="1766">
        <v>40073000</v>
      </c>
      <c r="P378" s="51">
        <f>N378+O378</f>
        <v>40073000</v>
      </c>
      <c r="Q378" s="103"/>
      <c r="R378" s="103"/>
      <c r="S378" s="103"/>
      <c r="T378" s="103"/>
      <c r="U378" s="103"/>
      <c r="V378" s="103">
        <f>P378</f>
        <v>40073000</v>
      </c>
      <c r="W378" s="1607" t="s">
        <v>3565</v>
      </c>
      <c r="X378" s="1608">
        <v>42720</v>
      </c>
      <c r="Y378" s="1608">
        <v>42726</v>
      </c>
      <c r="Z378" s="1609">
        <f>V378</f>
        <v>40073000</v>
      </c>
      <c r="AA378" s="1131">
        <v>1</v>
      </c>
      <c r="AB378" s="30">
        <f>+G378-P378</f>
        <v>681241000</v>
      </c>
      <c r="AC378" s="106"/>
      <c r="AD378" s="53"/>
      <c r="AL378" s="103"/>
      <c r="AM378" s="103"/>
      <c r="AN378" s="103"/>
      <c r="AO378" s="103"/>
      <c r="AP378" s="103"/>
      <c r="AQ378" s="103"/>
      <c r="AR378" s="103"/>
      <c r="AS378" s="430"/>
      <c r="AT378" s="100"/>
      <c r="AU378" s="461"/>
    </row>
    <row r="379" spans="1:47" s="54" customFormat="1" ht="47.25">
      <c r="A379" s="81"/>
      <c r="B379" s="153" t="s">
        <v>2873</v>
      </c>
      <c r="C379" s="50"/>
      <c r="D379" s="83"/>
      <c r="E379" s="103"/>
      <c r="F379" s="51"/>
      <c r="G379" s="51"/>
      <c r="H379" s="381"/>
      <c r="I379" s="73"/>
      <c r="J379" s="51"/>
      <c r="K379" s="27" t="s">
        <v>3392</v>
      </c>
      <c r="L379" s="71" t="s">
        <v>3400</v>
      </c>
      <c r="M379" s="250" t="s">
        <v>3557</v>
      </c>
      <c r="N379" s="519"/>
      <c r="O379" s="1764">
        <v>40073000</v>
      </c>
      <c r="P379" s="51">
        <f t="shared" ref="P379:P386" si="120">N379+O379</f>
        <v>40073000</v>
      </c>
      <c r="Q379" s="103"/>
      <c r="R379" s="103"/>
      <c r="S379" s="103"/>
      <c r="T379" s="103"/>
      <c r="U379" s="103"/>
      <c r="V379" s="103">
        <f t="shared" ref="V379:V386" si="121">P379</f>
        <v>40073000</v>
      </c>
      <c r="W379" s="1607" t="s">
        <v>3565</v>
      </c>
      <c r="X379" s="1608">
        <v>42720</v>
      </c>
      <c r="Y379" s="1608">
        <v>42726</v>
      </c>
      <c r="Z379" s="1609">
        <f t="shared" ref="Z379:Z386" si="122">V379</f>
        <v>40073000</v>
      </c>
      <c r="AA379" s="1131">
        <v>1</v>
      </c>
      <c r="AB379" s="30">
        <f t="shared" ref="AB379:AB386" si="123">+G379-P379</f>
        <v>-40073000</v>
      </c>
      <c r="AC379" s="106"/>
      <c r="AD379" s="53"/>
      <c r="AL379" s="103"/>
      <c r="AM379" s="103"/>
      <c r="AN379" s="103"/>
      <c r="AO379" s="103"/>
      <c r="AP379" s="103"/>
      <c r="AQ379" s="103"/>
      <c r="AR379" s="103"/>
      <c r="AS379" s="430"/>
      <c r="AT379" s="100"/>
      <c r="AU379" s="461"/>
    </row>
    <row r="380" spans="1:47" s="54" customFormat="1" ht="47.25">
      <c r="A380" s="81"/>
      <c r="B380" s="798"/>
      <c r="C380" s="50"/>
      <c r="D380" s="83"/>
      <c r="E380" s="103"/>
      <c r="F380" s="51"/>
      <c r="G380" s="51"/>
      <c r="H380" s="381"/>
      <c r="I380" s="73"/>
      <c r="J380" s="51"/>
      <c r="K380" s="800" t="s">
        <v>3392</v>
      </c>
      <c r="L380" s="71" t="s">
        <v>3400</v>
      </c>
      <c r="M380" s="250" t="s">
        <v>3558</v>
      </c>
      <c r="N380" s="519"/>
      <c r="O380" s="1765">
        <v>40073000</v>
      </c>
      <c r="P380" s="51">
        <f t="shared" si="120"/>
        <v>40073000</v>
      </c>
      <c r="Q380" s="103"/>
      <c r="R380" s="103"/>
      <c r="S380" s="103"/>
      <c r="T380" s="103"/>
      <c r="U380" s="103"/>
      <c r="V380" s="103">
        <f t="shared" si="121"/>
        <v>40073000</v>
      </c>
      <c r="W380" s="1607" t="s">
        <v>3565</v>
      </c>
      <c r="X380" s="1608">
        <v>42720</v>
      </c>
      <c r="Y380" s="1608">
        <v>42726</v>
      </c>
      <c r="Z380" s="1609">
        <f t="shared" si="122"/>
        <v>40073000</v>
      </c>
      <c r="AA380" s="1131">
        <v>1</v>
      </c>
      <c r="AB380" s="30">
        <f t="shared" si="123"/>
        <v>-40073000</v>
      </c>
      <c r="AC380" s="106"/>
      <c r="AD380" s="53"/>
      <c r="AL380" s="103"/>
      <c r="AM380" s="103"/>
      <c r="AN380" s="103"/>
      <c r="AO380" s="103"/>
      <c r="AP380" s="103"/>
      <c r="AQ380" s="103"/>
      <c r="AR380" s="103"/>
      <c r="AS380" s="430"/>
      <c r="AT380" s="100"/>
      <c r="AU380" s="461"/>
    </row>
    <row r="381" spans="1:47" s="54" customFormat="1" ht="47.25">
      <c r="A381" s="81"/>
      <c r="B381" s="798"/>
      <c r="C381" s="50"/>
      <c r="D381" s="83"/>
      <c r="E381" s="103"/>
      <c r="F381" s="51"/>
      <c r="G381" s="51"/>
      <c r="H381" s="381"/>
      <c r="I381" s="73"/>
      <c r="J381" s="51"/>
      <c r="K381" s="800" t="s">
        <v>3392</v>
      </c>
      <c r="L381" s="71" t="s">
        <v>3400</v>
      </c>
      <c r="M381" s="250" t="s">
        <v>3559</v>
      </c>
      <c r="N381" s="519"/>
      <c r="O381" s="1765">
        <v>40073000</v>
      </c>
      <c r="P381" s="51">
        <f t="shared" si="120"/>
        <v>40073000</v>
      </c>
      <c r="Q381" s="103"/>
      <c r="R381" s="103"/>
      <c r="S381" s="103"/>
      <c r="T381" s="103"/>
      <c r="U381" s="103"/>
      <c r="V381" s="103">
        <f t="shared" si="121"/>
        <v>40073000</v>
      </c>
      <c r="W381" s="1607" t="s">
        <v>3565</v>
      </c>
      <c r="X381" s="1608">
        <v>42720</v>
      </c>
      <c r="Y381" s="1608">
        <v>42726</v>
      </c>
      <c r="Z381" s="1609">
        <f t="shared" si="122"/>
        <v>40073000</v>
      </c>
      <c r="AA381" s="1131">
        <v>1</v>
      </c>
      <c r="AB381" s="30">
        <f t="shared" si="123"/>
        <v>-40073000</v>
      </c>
      <c r="AC381" s="106"/>
      <c r="AD381" s="53"/>
      <c r="AL381" s="103"/>
      <c r="AM381" s="103"/>
      <c r="AN381" s="103"/>
      <c r="AO381" s="103"/>
      <c r="AP381" s="103"/>
      <c r="AQ381" s="103"/>
      <c r="AR381" s="103"/>
      <c r="AS381" s="430"/>
      <c r="AT381" s="100"/>
      <c r="AU381" s="461"/>
    </row>
    <row r="382" spans="1:47" s="54" customFormat="1" ht="47.25">
      <c r="A382" s="81"/>
      <c r="B382" s="798"/>
      <c r="C382" s="50"/>
      <c r="D382" s="83"/>
      <c r="E382" s="103"/>
      <c r="F382" s="51"/>
      <c r="G382" s="51"/>
      <c r="H382" s="381"/>
      <c r="I382" s="73"/>
      <c r="J382" s="51"/>
      <c r="K382" s="800" t="s">
        <v>3392</v>
      </c>
      <c r="L382" s="71" t="s">
        <v>3400</v>
      </c>
      <c r="M382" s="250" t="s">
        <v>3560</v>
      </c>
      <c r="N382" s="519"/>
      <c r="O382" s="1765">
        <v>40073000</v>
      </c>
      <c r="P382" s="51">
        <f t="shared" si="120"/>
        <v>40073000</v>
      </c>
      <c r="Q382" s="103"/>
      <c r="R382" s="103"/>
      <c r="S382" s="103"/>
      <c r="T382" s="103"/>
      <c r="U382" s="103"/>
      <c r="V382" s="103">
        <f t="shared" si="121"/>
        <v>40073000</v>
      </c>
      <c r="W382" s="1607" t="s">
        <v>3565</v>
      </c>
      <c r="X382" s="1608">
        <v>42720</v>
      </c>
      <c r="Y382" s="1608">
        <v>42726</v>
      </c>
      <c r="Z382" s="1609">
        <f t="shared" si="122"/>
        <v>40073000</v>
      </c>
      <c r="AA382" s="1131">
        <v>1</v>
      </c>
      <c r="AB382" s="30">
        <f t="shared" si="123"/>
        <v>-40073000</v>
      </c>
      <c r="AC382" s="106"/>
      <c r="AD382" s="53"/>
      <c r="AL382" s="103"/>
      <c r="AM382" s="103"/>
      <c r="AN382" s="103"/>
      <c r="AO382" s="103"/>
      <c r="AP382" s="103"/>
      <c r="AQ382" s="103"/>
      <c r="AR382" s="103"/>
      <c r="AS382" s="430"/>
      <c r="AT382" s="100"/>
      <c r="AU382" s="461"/>
    </row>
    <row r="383" spans="1:47" s="54" customFormat="1" ht="47.25">
      <c r="A383" s="81"/>
      <c r="B383" s="798"/>
      <c r="C383" s="50"/>
      <c r="D383" s="83"/>
      <c r="E383" s="103"/>
      <c r="F383" s="51"/>
      <c r="G383" s="51"/>
      <c r="H383" s="381"/>
      <c r="I383" s="73"/>
      <c r="J383" s="51"/>
      <c r="K383" s="800" t="s">
        <v>3392</v>
      </c>
      <c r="L383" s="71" t="s">
        <v>3400</v>
      </c>
      <c r="M383" s="250" t="s">
        <v>3561</v>
      </c>
      <c r="N383" s="519"/>
      <c r="O383" s="1765">
        <v>40073000</v>
      </c>
      <c r="P383" s="51">
        <f t="shared" si="120"/>
        <v>40073000</v>
      </c>
      <c r="Q383" s="103"/>
      <c r="R383" s="103"/>
      <c r="S383" s="103"/>
      <c r="T383" s="103"/>
      <c r="U383" s="103"/>
      <c r="V383" s="103">
        <f t="shared" si="121"/>
        <v>40073000</v>
      </c>
      <c r="W383" s="1607" t="s">
        <v>3565</v>
      </c>
      <c r="X383" s="1608">
        <v>42720</v>
      </c>
      <c r="Y383" s="1608">
        <v>42726</v>
      </c>
      <c r="Z383" s="1609">
        <f t="shared" si="122"/>
        <v>40073000</v>
      </c>
      <c r="AA383" s="1131">
        <v>1</v>
      </c>
      <c r="AB383" s="30">
        <f t="shared" si="123"/>
        <v>-40073000</v>
      </c>
      <c r="AC383" s="106"/>
      <c r="AD383" s="53"/>
      <c r="AL383" s="103"/>
      <c r="AM383" s="103"/>
      <c r="AN383" s="103"/>
      <c r="AO383" s="103"/>
      <c r="AP383" s="103"/>
      <c r="AQ383" s="103"/>
      <c r="AR383" s="103"/>
      <c r="AS383" s="430"/>
      <c r="AT383" s="100"/>
      <c r="AU383" s="461"/>
    </row>
    <row r="384" spans="1:47" s="54" customFormat="1" ht="47.25">
      <c r="A384" s="81"/>
      <c r="B384" s="798"/>
      <c r="C384" s="50"/>
      <c r="D384" s="83"/>
      <c r="E384" s="103"/>
      <c r="F384" s="51"/>
      <c r="G384" s="51"/>
      <c r="H384" s="381"/>
      <c r="I384" s="73"/>
      <c r="J384" s="51"/>
      <c r="K384" s="800" t="s">
        <v>3392</v>
      </c>
      <c r="L384" s="71" t="s">
        <v>3400</v>
      </c>
      <c r="M384" s="250" t="s">
        <v>3562</v>
      </c>
      <c r="N384" s="519"/>
      <c r="O384" s="1765">
        <v>40073000</v>
      </c>
      <c r="P384" s="51">
        <f t="shared" si="120"/>
        <v>40073000</v>
      </c>
      <c r="Q384" s="103"/>
      <c r="R384" s="103"/>
      <c r="S384" s="103"/>
      <c r="T384" s="103"/>
      <c r="U384" s="103"/>
      <c r="V384" s="103">
        <f t="shared" si="121"/>
        <v>40073000</v>
      </c>
      <c r="W384" s="1607" t="s">
        <v>3565</v>
      </c>
      <c r="X384" s="1608">
        <v>42720</v>
      </c>
      <c r="Y384" s="1608">
        <v>42726</v>
      </c>
      <c r="Z384" s="1609">
        <f t="shared" si="122"/>
        <v>40073000</v>
      </c>
      <c r="AA384" s="1131">
        <v>1</v>
      </c>
      <c r="AB384" s="30">
        <f t="shared" si="123"/>
        <v>-40073000</v>
      </c>
      <c r="AC384" s="106"/>
      <c r="AD384" s="53"/>
      <c r="AL384" s="103"/>
      <c r="AM384" s="103"/>
      <c r="AN384" s="103"/>
      <c r="AO384" s="103"/>
      <c r="AP384" s="103"/>
      <c r="AQ384" s="103"/>
      <c r="AR384" s="103"/>
      <c r="AS384" s="430"/>
      <c r="AT384" s="100"/>
      <c r="AU384" s="461"/>
    </row>
    <row r="385" spans="1:47" s="54" customFormat="1" ht="47.25">
      <c r="A385" s="81"/>
      <c r="B385" s="798"/>
      <c r="C385" s="50"/>
      <c r="D385" s="83"/>
      <c r="E385" s="103"/>
      <c r="F385" s="51"/>
      <c r="G385" s="51"/>
      <c r="H385" s="381"/>
      <c r="I385" s="73"/>
      <c r="J385" s="51"/>
      <c r="K385" s="800" t="s">
        <v>3392</v>
      </c>
      <c r="L385" s="71" t="s">
        <v>3400</v>
      </c>
      <c r="M385" s="250" t="s">
        <v>3563</v>
      </c>
      <c r="N385" s="519"/>
      <c r="O385" s="1765">
        <v>40073000</v>
      </c>
      <c r="P385" s="51">
        <f t="shared" si="120"/>
        <v>40073000</v>
      </c>
      <c r="Q385" s="103"/>
      <c r="R385" s="103"/>
      <c r="S385" s="103"/>
      <c r="T385" s="103"/>
      <c r="U385" s="103"/>
      <c r="V385" s="103">
        <f t="shared" si="121"/>
        <v>40073000</v>
      </c>
      <c r="W385" s="1607" t="s">
        <v>3565</v>
      </c>
      <c r="X385" s="1608">
        <v>42720</v>
      </c>
      <c r="Y385" s="1608">
        <v>42726</v>
      </c>
      <c r="Z385" s="1609">
        <f t="shared" si="122"/>
        <v>40073000</v>
      </c>
      <c r="AA385" s="1131">
        <v>1</v>
      </c>
      <c r="AB385" s="30">
        <f t="shared" si="123"/>
        <v>-40073000</v>
      </c>
      <c r="AC385" s="106"/>
      <c r="AD385" s="53"/>
      <c r="AL385" s="103"/>
      <c r="AM385" s="103"/>
      <c r="AN385" s="103"/>
      <c r="AO385" s="103"/>
      <c r="AP385" s="103"/>
      <c r="AQ385" s="103"/>
      <c r="AR385" s="103"/>
      <c r="AS385" s="430"/>
      <c r="AT385" s="100"/>
      <c r="AU385" s="461"/>
    </row>
    <row r="386" spans="1:47" s="54" customFormat="1" ht="47.25">
      <c r="A386" s="81"/>
      <c r="B386" s="798"/>
      <c r="C386" s="50"/>
      <c r="D386" s="83"/>
      <c r="E386" s="103"/>
      <c r="F386" s="51"/>
      <c r="G386" s="51"/>
      <c r="H386" s="381"/>
      <c r="I386" s="73"/>
      <c r="J386" s="51"/>
      <c r="K386" s="800" t="s">
        <v>3392</v>
      </c>
      <c r="L386" s="71" t="s">
        <v>3400</v>
      </c>
      <c r="M386" s="250" t="s">
        <v>3564</v>
      </c>
      <c r="N386" s="519"/>
      <c r="O386" s="1765">
        <v>40073000</v>
      </c>
      <c r="P386" s="51">
        <f t="shared" si="120"/>
        <v>40073000</v>
      </c>
      <c r="Q386" s="103"/>
      <c r="R386" s="103"/>
      <c r="S386" s="103"/>
      <c r="T386" s="103"/>
      <c r="U386" s="103"/>
      <c r="V386" s="103">
        <f t="shared" si="121"/>
        <v>40073000</v>
      </c>
      <c r="W386" s="1607" t="s">
        <v>3565</v>
      </c>
      <c r="X386" s="1608">
        <v>42720</v>
      </c>
      <c r="Y386" s="1608">
        <v>42726</v>
      </c>
      <c r="Z386" s="1609">
        <f t="shared" si="122"/>
        <v>40073000</v>
      </c>
      <c r="AA386" s="1131">
        <v>1</v>
      </c>
      <c r="AB386" s="30">
        <f t="shared" si="123"/>
        <v>-40073000</v>
      </c>
      <c r="AC386" s="106"/>
      <c r="AD386" s="53"/>
      <c r="AL386" s="103"/>
      <c r="AM386" s="103"/>
      <c r="AN386" s="103"/>
      <c r="AO386" s="103"/>
      <c r="AP386" s="103"/>
      <c r="AQ386" s="103"/>
      <c r="AR386" s="103"/>
      <c r="AS386" s="430"/>
      <c r="AT386" s="100"/>
      <c r="AU386" s="461"/>
    </row>
    <row r="387" spans="1:47" s="54" customFormat="1">
      <c r="A387" s="81"/>
      <c r="B387" s="798"/>
      <c r="C387" s="50"/>
      <c r="D387" s="83"/>
      <c r="E387" s="103"/>
      <c r="F387" s="51"/>
      <c r="G387" s="51"/>
      <c r="H387" s="381"/>
      <c r="I387" s="73"/>
      <c r="J387" s="51"/>
      <c r="K387" s="800"/>
      <c r="L387" s="71"/>
      <c r="M387" s="799"/>
      <c r="N387" s="51"/>
      <c r="O387" s="684"/>
      <c r="P387" s="51"/>
      <c r="Q387" s="103"/>
      <c r="R387" s="103"/>
      <c r="S387" s="103"/>
      <c r="T387" s="103"/>
      <c r="U387" s="103"/>
      <c r="V387" s="103"/>
      <c r="W387" s="1580"/>
      <c r="X387" s="1582"/>
      <c r="Y387" s="1708"/>
      <c r="Z387" s="1609"/>
      <c r="AA387" s="288"/>
      <c r="AB387" s="30"/>
      <c r="AC387" s="106"/>
      <c r="AD387" s="53"/>
      <c r="AL387" s="103"/>
      <c r="AM387" s="103"/>
      <c r="AN387" s="103"/>
      <c r="AO387" s="103"/>
      <c r="AP387" s="103"/>
      <c r="AQ387" s="103"/>
      <c r="AR387" s="103"/>
      <c r="AS387" s="430"/>
      <c r="AT387" s="100"/>
      <c r="AU387" s="461"/>
    </row>
    <row r="388" spans="1:47" s="54" customFormat="1">
      <c r="A388" s="81"/>
      <c r="B388" s="798"/>
      <c r="C388" s="50"/>
      <c r="D388" s="83"/>
      <c r="E388" s="103"/>
      <c r="F388" s="51"/>
      <c r="G388" s="51"/>
      <c r="H388" s="381"/>
      <c r="I388" s="73"/>
      <c r="J388" s="51"/>
      <c r="K388" s="800"/>
      <c r="L388" s="71"/>
      <c r="M388" s="799"/>
      <c r="N388" s="51"/>
      <c r="O388" s="684"/>
      <c r="P388" s="51"/>
      <c r="Q388" s="103"/>
      <c r="R388" s="103"/>
      <c r="S388" s="103"/>
      <c r="T388" s="103"/>
      <c r="U388" s="103"/>
      <c r="V388" s="103"/>
      <c r="W388" s="1580"/>
      <c r="X388" s="1582"/>
      <c r="Y388" s="1708"/>
      <c r="Z388" s="1609"/>
      <c r="AA388" s="288"/>
      <c r="AB388" s="30"/>
      <c r="AC388" s="106"/>
      <c r="AD388" s="53"/>
      <c r="AL388" s="103"/>
      <c r="AM388" s="103"/>
      <c r="AN388" s="103"/>
      <c r="AO388" s="103"/>
      <c r="AP388" s="103"/>
      <c r="AQ388" s="103"/>
      <c r="AR388" s="103"/>
      <c r="AS388" s="430"/>
      <c r="AT388" s="100"/>
      <c r="AU388" s="461"/>
    </row>
    <row r="389" spans="1:47" s="755" customFormat="1" ht="31.5">
      <c r="A389" s="770"/>
      <c r="B389" s="1314"/>
      <c r="C389" s="773"/>
      <c r="D389" s="774" t="str">
        <f>D378</f>
        <v>Sewa Emergency 11 April 2015 - 10 Oktober 2016</v>
      </c>
      <c r="E389" s="748"/>
      <c r="F389" s="748"/>
      <c r="G389" s="748">
        <f>G378</f>
        <v>721314000</v>
      </c>
      <c r="H389" s="1365"/>
      <c r="I389" s="788"/>
      <c r="J389" s="748"/>
      <c r="K389" s="1705"/>
      <c r="L389" s="1332"/>
      <c r="M389" s="1706"/>
      <c r="N389" s="1709">
        <f>SUM(N379:N388)</f>
        <v>0</v>
      </c>
      <c r="O389" s="1709">
        <f>SUM(O379:O388)</f>
        <v>320584000</v>
      </c>
      <c r="P389" s="1709">
        <f t="shared" ref="P389:V389" si="124">SUM(P378:P388)</f>
        <v>360657000</v>
      </c>
      <c r="Q389" s="1709">
        <f t="shared" si="124"/>
        <v>0</v>
      </c>
      <c r="R389" s="1709">
        <f t="shared" si="124"/>
        <v>0</v>
      </c>
      <c r="S389" s="1709">
        <f t="shared" si="124"/>
        <v>0</v>
      </c>
      <c r="T389" s="1709">
        <f t="shared" si="124"/>
        <v>0</v>
      </c>
      <c r="U389" s="1709">
        <f t="shared" si="124"/>
        <v>0</v>
      </c>
      <c r="V389" s="1709">
        <f t="shared" si="124"/>
        <v>360657000</v>
      </c>
      <c r="W389" s="1710"/>
      <c r="X389" s="1711"/>
      <c r="Y389" s="1712"/>
      <c r="Z389" s="1709">
        <f>SUM(Z378:Z388)</f>
        <v>360657000</v>
      </c>
      <c r="AA389" s="1061"/>
      <c r="AB389" s="658">
        <f>+G389-P389</f>
        <v>360657000</v>
      </c>
      <c r="AC389" s="754"/>
      <c r="AD389" s="754"/>
      <c r="AL389" s="748"/>
      <c r="AM389" s="748"/>
      <c r="AN389" s="748"/>
      <c r="AO389" s="748"/>
      <c r="AP389" s="748"/>
      <c r="AQ389" s="748"/>
      <c r="AR389" s="748"/>
      <c r="AS389" s="1704"/>
      <c r="AT389" s="1102"/>
      <c r="AU389" s="1707"/>
    </row>
    <row r="390" spans="1:47" s="54" customFormat="1">
      <c r="A390" s="81"/>
      <c r="B390" s="798"/>
      <c r="C390" s="50"/>
      <c r="D390" s="83"/>
      <c r="E390" s="103"/>
      <c r="F390" s="51"/>
      <c r="G390" s="51"/>
      <c r="H390" s="381"/>
      <c r="I390" s="73"/>
      <c r="J390" s="51"/>
      <c r="K390" s="800"/>
      <c r="L390" s="71"/>
      <c r="M390" s="799"/>
      <c r="N390" s="1507"/>
      <c r="O390" s="684"/>
      <c r="P390" s="51"/>
      <c r="Q390" s="103"/>
      <c r="R390" s="103"/>
      <c r="S390" s="103"/>
      <c r="T390" s="103"/>
      <c r="U390" s="103"/>
      <c r="V390" s="103"/>
      <c r="W390" s="1580"/>
      <c r="X390" s="1582"/>
      <c r="Y390" s="1708"/>
      <c r="Z390" s="1609"/>
      <c r="AA390" s="288"/>
      <c r="AB390" s="30"/>
      <c r="AC390" s="106"/>
      <c r="AD390" s="53"/>
      <c r="AL390" s="103"/>
      <c r="AM390" s="103"/>
      <c r="AN390" s="103"/>
      <c r="AO390" s="103"/>
      <c r="AP390" s="103"/>
      <c r="AQ390" s="103"/>
      <c r="AR390" s="103"/>
      <c r="AS390" s="430"/>
      <c r="AT390" s="100"/>
      <c r="AU390" s="461"/>
    </row>
    <row r="391" spans="1:47" s="54" customFormat="1" ht="47.25">
      <c r="A391" s="81"/>
      <c r="B391" s="564">
        <v>42664</v>
      </c>
      <c r="C391" s="50"/>
      <c r="D391" s="83" t="s">
        <v>2875</v>
      </c>
      <c r="E391" s="103"/>
      <c r="F391" s="51">
        <v>384700800</v>
      </c>
      <c r="G391" s="51">
        <f>E391+F391</f>
        <v>384700800</v>
      </c>
      <c r="H391" s="381"/>
      <c r="I391" s="73"/>
      <c r="J391" s="51"/>
      <c r="K391" s="800" t="s">
        <v>3392</v>
      </c>
      <c r="L391" s="71" t="s">
        <v>3400</v>
      </c>
      <c r="M391" s="250" t="s">
        <v>3393</v>
      </c>
      <c r="N391" s="799"/>
      <c r="O391" s="684">
        <v>40073000</v>
      </c>
      <c r="P391" s="51">
        <f>N391+O391</f>
        <v>40073000</v>
      </c>
      <c r="Q391" s="103"/>
      <c r="R391" s="103"/>
      <c r="S391" s="103"/>
      <c r="T391" s="103"/>
      <c r="U391" s="103"/>
      <c r="V391" s="103">
        <f>P391</f>
        <v>40073000</v>
      </c>
      <c r="W391" s="1607" t="s">
        <v>3401</v>
      </c>
      <c r="X391" s="1608">
        <v>42709</v>
      </c>
      <c r="Y391" s="1610">
        <v>42713</v>
      </c>
      <c r="Z391" s="1609">
        <f>V391</f>
        <v>40073000</v>
      </c>
      <c r="AA391" s="288">
        <v>1</v>
      </c>
      <c r="AB391" s="30">
        <f>+G391-P391</f>
        <v>344627800</v>
      </c>
      <c r="AC391" s="106"/>
      <c r="AD391" s="53"/>
      <c r="AL391" s="103"/>
      <c r="AM391" s="103"/>
      <c r="AN391" s="103"/>
      <c r="AO391" s="103"/>
      <c r="AP391" s="103"/>
      <c r="AQ391" s="103"/>
      <c r="AR391" s="103"/>
      <c r="AS391" s="430"/>
      <c r="AT391" s="100"/>
      <c r="AU391" s="461"/>
    </row>
    <row r="392" spans="1:47" s="54" customFormat="1" ht="47.25">
      <c r="A392" s="81"/>
      <c r="B392" s="564"/>
      <c r="C392" s="50"/>
      <c r="D392" s="83"/>
      <c r="E392" s="103"/>
      <c r="F392" s="51"/>
      <c r="G392" s="51"/>
      <c r="H392" s="381"/>
      <c r="I392" s="73"/>
      <c r="J392" s="51"/>
      <c r="K392" s="800" t="s">
        <v>3392</v>
      </c>
      <c r="L392" s="71" t="s">
        <v>3400</v>
      </c>
      <c r="M392" s="250" t="s">
        <v>3394</v>
      </c>
      <c r="N392" s="799"/>
      <c r="O392" s="684">
        <v>40073000</v>
      </c>
      <c r="P392" s="51">
        <f t="shared" ref="P392:P397" si="125">N392+O392</f>
        <v>40073000</v>
      </c>
      <c r="Q392" s="103"/>
      <c r="R392" s="103"/>
      <c r="S392" s="103"/>
      <c r="T392" s="103"/>
      <c r="U392" s="103"/>
      <c r="V392" s="103">
        <f t="shared" ref="V392:V397" si="126">P392</f>
        <v>40073000</v>
      </c>
      <c r="W392" s="1607" t="s">
        <v>3401</v>
      </c>
      <c r="X392" s="1608">
        <v>42709</v>
      </c>
      <c r="Y392" s="1610">
        <v>42713</v>
      </c>
      <c r="Z392" s="1609">
        <f t="shared" ref="Z392:Z397" si="127">V392</f>
        <v>40073000</v>
      </c>
      <c r="AA392" s="288">
        <v>1</v>
      </c>
      <c r="AB392" s="30">
        <f t="shared" ref="AB392:AB401" si="128">+G392-P392</f>
        <v>-40073000</v>
      </c>
      <c r="AC392" s="106"/>
      <c r="AD392" s="53"/>
      <c r="AL392" s="103"/>
      <c r="AM392" s="103"/>
      <c r="AN392" s="103"/>
      <c r="AO392" s="103"/>
      <c r="AP392" s="103"/>
      <c r="AQ392" s="103"/>
      <c r="AR392" s="103"/>
      <c r="AS392" s="430"/>
      <c r="AT392" s="100"/>
      <c r="AU392" s="461"/>
    </row>
    <row r="393" spans="1:47" s="54" customFormat="1" ht="47.25">
      <c r="A393" s="81"/>
      <c r="B393" s="564"/>
      <c r="C393" s="50"/>
      <c r="D393" s="83"/>
      <c r="E393" s="103"/>
      <c r="F393" s="51"/>
      <c r="G393" s="51"/>
      <c r="H393" s="381"/>
      <c r="I393" s="73"/>
      <c r="J393" s="51"/>
      <c r="K393" s="800" t="s">
        <v>3392</v>
      </c>
      <c r="L393" s="71" t="s">
        <v>3400</v>
      </c>
      <c r="M393" s="250" t="s">
        <v>3395</v>
      </c>
      <c r="N393" s="799"/>
      <c r="O393" s="684">
        <v>40073000</v>
      </c>
      <c r="P393" s="51">
        <f t="shared" si="125"/>
        <v>40073000</v>
      </c>
      <c r="Q393" s="103"/>
      <c r="R393" s="103"/>
      <c r="S393" s="103"/>
      <c r="T393" s="103"/>
      <c r="U393" s="103"/>
      <c r="V393" s="103">
        <f t="shared" si="126"/>
        <v>40073000</v>
      </c>
      <c r="W393" s="1607" t="s">
        <v>3401</v>
      </c>
      <c r="X393" s="1608">
        <v>42709</v>
      </c>
      <c r="Y393" s="1610">
        <v>42713</v>
      </c>
      <c r="Z393" s="1609">
        <f t="shared" si="127"/>
        <v>40073000</v>
      </c>
      <c r="AA393" s="288">
        <v>1</v>
      </c>
      <c r="AB393" s="30">
        <f t="shared" si="128"/>
        <v>-40073000</v>
      </c>
      <c r="AC393" s="106"/>
      <c r="AD393" s="53"/>
      <c r="AL393" s="103"/>
      <c r="AM393" s="103"/>
      <c r="AN393" s="103"/>
      <c r="AO393" s="103"/>
      <c r="AP393" s="103"/>
      <c r="AQ393" s="103"/>
      <c r="AR393" s="103"/>
      <c r="AS393" s="430"/>
      <c r="AT393" s="100"/>
      <c r="AU393" s="461"/>
    </row>
    <row r="394" spans="1:47" s="54" customFormat="1" ht="47.25">
      <c r="A394" s="81"/>
      <c r="B394" s="564"/>
      <c r="C394" s="50"/>
      <c r="D394" s="83"/>
      <c r="E394" s="103"/>
      <c r="F394" s="51"/>
      <c r="G394" s="51"/>
      <c r="H394" s="381"/>
      <c r="I394" s="73"/>
      <c r="J394" s="51"/>
      <c r="K394" s="800" t="s">
        <v>3392</v>
      </c>
      <c r="L394" s="71" t="s">
        <v>3400</v>
      </c>
      <c r="M394" s="250" t="s">
        <v>3396</v>
      </c>
      <c r="N394" s="799"/>
      <c r="O394" s="684">
        <v>40073000</v>
      </c>
      <c r="P394" s="51">
        <f t="shared" si="125"/>
        <v>40073000</v>
      </c>
      <c r="Q394" s="103"/>
      <c r="R394" s="103"/>
      <c r="S394" s="103"/>
      <c r="T394" s="103"/>
      <c r="U394" s="103"/>
      <c r="V394" s="103">
        <f t="shared" si="126"/>
        <v>40073000</v>
      </c>
      <c r="W394" s="1607" t="s">
        <v>3401</v>
      </c>
      <c r="X394" s="1608">
        <v>42709</v>
      </c>
      <c r="Y394" s="1610">
        <v>42713</v>
      </c>
      <c r="Z394" s="1609">
        <f t="shared" si="127"/>
        <v>40073000</v>
      </c>
      <c r="AA394" s="288">
        <v>1</v>
      </c>
      <c r="AB394" s="30">
        <f t="shared" si="128"/>
        <v>-40073000</v>
      </c>
      <c r="AC394" s="106"/>
      <c r="AD394" s="53"/>
      <c r="AL394" s="103"/>
      <c r="AM394" s="103"/>
      <c r="AN394" s="103"/>
      <c r="AO394" s="103"/>
      <c r="AP394" s="103"/>
      <c r="AQ394" s="103"/>
      <c r="AR394" s="103"/>
      <c r="AS394" s="430"/>
      <c r="AT394" s="100"/>
      <c r="AU394" s="461"/>
    </row>
    <row r="395" spans="1:47" s="54" customFormat="1" ht="47.25">
      <c r="A395" s="81"/>
      <c r="B395" s="564"/>
      <c r="C395" s="50"/>
      <c r="D395" s="83"/>
      <c r="E395" s="103"/>
      <c r="F395" s="51"/>
      <c r="G395" s="51"/>
      <c r="H395" s="381"/>
      <c r="I395" s="73"/>
      <c r="J395" s="51"/>
      <c r="K395" s="800" t="s">
        <v>3392</v>
      </c>
      <c r="L395" s="71" t="s">
        <v>3400</v>
      </c>
      <c r="M395" s="250" t="s">
        <v>3397</v>
      </c>
      <c r="N395" s="799"/>
      <c r="O395" s="684">
        <v>40073000</v>
      </c>
      <c r="P395" s="51">
        <f t="shared" si="125"/>
        <v>40073000</v>
      </c>
      <c r="Q395" s="103"/>
      <c r="R395" s="103"/>
      <c r="S395" s="103"/>
      <c r="T395" s="103"/>
      <c r="U395" s="103"/>
      <c r="V395" s="103">
        <f t="shared" si="126"/>
        <v>40073000</v>
      </c>
      <c r="W395" s="1607" t="s">
        <v>3401</v>
      </c>
      <c r="X395" s="1608">
        <v>42709</v>
      </c>
      <c r="Y395" s="1610">
        <v>42713</v>
      </c>
      <c r="Z395" s="1609">
        <f t="shared" si="127"/>
        <v>40073000</v>
      </c>
      <c r="AA395" s="288">
        <v>1</v>
      </c>
      <c r="AB395" s="30">
        <f t="shared" si="128"/>
        <v>-40073000</v>
      </c>
      <c r="AC395" s="106"/>
      <c r="AD395" s="53"/>
      <c r="AL395" s="103"/>
      <c r="AM395" s="103"/>
      <c r="AN395" s="103"/>
      <c r="AO395" s="103"/>
      <c r="AP395" s="103"/>
      <c r="AQ395" s="103"/>
      <c r="AR395" s="103"/>
      <c r="AS395" s="430"/>
      <c r="AT395" s="100"/>
      <c r="AU395" s="461"/>
    </row>
    <row r="396" spans="1:47" s="54" customFormat="1" ht="47.25">
      <c r="A396" s="81"/>
      <c r="B396" s="564"/>
      <c r="C396" s="50"/>
      <c r="D396" s="83"/>
      <c r="E396" s="103"/>
      <c r="F396" s="51"/>
      <c r="G396" s="51"/>
      <c r="H396" s="381"/>
      <c r="I396" s="73"/>
      <c r="J396" s="51"/>
      <c r="K396" s="800" t="s">
        <v>3392</v>
      </c>
      <c r="L396" s="71" t="s">
        <v>3400</v>
      </c>
      <c r="M396" s="250" t="s">
        <v>3398</v>
      </c>
      <c r="N396" s="799"/>
      <c r="O396" s="684">
        <v>40073000</v>
      </c>
      <c r="P396" s="51">
        <f t="shared" si="125"/>
        <v>40073000</v>
      </c>
      <c r="Q396" s="103"/>
      <c r="R396" s="103"/>
      <c r="S396" s="103"/>
      <c r="T396" s="103"/>
      <c r="U396" s="103"/>
      <c r="V396" s="103">
        <f t="shared" si="126"/>
        <v>40073000</v>
      </c>
      <c r="W396" s="1607" t="s">
        <v>3401</v>
      </c>
      <c r="X396" s="1608">
        <v>42709</v>
      </c>
      <c r="Y396" s="1610">
        <v>42713</v>
      </c>
      <c r="Z396" s="1609">
        <f t="shared" si="127"/>
        <v>40073000</v>
      </c>
      <c r="AA396" s="288">
        <v>1</v>
      </c>
      <c r="AB396" s="30">
        <f t="shared" si="128"/>
        <v>-40073000</v>
      </c>
      <c r="AC396" s="106"/>
      <c r="AD396" s="53"/>
      <c r="AL396" s="103"/>
      <c r="AM396" s="103"/>
      <c r="AN396" s="103"/>
      <c r="AO396" s="103"/>
      <c r="AP396" s="103"/>
      <c r="AQ396" s="103"/>
      <c r="AR396" s="103"/>
      <c r="AS396" s="430"/>
      <c r="AT396" s="100"/>
      <c r="AU396" s="461"/>
    </row>
    <row r="397" spans="1:47" s="54" customFormat="1" ht="47.25">
      <c r="A397" s="81"/>
      <c r="B397" s="564"/>
      <c r="C397" s="50"/>
      <c r="D397" s="83"/>
      <c r="E397" s="103"/>
      <c r="F397" s="51"/>
      <c r="G397" s="51"/>
      <c r="H397" s="381"/>
      <c r="I397" s="73"/>
      <c r="J397" s="51"/>
      <c r="K397" s="800" t="s">
        <v>3392</v>
      </c>
      <c r="L397" s="71" t="s">
        <v>3400</v>
      </c>
      <c r="M397" s="250" t="s">
        <v>3399</v>
      </c>
      <c r="N397" s="799"/>
      <c r="O397" s="684">
        <v>40073000</v>
      </c>
      <c r="P397" s="51">
        <f t="shared" si="125"/>
        <v>40073000</v>
      </c>
      <c r="Q397" s="103"/>
      <c r="R397" s="103"/>
      <c r="S397" s="103"/>
      <c r="T397" s="103"/>
      <c r="U397" s="103"/>
      <c r="V397" s="103">
        <f t="shared" si="126"/>
        <v>40073000</v>
      </c>
      <c r="W397" s="1607" t="s">
        <v>3401</v>
      </c>
      <c r="X397" s="1608">
        <v>42709</v>
      </c>
      <c r="Y397" s="1610">
        <v>42713</v>
      </c>
      <c r="Z397" s="1609">
        <f t="shared" si="127"/>
        <v>40073000</v>
      </c>
      <c r="AA397" s="288">
        <v>1</v>
      </c>
      <c r="AB397" s="30">
        <f t="shared" si="128"/>
        <v>-40073000</v>
      </c>
      <c r="AC397" s="106"/>
      <c r="AD397" s="53"/>
      <c r="AL397" s="103"/>
      <c r="AM397" s="103"/>
      <c r="AN397" s="103"/>
      <c r="AO397" s="103"/>
      <c r="AP397" s="103"/>
      <c r="AQ397" s="103"/>
      <c r="AR397" s="103"/>
      <c r="AS397" s="430"/>
      <c r="AT397" s="100"/>
      <c r="AU397" s="461"/>
    </row>
    <row r="398" spans="1:47" s="54" customFormat="1" ht="47.25">
      <c r="A398" s="81"/>
      <c r="B398" s="564"/>
      <c r="C398" s="50"/>
      <c r="D398" s="83"/>
      <c r="E398" s="103"/>
      <c r="F398" s="51"/>
      <c r="G398" s="51"/>
      <c r="H398" s="381"/>
      <c r="I398" s="73"/>
      <c r="J398" s="51"/>
      <c r="K398" s="800" t="s">
        <v>3392</v>
      </c>
      <c r="L398" s="71" t="s">
        <v>3400</v>
      </c>
      <c r="M398" s="250" t="s">
        <v>3403</v>
      </c>
      <c r="N398" s="1713"/>
      <c r="O398" s="684">
        <v>40073000</v>
      </c>
      <c r="P398" s="51">
        <f>N398+O398</f>
        <v>40073000</v>
      </c>
      <c r="Q398" s="103"/>
      <c r="R398" s="103"/>
      <c r="S398" s="103"/>
      <c r="T398" s="103"/>
      <c r="U398" s="103"/>
      <c r="V398" s="103">
        <f>P398</f>
        <v>40073000</v>
      </c>
      <c r="W398" s="1607" t="s">
        <v>3405</v>
      </c>
      <c r="X398" s="1608">
        <v>42711</v>
      </c>
      <c r="Y398" s="1610">
        <v>42718</v>
      </c>
      <c r="Z398" s="1609">
        <f>V398</f>
        <v>40073000</v>
      </c>
      <c r="AA398" s="288">
        <v>1</v>
      </c>
      <c r="AB398" s="30">
        <f>+G398-P398</f>
        <v>-40073000</v>
      </c>
      <c r="AC398" s="106"/>
      <c r="AD398" s="53"/>
      <c r="AL398" s="103"/>
      <c r="AM398" s="103"/>
      <c r="AN398" s="103"/>
      <c r="AO398" s="103"/>
      <c r="AP398" s="103"/>
      <c r="AQ398" s="103"/>
      <c r="AR398" s="103"/>
      <c r="AS398" s="430"/>
      <c r="AT398" s="100"/>
      <c r="AU398" s="461"/>
    </row>
    <row r="399" spans="1:47" s="54" customFormat="1" ht="47.25">
      <c r="A399" s="81"/>
      <c r="B399" s="564"/>
      <c r="C399" s="50"/>
      <c r="D399" s="83"/>
      <c r="E399" s="103"/>
      <c r="F399" s="51"/>
      <c r="G399" s="51"/>
      <c r="H399" s="381"/>
      <c r="I399" s="73"/>
      <c r="J399" s="51"/>
      <c r="K399" s="800" t="s">
        <v>3392</v>
      </c>
      <c r="L399" s="71" t="s">
        <v>3400</v>
      </c>
      <c r="M399" s="250" t="s">
        <v>3404</v>
      </c>
      <c r="N399" s="1713"/>
      <c r="O399" s="684">
        <v>40073000</v>
      </c>
      <c r="P399" s="51">
        <f>N399+O399</f>
        <v>40073000</v>
      </c>
      <c r="Q399" s="103"/>
      <c r="R399" s="103"/>
      <c r="S399" s="103"/>
      <c r="T399" s="103"/>
      <c r="U399" s="103"/>
      <c r="V399" s="103">
        <f>P399</f>
        <v>40073000</v>
      </c>
      <c r="W399" s="1607" t="s">
        <v>3405</v>
      </c>
      <c r="X399" s="1608">
        <v>42711</v>
      </c>
      <c r="Y399" s="1610">
        <v>42718</v>
      </c>
      <c r="Z399" s="1609">
        <f>V399</f>
        <v>40073000</v>
      </c>
      <c r="AA399" s="288">
        <v>1</v>
      </c>
      <c r="AB399" s="30">
        <f>+G399-P399</f>
        <v>-40073000</v>
      </c>
      <c r="AC399" s="106"/>
      <c r="AD399" s="53"/>
      <c r="AL399" s="103"/>
      <c r="AM399" s="103"/>
      <c r="AN399" s="103"/>
      <c r="AO399" s="103"/>
      <c r="AP399" s="103"/>
      <c r="AQ399" s="103"/>
      <c r="AR399" s="103"/>
      <c r="AS399" s="430"/>
      <c r="AT399" s="100"/>
      <c r="AU399" s="461"/>
    </row>
    <row r="400" spans="1:47" s="54" customFormat="1">
      <c r="A400" s="81"/>
      <c r="B400" s="564"/>
      <c r="C400" s="50"/>
      <c r="D400" s="83"/>
      <c r="E400" s="103"/>
      <c r="F400" s="51"/>
      <c r="G400" s="51"/>
      <c r="H400" s="381"/>
      <c r="I400" s="73"/>
      <c r="J400" s="51"/>
      <c r="K400" s="800"/>
      <c r="L400" s="71"/>
      <c r="M400" s="799"/>
      <c r="N400" s="51"/>
      <c r="O400" s="684"/>
      <c r="P400" s="51"/>
      <c r="Q400" s="103"/>
      <c r="R400" s="103"/>
      <c r="S400" s="103"/>
      <c r="T400" s="103"/>
      <c r="U400" s="103"/>
      <c r="V400" s="103"/>
      <c r="W400" s="1607"/>
      <c r="X400" s="1608"/>
      <c r="Y400" s="1610"/>
      <c r="Z400" s="1609"/>
      <c r="AA400" s="288"/>
      <c r="AB400" s="30"/>
      <c r="AC400" s="106"/>
      <c r="AD400" s="53"/>
      <c r="AL400" s="103"/>
      <c r="AM400" s="103"/>
      <c r="AN400" s="103"/>
      <c r="AO400" s="103"/>
      <c r="AP400" s="103"/>
      <c r="AQ400" s="103"/>
      <c r="AR400" s="103"/>
      <c r="AS400" s="430"/>
      <c r="AT400" s="100"/>
      <c r="AU400" s="461"/>
    </row>
    <row r="401" spans="1:47" s="755" customFormat="1" ht="31.5">
      <c r="A401" s="770"/>
      <c r="B401" s="749"/>
      <c r="C401" s="773"/>
      <c r="D401" s="774" t="str">
        <f>D391</f>
        <v>Sewa Emergency 11 Oktober 2016 - 10 Oktober 2017</v>
      </c>
      <c r="E401" s="748"/>
      <c r="F401" s="748"/>
      <c r="G401" s="748">
        <f>G391</f>
        <v>384700800</v>
      </c>
      <c r="H401" s="1365"/>
      <c r="I401" s="788"/>
      <c r="J401" s="748"/>
      <c r="K401" s="1705"/>
      <c r="L401" s="1332"/>
      <c r="M401" s="1706"/>
      <c r="N401" s="748">
        <f>SUM(N391:N400)</f>
        <v>0</v>
      </c>
      <c r="O401" s="748">
        <f t="shared" ref="O401:V401" si="129">SUM(O391:O400)</f>
        <v>360657000</v>
      </c>
      <c r="P401" s="748">
        <f t="shared" si="129"/>
        <v>360657000</v>
      </c>
      <c r="Q401" s="748">
        <f t="shared" si="129"/>
        <v>0</v>
      </c>
      <c r="R401" s="748">
        <f t="shared" si="129"/>
        <v>0</v>
      </c>
      <c r="S401" s="748">
        <f t="shared" si="129"/>
        <v>0</v>
      </c>
      <c r="T401" s="748">
        <f t="shared" si="129"/>
        <v>0</v>
      </c>
      <c r="U401" s="748">
        <f t="shared" si="129"/>
        <v>0</v>
      </c>
      <c r="V401" s="748">
        <f t="shared" si="129"/>
        <v>360657000</v>
      </c>
      <c r="W401" s="1701"/>
      <c r="X401" s="1702"/>
      <c r="Y401" s="1703"/>
      <c r="Z401" s="748">
        <f>SUM(Z391:Z400)</f>
        <v>360657000</v>
      </c>
      <c r="AA401" s="1061"/>
      <c r="AB401" s="1372">
        <f t="shared" si="128"/>
        <v>24043800</v>
      </c>
      <c r="AC401" s="754"/>
      <c r="AD401" s="754"/>
      <c r="AL401" s="748"/>
      <c r="AM401" s="748"/>
      <c r="AN401" s="748"/>
      <c r="AO401" s="748"/>
      <c r="AP401" s="748"/>
      <c r="AQ401" s="748"/>
      <c r="AR401" s="748"/>
      <c r="AS401" s="1704"/>
      <c r="AT401" s="1102"/>
      <c r="AU401" s="1707"/>
    </row>
    <row r="402" spans="1:47" s="54" customFormat="1">
      <c r="A402" s="81"/>
      <c r="B402" s="564"/>
      <c r="C402" s="50"/>
      <c r="D402" s="83"/>
      <c r="E402" s="103"/>
      <c r="F402" s="51"/>
      <c r="G402" s="51"/>
      <c r="H402" s="381"/>
      <c r="I402" s="73"/>
      <c r="J402" s="51"/>
      <c r="K402" s="800"/>
      <c r="L402" s="71"/>
      <c r="M402" s="799"/>
      <c r="N402" s="51"/>
      <c r="O402" s="684"/>
      <c r="P402" s="51"/>
      <c r="Q402" s="103"/>
      <c r="R402" s="103"/>
      <c r="S402" s="103"/>
      <c r="T402" s="103"/>
      <c r="U402" s="103"/>
      <c r="V402" s="103"/>
      <c r="W402" s="1607"/>
      <c r="X402" s="1608"/>
      <c r="Y402" s="1610"/>
      <c r="Z402" s="1609"/>
      <c r="AA402" s="288"/>
      <c r="AB402" s="30"/>
      <c r="AC402" s="106"/>
      <c r="AD402" s="53"/>
      <c r="AL402" s="103"/>
      <c r="AM402" s="103"/>
      <c r="AN402" s="103"/>
      <c r="AO402" s="103"/>
      <c r="AP402" s="103"/>
      <c r="AQ402" s="103"/>
      <c r="AR402" s="103"/>
      <c r="AS402" s="430"/>
      <c r="AT402" s="100"/>
      <c r="AU402" s="461"/>
    </row>
    <row r="403" spans="1:47" s="54" customFormat="1" ht="16.5" thickBot="1">
      <c r="A403" s="81"/>
      <c r="B403" s="50"/>
      <c r="C403" s="50"/>
      <c r="D403" s="83"/>
      <c r="E403" s="103"/>
      <c r="F403" s="51"/>
      <c r="G403" s="51"/>
      <c r="H403" s="381"/>
      <c r="I403" s="73"/>
      <c r="J403" s="51"/>
      <c r="K403" s="800"/>
      <c r="L403" s="71"/>
      <c r="M403" s="799"/>
      <c r="N403" s="51"/>
      <c r="O403" s="684"/>
      <c r="P403" s="51">
        <f>N403+O403</f>
        <v>0</v>
      </c>
      <c r="Q403" s="103"/>
      <c r="R403" s="103"/>
      <c r="S403" s="103"/>
      <c r="T403" s="103"/>
      <c r="U403" s="103"/>
      <c r="V403" s="103">
        <f>P403</f>
        <v>0</v>
      </c>
      <c r="W403" s="1607"/>
      <c r="X403" s="1608"/>
      <c r="Y403" s="1610"/>
      <c r="Z403" s="1609"/>
      <c r="AA403" s="288"/>
      <c r="AB403" s="30">
        <f>+G403-P403</f>
        <v>0</v>
      </c>
      <c r="AC403" s="106"/>
      <c r="AD403" s="53"/>
      <c r="AL403" s="103"/>
      <c r="AM403" s="103"/>
      <c r="AN403" s="103"/>
      <c r="AO403" s="103"/>
      <c r="AP403" s="103"/>
      <c r="AQ403" s="103"/>
      <c r="AR403" s="103"/>
      <c r="AS403" s="430"/>
      <c r="AT403" s="100"/>
      <c r="AU403" s="461"/>
    </row>
    <row r="404" spans="1:47" s="317" customFormat="1" ht="15.75" customHeight="1" thickBot="1">
      <c r="A404" s="2703" t="s">
        <v>2872</v>
      </c>
      <c r="B404" s="2704"/>
      <c r="C404" s="2704"/>
      <c r="D404" s="2705"/>
      <c r="E404" s="65">
        <f>+E378+E391</f>
        <v>0</v>
      </c>
      <c r="F404" s="65">
        <f>+F378+F391</f>
        <v>1106014800</v>
      </c>
      <c r="G404" s="65">
        <f>+G378+G391</f>
        <v>1106014800</v>
      </c>
      <c r="H404" s="65"/>
      <c r="I404" s="65"/>
      <c r="J404" s="65"/>
      <c r="K404" s="66"/>
      <c r="L404" s="1334"/>
      <c r="M404" s="315"/>
      <c r="N404" s="65">
        <f>+N389+N401</f>
        <v>0</v>
      </c>
      <c r="O404" s="65">
        <f t="shared" ref="O404:V404" si="130">+O389+O401</f>
        <v>681241000</v>
      </c>
      <c r="P404" s="65">
        <f t="shared" si="130"/>
        <v>721314000</v>
      </c>
      <c r="Q404" s="65">
        <f t="shared" si="130"/>
        <v>0</v>
      </c>
      <c r="R404" s="65">
        <f t="shared" si="130"/>
        <v>0</v>
      </c>
      <c r="S404" s="65">
        <f t="shared" si="130"/>
        <v>0</v>
      </c>
      <c r="T404" s="65">
        <f t="shared" si="130"/>
        <v>0</v>
      </c>
      <c r="U404" s="65">
        <f t="shared" si="130"/>
        <v>0</v>
      </c>
      <c r="V404" s="65">
        <f t="shared" si="130"/>
        <v>721314000</v>
      </c>
      <c r="W404" s="1619"/>
      <c r="X404" s="1620"/>
      <c r="Y404" s="1620"/>
      <c r="Z404" s="65">
        <f>+Z389+Z401</f>
        <v>721314000</v>
      </c>
      <c r="AA404" s="65"/>
      <c r="AB404" s="65">
        <f>+AB389+AB401</f>
        <v>384700800</v>
      </c>
      <c r="AC404" s="76"/>
      <c r="AD404" s="316"/>
      <c r="AL404" s="318"/>
      <c r="AM404" s="318"/>
      <c r="AN404" s="318"/>
      <c r="AO404" s="318"/>
      <c r="AP404" s="318"/>
      <c r="AQ404" s="318"/>
      <c r="AR404" s="318"/>
      <c r="AS404" s="460"/>
      <c r="AT404" s="56"/>
      <c r="AU404" s="462"/>
    </row>
    <row r="405" spans="1:47" ht="15.75" customHeight="1" thickBot="1">
      <c r="A405" s="2735" t="s">
        <v>44</v>
      </c>
      <c r="B405" s="2736"/>
      <c r="C405" s="2736"/>
      <c r="D405" s="2737"/>
      <c r="E405" s="84">
        <f>E56+E376+E404</f>
        <v>2591517000</v>
      </c>
      <c r="F405" s="84">
        <f>F56+F376+F404</f>
        <v>26850481800</v>
      </c>
      <c r="G405" s="84">
        <f>G56+G376+G404</f>
        <v>29441998800</v>
      </c>
      <c r="H405" s="84"/>
      <c r="I405" s="84"/>
      <c r="J405" s="84"/>
      <c r="K405" s="84"/>
      <c r="L405" s="1269"/>
      <c r="M405" s="84"/>
      <c r="N405" s="84">
        <f t="shared" ref="N405:V405" si="131">N56+N376+N404</f>
        <v>4297571960</v>
      </c>
      <c r="O405" s="84">
        <f t="shared" si="131"/>
        <v>44021468354</v>
      </c>
      <c r="P405" s="84">
        <f t="shared" si="131"/>
        <v>48359113314</v>
      </c>
      <c r="Q405" s="84">
        <f t="shared" si="131"/>
        <v>0</v>
      </c>
      <c r="R405" s="84">
        <f t="shared" si="131"/>
        <v>0</v>
      </c>
      <c r="S405" s="84">
        <f t="shared" si="131"/>
        <v>0</v>
      </c>
      <c r="T405" s="84">
        <f t="shared" si="131"/>
        <v>0</v>
      </c>
      <c r="U405" s="84">
        <f t="shared" si="131"/>
        <v>0</v>
      </c>
      <c r="V405" s="84">
        <f t="shared" si="131"/>
        <v>43779971824</v>
      </c>
      <c r="W405" s="1622"/>
      <c r="X405" s="1622"/>
      <c r="Y405" s="1622"/>
      <c r="Z405" s="1622">
        <f>Z56+Z376+Z404</f>
        <v>43604553449</v>
      </c>
      <c r="AA405" s="84"/>
      <c r="AB405" s="84">
        <f>AB56+AB376</f>
        <v>-19301815314</v>
      </c>
      <c r="AC405" s="84"/>
      <c r="AD405" s="85"/>
      <c r="AE405" s="85"/>
      <c r="AF405" s="85"/>
      <c r="AG405" s="85"/>
      <c r="AH405" s="85"/>
      <c r="AI405" s="85"/>
      <c r="AJ405" s="85"/>
      <c r="AK405" s="86"/>
      <c r="AL405" s="84" t="e">
        <f>#REF!+#REF!+#REF!+#REF!</f>
        <v>#REF!</v>
      </c>
      <c r="AM405" s="84" t="e">
        <f>#REF!+#REF!+#REF!+#REF!</f>
        <v>#REF!</v>
      </c>
      <c r="AN405" s="84" t="e">
        <f>#REF!+#REF!+#REF!+#REF!</f>
        <v>#REF!</v>
      </c>
      <c r="AO405" s="84" t="e">
        <f>#REF!+#REF!+#REF!+#REF!</f>
        <v>#REF!</v>
      </c>
      <c r="AP405" s="84" t="e">
        <f>#REF!+#REF!+#REF!+#REF!</f>
        <v>#REF!</v>
      </c>
      <c r="AQ405" s="84" t="e">
        <f>#REF!+#REF!+#REF!+#REF!</f>
        <v>#REF!</v>
      </c>
      <c r="AR405" s="84" t="e">
        <f>#REF!+#REF!+#REF!+#REF!</f>
        <v>#REF!</v>
      </c>
      <c r="AS405" s="87" t="e">
        <f>#REF!+#REF!+#REF!+#REF!</f>
        <v>#REF!</v>
      </c>
    </row>
    <row r="406" spans="1:47" ht="15.75" customHeight="1">
      <c r="B406" s="88"/>
      <c r="N406" s="88"/>
      <c r="O406" s="88"/>
      <c r="P406" s="90"/>
      <c r="Q406" s="90"/>
      <c r="R406" s="90"/>
      <c r="S406" s="90"/>
      <c r="T406" s="90"/>
      <c r="U406" s="90"/>
      <c r="V406" s="90"/>
      <c r="X406" s="1623"/>
      <c r="Y406" s="1623"/>
      <c r="Z406" s="1624"/>
      <c r="AA406" s="79"/>
      <c r="AB406" s="79"/>
    </row>
    <row r="407" spans="1:47">
      <c r="B407" s="88"/>
      <c r="E407" s="79"/>
      <c r="F407" s="79"/>
      <c r="G407" s="79">
        <f>G405+'SKKO KIT'!G354</f>
        <v>62397230029</v>
      </c>
      <c r="H407" s="79"/>
      <c r="I407" s="79"/>
      <c r="J407" s="79"/>
      <c r="N407" s="88"/>
      <c r="O407" s="88"/>
      <c r="AB407" s="79"/>
      <c r="AC407" s="88"/>
    </row>
    <row r="408" spans="1:47">
      <c r="P408" s="79"/>
      <c r="Q408" s="79"/>
      <c r="R408" s="79"/>
      <c r="S408" s="79"/>
      <c r="T408" s="79"/>
      <c r="U408" s="79"/>
      <c r="V408" s="79"/>
      <c r="AB408" s="79"/>
    </row>
    <row r="409" spans="1:47">
      <c r="M409" s="92"/>
    </row>
  </sheetData>
  <mergeCells count="37">
    <mergeCell ref="AL8:AS8"/>
    <mergeCell ref="A404:D404"/>
    <mergeCell ref="A5:AC5"/>
    <mergeCell ref="A6:N6"/>
    <mergeCell ref="A8:A10"/>
    <mergeCell ref="B8:G8"/>
    <mergeCell ref="H8:I9"/>
    <mergeCell ref="J8:U8"/>
    <mergeCell ref="V8:V10"/>
    <mergeCell ref="W8:X8"/>
    <mergeCell ref="Y8:AA8"/>
    <mergeCell ref="W11:Z11"/>
    <mergeCell ref="A56:D56"/>
    <mergeCell ref="A376:D376"/>
    <mergeCell ref="A405:D405"/>
    <mergeCell ref="W9:W10"/>
    <mergeCell ref="X9:X10"/>
    <mergeCell ref="Y9:Y10"/>
    <mergeCell ref="Z9:Z10"/>
    <mergeCell ref="B9:B10"/>
    <mergeCell ref="C9:C10"/>
    <mergeCell ref="AT8:AT10"/>
    <mergeCell ref="AU8:AV9"/>
    <mergeCell ref="AW8:AY9"/>
    <mergeCell ref="AZ8:AZ10"/>
    <mergeCell ref="D9:D10"/>
    <mergeCell ref="E9:G9"/>
    <mergeCell ref="J9:J10"/>
    <mergeCell ref="N9:P9"/>
    <mergeCell ref="Q9:S9"/>
    <mergeCell ref="T9:U9"/>
    <mergeCell ref="AC8:AC10"/>
    <mergeCell ref="AL9:AO9"/>
    <mergeCell ref="AP9:AS9"/>
    <mergeCell ref="AD10:AG10"/>
    <mergeCell ref="AH10:AK10"/>
    <mergeCell ref="AD8:AK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AO228"/>
  <sheetViews>
    <sheetView topLeftCell="M1" zoomScale="68" zoomScaleNormal="68" workbookViewId="0">
      <pane ySplit="10" topLeftCell="A183" activePane="bottomLeft" state="frozen"/>
      <selection activeCell="F1" sqref="F1"/>
      <selection pane="bottomLeft" activeCell="Z183" sqref="Z183:Z184"/>
    </sheetView>
  </sheetViews>
  <sheetFormatPr defaultColWidth="32.42578125" defaultRowHeight="15.75"/>
  <cols>
    <col min="1" max="1" width="4.85546875" style="2" customWidth="1"/>
    <col min="2" max="2" width="31.28515625" style="2" bestFit="1" customWidth="1"/>
    <col min="3" max="3" width="32.5703125" style="89" customWidth="1"/>
    <col min="4" max="4" width="48.42578125" style="89" customWidth="1"/>
    <col min="5" max="5" width="18.140625" style="2" bestFit="1" customWidth="1"/>
    <col min="6" max="7" width="18.28515625" style="2" bestFit="1" customWidth="1"/>
    <col min="8" max="8" width="22.140625" style="2" customWidth="1"/>
    <col min="9" max="9" width="18" style="2" customWidth="1"/>
    <col min="10" max="10" width="28.7109375" style="2" bestFit="1" customWidth="1"/>
    <col min="11" max="11" width="33.28515625" style="2" customWidth="1"/>
    <col min="12" max="12" width="28.5703125" style="2" bestFit="1" customWidth="1"/>
    <col min="13" max="13" width="73.28515625" style="89" customWidth="1"/>
    <col min="14" max="14" width="15.5703125" style="2" bestFit="1" customWidth="1"/>
    <col min="15" max="15" width="21.140625" style="477" bestFit="1" customWidth="1"/>
    <col min="16" max="16" width="21.140625" style="2" customWidth="1"/>
    <col min="17" max="21" width="19.7109375" style="2" hidden="1" customWidth="1"/>
    <col min="22" max="22" width="19.7109375" style="2" customWidth="1"/>
    <col min="23" max="23" width="24.85546875" style="2" bestFit="1" customWidth="1"/>
    <col min="24" max="25" width="21.42578125" style="2" customWidth="1"/>
    <col min="26" max="26" width="18.28515625" style="2" customWidth="1"/>
    <col min="27" max="27" width="10.140625" style="2" bestFit="1" customWidth="1"/>
    <col min="28" max="28" width="18.140625" style="2" bestFit="1" customWidth="1"/>
    <col min="29" max="29" width="31" style="2" bestFit="1" customWidth="1"/>
    <col min="30" max="30" width="22" style="2" customWidth="1"/>
    <col min="31" max="32" width="14.42578125" style="2" customWidth="1"/>
    <col min="33" max="33" width="19" style="2" customWidth="1"/>
    <col min="34" max="35" width="17.5703125" style="2" customWidth="1"/>
    <col min="36" max="36" width="22" style="2" customWidth="1"/>
    <col min="37" max="37" width="31" style="2" customWidth="1"/>
    <col min="38" max="16384" width="32.42578125" style="2"/>
  </cols>
  <sheetData>
    <row r="1" spans="1:3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69"/>
    </row>
    <row r="2" spans="1:37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69"/>
    </row>
    <row r="3" spans="1:37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69"/>
    </row>
    <row r="4" spans="1:37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469"/>
    </row>
    <row r="5" spans="1:37" ht="15.75" customHeight="1">
      <c r="A5" s="2656" t="s">
        <v>620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  <c r="AB5" s="2656"/>
      <c r="AC5" s="2656"/>
      <c r="AD5" s="1429"/>
      <c r="AJ5" s="1429"/>
      <c r="AK5" s="1429"/>
    </row>
    <row r="6" spans="1:37" ht="15.75" customHeight="1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  <c r="N6" s="2657"/>
      <c r="O6" s="470"/>
    </row>
    <row r="7" spans="1:37" ht="15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69"/>
    </row>
    <row r="8" spans="1:37" ht="15.75" customHeight="1" thickBot="1">
      <c r="A8" s="2658" t="s">
        <v>3</v>
      </c>
      <c r="B8" s="2661" t="s">
        <v>4</v>
      </c>
      <c r="C8" s="2662"/>
      <c r="D8" s="2662"/>
      <c r="E8" s="2662"/>
      <c r="F8" s="2662"/>
      <c r="G8" s="2663"/>
      <c r="H8" s="2664" t="s">
        <v>5</v>
      </c>
      <c r="I8" s="2665"/>
      <c r="J8" s="2661" t="s">
        <v>6</v>
      </c>
      <c r="K8" s="2662"/>
      <c r="L8" s="2662"/>
      <c r="M8" s="2662"/>
      <c r="N8" s="2662"/>
      <c r="O8" s="2662"/>
      <c r="P8" s="2662"/>
      <c r="Q8" s="2662"/>
      <c r="R8" s="2662"/>
      <c r="S8" s="2662"/>
      <c r="T8" s="2662"/>
      <c r="U8" s="2663"/>
      <c r="V8" s="2671" t="s">
        <v>7</v>
      </c>
      <c r="W8" s="2673" t="s">
        <v>8</v>
      </c>
      <c r="X8" s="2673"/>
      <c r="Y8" s="2668" t="s">
        <v>9</v>
      </c>
      <c r="Z8" s="2669"/>
      <c r="AA8" s="2670"/>
      <c r="AB8" s="4" t="s">
        <v>10</v>
      </c>
      <c r="AC8" s="2674" t="s">
        <v>11</v>
      </c>
      <c r="AD8" s="2690" t="s">
        <v>2571</v>
      </c>
      <c r="AE8" s="2710" t="s">
        <v>2572</v>
      </c>
      <c r="AF8" s="2698"/>
      <c r="AG8" s="2686" t="s">
        <v>2573</v>
      </c>
      <c r="AH8" s="2687"/>
      <c r="AI8" s="2687"/>
      <c r="AJ8" s="2690" t="s">
        <v>2578</v>
      </c>
      <c r="AK8" s="1430"/>
    </row>
    <row r="9" spans="1:37" ht="15.75" customHeight="1" thickBot="1">
      <c r="A9" s="2659"/>
      <c r="B9" s="2658" t="s">
        <v>48</v>
      </c>
      <c r="C9" s="2671" t="s">
        <v>46</v>
      </c>
      <c r="D9" s="2658" t="s">
        <v>14</v>
      </c>
      <c r="E9" s="2706" t="s">
        <v>15</v>
      </c>
      <c r="F9" s="2721"/>
      <c r="G9" s="2722"/>
      <c r="H9" s="2666"/>
      <c r="I9" s="2667"/>
      <c r="J9" s="2658" t="s">
        <v>16</v>
      </c>
      <c r="K9" s="5"/>
      <c r="L9" s="5"/>
      <c r="M9" s="5"/>
      <c r="N9" s="2706" t="s">
        <v>17</v>
      </c>
      <c r="O9" s="2707"/>
      <c r="P9" s="2708"/>
      <c r="Q9" s="2680" t="s">
        <v>18</v>
      </c>
      <c r="R9" s="2681"/>
      <c r="S9" s="2709"/>
      <c r="T9" s="2680" t="s">
        <v>19</v>
      </c>
      <c r="U9" s="2681"/>
      <c r="V9" s="2682"/>
      <c r="W9" s="2690" t="s">
        <v>20</v>
      </c>
      <c r="X9" s="2674" t="s">
        <v>21</v>
      </c>
      <c r="Y9" s="2713" t="s">
        <v>22</v>
      </c>
      <c r="Z9" s="2698" t="s">
        <v>15</v>
      </c>
      <c r="AA9" s="355" t="s">
        <v>23</v>
      </c>
      <c r="AB9" s="7"/>
      <c r="AC9" s="2675"/>
      <c r="AD9" s="2691"/>
      <c r="AE9" s="2711"/>
      <c r="AF9" s="2712"/>
      <c r="AG9" s="2688"/>
      <c r="AH9" s="2689"/>
      <c r="AI9" s="2689"/>
      <c r="AJ9" s="2691"/>
      <c r="AK9" s="1430"/>
    </row>
    <row r="10" spans="1:37" ht="15.75" customHeight="1" thickBot="1">
      <c r="A10" s="2660"/>
      <c r="B10" s="2660"/>
      <c r="C10" s="2672"/>
      <c r="D10" s="2660"/>
      <c r="E10" s="11" t="s">
        <v>30</v>
      </c>
      <c r="F10" s="11" t="s">
        <v>31</v>
      </c>
      <c r="G10" s="11" t="s">
        <v>32</v>
      </c>
      <c r="H10" s="10" t="s">
        <v>26</v>
      </c>
      <c r="I10" s="10" t="s">
        <v>27</v>
      </c>
      <c r="J10" s="2660"/>
      <c r="K10" s="10" t="s">
        <v>49</v>
      </c>
      <c r="L10" s="10" t="s">
        <v>29</v>
      </c>
      <c r="M10" s="10" t="s">
        <v>28</v>
      </c>
      <c r="N10" s="11" t="s">
        <v>30</v>
      </c>
      <c r="O10" s="471" t="s">
        <v>31</v>
      </c>
      <c r="P10" s="12" t="s">
        <v>32</v>
      </c>
      <c r="Q10" s="12" t="s">
        <v>33</v>
      </c>
      <c r="R10" s="12" t="s">
        <v>30</v>
      </c>
      <c r="S10" s="12" t="s">
        <v>31</v>
      </c>
      <c r="T10" s="12" t="s">
        <v>33</v>
      </c>
      <c r="U10" s="13" t="s">
        <v>34</v>
      </c>
      <c r="V10" s="2672"/>
      <c r="W10" s="2692"/>
      <c r="X10" s="2676"/>
      <c r="Y10" s="2714"/>
      <c r="Z10" s="2699"/>
      <c r="AA10" s="356" t="s">
        <v>35</v>
      </c>
      <c r="AB10" s="12" t="s">
        <v>36</v>
      </c>
      <c r="AC10" s="2676"/>
      <c r="AD10" s="2692"/>
      <c r="AE10" s="16" t="s">
        <v>3</v>
      </c>
      <c r="AF10" s="16" t="s">
        <v>2574</v>
      </c>
      <c r="AG10" s="16" t="s">
        <v>2575</v>
      </c>
      <c r="AH10" s="16" t="s">
        <v>2576</v>
      </c>
      <c r="AI10" s="16" t="s">
        <v>2577</v>
      </c>
      <c r="AJ10" s="2692"/>
      <c r="AK10" s="1430"/>
    </row>
    <row r="11" spans="1:37" ht="15.75" customHeight="1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/>
      <c r="J11" s="10"/>
      <c r="K11" s="10">
        <v>5</v>
      </c>
      <c r="L11" s="10"/>
      <c r="M11" s="10">
        <v>6</v>
      </c>
      <c r="N11" s="10">
        <v>8</v>
      </c>
      <c r="O11" s="472"/>
      <c r="P11" s="16">
        <v>9</v>
      </c>
      <c r="Q11" s="353"/>
      <c r="R11" s="353"/>
      <c r="S11" s="353"/>
      <c r="T11" s="353"/>
      <c r="U11" s="353"/>
      <c r="V11" s="353"/>
      <c r="W11" s="2758">
        <v>10</v>
      </c>
      <c r="X11" s="2759"/>
      <c r="Y11" s="2759"/>
      <c r="Z11" s="2760"/>
      <c r="AA11" s="354"/>
      <c r="AB11" s="16">
        <v>10</v>
      </c>
      <c r="AC11" s="16">
        <v>11</v>
      </c>
      <c r="AD11" s="16"/>
      <c r="AE11" s="19"/>
      <c r="AF11" s="19"/>
      <c r="AG11" s="19"/>
      <c r="AH11" s="19"/>
      <c r="AI11" s="19"/>
      <c r="AJ11" s="16"/>
      <c r="AK11" s="9"/>
    </row>
    <row r="12" spans="1:37" ht="15.75" customHeight="1">
      <c r="A12" s="95"/>
      <c r="B12" s="95"/>
      <c r="C12" s="95"/>
      <c r="D12" s="95"/>
      <c r="E12" s="95"/>
      <c r="F12" s="95"/>
      <c r="G12" s="95"/>
      <c r="H12" s="95"/>
      <c r="I12" s="95"/>
      <c r="J12" s="93"/>
      <c r="K12" s="5"/>
      <c r="L12" s="5"/>
      <c r="M12" s="5"/>
      <c r="N12" s="96"/>
      <c r="O12" s="473"/>
      <c r="P12" s="97"/>
      <c r="Q12" s="9"/>
      <c r="R12" s="9"/>
      <c r="S12" s="9"/>
      <c r="T12" s="9"/>
      <c r="U12" s="9"/>
      <c r="V12" s="136"/>
      <c r="W12" s="30"/>
      <c r="X12" s="31"/>
      <c r="Y12" s="31"/>
      <c r="Z12" s="136"/>
      <c r="AA12" s="342"/>
      <c r="AB12" s="136"/>
      <c r="AC12" s="342"/>
      <c r="AD12" s="342"/>
      <c r="AE12" s="1381"/>
      <c r="AF12" s="1381"/>
      <c r="AG12" s="1381"/>
      <c r="AH12" s="1381"/>
      <c r="AI12" s="1381"/>
      <c r="AJ12" s="342"/>
      <c r="AK12" s="9"/>
    </row>
    <row r="13" spans="1:37" ht="31.5">
      <c r="A13" s="291">
        <v>1</v>
      </c>
      <c r="B13" s="357" t="s">
        <v>621</v>
      </c>
      <c r="C13" s="359" t="s">
        <v>622</v>
      </c>
      <c r="D13" s="361" t="s">
        <v>642</v>
      </c>
      <c r="E13" s="363"/>
      <c r="F13" s="363">
        <v>292785000</v>
      </c>
      <c r="G13" s="26">
        <f>E13+F13</f>
        <v>292785000</v>
      </c>
      <c r="H13" s="26"/>
      <c r="I13" s="26"/>
      <c r="J13" s="126"/>
      <c r="K13" s="500" t="s">
        <v>846</v>
      </c>
      <c r="L13" s="71" t="s">
        <v>794</v>
      </c>
      <c r="M13" s="467" t="s">
        <v>885</v>
      </c>
      <c r="N13" s="534"/>
      <c r="O13" s="128">
        <v>10142372.214773335</v>
      </c>
      <c r="P13" s="620">
        <f t="shared" ref="P13:P19" si="0">N13+O13</f>
        <v>10142372.214773335</v>
      </c>
      <c r="Q13" s="592"/>
      <c r="R13" s="592"/>
      <c r="S13" s="592"/>
      <c r="T13" s="592"/>
      <c r="U13" s="592"/>
      <c r="V13" s="593">
        <f t="shared" ref="V13:V19" si="1">P13</f>
        <v>10142372.214773335</v>
      </c>
      <c r="W13" s="140" t="s">
        <v>559</v>
      </c>
      <c r="X13" s="141"/>
      <c r="Y13" s="307">
        <v>42398</v>
      </c>
      <c r="Z13" s="592">
        <f t="shared" ref="Z13:Z19" si="2">V13</f>
        <v>10142372.214773335</v>
      </c>
      <c r="AA13" s="288">
        <v>1</v>
      </c>
      <c r="AB13" s="594">
        <f>G13-P13</f>
        <v>282642627.78522664</v>
      </c>
      <c r="AC13" s="537"/>
      <c r="AD13" s="38"/>
      <c r="AE13" s="38"/>
      <c r="AF13" s="38"/>
      <c r="AG13" s="38"/>
      <c r="AH13" s="38"/>
      <c r="AI13" s="38"/>
      <c r="AJ13" s="38"/>
      <c r="AK13" s="100"/>
    </row>
    <row r="14" spans="1:37" ht="31.5">
      <c r="A14" s="291"/>
      <c r="B14" s="153" t="s">
        <v>920</v>
      </c>
      <c r="C14" s="359"/>
      <c r="D14" s="361"/>
      <c r="E14" s="363"/>
      <c r="F14" s="407"/>
      <c r="G14" s="26"/>
      <c r="H14" s="26"/>
      <c r="I14" s="26"/>
      <c r="J14" s="126"/>
      <c r="K14" s="500" t="s">
        <v>846</v>
      </c>
      <c r="L14" s="71" t="s">
        <v>794</v>
      </c>
      <c r="M14" s="467" t="s">
        <v>887</v>
      </c>
      <c r="N14" s="534"/>
      <c r="O14" s="128">
        <v>10142372.214773335</v>
      </c>
      <c r="P14" s="620">
        <f t="shared" si="0"/>
        <v>10142372.214773335</v>
      </c>
      <c r="Q14" s="592"/>
      <c r="R14" s="592"/>
      <c r="S14" s="592"/>
      <c r="T14" s="592"/>
      <c r="U14" s="592"/>
      <c r="V14" s="593">
        <f t="shared" si="1"/>
        <v>10142372.214773335</v>
      </c>
      <c r="W14" s="140" t="s">
        <v>564</v>
      </c>
      <c r="X14" s="307"/>
      <c r="Y14" s="465">
        <v>42424</v>
      </c>
      <c r="Z14" s="592">
        <f t="shared" si="2"/>
        <v>10142372.214773335</v>
      </c>
      <c r="AA14" s="288">
        <v>1</v>
      </c>
      <c r="AB14" s="594">
        <f t="shared" ref="AB14:AB21" si="3">G14-P14</f>
        <v>-10142372.214773335</v>
      </c>
      <c r="AC14" s="537"/>
      <c r="AD14" s="38"/>
      <c r="AE14" s="38"/>
      <c r="AF14" s="38"/>
      <c r="AG14" s="38"/>
      <c r="AH14" s="38"/>
      <c r="AI14" s="38"/>
      <c r="AJ14" s="38"/>
      <c r="AK14" s="100"/>
    </row>
    <row r="15" spans="1:37" ht="31.5">
      <c r="A15" s="291"/>
      <c r="B15" s="560">
        <v>42459</v>
      </c>
      <c r="C15" s="522"/>
      <c r="D15" s="523"/>
      <c r="E15" s="524"/>
      <c r="F15" s="533"/>
      <c r="G15" s="169"/>
      <c r="H15" s="169"/>
      <c r="I15" s="169"/>
      <c r="J15" s="303"/>
      <c r="K15" s="500" t="s">
        <v>846</v>
      </c>
      <c r="L15" s="294" t="s">
        <v>794</v>
      </c>
      <c r="M15" s="467" t="s">
        <v>893</v>
      </c>
      <c r="N15" s="534"/>
      <c r="O15" s="128">
        <v>10142372.214773335</v>
      </c>
      <c r="P15" s="621">
        <f t="shared" si="0"/>
        <v>10142372.214773335</v>
      </c>
      <c r="Q15" s="622"/>
      <c r="R15" s="622"/>
      <c r="S15" s="622"/>
      <c r="T15" s="622"/>
      <c r="U15" s="622"/>
      <c r="V15" s="623">
        <f t="shared" si="1"/>
        <v>10142372.214773335</v>
      </c>
      <c r="W15" s="326" t="s">
        <v>844</v>
      </c>
      <c r="X15" s="508">
        <v>42461</v>
      </c>
      <c r="Y15" s="624">
        <v>42468</v>
      </c>
      <c r="Z15" s="592">
        <f t="shared" si="2"/>
        <v>10142372.214773335</v>
      </c>
      <c r="AA15" s="288">
        <v>1</v>
      </c>
      <c r="AB15" s="594">
        <f t="shared" si="3"/>
        <v>-10142372.214773335</v>
      </c>
      <c r="AC15" s="74"/>
      <c r="AD15" s="38"/>
      <c r="AE15" s="38"/>
      <c r="AF15" s="38"/>
      <c r="AG15" s="38"/>
      <c r="AH15" s="38"/>
      <c r="AI15" s="38"/>
      <c r="AJ15" s="38"/>
      <c r="AK15" s="100"/>
    </row>
    <row r="16" spans="1:37" ht="31.5">
      <c r="A16" s="512"/>
      <c r="B16" s="727"/>
      <c r="C16" s="728"/>
      <c r="D16" s="729"/>
      <c r="E16" s="730"/>
      <c r="F16" s="731"/>
      <c r="G16" s="686"/>
      <c r="H16" s="686"/>
      <c r="I16" s="686"/>
      <c r="J16" s="693"/>
      <c r="K16" s="500" t="s">
        <v>846</v>
      </c>
      <c r="L16" s="294" t="s">
        <v>794</v>
      </c>
      <c r="M16" s="467" t="s">
        <v>966</v>
      </c>
      <c r="N16" s="534"/>
      <c r="O16" s="128">
        <v>10142372.214773335</v>
      </c>
      <c r="P16" s="621">
        <f t="shared" si="0"/>
        <v>10142372.214773335</v>
      </c>
      <c r="Q16" s="622"/>
      <c r="R16" s="622"/>
      <c r="S16" s="622"/>
      <c r="T16" s="622"/>
      <c r="U16" s="622"/>
      <c r="V16" s="623">
        <f t="shared" si="1"/>
        <v>10142372.214773335</v>
      </c>
      <c r="W16" s="349" t="s">
        <v>964</v>
      </c>
      <c r="X16" s="509"/>
      <c r="Y16" s="624">
        <v>42474</v>
      </c>
      <c r="Z16" s="592">
        <f t="shared" si="2"/>
        <v>10142372.214773335</v>
      </c>
      <c r="AA16" s="288">
        <v>1</v>
      </c>
      <c r="AB16" s="594">
        <f t="shared" si="3"/>
        <v>-10142372.214773335</v>
      </c>
      <c r="AC16" s="74"/>
      <c r="AD16" s="38"/>
      <c r="AE16" s="38"/>
      <c r="AF16" s="38"/>
      <c r="AG16" s="38"/>
      <c r="AH16" s="38"/>
      <c r="AI16" s="38"/>
      <c r="AJ16" s="38"/>
      <c r="AK16" s="100"/>
    </row>
    <row r="17" spans="1:37" ht="31.5">
      <c r="A17" s="512"/>
      <c r="B17" s="727"/>
      <c r="C17" s="728"/>
      <c r="D17" s="729"/>
      <c r="E17" s="730"/>
      <c r="F17" s="731"/>
      <c r="G17" s="686"/>
      <c r="H17" s="686"/>
      <c r="I17" s="686"/>
      <c r="J17" s="693"/>
      <c r="K17" s="500" t="s">
        <v>846</v>
      </c>
      <c r="L17" s="294" t="s">
        <v>794</v>
      </c>
      <c r="M17" s="467" t="s">
        <v>1265</v>
      </c>
      <c r="N17" s="534"/>
      <c r="O17" s="128">
        <v>10142372.214773335</v>
      </c>
      <c r="P17" s="621">
        <f t="shared" si="0"/>
        <v>10142372.214773335</v>
      </c>
      <c r="Q17" s="622"/>
      <c r="R17" s="622"/>
      <c r="S17" s="622"/>
      <c r="T17" s="622"/>
      <c r="U17" s="622"/>
      <c r="V17" s="623">
        <f t="shared" si="1"/>
        <v>10142372.214773335</v>
      </c>
      <c r="W17" s="349" t="s">
        <v>1117</v>
      </c>
      <c r="X17" s="509">
        <v>42485</v>
      </c>
      <c r="Y17" s="624">
        <v>42126</v>
      </c>
      <c r="Z17" s="592">
        <f t="shared" si="2"/>
        <v>10142372.214773335</v>
      </c>
      <c r="AA17" s="288">
        <v>1</v>
      </c>
      <c r="AB17" s="594">
        <f t="shared" si="3"/>
        <v>-10142372.214773335</v>
      </c>
      <c r="AC17" s="74"/>
      <c r="AD17" s="38"/>
      <c r="AE17" s="38"/>
      <c r="AF17" s="38"/>
      <c r="AG17" s="38"/>
      <c r="AH17" s="38"/>
      <c r="AI17" s="38"/>
      <c r="AJ17" s="38"/>
      <c r="AK17" s="100"/>
    </row>
    <row r="18" spans="1:37" ht="31.5">
      <c r="A18" s="512"/>
      <c r="B18" s="727"/>
      <c r="C18" s="728"/>
      <c r="D18" s="729"/>
      <c r="E18" s="730"/>
      <c r="F18" s="731"/>
      <c r="G18" s="686"/>
      <c r="H18" s="686"/>
      <c r="I18" s="686"/>
      <c r="J18" s="693"/>
      <c r="K18" s="500" t="s">
        <v>846</v>
      </c>
      <c r="L18" s="294" t="s">
        <v>794</v>
      </c>
      <c r="M18" s="467" t="s">
        <v>1700</v>
      </c>
      <c r="N18" s="534"/>
      <c r="O18" s="128">
        <v>10142372.214773335</v>
      </c>
      <c r="P18" s="621">
        <f t="shared" si="0"/>
        <v>10142372.214773335</v>
      </c>
      <c r="Q18" s="622"/>
      <c r="R18" s="622"/>
      <c r="S18" s="622"/>
      <c r="T18" s="622"/>
      <c r="U18" s="622"/>
      <c r="V18" s="623">
        <f t="shared" si="1"/>
        <v>10142372.214773335</v>
      </c>
      <c r="W18" s="349" t="s">
        <v>1701</v>
      </c>
      <c r="X18" s="509">
        <v>42522</v>
      </c>
      <c r="Y18" s="509">
        <v>42528</v>
      </c>
      <c r="Z18" s="592">
        <f t="shared" si="2"/>
        <v>10142372.214773335</v>
      </c>
      <c r="AA18" s="288">
        <v>1</v>
      </c>
      <c r="AB18" s="594">
        <f t="shared" si="3"/>
        <v>-10142372.214773335</v>
      </c>
      <c r="AC18" s="74"/>
      <c r="AD18" s="755"/>
      <c r="AE18" s="755"/>
      <c r="AF18" s="755"/>
      <c r="AG18" s="755"/>
      <c r="AH18" s="755"/>
      <c r="AI18" s="755"/>
      <c r="AJ18" s="755"/>
      <c r="AK18" s="100"/>
    </row>
    <row r="19" spans="1:37" ht="31.5">
      <c r="A19" s="512"/>
      <c r="B19" s="727"/>
      <c r="C19" s="728"/>
      <c r="D19" s="729"/>
      <c r="E19" s="730"/>
      <c r="F19" s="731"/>
      <c r="G19" s="686"/>
      <c r="H19" s="686"/>
      <c r="I19" s="686"/>
      <c r="J19" s="693"/>
      <c r="K19" s="500" t="s">
        <v>846</v>
      </c>
      <c r="L19" s="294" t="s">
        <v>794</v>
      </c>
      <c r="M19" s="467" t="s">
        <v>1716</v>
      </c>
      <c r="N19" s="534"/>
      <c r="O19" s="128">
        <v>10142372.214773335</v>
      </c>
      <c r="P19" s="621">
        <f t="shared" si="0"/>
        <v>10142372.214773335</v>
      </c>
      <c r="Q19" s="622"/>
      <c r="R19" s="622"/>
      <c r="S19" s="622"/>
      <c r="T19" s="622"/>
      <c r="U19" s="622"/>
      <c r="V19" s="623">
        <f t="shared" si="1"/>
        <v>10142372.214773335</v>
      </c>
      <c r="W19" s="349" t="s">
        <v>1698</v>
      </c>
      <c r="X19" s="509">
        <v>42534</v>
      </c>
      <c r="Y19" s="509">
        <v>42549</v>
      </c>
      <c r="Z19" s="592">
        <f t="shared" si="2"/>
        <v>10142372.214773335</v>
      </c>
      <c r="AA19" s="288">
        <v>1</v>
      </c>
      <c r="AB19" s="594">
        <f t="shared" si="3"/>
        <v>-10142372.214773335</v>
      </c>
      <c r="AC19" s="74"/>
      <c r="AD19" s="38"/>
      <c r="AE19" s="38"/>
      <c r="AF19" s="38"/>
      <c r="AG19" s="38"/>
      <c r="AH19" s="38"/>
      <c r="AI19" s="38"/>
      <c r="AJ19" s="38"/>
      <c r="AK19" s="100"/>
    </row>
    <row r="20" spans="1:37" ht="31.5">
      <c r="A20" s="512"/>
      <c r="B20" s="727"/>
      <c r="C20" s="728"/>
      <c r="D20" s="729"/>
      <c r="E20" s="730"/>
      <c r="F20" s="731"/>
      <c r="G20" s="686"/>
      <c r="H20" s="686"/>
      <c r="I20" s="686"/>
      <c r="J20" s="693"/>
      <c r="K20" s="500" t="s">
        <v>846</v>
      </c>
      <c r="L20" s="294" t="s">
        <v>794</v>
      </c>
      <c r="M20" s="467" t="s">
        <v>2224</v>
      </c>
      <c r="N20" s="534"/>
      <c r="O20" s="128">
        <v>10142372.214773335</v>
      </c>
      <c r="P20" s="621">
        <f>N20+O20</f>
        <v>10142372.214773335</v>
      </c>
      <c r="Q20" s="622"/>
      <c r="R20" s="622"/>
      <c r="S20" s="622"/>
      <c r="T20" s="622"/>
      <c r="U20" s="622"/>
      <c r="V20" s="623">
        <f>P20</f>
        <v>10142372.214773335</v>
      </c>
      <c r="W20" s="349" t="s">
        <v>1992</v>
      </c>
      <c r="X20" s="509">
        <v>42573</v>
      </c>
      <c r="Y20" s="509">
        <v>42579</v>
      </c>
      <c r="Z20" s="592">
        <f>V20</f>
        <v>10142372.214773335</v>
      </c>
      <c r="AA20" s="288">
        <v>1</v>
      </c>
      <c r="AB20" s="594">
        <f t="shared" si="3"/>
        <v>-10142372.214773335</v>
      </c>
      <c r="AC20" s="74"/>
      <c r="AD20" s="38"/>
      <c r="AE20" s="38"/>
      <c r="AF20" s="38"/>
      <c r="AG20" s="38"/>
      <c r="AH20" s="38"/>
      <c r="AI20" s="38"/>
      <c r="AJ20" s="38"/>
      <c r="AK20" s="100"/>
    </row>
    <row r="21" spans="1:37" ht="31.5">
      <c r="A21" s="512"/>
      <c r="B21" s="727"/>
      <c r="C21" s="728"/>
      <c r="D21" s="729"/>
      <c r="E21" s="730"/>
      <c r="F21" s="731"/>
      <c r="G21" s="686"/>
      <c r="H21" s="686"/>
      <c r="I21" s="686"/>
      <c r="J21" s="693"/>
      <c r="K21" s="893" t="s">
        <v>2227</v>
      </c>
      <c r="L21" s="294" t="s">
        <v>794</v>
      </c>
      <c r="M21" s="895" t="s">
        <v>2228</v>
      </c>
      <c r="N21" s="896"/>
      <c r="O21" s="520">
        <v>120043343</v>
      </c>
      <c r="P21" s="621">
        <f>N21+O21</f>
        <v>120043343</v>
      </c>
      <c r="Q21" s="622"/>
      <c r="R21" s="622"/>
      <c r="S21" s="622"/>
      <c r="T21" s="622"/>
      <c r="U21" s="622"/>
      <c r="V21" s="623">
        <f>P21</f>
        <v>120043343</v>
      </c>
      <c r="W21" s="349" t="s">
        <v>3203</v>
      </c>
      <c r="X21" s="509">
        <v>42698</v>
      </c>
      <c r="Y21" s="509">
        <v>42704</v>
      </c>
      <c r="Z21" s="622">
        <v>19460338</v>
      </c>
      <c r="AA21" s="897"/>
      <c r="AB21" s="594">
        <f t="shared" si="3"/>
        <v>-120043343</v>
      </c>
      <c r="AC21" s="74" t="s">
        <v>2135</v>
      </c>
      <c r="AD21" s="48"/>
      <c r="AE21" s="38"/>
      <c r="AF21" s="38"/>
      <c r="AG21" s="1435">
        <f>23585387*3</f>
        <v>70756161</v>
      </c>
      <c r="AH21" s="1435">
        <v>23585387</v>
      </c>
      <c r="AI21" s="1435">
        <v>23585387</v>
      </c>
      <c r="AJ21" s="38"/>
      <c r="AK21" s="100"/>
    </row>
    <row r="22" spans="1:37">
      <c r="A22" s="512"/>
      <c r="B22" s="727"/>
      <c r="C22" s="728"/>
      <c r="D22" s="729"/>
      <c r="E22" s="730"/>
      <c r="F22" s="731"/>
      <c r="G22" s="686"/>
      <c r="H22" s="686"/>
      <c r="I22" s="686"/>
      <c r="J22" s="693"/>
      <c r="K22" s="893"/>
      <c r="L22" s="894"/>
      <c r="M22" s="895"/>
      <c r="N22" s="896"/>
      <c r="O22" s="520"/>
      <c r="P22" s="622"/>
      <c r="Q22" s="622"/>
      <c r="R22" s="622"/>
      <c r="S22" s="622"/>
      <c r="T22" s="622"/>
      <c r="U22" s="622"/>
      <c r="V22" s="622"/>
      <c r="W22" s="349" t="s">
        <v>3203</v>
      </c>
      <c r="X22" s="509">
        <v>42698</v>
      </c>
      <c r="Y22" s="509">
        <v>42704</v>
      </c>
      <c r="Z22" s="622">
        <v>21275338</v>
      </c>
      <c r="AA22" s="897"/>
      <c r="AB22" s="898"/>
      <c r="AC22" s="74" t="s">
        <v>2361</v>
      </c>
      <c r="AD22" s="48"/>
      <c r="AE22" s="38"/>
      <c r="AF22" s="38"/>
      <c r="AG22" s="1435"/>
      <c r="AH22" s="1435"/>
      <c r="AI22" s="1435"/>
      <c r="AJ22" s="38"/>
      <c r="AK22" s="100"/>
    </row>
    <row r="23" spans="1:37">
      <c r="A23" s="512"/>
      <c r="B23" s="727"/>
      <c r="C23" s="728"/>
      <c r="D23" s="729"/>
      <c r="E23" s="730"/>
      <c r="F23" s="731"/>
      <c r="G23" s="686"/>
      <c r="H23" s="686"/>
      <c r="I23" s="686"/>
      <c r="J23" s="693"/>
      <c r="K23" s="893"/>
      <c r="L23" s="894"/>
      <c r="M23" s="895"/>
      <c r="N23" s="896"/>
      <c r="O23" s="520"/>
      <c r="P23" s="622"/>
      <c r="Q23" s="622"/>
      <c r="R23" s="622"/>
      <c r="S23" s="622"/>
      <c r="T23" s="622"/>
      <c r="U23" s="622"/>
      <c r="V23" s="622"/>
      <c r="W23" s="349" t="s">
        <v>3203</v>
      </c>
      <c r="X23" s="509">
        <v>42698</v>
      </c>
      <c r="Y23" s="509">
        <v>42704</v>
      </c>
      <c r="Z23" s="622">
        <v>19295338</v>
      </c>
      <c r="AA23" s="897"/>
      <c r="AB23" s="898"/>
      <c r="AC23" s="74" t="s">
        <v>2809</v>
      </c>
      <c r="AD23" s="48"/>
      <c r="AE23" s="38"/>
      <c r="AF23" s="38"/>
      <c r="AG23" s="1435"/>
      <c r="AH23" s="1435"/>
      <c r="AI23" s="1435"/>
      <c r="AJ23" s="38"/>
      <c r="AK23" s="100"/>
    </row>
    <row r="24" spans="1:37">
      <c r="A24" s="512"/>
      <c r="B24" s="727"/>
      <c r="C24" s="728"/>
      <c r="D24" s="729"/>
      <c r="E24" s="730"/>
      <c r="F24" s="731"/>
      <c r="G24" s="686"/>
      <c r="H24" s="686"/>
      <c r="I24" s="686"/>
      <c r="J24" s="693"/>
      <c r="K24" s="893"/>
      <c r="L24" s="894"/>
      <c r="M24" s="895"/>
      <c r="N24" s="896"/>
      <c r="O24" s="520"/>
      <c r="P24" s="622"/>
      <c r="Q24" s="622"/>
      <c r="R24" s="622"/>
      <c r="S24" s="622"/>
      <c r="T24" s="622"/>
      <c r="U24" s="622"/>
      <c r="V24" s="622"/>
      <c r="W24" s="349" t="s">
        <v>3455</v>
      </c>
      <c r="X24" s="509">
        <v>42718</v>
      </c>
      <c r="Y24" s="509">
        <v>42720</v>
      </c>
      <c r="Z24" s="622">
        <v>22629489</v>
      </c>
      <c r="AA24" s="897"/>
      <c r="AB24" s="898"/>
      <c r="AC24" s="74" t="s">
        <v>3067</v>
      </c>
      <c r="AD24" s="48"/>
      <c r="AE24" s="38"/>
      <c r="AF24" s="38"/>
      <c r="AG24" s="1435"/>
      <c r="AH24" s="1435"/>
      <c r="AI24" s="1435"/>
      <c r="AJ24" s="38"/>
      <c r="AK24" s="100"/>
    </row>
    <row r="25" spans="1:37">
      <c r="A25" s="512"/>
      <c r="B25" s="727"/>
      <c r="C25" s="728"/>
      <c r="D25" s="729"/>
      <c r="E25" s="730"/>
      <c r="F25" s="731"/>
      <c r="G25" s="686"/>
      <c r="H25" s="686"/>
      <c r="I25" s="686"/>
      <c r="J25" s="693"/>
      <c r="K25" s="893"/>
      <c r="L25" s="894"/>
      <c r="M25" s="895"/>
      <c r="N25" s="896"/>
      <c r="O25" s="520"/>
      <c r="P25" s="622"/>
      <c r="Q25" s="622"/>
      <c r="R25" s="622"/>
      <c r="S25" s="622"/>
      <c r="T25" s="622"/>
      <c r="U25" s="622"/>
      <c r="V25" s="622"/>
      <c r="W25" s="349" t="s">
        <v>3546</v>
      </c>
      <c r="X25" s="509">
        <v>42728</v>
      </c>
      <c r="Y25" s="509">
        <v>42732</v>
      </c>
      <c r="Z25" s="622">
        <v>22959489</v>
      </c>
      <c r="AA25" s="897"/>
      <c r="AB25" s="898"/>
      <c r="AC25" s="74" t="s">
        <v>3415</v>
      </c>
      <c r="AD25" s="48"/>
      <c r="AE25" s="38"/>
      <c r="AF25" s="38"/>
      <c r="AG25" s="1435"/>
      <c r="AH25" s="1435"/>
      <c r="AI25" s="1435"/>
      <c r="AJ25" s="38"/>
      <c r="AK25" s="100"/>
    </row>
    <row r="26" spans="1:37" ht="16.5" thickBot="1">
      <c r="A26" s="512"/>
      <c r="B26" s="727"/>
      <c r="C26" s="728"/>
      <c r="D26" s="729"/>
      <c r="E26" s="730"/>
      <c r="F26" s="731"/>
      <c r="G26" s="686"/>
      <c r="H26" s="686"/>
      <c r="I26" s="686"/>
      <c r="J26" s="693"/>
      <c r="K26" s="893"/>
      <c r="L26" s="894"/>
      <c r="M26" s="895"/>
      <c r="N26" s="896"/>
      <c r="O26" s="520"/>
      <c r="P26" s="622"/>
      <c r="Q26" s="622"/>
      <c r="R26" s="622"/>
      <c r="S26" s="622"/>
      <c r="T26" s="622"/>
      <c r="U26" s="622"/>
      <c r="V26" s="622"/>
      <c r="W26" s="349"/>
      <c r="X26" s="509"/>
      <c r="Y26" s="624"/>
      <c r="Z26" s="622"/>
      <c r="AA26" s="897"/>
      <c r="AB26" s="898"/>
      <c r="AC26" s="74"/>
      <c r="AD26" s="38"/>
      <c r="AE26" s="38"/>
      <c r="AF26" s="38"/>
      <c r="AG26" s="38"/>
      <c r="AH26" s="38"/>
      <c r="AI26" s="38"/>
      <c r="AJ26" s="38"/>
      <c r="AK26" s="100"/>
    </row>
    <row r="27" spans="1:37" s="769" customFormat="1" ht="16.5" thickBot="1">
      <c r="A27" s="1065"/>
      <c r="B27" s="1066"/>
      <c r="C27" s="1067"/>
      <c r="D27" s="1068"/>
      <c r="E27" s="1069">
        <f>SUM(E13:E15)</f>
        <v>0</v>
      </c>
      <c r="F27" s="1069">
        <f>SUM(F13:F15)</f>
        <v>292785000</v>
      </c>
      <c r="G27" s="1069">
        <f>SUM(G13:G15)</f>
        <v>292785000</v>
      </c>
      <c r="H27" s="1070"/>
      <c r="I27" s="1070"/>
      <c r="J27" s="1071"/>
      <c r="K27" s="1072"/>
      <c r="L27" s="1072"/>
      <c r="M27" s="1073"/>
      <c r="N27" s="1074"/>
      <c r="O27" s="1069">
        <f>SUM(O13:O26)</f>
        <v>201182320.71818668</v>
      </c>
      <c r="P27" s="1069">
        <f t="shared" ref="P27:V27" si="4">SUM(P13:P26)</f>
        <v>201182320.71818668</v>
      </c>
      <c r="Q27" s="1069">
        <f t="shared" si="4"/>
        <v>0</v>
      </c>
      <c r="R27" s="1069">
        <f t="shared" si="4"/>
        <v>0</v>
      </c>
      <c r="S27" s="1069">
        <f t="shared" si="4"/>
        <v>0</v>
      </c>
      <c r="T27" s="1069">
        <f t="shared" si="4"/>
        <v>0</v>
      </c>
      <c r="U27" s="1069">
        <f t="shared" si="4"/>
        <v>0</v>
      </c>
      <c r="V27" s="1069">
        <f t="shared" si="4"/>
        <v>201182320.71818668</v>
      </c>
      <c r="W27" s="1075"/>
      <c r="X27" s="1076"/>
      <c r="Y27" s="1076"/>
      <c r="Z27" s="1069">
        <f>SUM(Z13:Z26)</f>
        <v>186758969.71818668</v>
      </c>
      <c r="AA27" s="1075"/>
      <c r="AB27" s="1069">
        <f>SUM(AB13:AB26)</f>
        <v>91602679.281813323</v>
      </c>
      <c r="AC27" s="1077"/>
      <c r="AD27" s="755"/>
      <c r="AE27" s="755"/>
      <c r="AF27" s="755"/>
      <c r="AG27" s="755"/>
      <c r="AH27" s="755"/>
      <c r="AI27" s="755"/>
      <c r="AJ27" s="755"/>
      <c r="AK27" s="1102"/>
    </row>
    <row r="28" spans="1:37" ht="47.25">
      <c r="A28" s="512"/>
      <c r="B28" s="513"/>
      <c r="C28" s="514" t="s">
        <v>623</v>
      </c>
      <c r="D28" s="515" t="s">
        <v>643</v>
      </c>
      <c r="E28" s="516">
        <v>0</v>
      </c>
      <c r="F28" s="516">
        <v>552282000</v>
      </c>
      <c r="G28" s="240">
        <f>E28+F28</f>
        <v>552282000</v>
      </c>
      <c r="H28" s="240"/>
      <c r="I28" s="240"/>
      <c r="J28" s="517"/>
      <c r="K28" s="626" t="s">
        <v>793</v>
      </c>
      <c r="L28" s="626" t="s">
        <v>794</v>
      </c>
      <c r="M28" s="627" t="s">
        <v>884</v>
      </c>
      <c r="N28" s="628"/>
      <c r="O28" s="629">
        <v>8411369.5306666642</v>
      </c>
      <c r="P28" s="630">
        <f t="shared" ref="P28:P33" si="5">N28+O28</f>
        <v>8411369.5306666642</v>
      </c>
      <c r="Q28" s="572"/>
      <c r="R28" s="572"/>
      <c r="S28" s="572"/>
      <c r="T28" s="572"/>
      <c r="U28" s="572"/>
      <c r="V28" s="572">
        <f t="shared" ref="V28:V33" si="6">P28</f>
        <v>8411369.5306666642</v>
      </c>
      <c r="W28" s="631" t="s">
        <v>559</v>
      </c>
      <c r="X28" s="632"/>
      <c r="Y28" s="633">
        <v>42398</v>
      </c>
      <c r="Z28" s="572">
        <f t="shared" ref="Z28:Z37" si="7">V28</f>
        <v>8411369.5306666642</v>
      </c>
      <c r="AA28" s="634">
        <v>1</v>
      </c>
      <c r="AB28" s="635">
        <f t="shared" ref="AB28:AB33" si="8">+G28-P28</f>
        <v>543870630.46933329</v>
      </c>
      <c r="AC28" s="577" t="s">
        <v>934</v>
      </c>
      <c r="AD28" s="38"/>
      <c r="AE28" s="38"/>
      <c r="AF28" s="38"/>
      <c r="AG28" s="38"/>
      <c r="AH28" s="38"/>
      <c r="AI28" s="38"/>
      <c r="AJ28" s="38"/>
      <c r="AK28" s="1431"/>
    </row>
    <row r="29" spans="1:37" ht="31.5">
      <c r="A29" s="291"/>
      <c r="B29" s="357"/>
      <c r="C29" s="359"/>
      <c r="D29" s="361"/>
      <c r="E29" s="363"/>
      <c r="F29" s="407"/>
      <c r="G29" s="26"/>
      <c r="H29" s="26"/>
      <c r="I29" s="26"/>
      <c r="J29" s="126"/>
      <c r="K29" s="608" t="s">
        <v>846</v>
      </c>
      <c r="L29" s="609" t="s">
        <v>794</v>
      </c>
      <c r="M29" s="610" t="s">
        <v>885</v>
      </c>
      <c r="N29" s="611"/>
      <c r="O29" s="636">
        <v>32842942.306944001</v>
      </c>
      <c r="P29" s="596">
        <f t="shared" si="5"/>
        <v>32842942.306944001</v>
      </c>
      <c r="Q29" s="572"/>
      <c r="R29" s="572"/>
      <c r="S29" s="572"/>
      <c r="T29" s="572"/>
      <c r="U29" s="572"/>
      <c r="V29" s="573">
        <f t="shared" si="6"/>
        <v>32842942.306944001</v>
      </c>
      <c r="W29" s="585" t="s">
        <v>559</v>
      </c>
      <c r="X29" s="587"/>
      <c r="Y29" s="587">
        <v>42398</v>
      </c>
      <c r="Z29" s="572">
        <f t="shared" si="7"/>
        <v>32842942.306944001</v>
      </c>
      <c r="AA29" s="612">
        <v>1</v>
      </c>
      <c r="AB29" s="574">
        <f t="shared" si="8"/>
        <v>-32842942.306944001</v>
      </c>
      <c r="AC29" s="577" t="s">
        <v>934</v>
      </c>
      <c r="AD29" s="38"/>
      <c r="AE29" s="38"/>
      <c r="AF29" s="38"/>
      <c r="AG29" s="38"/>
      <c r="AH29" s="38"/>
      <c r="AI29" s="38"/>
      <c r="AJ29" s="38"/>
      <c r="AK29" s="1431"/>
    </row>
    <row r="30" spans="1:37" ht="47.25">
      <c r="A30" s="291"/>
      <c r="B30" s="357"/>
      <c r="C30" s="359"/>
      <c r="D30" s="361"/>
      <c r="E30" s="363"/>
      <c r="F30" s="407"/>
      <c r="G30" s="26"/>
      <c r="H30" s="26"/>
      <c r="I30" s="26"/>
      <c r="J30" s="126"/>
      <c r="K30" s="609" t="s">
        <v>793</v>
      </c>
      <c r="L30" s="609" t="s">
        <v>794</v>
      </c>
      <c r="M30" s="637" t="s">
        <v>886</v>
      </c>
      <c r="N30" s="611"/>
      <c r="O30" s="636">
        <v>8411369.5306666642</v>
      </c>
      <c r="P30" s="596">
        <f t="shared" si="5"/>
        <v>8411369.5306666642</v>
      </c>
      <c r="Q30" s="572"/>
      <c r="R30" s="572"/>
      <c r="S30" s="572"/>
      <c r="T30" s="572"/>
      <c r="U30" s="572"/>
      <c r="V30" s="573">
        <f t="shared" si="6"/>
        <v>8411369.5306666642</v>
      </c>
      <c r="W30" s="585" t="s">
        <v>564</v>
      </c>
      <c r="X30" s="587"/>
      <c r="Y30" s="588">
        <v>42424</v>
      </c>
      <c r="Z30" s="572">
        <f t="shared" si="7"/>
        <v>8411369.5306666642</v>
      </c>
      <c r="AA30" s="612">
        <v>1</v>
      </c>
      <c r="AB30" s="574">
        <f t="shared" si="8"/>
        <v>-8411369.5306666642</v>
      </c>
      <c r="AC30" s="577" t="s">
        <v>934</v>
      </c>
      <c r="AD30" s="38"/>
      <c r="AE30" s="38"/>
      <c r="AF30" s="38"/>
      <c r="AG30" s="38"/>
      <c r="AH30" s="38"/>
      <c r="AI30" s="38"/>
      <c r="AJ30" s="38"/>
      <c r="AK30" s="1431"/>
    </row>
    <row r="31" spans="1:37" ht="31.5">
      <c r="A31" s="291"/>
      <c r="B31" s="357"/>
      <c r="C31" s="359"/>
      <c r="D31" s="361"/>
      <c r="E31" s="363"/>
      <c r="F31" s="407"/>
      <c r="G31" s="26"/>
      <c r="H31" s="26"/>
      <c r="I31" s="26"/>
      <c r="J31" s="126"/>
      <c r="K31" s="608" t="s">
        <v>846</v>
      </c>
      <c r="L31" s="609" t="s">
        <v>794</v>
      </c>
      <c r="M31" s="610" t="s">
        <v>892</v>
      </c>
      <c r="N31" s="611"/>
      <c r="O31" s="636">
        <v>32842942.306944001</v>
      </c>
      <c r="P31" s="596">
        <f t="shared" si="5"/>
        <v>32842942.306944001</v>
      </c>
      <c r="Q31" s="572"/>
      <c r="R31" s="572"/>
      <c r="S31" s="572"/>
      <c r="T31" s="572"/>
      <c r="U31" s="572"/>
      <c r="V31" s="573">
        <f t="shared" si="6"/>
        <v>32842942.306944001</v>
      </c>
      <c r="W31" s="585" t="s">
        <v>564</v>
      </c>
      <c r="X31" s="587"/>
      <c r="Y31" s="588">
        <v>42424</v>
      </c>
      <c r="Z31" s="572">
        <f t="shared" si="7"/>
        <v>32842942.306944001</v>
      </c>
      <c r="AA31" s="612">
        <v>1</v>
      </c>
      <c r="AB31" s="574">
        <f t="shared" si="8"/>
        <v>-32842942.306944001</v>
      </c>
      <c r="AC31" s="577" t="s">
        <v>934</v>
      </c>
      <c r="AD31" s="38"/>
      <c r="AE31" s="38"/>
      <c r="AF31" s="38"/>
      <c r="AG31" s="38"/>
      <c r="AH31" s="38"/>
      <c r="AI31" s="38"/>
      <c r="AJ31" s="38"/>
      <c r="AK31" s="1431"/>
    </row>
    <row r="32" spans="1:37" ht="47.25">
      <c r="A32" s="291"/>
      <c r="B32" s="357"/>
      <c r="C32" s="359"/>
      <c r="D32" s="361"/>
      <c r="E32" s="363"/>
      <c r="F32" s="407"/>
      <c r="G32" s="26"/>
      <c r="H32" s="26"/>
      <c r="I32" s="26"/>
      <c r="J32" s="126"/>
      <c r="K32" s="609" t="s">
        <v>793</v>
      </c>
      <c r="L32" s="609" t="s">
        <v>794</v>
      </c>
      <c r="M32" s="637" t="s">
        <v>792</v>
      </c>
      <c r="N32" s="611"/>
      <c r="O32" s="629">
        <v>8411369.5306666642</v>
      </c>
      <c r="P32" s="596">
        <f t="shared" si="5"/>
        <v>8411369.5306666642</v>
      </c>
      <c r="Q32" s="572"/>
      <c r="R32" s="572"/>
      <c r="S32" s="572"/>
      <c r="T32" s="572"/>
      <c r="U32" s="572"/>
      <c r="V32" s="573">
        <f t="shared" si="6"/>
        <v>8411369.5306666642</v>
      </c>
      <c r="W32" s="585" t="s">
        <v>590</v>
      </c>
      <c r="X32" s="586"/>
      <c r="Y32" s="587">
        <v>42460</v>
      </c>
      <c r="Z32" s="572">
        <f t="shared" si="7"/>
        <v>8411369.5306666642</v>
      </c>
      <c r="AA32" s="612">
        <v>1</v>
      </c>
      <c r="AB32" s="574">
        <f t="shared" si="8"/>
        <v>-8411369.5306666642</v>
      </c>
      <c r="AC32" s="577" t="s">
        <v>934</v>
      </c>
      <c r="AD32" s="38"/>
      <c r="AE32" s="38"/>
      <c r="AF32" s="38"/>
      <c r="AG32" s="38"/>
      <c r="AH32" s="38"/>
      <c r="AI32" s="38"/>
      <c r="AJ32" s="38"/>
      <c r="AK32" s="1431"/>
    </row>
    <row r="33" spans="1:39" ht="31.5">
      <c r="A33" s="291"/>
      <c r="B33" s="501"/>
      <c r="C33" s="522"/>
      <c r="D33" s="523"/>
      <c r="E33" s="524"/>
      <c r="F33" s="232"/>
      <c r="G33" s="169"/>
      <c r="H33" s="169"/>
      <c r="I33" s="169"/>
      <c r="J33" s="303"/>
      <c r="K33" s="608" t="s">
        <v>846</v>
      </c>
      <c r="L33" s="613" t="s">
        <v>794</v>
      </c>
      <c r="M33" s="610" t="s">
        <v>845</v>
      </c>
      <c r="N33" s="611"/>
      <c r="O33" s="570">
        <v>32842942.306944001</v>
      </c>
      <c r="P33" s="614">
        <f t="shared" si="5"/>
        <v>32842942.306944001</v>
      </c>
      <c r="Q33" s="615"/>
      <c r="R33" s="615"/>
      <c r="S33" s="615"/>
      <c r="T33" s="615"/>
      <c r="U33" s="615"/>
      <c r="V33" s="616">
        <f t="shared" si="6"/>
        <v>32842942.306944001</v>
      </c>
      <c r="W33" s="617" t="s">
        <v>844</v>
      </c>
      <c r="X33" s="618">
        <v>42461</v>
      </c>
      <c r="Y33" s="638">
        <v>42468</v>
      </c>
      <c r="Z33" s="572">
        <f t="shared" si="7"/>
        <v>32842942.306944001</v>
      </c>
      <c r="AA33" s="612">
        <v>1</v>
      </c>
      <c r="AB33" s="619">
        <f t="shared" si="8"/>
        <v>-32842942.306944001</v>
      </c>
      <c r="AC33" s="577" t="s">
        <v>934</v>
      </c>
      <c r="AD33" s="38"/>
      <c r="AE33" s="38"/>
      <c r="AF33" s="38"/>
      <c r="AG33" s="38"/>
      <c r="AH33" s="38"/>
      <c r="AI33" s="38"/>
      <c r="AJ33" s="38"/>
      <c r="AK33" s="1431"/>
      <c r="AL33" s="2">
        <v>500000</v>
      </c>
    </row>
    <row r="34" spans="1:39" ht="47.25">
      <c r="A34" s="512"/>
      <c r="B34" s="692"/>
      <c r="C34" s="728"/>
      <c r="D34" s="729"/>
      <c r="E34" s="730"/>
      <c r="F34" s="732"/>
      <c r="G34" s="686"/>
      <c r="H34" s="686"/>
      <c r="I34" s="686"/>
      <c r="J34" s="693"/>
      <c r="K34" s="609" t="s">
        <v>793</v>
      </c>
      <c r="L34" s="609" t="s">
        <v>794</v>
      </c>
      <c r="M34" s="637" t="s">
        <v>965</v>
      </c>
      <c r="N34" s="611"/>
      <c r="O34" s="636">
        <v>8411369.5306666642</v>
      </c>
      <c r="P34" s="596">
        <f t="shared" ref="P34:P41" si="9">N34+O34</f>
        <v>8411369.5306666642</v>
      </c>
      <c r="Q34" s="572"/>
      <c r="R34" s="572"/>
      <c r="S34" s="572"/>
      <c r="T34" s="572"/>
      <c r="U34" s="572"/>
      <c r="V34" s="573">
        <f t="shared" ref="V34:V41" si="10">P34</f>
        <v>8411369.5306666642</v>
      </c>
      <c r="W34" s="687" t="s">
        <v>964</v>
      </c>
      <c r="X34" s="638"/>
      <c r="Y34" s="638">
        <v>42474</v>
      </c>
      <c r="Z34" s="572">
        <f t="shared" si="7"/>
        <v>8411369.5306666642</v>
      </c>
      <c r="AA34" s="612">
        <v>1</v>
      </c>
      <c r="AB34" s="619">
        <f t="shared" ref="AB34:AB41" si="11">+G34-P34</f>
        <v>-8411369.5306666642</v>
      </c>
      <c r="AC34" s="577" t="s">
        <v>934</v>
      </c>
      <c r="AD34" s="38"/>
      <c r="AE34" s="38"/>
      <c r="AF34" s="38"/>
      <c r="AG34" s="38"/>
      <c r="AH34" s="38"/>
      <c r="AI34" s="38"/>
      <c r="AJ34" s="38"/>
      <c r="AK34" s="1431"/>
      <c r="AL34" s="2">
        <v>376600</v>
      </c>
      <c r="AM34" s="2">
        <f>AL33-AL34</f>
        <v>123400</v>
      </c>
    </row>
    <row r="35" spans="1:39" ht="31.5">
      <c r="A35" s="512"/>
      <c r="B35" s="692"/>
      <c r="C35" s="728"/>
      <c r="D35" s="729"/>
      <c r="E35" s="730"/>
      <c r="F35" s="732"/>
      <c r="G35" s="686"/>
      <c r="H35" s="686"/>
      <c r="I35" s="686"/>
      <c r="J35" s="693"/>
      <c r="K35" s="608" t="s">
        <v>846</v>
      </c>
      <c r="L35" s="613" t="s">
        <v>794</v>
      </c>
      <c r="M35" s="610" t="s">
        <v>966</v>
      </c>
      <c r="N35" s="611"/>
      <c r="O35" s="570">
        <v>32842942.306944001</v>
      </c>
      <c r="P35" s="614">
        <f t="shared" si="9"/>
        <v>32842942.306944001</v>
      </c>
      <c r="Q35" s="615"/>
      <c r="R35" s="615"/>
      <c r="S35" s="615"/>
      <c r="T35" s="615"/>
      <c r="U35" s="615"/>
      <c r="V35" s="616">
        <f t="shared" si="10"/>
        <v>32842942.306944001</v>
      </c>
      <c r="W35" s="687" t="s">
        <v>964</v>
      </c>
      <c r="X35" s="638"/>
      <c r="Y35" s="638">
        <v>42474</v>
      </c>
      <c r="Z35" s="572">
        <f t="shared" si="7"/>
        <v>32842942.306944001</v>
      </c>
      <c r="AA35" s="612">
        <v>1</v>
      </c>
      <c r="AB35" s="619">
        <f t="shared" si="11"/>
        <v>-32842942.306944001</v>
      </c>
      <c r="AC35" s="577" t="s">
        <v>934</v>
      </c>
      <c r="AD35" s="38"/>
      <c r="AE35" s="38"/>
      <c r="AF35" s="38"/>
      <c r="AG35" s="38"/>
      <c r="AH35" s="38"/>
      <c r="AI35" s="38"/>
      <c r="AJ35" s="38"/>
      <c r="AK35" s="1431"/>
      <c r="AL35" s="2">
        <v>1705000</v>
      </c>
    </row>
    <row r="36" spans="1:39" s="538" customFormat="1" ht="47.25">
      <c r="A36" s="512"/>
      <c r="B36" s="899"/>
      <c r="C36" s="900"/>
      <c r="D36" s="901"/>
      <c r="E36" s="902"/>
      <c r="F36" s="903"/>
      <c r="G36" s="904"/>
      <c r="H36" s="904"/>
      <c r="I36" s="904"/>
      <c r="J36" s="905"/>
      <c r="K36" s="71" t="s">
        <v>793</v>
      </c>
      <c r="L36" s="71" t="s">
        <v>794</v>
      </c>
      <c r="M36" s="906" t="s">
        <v>1266</v>
      </c>
      <c r="N36" s="534"/>
      <c r="O36" s="907">
        <v>8411369.5306666642</v>
      </c>
      <c r="P36" s="620">
        <f t="shared" si="9"/>
        <v>8411369.5306666642</v>
      </c>
      <c r="Q36" s="592"/>
      <c r="R36" s="592"/>
      <c r="S36" s="592"/>
      <c r="T36" s="592"/>
      <c r="U36" s="592"/>
      <c r="V36" s="593">
        <f t="shared" si="10"/>
        <v>8411369.5306666642</v>
      </c>
      <c r="W36" s="349" t="s">
        <v>1117</v>
      </c>
      <c r="X36" s="509">
        <v>42485</v>
      </c>
      <c r="Y36" s="509">
        <v>42492</v>
      </c>
      <c r="Z36" s="592">
        <f t="shared" si="7"/>
        <v>8411369.5306666642</v>
      </c>
      <c r="AA36" s="897">
        <v>1</v>
      </c>
      <c r="AB36" s="625">
        <f t="shared" si="11"/>
        <v>-8411369.5306666642</v>
      </c>
      <c r="AC36" s="74"/>
      <c r="AD36" s="38"/>
      <c r="AE36" s="38"/>
      <c r="AF36" s="38"/>
      <c r="AG36" s="38"/>
      <c r="AH36" s="38"/>
      <c r="AI36" s="38"/>
      <c r="AJ36" s="38"/>
      <c r="AK36" s="100">
        <v>3000000</v>
      </c>
      <c r="AL36" s="538">
        <f>AL34+AL35</f>
        <v>2081600</v>
      </c>
      <c r="AM36" s="538">
        <f>AK36-AL35</f>
        <v>1295000</v>
      </c>
    </row>
    <row r="37" spans="1:39" s="538" customFormat="1" ht="31.5">
      <c r="A37" s="512"/>
      <c r="B37" s="899"/>
      <c r="C37" s="900"/>
      <c r="D37" s="901"/>
      <c r="E37" s="902"/>
      <c r="F37" s="903"/>
      <c r="G37" s="904"/>
      <c r="H37" s="904"/>
      <c r="I37" s="904"/>
      <c r="J37" s="905"/>
      <c r="K37" s="500" t="s">
        <v>846</v>
      </c>
      <c r="L37" s="294" t="s">
        <v>794</v>
      </c>
      <c r="M37" s="467" t="s">
        <v>1265</v>
      </c>
      <c r="N37" s="534"/>
      <c r="O37" s="128">
        <v>32842942.306944001</v>
      </c>
      <c r="P37" s="621">
        <f t="shared" si="9"/>
        <v>32842942.306944001</v>
      </c>
      <c r="Q37" s="622"/>
      <c r="R37" s="622"/>
      <c r="S37" s="622"/>
      <c r="T37" s="622"/>
      <c r="U37" s="622"/>
      <c r="V37" s="623">
        <f t="shared" si="10"/>
        <v>32842942.306944001</v>
      </c>
      <c r="W37" s="349" t="s">
        <v>1117</v>
      </c>
      <c r="X37" s="509">
        <v>42485</v>
      </c>
      <c r="Y37" s="509">
        <v>42492</v>
      </c>
      <c r="Z37" s="592">
        <f t="shared" si="7"/>
        <v>32842942.306944001</v>
      </c>
      <c r="AA37" s="897">
        <v>1</v>
      </c>
      <c r="AB37" s="625">
        <f t="shared" si="11"/>
        <v>-32842942.306944001</v>
      </c>
      <c r="AC37" s="74"/>
      <c r="AD37" s="38"/>
      <c r="AE37" s="38"/>
      <c r="AF37" s="38"/>
      <c r="AG37" s="38"/>
      <c r="AH37" s="38"/>
      <c r="AI37" s="38"/>
      <c r="AJ37" s="38"/>
      <c r="AK37" s="100"/>
    </row>
    <row r="38" spans="1:39" s="538" customFormat="1" ht="47.25">
      <c r="A38" s="512"/>
      <c r="B38" s="899"/>
      <c r="C38" s="900"/>
      <c r="D38" s="901"/>
      <c r="E38" s="902"/>
      <c r="F38" s="903"/>
      <c r="G38" s="904"/>
      <c r="H38" s="904"/>
      <c r="I38" s="904"/>
      <c r="J38" s="905"/>
      <c r="K38" s="71" t="s">
        <v>793</v>
      </c>
      <c r="L38" s="71" t="s">
        <v>794</v>
      </c>
      <c r="M38" s="906" t="s">
        <v>1699</v>
      </c>
      <c r="N38" s="534"/>
      <c r="O38" s="907">
        <v>8411369.5306666642</v>
      </c>
      <c r="P38" s="620">
        <f t="shared" si="9"/>
        <v>8411369.5306666642</v>
      </c>
      <c r="Q38" s="592"/>
      <c r="R38" s="592"/>
      <c r="S38" s="592"/>
      <c r="T38" s="592"/>
      <c r="U38" s="592"/>
      <c r="V38" s="593">
        <f t="shared" si="10"/>
        <v>8411369.5306666642</v>
      </c>
      <c r="W38" s="349" t="s">
        <v>1701</v>
      </c>
      <c r="X38" s="509">
        <v>42522</v>
      </c>
      <c r="Y38" s="509">
        <v>42528</v>
      </c>
      <c r="Z38" s="622">
        <f t="shared" ref="Z38:Z43" si="12">V38</f>
        <v>8411369.5306666642</v>
      </c>
      <c r="AA38" s="897">
        <v>1</v>
      </c>
      <c r="AB38" s="625">
        <f t="shared" si="11"/>
        <v>-8411369.5306666642</v>
      </c>
      <c r="AC38" s="74"/>
      <c r="AD38" s="1436"/>
      <c r="AE38" s="53"/>
      <c r="AF38" s="54"/>
      <c r="AG38" s="54"/>
      <c r="AH38" s="54"/>
      <c r="AI38" s="54"/>
      <c r="AJ38" s="1436"/>
      <c r="AK38" s="100"/>
    </row>
    <row r="39" spans="1:39" s="538" customFormat="1" ht="31.5">
      <c r="A39" s="512"/>
      <c r="B39" s="899"/>
      <c r="C39" s="900"/>
      <c r="D39" s="901"/>
      <c r="E39" s="902"/>
      <c r="F39" s="903"/>
      <c r="G39" s="904"/>
      <c r="H39" s="904"/>
      <c r="I39" s="904"/>
      <c r="J39" s="905"/>
      <c r="K39" s="500" t="s">
        <v>846</v>
      </c>
      <c r="L39" s="294" t="s">
        <v>794</v>
      </c>
      <c r="M39" s="467" t="s">
        <v>1700</v>
      </c>
      <c r="N39" s="534"/>
      <c r="O39" s="128">
        <v>32842942.306944001</v>
      </c>
      <c r="P39" s="621">
        <f t="shared" si="9"/>
        <v>32842942.306944001</v>
      </c>
      <c r="Q39" s="622"/>
      <c r="R39" s="622"/>
      <c r="S39" s="622"/>
      <c r="T39" s="622"/>
      <c r="U39" s="622"/>
      <c r="V39" s="623">
        <f t="shared" si="10"/>
        <v>32842942.306944001</v>
      </c>
      <c r="W39" s="349" t="s">
        <v>1701</v>
      </c>
      <c r="X39" s="509">
        <v>42522</v>
      </c>
      <c r="Y39" s="509">
        <v>42528</v>
      </c>
      <c r="Z39" s="622">
        <f t="shared" si="12"/>
        <v>32842942.306944001</v>
      </c>
      <c r="AA39" s="897">
        <v>1</v>
      </c>
      <c r="AB39" s="625">
        <f t="shared" si="11"/>
        <v>-32842942.306944001</v>
      </c>
      <c r="AC39" s="74"/>
      <c r="AD39" s="1437"/>
      <c r="AE39" s="1385"/>
      <c r="AF39" s="1385"/>
      <c r="AG39" s="1385"/>
      <c r="AH39" s="1385"/>
      <c r="AI39" s="1385"/>
      <c r="AJ39" s="1437"/>
      <c r="AK39" s="100"/>
    </row>
    <row r="40" spans="1:39" s="538" customFormat="1" ht="47.25">
      <c r="A40" s="512"/>
      <c r="B40" s="899"/>
      <c r="C40" s="900"/>
      <c r="D40" s="901"/>
      <c r="E40" s="902"/>
      <c r="F40" s="903"/>
      <c r="G40" s="904"/>
      <c r="H40" s="904"/>
      <c r="I40" s="904"/>
      <c r="J40" s="905"/>
      <c r="K40" s="71" t="s">
        <v>793</v>
      </c>
      <c r="L40" s="71" t="s">
        <v>794</v>
      </c>
      <c r="M40" s="906" t="s">
        <v>1717</v>
      </c>
      <c r="N40" s="534"/>
      <c r="O40" s="907">
        <v>4319607</v>
      </c>
      <c r="P40" s="620">
        <f t="shared" si="9"/>
        <v>4319607</v>
      </c>
      <c r="Q40" s="592"/>
      <c r="R40" s="592"/>
      <c r="S40" s="592"/>
      <c r="T40" s="592"/>
      <c r="U40" s="592"/>
      <c r="V40" s="593">
        <f t="shared" si="10"/>
        <v>4319607</v>
      </c>
      <c r="W40" s="349" t="s">
        <v>1698</v>
      </c>
      <c r="X40" s="509">
        <v>42534</v>
      </c>
      <c r="Y40" s="509">
        <v>42549</v>
      </c>
      <c r="Z40" s="622">
        <f t="shared" si="12"/>
        <v>4319607</v>
      </c>
      <c r="AA40" s="897">
        <v>1</v>
      </c>
      <c r="AB40" s="625">
        <f t="shared" si="11"/>
        <v>-4319607</v>
      </c>
      <c r="AC40" s="74"/>
      <c r="AD40" s="38"/>
      <c r="AE40" s="38"/>
      <c r="AF40" s="38"/>
      <c r="AG40" s="38"/>
      <c r="AH40" s="38"/>
      <c r="AI40" s="38"/>
      <c r="AJ40" s="38"/>
      <c r="AK40" s="100"/>
    </row>
    <row r="41" spans="1:39" s="538" customFormat="1" ht="31.5">
      <c r="A41" s="512"/>
      <c r="B41" s="899"/>
      <c r="C41" s="900"/>
      <c r="D41" s="901"/>
      <c r="E41" s="902"/>
      <c r="F41" s="903"/>
      <c r="G41" s="904"/>
      <c r="H41" s="904"/>
      <c r="I41" s="904"/>
      <c r="J41" s="905"/>
      <c r="K41" s="500" t="s">
        <v>846</v>
      </c>
      <c r="L41" s="294" t="s">
        <v>794</v>
      </c>
      <c r="M41" s="467" t="s">
        <v>1716</v>
      </c>
      <c r="N41" s="534"/>
      <c r="O41" s="128">
        <v>33084973</v>
      </c>
      <c r="P41" s="621">
        <f t="shared" si="9"/>
        <v>33084973</v>
      </c>
      <c r="Q41" s="622"/>
      <c r="R41" s="622"/>
      <c r="S41" s="622"/>
      <c r="T41" s="622"/>
      <c r="U41" s="622"/>
      <c r="V41" s="623">
        <f t="shared" si="10"/>
        <v>33084973</v>
      </c>
      <c r="W41" s="349" t="s">
        <v>1698</v>
      </c>
      <c r="X41" s="509">
        <v>42534</v>
      </c>
      <c r="Y41" s="509">
        <v>42549</v>
      </c>
      <c r="Z41" s="622">
        <f t="shared" si="12"/>
        <v>33084973</v>
      </c>
      <c r="AA41" s="897">
        <v>1</v>
      </c>
      <c r="AB41" s="625">
        <f t="shared" si="11"/>
        <v>-33084973</v>
      </c>
      <c r="AC41" s="74"/>
      <c r="AD41" s="1404"/>
      <c r="AE41" s="38"/>
      <c r="AF41" s="38"/>
      <c r="AG41" s="38"/>
      <c r="AH41" s="38"/>
      <c r="AI41" s="38"/>
      <c r="AJ41" s="1404"/>
      <c r="AK41" s="100"/>
    </row>
    <row r="42" spans="1:39" s="538" customFormat="1" ht="47.25">
      <c r="A42" s="512"/>
      <c r="B42" s="899"/>
      <c r="C42" s="900"/>
      <c r="D42" s="901"/>
      <c r="E42" s="902"/>
      <c r="F42" s="903"/>
      <c r="G42" s="904"/>
      <c r="H42" s="904"/>
      <c r="I42" s="904"/>
      <c r="J42" s="905"/>
      <c r="K42" s="71" t="s">
        <v>793</v>
      </c>
      <c r="L42" s="71" t="s">
        <v>794</v>
      </c>
      <c r="M42" s="906" t="s">
        <v>1717</v>
      </c>
      <c r="N42" s="534"/>
      <c r="O42" s="907">
        <v>4319607</v>
      </c>
      <c r="P42" s="620">
        <f>N42+O42</f>
        <v>4319607</v>
      </c>
      <c r="Q42" s="592"/>
      <c r="R42" s="592"/>
      <c r="S42" s="592"/>
      <c r="T42" s="592"/>
      <c r="U42" s="592"/>
      <c r="V42" s="593">
        <f>P42</f>
        <v>4319607</v>
      </c>
      <c r="W42" s="349" t="s">
        <v>1992</v>
      </c>
      <c r="X42" s="509">
        <v>42573</v>
      </c>
      <c r="Y42" s="509">
        <v>42579</v>
      </c>
      <c r="Z42" s="622">
        <f t="shared" si="12"/>
        <v>4319607</v>
      </c>
      <c r="AA42" s="897">
        <v>1</v>
      </c>
      <c r="AB42" s="625">
        <f>+G42-P42</f>
        <v>-4319607</v>
      </c>
      <c r="AC42" s="74"/>
      <c r="AD42" s="38"/>
      <c r="AE42" s="38"/>
      <c r="AF42" s="38"/>
      <c r="AG42" s="38"/>
      <c r="AH42" s="38"/>
      <c r="AI42" s="38"/>
      <c r="AJ42" s="38"/>
      <c r="AK42" s="100"/>
    </row>
    <row r="43" spans="1:39" s="538" customFormat="1" ht="31.5">
      <c r="A43" s="512"/>
      <c r="B43" s="899"/>
      <c r="C43" s="900"/>
      <c r="D43" s="901"/>
      <c r="E43" s="902"/>
      <c r="F43" s="903"/>
      <c r="G43" s="904"/>
      <c r="H43" s="904"/>
      <c r="I43" s="904"/>
      <c r="J43" s="905"/>
      <c r="K43" s="500" t="s">
        <v>846</v>
      </c>
      <c r="L43" s="294" t="s">
        <v>794</v>
      </c>
      <c r="M43" s="467" t="s">
        <v>1716</v>
      </c>
      <c r="N43" s="534"/>
      <c r="O43" s="128">
        <v>33084973</v>
      </c>
      <c r="P43" s="621">
        <f>N43+O43</f>
        <v>33084973</v>
      </c>
      <c r="Q43" s="622"/>
      <c r="R43" s="622"/>
      <c r="S43" s="622"/>
      <c r="T43" s="622"/>
      <c r="U43" s="622"/>
      <c r="V43" s="623">
        <f>P43</f>
        <v>33084973</v>
      </c>
      <c r="W43" s="349" t="s">
        <v>1992</v>
      </c>
      <c r="X43" s="509">
        <v>42573</v>
      </c>
      <c r="Y43" s="509">
        <v>42579</v>
      </c>
      <c r="Z43" s="622">
        <f t="shared" si="12"/>
        <v>33084973</v>
      </c>
      <c r="AA43" s="897">
        <v>1</v>
      </c>
      <c r="AB43" s="625">
        <f>+G43-P43</f>
        <v>-33084973</v>
      </c>
      <c r="AC43" s="74"/>
      <c r="AD43" s="38"/>
      <c r="AE43" s="38"/>
      <c r="AF43" s="38"/>
      <c r="AG43" s="38"/>
      <c r="AH43" s="38"/>
      <c r="AI43" s="38"/>
      <c r="AJ43" s="38"/>
      <c r="AK43" s="100"/>
    </row>
    <row r="44" spans="1:39" s="538" customFormat="1" ht="31.5">
      <c r="A44" s="512"/>
      <c r="B44" s="899"/>
      <c r="C44" s="900"/>
      <c r="D44" s="901"/>
      <c r="E44" s="902"/>
      <c r="F44" s="903"/>
      <c r="G44" s="904"/>
      <c r="H44" s="904"/>
      <c r="I44" s="904"/>
      <c r="J44" s="905"/>
      <c r="K44" s="893" t="s">
        <v>2229</v>
      </c>
      <c r="L44" s="294" t="s">
        <v>794</v>
      </c>
      <c r="M44" s="895" t="s">
        <v>2230</v>
      </c>
      <c r="N44" s="896"/>
      <c r="O44" s="520">
        <v>215756474</v>
      </c>
      <c r="P44" s="621">
        <f>N44+O44</f>
        <v>215756474</v>
      </c>
      <c r="Q44" s="622"/>
      <c r="R44" s="622"/>
      <c r="S44" s="622"/>
      <c r="T44" s="622"/>
      <c r="U44" s="622"/>
      <c r="V44" s="623">
        <f>P44</f>
        <v>215756474</v>
      </c>
      <c r="W44" s="140" t="s">
        <v>3117</v>
      </c>
      <c r="X44" s="1225">
        <v>42689</v>
      </c>
      <c r="Y44" s="1225">
        <v>42691</v>
      </c>
      <c r="Z44" s="622">
        <v>42299589</v>
      </c>
      <c r="AA44" s="897"/>
      <c r="AB44" s="625">
        <f>+G44-P44</f>
        <v>-215756474</v>
      </c>
      <c r="AC44" s="74" t="s">
        <v>2135</v>
      </c>
      <c r="AD44" s="967" t="e">
        <f>#REF!/5</f>
        <v>#REF!</v>
      </c>
      <c r="AE44" s="38"/>
      <c r="AF44" s="38"/>
      <c r="AG44" s="1435">
        <f>42299589*3</f>
        <v>126898767</v>
      </c>
      <c r="AH44" s="1435">
        <v>42299589</v>
      </c>
      <c r="AI44" s="1435">
        <v>42299589</v>
      </c>
      <c r="AJ44" s="38"/>
      <c r="AK44" s="100"/>
    </row>
    <row r="45" spans="1:39" s="538" customFormat="1">
      <c r="A45" s="512"/>
      <c r="B45" s="899"/>
      <c r="C45" s="900"/>
      <c r="D45" s="901"/>
      <c r="E45" s="902"/>
      <c r="F45" s="903"/>
      <c r="G45" s="904"/>
      <c r="H45" s="904"/>
      <c r="I45" s="904"/>
      <c r="J45" s="905"/>
      <c r="K45" s="893"/>
      <c r="L45" s="894"/>
      <c r="M45" s="895"/>
      <c r="N45" s="896"/>
      <c r="O45" s="520"/>
      <c r="P45" s="622"/>
      <c r="Q45" s="622"/>
      <c r="R45" s="622"/>
      <c r="S45" s="622"/>
      <c r="T45" s="622"/>
      <c r="U45" s="622"/>
      <c r="V45" s="622"/>
      <c r="W45" s="140" t="s">
        <v>3117</v>
      </c>
      <c r="X45" s="1225">
        <v>42689</v>
      </c>
      <c r="Y45" s="1225">
        <v>42691</v>
      </c>
      <c r="Z45" s="622">
        <v>42299589</v>
      </c>
      <c r="AA45" s="897"/>
      <c r="AB45" s="898"/>
      <c r="AC45" s="74" t="s">
        <v>2361</v>
      </c>
      <c r="AD45" s="967"/>
      <c r="AE45" s="38"/>
      <c r="AF45" s="38"/>
      <c r="AG45" s="1435"/>
      <c r="AH45" s="1435"/>
      <c r="AI45" s="1435"/>
      <c r="AJ45" s="38"/>
      <c r="AK45" s="100"/>
    </row>
    <row r="46" spans="1:39" s="538" customFormat="1">
      <c r="A46" s="512"/>
      <c r="B46" s="899"/>
      <c r="C46" s="900"/>
      <c r="D46" s="901"/>
      <c r="E46" s="902"/>
      <c r="F46" s="903"/>
      <c r="G46" s="904"/>
      <c r="H46" s="904"/>
      <c r="I46" s="904"/>
      <c r="J46" s="905"/>
      <c r="K46" s="893"/>
      <c r="L46" s="894"/>
      <c r="M46" s="895"/>
      <c r="N46" s="896"/>
      <c r="O46" s="520"/>
      <c r="P46" s="622"/>
      <c r="Q46" s="622"/>
      <c r="R46" s="622"/>
      <c r="S46" s="622"/>
      <c r="T46" s="622"/>
      <c r="U46" s="622"/>
      <c r="V46" s="622"/>
      <c r="W46" s="349" t="s">
        <v>3200</v>
      </c>
      <c r="X46" s="509">
        <v>42698</v>
      </c>
      <c r="Y46" s="509">
        <v>42704</v>
      </c>
      <c r="Z46" s="622">
        <v>42299589</v>
      </c>
      <c r="AA46" s="897"/>
      <c r="AB46" s="898"/>
      <c r="AC46" s="74" t="s">
        <v>2809</v>
      </c>
      <c r="AD46" s="967"/>
      <c r="AE46" s="38"/>
      <c r="AF46" s="38"/>
      <c r="AG46" s="1435"/>
      <c r="AH46" s="1435"/>
      <c r="AI46" s="1435"/>
      <c r="AJ46" s="38"/>
      <c r="AK46" s="100"/>
    </row>
    <row r="47" spans="1:39" s="538" customFormat="1">
      <c r="A47" s="512"/>
      <c r="B47" s="899"/>
      <c r="C47" s="900"/>
      <c r="D47" s="901"/>
      <c r="E47" s="902"/>
      <c r="F47" s="903"/>
      <c r="G47" s="904"/>
      <c r="H47" s="904"/>
      <c r="I47" s="904"/>
      <c r="J47" s="905"/>
      <c r="K47" s="893"/>
      <c r="L47" s="894"/>
      <c r="M47" s="895"/>
      <c r="N47" s="896"/>
      <c r="O47" s="520"/>
      <c r="P47" s="622"/>
      <c r="Q47" s="622"/>
      <c r="R47" s="622"/>
      <c r="S47" s="622"/>
      <c r="T47" s="622"/>
      <c r="U47" s="622"/>
      <c r="V47" s="622"/>
      <c r="W47" s="349" t="s">
        <v>3446</v>
      </c>
      <c r="X47" s="509">
        <v>42718</v>
      </c>
      <c r="Y47" s="509">
        <v>42720</v>
      </c>
      <c r="Z47" s="622">
        <v>43364221</v>
      </c>
      <c r="AA47" s="897"/>
      <c r="AB47" s="898"/>
      <c r="AC47" s="74" t="s">
        <v>3067</v>
      </c>
      <c r="AD47" s="967"/>
      <c r="AE47" s="38"/>
      <c r="AF47" s="38"/>
      <c r="AG47" s="1435"/>
      <c r="AH47" s="1435"/>
      <c r="AI47" s="1435"/>
      <c r="AJ47" s="38"/>
      <c r="AK47" s="100"/>
    </row>
    <row r="48" spans="1:39" s="538" customFormat="1">
      <c r="A48" s="512"/>
      <c r="B48" s="899"/>
      <c r="C48" s="900"/>
      <c r="D48" s="901"/>
      <c r="E48" s="902"/>
      <c r="F48" s="903"/>
      <c r="G48" s="904"/>
      <c r="H48" s="904"/>
      <c r="I48" s="904"/>
      <c r="J48" s="905"/>
      <c r="K48" s="893"/>
      <c r="L48" s="894"/>
      <c r="M48" s="895"/>
      <c r="N48" s="896"/>
      <c r="O48" s="520"/>
      <c r="P48" s="622"/>
      <c r="Q48" s="622"/>
      <c r="R48" s="622"/>
      <c r="S48" s="622"/>
      <c r="T48" s="622"/>
      <c r="U48" s="622"/>
      <c r="V48" s="622"/>
      <c r="W48" s="349" t="s">
        <v>3544</v>
      </c>
      <c r="X48" s="509">
        <v>42726</v>
      </c>
      <c r="Y48" s="509">
        <v>42731</v>
      </c>
      <c r="Z48" s="622">
        <v>43364221</v>
      </c>
      <c r="AA48" s="897"/>
      <c r="AB48" s="898"/>
      <c r="AC48" s="74" t="s">
        <v>3415</v>
      </c>
      <c r="AD48" s="967"/>
      <c r="AE48" s="38"/>
      <c r="AF48" s="38"/>
      <c r="AG48" s="1435"/>
      <c r="AH48" s="1435"/>
      <c r="AI48" s="1435"/>
      <c r="AJ48" s="38"/>
      <c r="AK48" s="100"/>
    </row>
    <row r="49" spans="1:37" s="538" customFormat="1" ht="16.5" thickBot="1">
      <c r="A49" s="512"/>
      <c r="B49" s="899"/>
      <c r="C49" s="900"/>
      <c r="D49" s="901"/>
      <c r="E49" s="902"/>
      <c r="F49" s="903"/>
      <c r="G49" s="904"/>
      <c r="H49" s="904"/>
      <c r="I49" s="904"/>
      <c r="J49" s="905"/>
      <c r="K49" s="893"/>
      <c r="L49" s="894"/>
      <c r="M49" s="895"/>
      <c r="N49" s="896"/>
      <c r="O49" s="520"/>
      <c r="P49" s="622"/>
      <c r="Q49" s="622"/>
      <c r="R49" s="622"/>
      <c r="S49" s="622"/>
      <c r="T49" s="622"/>
      <c r="U49" s="622"/>
      <c r="V49" s="622"/>
      <c r="W49" s="349"/>
      <c r="X49" s="509"/>
      <c r="Y49" s="509"/>
      <c r="Z49" s="622"/>
      <c r="AA49" s="897"/>
      <c r="AB49" s="898"/>
      <c r="AC49" s="74"/>
      <c r="AD49" s="38"/>
      <c r="AE49" s="38"/>
      <c r="AF49" s="38"/>
      <c r="AG49" s="38"/>
      <c r="AH49" s="38"/>
      <c r="AI49" s="38"/>
      <c r="AJ49" s="38"/>
      <c r="AK49" s="100"/>
    </row>
    <row r="50" spans="1:37" s="769" customFormat="1" ht="16.5" thickBot="1">
      <c r="A50" s="1065"/>
      <c r="B50" s="1066"/>
      <c r="C50" s="1067"/>
      <c r="D50" s="1068"/>
      <c r="E50" s="1069">
        <f>SUM(E28:E33)</f>
        <v>0</v>
      </c>
      <c r="F50" s="1069">
        <f>SUM(F28:F33)</f>
        <v>552282000</v>
      </c>
      <c r="G50" s="1069">
        <f>SUM(G28:G33)</f>
        <v>552282000</v>
      </c>
      <c r="H50" s="1070"/>
      <c r="I50" s="1070"/>
      <c r="J50" s="1071"/>
      <c r="K50" s="1676"/>
      <c r="L50" s="1330"/>
      <c r="M50" s="1677"/>
      <c r="N50" s="1069">
        <f>SUM(N28:N49)</f>
        <v>0</v>
      </c>
      <c r="O50" s="1069">
        <f t="shared" ref="O50:V50" si="13">SUM(O28:O49)</f>
        <v>538091505.02566397</v>
      </c>
      <c r="P50" s="1069">
        <f t="shared" si="13"/>
        <v>538091505.02566397</v>
      </c>
      <c r="Q50" s="1069">
        <f t="shared" si="13"/>
        <v>0</v>
      </c>
      <c r="R50" s="1069">
        <f t="shared" si="13"/>
        <v>0</v>
      </c>
      <c r="S50" s="1069">
        <f t="shared" si="13"/>
        <v>0</v>
      </c>
      <c r="T50" s="1069">
        <f t="shared" si="13"/>
        <v>0</v>
      </c>
      <c r="U50" s="1069">
        <f t="shared" si="13"/>
        <v>0</v>
      </c>
      <c r="V50" s="1069">
        <f t="shared" si="13"/>
        <v>538091505.02566397</v>
      </c>
      <c r="W50" s="1075"/>
      <c r="X50" s="1076"/>
      <c r="Y50" s="1076"/>
      <c r="Z50" s="1069">
        <f>SUM(Z28:Z49)</f>
        <v>535962240.02566397</v>
      </c>
      <c r="AA50" s="1075"/>
      <c r="AB50" s="1069">
        <f>SUM(AB28:AB49)</f>
        <v>14190494.974335968</v>
      </c>
      <c r="AC50" s="1077"/>
      <c r="AD50" s="1160"/>
      <c r="AE50" s="1160"/>
      <c r="AF50" s="1160"/>
      <c r="AG50" s="1160"/>
      <c r="AH50" s="1160"/>
      <c r="AI50" s="1160"/>
      <c r="AJ50" s="1160"/>
      <c r="AK50" s="1102"/>
    </row>
    <row r="51" spans="1:37" ht="47.25">
      <c r="A51" s="512"/>
      <c r="B51" s="513"/>
      <c r="C51" s="525" t="s">
        <v>624</v>
      </c>
      <c r="D51" s="526" t="s">
        <v>644</v>
      </c>
      <c r="E51" s="527"/>
      <c r="F51" s="527">
        <v>5295139000</v>
      </c>
      <c r="G51" s="370">
        <f>E51+F51</f>
        <v>5295139000</v>
      </c>
      <c r="H51" s="240"/>
      <c r="I51" s="240"/>
      <c r="J51" s="517"/>
      <c r="K51" s="528" t="s">
        <v>793</v>
      </c>
      <c r="L51" s="528" t="s">
        <v>794</v>
      </c>
      <c r="M51" s="519" t="s">
        <v>888</v>
      </c>
      <c r="N51" s="520"/>
      <c r="O51" s="529">
        <v>156742657.86666662</v>
      </c>
      <c r="P51" s="530">
        <f t="shared" ref="P51:P67" si="14">N51+O51</f>
        <v>156742657.86666662</v>
      </c>
      <c r="Q51" s="30"/>
      <c r="R51" s="30"/>
      <c r="S51" s="30"/>
      <c r="T51" s="30"/>
      <c r="U51" s="30"/>
      <c r="V51" s="446">
        <f t="shared" ref="V51:V67" si="15">P51</f>
        <v>156742657.86666662</v>
      </c>
      <c r="W51" s="374" t="s">
        <v>559</v>
      </c>
      <c r="X51" s="375"/>
      <c r="Y51" s="531">
        <v>42398</v>
      </c>
      <c r="Z51" s="110">
        <f t="shared" ref="Z51:Z62" si="16">V51</f>
        <v>156742657.86666662</v>
      </c>
      <c r="AA51" s="376">
        <v>1</v>
      </c>
      <c r="AB51" s="532">
        <f>+G51-P51</f>
        <v>5138396342.1333332</v>
      </c>
      <c r="AC51" s="32"/>
      <c r="AD51" s="38"/>
      <c r="AE51" s="38"/>
      <c r="AF51" s="38"/>
      <c r="AG51" s="38"/>
      <c r="AH51" s="38"/>
      <c r="AI51" s="38"/>
      <c r="AJ51" s="38"/>
      <c r="AK51" s="40"/>
    </row>
    <row r="52" spans="1:37" ht="31.5">
      <c r="A52" s="291"/>
      <c r="B52" s="357"/>
      <c r="C52" s="360"/>
      <c r="D52" s="362"/>
      <c r="E52" s="364"/>
      <c r="F52" s="364"/>
      <c r="G52" s="155"/>
      <c r="H52" s="26"/>
      <c r="I52" s="26"/>
      <c r="J52" s="126"/>
      <c r="K52" s="500" t="s">
        <v>846</v>
      </c>
      <c r="L52" s="71" t="s">
        <v>794</v>
      </c>
      <c r="M52" s="467" t="s">
        <v>889</v>
      </c>
      <c r="N52" s="425"/>
      <c r="O52" s="497">
        <v>174349707.75502139</v>
      </c>
      <c r="P52" s="498">
        <f t="shared" si="14"/>
        <v>174349707.75502139</v>
      </c>
      <c r="Q52" s="30"/>
      <c r="R52" s="30"/>
      <c r="S52" s="30"/>
      <c r="T52" s="30"/>
      <c r="U52" s="30"/>
      <c r="V52" s="144">
        <f t="shared" si="15"/>
        <v>174349707.75502139</v>
      </c>
      <c r="W52" s="140" t="s">
        <v>559</v>
      </c>
      <c r="X52" s="307"/>
      <c r="Y52" s="307">
        <v>42398</v>
      </c>
      <c r="Z52" s="466">
        <f t="shared" si="16"/>
        <v>174349707.75502139</v>
      </c>
      <c r="AA52" s="288">
        <v>1</v>
      </c>
      <c r="AB52" s="426">
        <f t="shared" ref="AB52:AB100" si="17">+G52-P52</f>
        <v>-174349707.75502139</v>
      </c>
      <c r="AC52" s="32"/>
      <c r="AD52" s="38"/>
      <c r="AE52" s="38"/>
      <c r="AF52" s="38"/>
      <c r="AG52" s="38"/>
      <c r="AH52" s="38"/>
      <c r="AI52" s="38"/>
      <c r="AJ52" s="38"/>
      <c r="AK52" s="40"/>
    </row>
    <row r="53" spans="1:37" ht="47.25">
      <c r="A53" s="291"/>
      <c r="B53" s="357"/>
      <c r="C53" s="360"/>
      <c r="D53" s="362"/>
      <c r="E53" s="364"/>
      <c r="F53" s="364"/>
      <c r="G53" s="155"/>
      <c r="H53" s="26"/>
      <c r="I53" s="26"/>
      <c r="J53" s="126"/>
      <c r="K53" s="71" t="s">
        <v>793</v>
      </c>
      <c r="L53" s="71" t="s">
        <v>794</v>
      </c>
      <c r="M53" s="130" t="s">
        <v>890</v>
      </c>
      <c r="N53" s="128"/>
      <c r="O53" s="529">
        <v>156742657.86666662</v>
      </c>
      <c r="P53" s="496">
        <f t="shared" si="14"/>
        <v>156742657.86666662</v>
      </c>
      <c r="Q53" s="30"/>
      <c r="R53" s="30"/>
      <c r="S53" s="30"/>
      <c r="T53" s="30"/>
      <c r="U53" s="30"/>
      <c r="V53" s="144">
        <f t="shared" si="15"/>
        <v>156742657.86666662</v>
      </c>
      <c r="W53" s="140" t="s">
        <v>564</v>
      </c>
      <c r="X53" s="307"/>
      <c r="Y53" s="465">
        <v>42424</v>
      </c>
      <c r="Z53" s="466">
        <f t="shared" si="16"/>
        <v>156742657.86666662</v>
      </c>
      <c r="AA53" s="288">
        <v>1</v>
      </c>
      <c r="AB53" s="426">
        <f t="shared" si="17"/>
        <v>-156742657.86666662</v>
      </c>
      <c r="AC53" s="32"/>
      <c r="AD53" s="38"/>
      <c r="AE53" s="38"/>
      <c r="AF53" s="38"/>
      <c r="AG53" s="38"/>
      <c r="AH53" s="38"/>
      <c r="AI53" s="38"/>
      <c r="AJ53" s="38"/>
      <c r="AK53" s="40"/>
    </row>
    <row r="54" spans="1:37" ht="31.5">
      <c r="A54" s="291"/>
      <c r="B54" s="357"/>
      <c r="C54" s="360"/>
      <c r="D54" s="362"/>
      <c r="E54" s="364"/>
      <c r="F54" s="364"/>
      <c r="G54" s="155"/>
      <c r="H54" s="26"/>
      <c r="I54" s="26"/>
      <c r="J54" s="126"/>
      <c r="K54" s="500" t="s">
        <v>846</v>
      </c>
      <c r="L54" s="71" t="s">
        <v>794</v>
      </c>
      <c r="M54" s="467" t="s">
        <v>891</v>
      </c>
      <c r="N54" s="425"/>
      <c r="O54" s="497">
        <v>174349707.75502139</v>
      </c>
      <c r="P54" s="498">
        <f t="shared" si="14"/>
        <v>174349707.75502139</v>
      </c>
      <c r="Q54" s="30"/>
      <c r="R54" s="30"/>
      <c r="S54" s="30"/>
      <c r="T54" s="30"/>
      <c r="U54" s="30"/>
      <c r="V54" s="144">
        <f t="shared" si="15"/>
        <v>174349707.75502139</v>
      </c>
      <c r="W54" s="140" t="s">
        <v>564</v>
      </c>
      <c r="X54" s="307"/>
      <c r="Y54" s="465">
        <v>42424</v>
      </c>
      <c r="Z54" s="466">
        <f t="shared" si="16"/>
        <v>174349707.75502139</v>
      </c>
      <c r="AA54" s="288">
        <v>1</v>
      </c>
      <c r="AB54" s="426">
        <f t="shared" si="17"/>
        <v>-174349707.75502139</v>
      </c>
      <c r="AC54" s="32"/>
      <c r="AD54" s="38"/>
      <c r="AE54" s="38"/>
      <c r="AF54" s="38"/>
      <c r="AG54" s="38"/>
      <c r="AH54" s="38"/>
      <c r="AI54" s="38"/>
      <c r="AJ54" s="38"/>
      <c r="AK54" s="40"/>
    </row>
    <row r="55" spans="1:37" ht="47.25">
      <c r="A55" s="291"/>
      <c r="B55" s="357"/>
      <c r="C55" s="360"/>
      <c r="D55" s="362"/>
      <c r="E55" s="364"/>
      <c r="F55" s="364"/>
      <c r="G55" s="155"/>
      <c r="H55" s="26"/>
      <c r="I55" s="26"/>
      <c r="J55" s="126"/>
      <c r="K55" s="71" t="s">
        <v>793</v>
      </c>
      <c r="L55" s="71" t="s">
        <v>794</v>
      </c>
      <c r="M55" s="130" t="s">
        <v>792</v>
      </c>
      <c r="N55" s="128"/>
      <c r="O55" s="529">
        <v>156742657.86666662</v>
      </c>
      <c r="P55" s="496">
        <f t="shared" si="14"/>
        <v>156742657.86666662</v>
      </c>
      <c r="Q55" s="30"/>
      <c r="R55" s="30"/>
      <c r="S55" s="30"/>
      <c r="T55" s="30"/>
      <c r="U55" s="30"/>
      <c r="V55" s="144">
        <f t="shared" si="15"/>
        <v>156742657.86666662</v>
      </c>
      <c r="W55" s="140" t="s">
        <v>590</v>
      </c>
      <c r="X55" s="141"/>
      <c r="Y55" s="307">
        <v>42460</v>
      </c>
      <c r="Z55" s="103">
        <f t="shared" si="16"/>
        <v>156742657.86666662</v>
      </c>
      <c r="AA55" s="288">
        <v>1</v>
      </c>
      <c r="AB55" s="426">
        <f t="shared" si="17"/>
        <v>-156742657.86666662</v>
      </c>
      <c r="AC55" s="32"/>
      <c r="AD55" s="38"/>
      <c r="AE55" s="38"/>
      <c r="AF55" s="38"/>
      <c r="AG55" s="38"/>
      <c r="AH55" s="38"/>
      <c r="AI55" s="38"/>
      <c r="AJ55" s="38"/>
      <c r="AK55" s="40"/>
    </row>
    <row r="56" spans="1:37" ht="31.5">
      <c r="A56" s="291"/>
      <c r="B56" s="357"/>
      <c r="C56" s="360"/>
      <c r="D56" s="362"/>
      <c r="E56" s="364"/>
      <c r="F56" s="364"/>
      <c r="G56" s="155"/>
      <c r="H56" s="26"/>
      <c r="I56" s="26"/>
      <c r="J56" s="126"/>
      <c r="K56" s="500" t="s">
        <v>846</v>
      </c>
      <c r="L56" s="71" t="s">
        <v>794</v>
      </c>
      <c r="M56" s="467" t="s">
        <v>845</v>
      </c>
      <c r="N56" s="425"/>
      <c r="O56" s="497">
        <v>174349707.75502139</v>
      </c>
      <c r="P56" s="498">
        <f t="shared" si="14"/>
        <v>174349707.75502139</v>
      </c>
      <c r="Q56" s="30"/>
      <c r="R56" s="30"/>
      <c r="S56" s="30"/>
      <c r="T56" s="30"/>
      <c r="U56" s="30"/>
      <c r="V56" s="144">
        <f t="shared" si="15"/>
        <v>174349707.75502139</v>
      </c>
      <c r="W56" s="140" t="s">
        <v>844</v>
      </c>
      <c r="X56" s="307">
        <v>42461</v>
      </c>
      <c r="Y56" s="465">
        <v>42468</v>
      </c>
      <c r="Z56" s="103">
        <f t="shared" si="16"/>
        <v>174349707.75502139</v>
      </c>
      <c r="AA56" s="288">
        <v>1</v>
      </c>
      <c r="AB56" s="426">
        <f t="shared" si="17"/>
        <v>-174349707.75502139</v>
      </c>
      <c r="AC56" s="32"/>
      <c r="AD56" s="38"/>
      <c r="AE56" s="38"/>
      <c r="AF56" s="38"/>
      <c r="AG56" s="38"/>
      <c r="AH56" s="38"/>
      <c r="AI56" s="38"/>
      <c r="AJ56" s="38"/>
      <c r="AK56" s="40"/>
    </row>
    <row r="57" spans="1:37" ht="47.25">
      <c r="A57" s="291"/>
      <c r="B57" s="357"/>
      <c r="C57" s="360"/>
      <c r="D57" s="362"/>
      <c r="E57" s="364"/>
      <c r="F57" s="364"/>
      <c r="G57" s="155"/>
      <c r="H57" s="26"/>
      <c r="I57" s="26"/>
      <c r="J57" s="126"/>
      <c r="K57" s="71" t="s">
        <v>793</v>
      </c>
      <c r="L57" s="71" t="s">
        <v>794</v>
      </c>
      <c r="M57" s="130" t="s">
        <v>965</v>
      </c>
      <c r="N57" s="128"/>
      <c r="O57" s="529">
        <v>156742657.86666662</v>
      </c>
      <c r="P57" s="496">
        <f t="shared" si="14"/>
        <v>156742657.86666662</v>
      </c>
      <c r="Q57" s="30"/>
      <c r="R57" s="30"/>
      <c r="S57" s="30"/>
      <c r="T57" s="30"/>
      <c r="U57" s="30"/>
      <c r="V57" s="144">
        <f t="shared" si="15"/>
        <v>156742657.86666662</v>
      </c>
      <c r="W57" s="140" t="s">
        <v>964</v>
      </c>
      <c r="X57" s="307"/>
      <c r="Y57" s="465">
        <v>42474</v>
      </c>
      <c r="Z57" s="103">
        <f t="shared" si="16"/>
        <v>156742657.86666662</v>
      </c>
      <c r="AA57" s="288">
        <v>1</v>
      </c>
      <c r="AB57" s="426">
        <f t="shared" ref="AB57:AB66" si="18">+G57-P57</f>
        <v>-156742657.86666662</v>
      </c>
      <c r="AC57" s="32"/>
      <c r="AD57" s="38"/>
      <c r="AE57" s="38"/>
      <c r="AF57" s="38"/>
      <c r="AG57" s="38"/>
      <c r="AH57" s="38"/>
      <c r="AI57" s="38"/>
      <c r="AJ57" s="38"/>
      <c r="AK57" s="40"/>
    </row>
    <row r="58" spans="1:37" ht="31.5">
      <c r="A58" s="291"/>
      <c r="B58" s="357"/>
      <c r="C58" s="360"/>
      <c r="D58" s="362"/>
      <c r="E58" s="364"/>
      <c r="F58" s="364"/>
      <c r="G58" s="155"/>
      <c r="H58" s="26"/>
      <c r="I58" s="26"/>
      <c r="J58" s="126"/>
      <c r="K58" s="500" t="s">
        <v>846</v>
      </c>
      <c r="L58" s="71" t="s">
        <v>794</v>
      </c>
      <c r="M58" s="467" t="s">
        <v>966</v>
      </c>
      <c r="N58" s="425"/>
      <c r="O58" s="497">
        <v>174349707.75502139</v>
      </c>
      <c r="P58" s="498">
        <f t="shared" si="14"/>
        <v>174349707.75502139</v>
      </c>
      <c r="Q58" s="30"/>
      <c r="R58" s="30"/>
      <c r="S58" s="30"/>
      <c r="T58" s="30"/>
      <c r="U58" s="30"/>
      <c r="V58" s="144">
        <f t="shared" si="15"/>
        <v>174349707.75502139</v>
      </c>
      <c r="W58" s="140" t="s">
        <v>964</v>
      </c>
      <c r="X58" s="307"/>
      <c r="Y58" s="465">
        <v>42474</v>
      </c>
      <c r="Z58" s="103">
        <f t="shared" si="16"/>
        <v>174349707.75502139</v>
      </c>
      <c r="AA58" s="288">
        <v>1</v>
      </c>
      <c r="AB58" s="426">
        <f t="shared" si="18"/>
        <v>-174349707.75502139</v>
      </c>
      <c r="AC58" s="32"/>
      <c r="AD58" s="38"/>
      <c r="AE58" s="38"/>
      <c r="AF58" s="38"/>
      <c r="AG58" s="38"/>
      <c r="AH58" s="38"/>
      <c r="AI58" s="38"/>
      <c r="AJ58" s="38"/>
      <c r="AK58" s="40"/>
    </row>
    <row r="59" spans="1:37" ht="47.25">
      <c r="A59" s="291"/>
      <c r="B59" s="357"/>
      <c r="C59" s="360"/>
      <c r="D59" s="362"/>
      <c r="E59" s="364"/>
      <c r="F59" s="364"/>
      <c r="G59" s="155"/>
      <c r="H59" s="26"/>
      <c r="I59" s="26"/>
      <c r="J59" s="126"/>
      <c r="K59" s="71" t="s">
        <v>793</v>
      </c>
      <c r="L59" s="71" t="s">
        <v>794</v>
      </c>
      <c r="M59" s="130" t="s">
        <v>1266</v>
      </c>
      <c r="N59" s="464"/>
      <c r="O59" s="497">
        <v>147741727.6133334</v>
      </c>
      <c r="P59" s="496">
        <v>147741727.6133334</v>
      </c>
      <c r="Q59" s="30"/>
      <c r="R59" s="30"/>
      <c r="S59" s="30"/>
      <c r="T59" s="30"/>
      <c r="U59" s="30"/>
      <c r="V59" s="144">
        <v>147741727.6133334</v>
      </c>
      <c r="W59" s="140" t="s">
        <v>1117</v>
      </c>
      <c r="X59" s="307">
        <v>42485</v>
      </c>
      <c r="Y59" s="465">
        <v>42493</v>
      </c>
      <c r="Z59" s="103">
        <f t="shared" si="16"/>
        <v>147741727.6133334</v>
      </c>
      <c r="AA59" s="288">
        <v>1</v>
      </c>
      <c r="AB59" s="426">
        <f t="shared" si="18"/>
        <v>-147741727.6133334</v>
      </c>
      <c r="AC59" s="32"/>
      <c r="AD59" s="38"/>
      <c r="AE59" s="38"/>
      <c r="AF59" s="38"/>
      <c r="AG59" s="38"/>
      <c r="AH59" s="38"/>
      <c r="AI59" s="38"/>
      <c r="AJ59" s="38"/>
      <c r="AK59" s="40"/>
    </row>
    <row r="60" spans="1:37" ht="31.5">
      <c r="A60" s="291"/>
      <c r="B60" s="357"/>
      <c r="C60" s="360"/>
      <c r="D60" s="362"/>
      <c r="E60" s="364"/>
      <c r="F60" s="364"/>
      <c r="G60" s="155"/>
      <c r="H60" s="26"/>
      <c r="I60" s="26"/>
      <c r="J60" s="126"/>
      <c r="K60" s="500" t="s">
        <v>846</v>
      </c>
      <c r="L60" s="71" t="s">
        <v>794</v>
      </c>
      <c r="M60" s="467" t="s">
        <v>1265</v>
      </c>
      <c r="N60" s="464"/>
      <c r="O60" s="497">
        <v>169797789.26595467</v>
      </c>
      <c r="P60" s="498">
        <v>169797789.26595467</v>
      </c>
      <c r="Q60" s="30"/>
      <c r="R60" s="30"/>
      <c r="S60" s="30"/>
      <c r="T60" s="30"/>
      <c r="U60" s="30"/>
      <c r="V60" s="144">
        <v>169797789.26595467</v>
      </c>
      <c r="W60" s="140" t="s">
        <v>1117</v>
      </c>
      <c r="X60" s="307">
        <v>42485</v>
      </c>
      <c r="Y60" s="465">
        <v>42493</v>
      </c>
      <c r="Z60" s="103">
        <f t="shared" si="16"/>
        <v>169797789.26595467</v>
      </c>
      <c r="AA60" s="288">
        <v>1</v>
      </c>
      <c r="AB60" s="426">
        <f t="shared" si="18"/>
        <v>-169797789.26595467</v>
      </c>
      <c r="AC60" s="32"/>
      <c r="AD60" s="38"/>
      <c r="AE60" s="38"/>
      <c r="AF60" s="38"/>
      <c r="AG60" s="38"/>
      <c r="AH60" s="38"/>
      <c r="AI60" s="38"/>
      <c r="AJ60" s="38"/>
      <c r="AK60" s="40"/>
    </row>
    <row r="61" spans="1:37" ht="47.25">
      <c r="A61" s="291"/>
      <c r="B61" s="357"/>
      <c r="C61" s="360"/>
      <c r="D61" s="362"/>
      <c r="E61" s="364"/>
      <c r="F61" s="364"/>
      <c r="G61" s="155"/>
      <c r="H61" s="26"/>
      <c r="I61" s="26"/>
      <c r="J61" s="126"/>
      <c r="K61" s="71" t="s">
        <v>793</v>
      </c>
      <c r="L61" s="71" t="s">
        <v>794</v>
      </c>
      <c r="M61" s="130" t="s">
        <v>1699</v>
      </c>
      <c r="N61" s="464"/>
      <c r="O61" s="497">
        <v>147741727.6133334</v>
      </c>
      <c r="P61" s="496">
        <v>147741727.6133334</v>
      </c>
      <c r="Q61" s="30"/>
      <c r="R61" s="30"/>
      <c r="S61" s="30"/>
      <c r="T61" s="30"/>
      <c r="U61" s="30"/>
      <c r="V61" s="144">
        <v>147741727.6133334</v>
      </c>
      <c r="W61" s="349" t="s">
        <v>1701</v>
      </c>
      <c r="X61" s="509">
        <v>42522</v>
      </c>
      <c r="Y61" s="509">
        <v>42528</v>
      </c>
      <c r="Z61" s="103">
        <f t="shared" si="16"/>
        <v>147741727.6133334</v>
      </c>
      <c r="AA61" s="288">
        <v>1</v>
      </c>
      <c r="AB61" s="426">
        <f t="shared" si="18"/>
        <v>-147741727.6133334</v>
      </c>
      <c r="AC61" s="32"/>
      <c r="AD61" s="38"/>
      <c r="AE61" s="38"/>
      <c r="AF61" s="38"/>
      <c r="AG61" s="38"/>
      <c r="AH61" s="38"/>
      <c r="AI61" s="38"/>
      <c r="AJ61" s="38"/>
      <c r="AK61" s="40"/>
    </row>
    <row r="62" spans="1:37" ht="31.5">
      <c r="A62" s="291"/>
      <c r="B62" s="357"/>
      <c r="C62" s="360"/>
      <c r="D62" s="362"/>
      <c r="E62" s="364"/>
      <c r="F62" s="364"/>
      <c r="G62" s="155"/>
      <c r="H62" s="26"/>
      <c r="I62" s="26"/>
      <c r="J62" s="126"/>
      <c r="K62" s="500" t="s">
        <v>846</v>
      </c>
      <c r="L62" s="71" t="s">
        <v>794</v>
      </c>
      <c r="M62" s="467" t="s">
        <v>1700</v>
      </c>
      <c r="N62" s="464"/>
      <c r="O62" s="497">
        <v>169797789.26595467</v>
      </c>
      <c r="P62" s="498">
        <v>169797789.26595467</v>
      </c>
      <c r="Q62" s="30"/>
      <c r="R62" s="30"/>
      <c r="S62" s="30"/>
      <c r="T62" s="30"/>
      <c r="U62" s="30"/>
      <c r="V62" s="144">
        <v>169797789.26595467</v>
      </c>
      <c r="W62" s="349" t="s">
        <v>1701</v>
      </c>
      <c r="X62" s="509">
        <v>42522</v>
      </c>
      <c r="Y62" s="509">
        <v>42528</v>
      </c>
      <c r="Z62" s="103">
        <f t="shared" si="16"/>
        <v>169797789.26595467</v>
      </c>
      <c r="AA62" s="288">
        <v>1</v>
      </c>
      <c r="AB62" s="426">
        <f t="shared" si="18"/>
        <v>-169797789.26595467</v>
      </c>
      <c r="AC62" s="32"/>
      <c r="AD62" s="38"/>
      <c r="AE62" s="38"/>
      <c r="AF62" s="38"/>
      <c r="AG62" s="38"/>
      <c r="AH62" s="38"/>
      <c r="AI62" s="38"/>
      <c r="AJ62" s="38"/>
      <c r="AK62" s="40"/>
    </row>
    <row r="63" spans="1:37" ht="47.25">
      <c r="A63" s="291"/>
      <c r="B63" s="357"/>
      <c r="C63" s="360"/>
      <c r="D63" s="362"/>
      <c r="E63" s="364"/>
      <c r="F63" s="364"/>
      <c r="G63" s="155"/>
      <c r="H63" s="26"/>
      <c r="I63" s="26"/>
      <c r="J63" s="126"/>
      <c r="K63" s="71" t="s">
        <v>793</v>
      </c>
      <c r="L63" s="71" t="s">
        <v>794</v>
      </c>
      <c r="M63" s="130" t="s">
        <v>1717</v>
      </c>
      <c r="N63" s="464"/>
      <c r="O63" s="447">
        <v>155309923</v>
      </c>
      <c r="P63" s="496">
        <f>N63+O63</f>
        <v>155309923</v>
      </c>
      <c r="Q63" s="30"/>
      <c r="R63" s="30"/>
      <c r="S63" s="30"/>
      <c r="T63" s="30"/>
      <c r="U63" s="30"/>
      <c r="V63" s="144">
        <f>P63</f>
        <v>155309923</v>
      </c>
      <c r="W63" s="349" t="s">
        <v>1698</v>
      </c>
      <c r="X63" s="509">
        <v>42534</v>
      </c>
      <c r="Y63" s="509">
        <v>42549</v>
      </c>
      <c r="Z63" s="103">
        <f>V63</f>
        <v>155309923</v>
      </c>
      <c r="AA63" s="288">
        <v>1</v>
      </c>
      <c r="AB63" s="426">
        <f t="shared" si="18"/>
        <v>-155309923</v>
      </c>
      <c r="AC63" s="32"/>
      <c r="AD63" s="38"/>
      <c r="AE63" s="38"/>
      <c r="AF63" s="38"/>
      <c r="AG63" s="38"/>
      <c r="AH63" s="38"/>
      <c r="AI63" s="38"/>
      <c r="AJ63" s="38"/>
      <c r="AK63" s="40"/>
    </row>
    <row r="64" spans="1:37" ht="31.5">
      <c r="A64" s="291"/>
      <c r="B64" s="357"/>
      <c r="C64" s="360"/>
      <c r="D64" s="362"/>
      <c r="E64" s="364"/>
      <c r="F64" s="364"/>
      <c r="G64" s="155"/>
      <c r="H64" s="26"/>
      <c r="I64" s="26"/>
      <c r="J64" s="126"/>
      <c r="K64" s="500" t="s">
        <v>846</v>
      </c>
      <c r="L64" s="71" t="s">
        <v>794</v>
      </c>
      <c r="M64" s="467" t="s">
        <v>1716</v>
      </c>
      <c r="N64" s="464"/>
      <c r="O64" s="447">
        <v>162740165</v>
      </c>
      <c r="P64" s="498">
        <f>N64+O64</f>
        <v>162740165</v>
      </c>
      <c r="Q64" s="30"/>
      <c r="R64" s="30"/>
      <c r="S64" s="30"/>
      <c r="T64" s="30"/>
      <c r="U64" s="30"/>
      <c r="V64" s="144">
        <f>P64</f>
        <v>162740165</v>
      </c>
      <c r="W64" s="349" t="s">
        <v>1698</v>
      </c>
      <c r="X64" s="509">
        <v>42534</v>
      </c>
      <c r="Y64" s="509">
        <v>42549</v>
      </c>
      <c r="Z64" s="103">
        <f>V64</f>
        <v>162740165</v>
      </c>
      <c r="AA64" s="288">
        <v>1</v>
      </c>
      <c r="AB64" s="426">
        <f t="shared" si="18"/>
        <v>-162740165</v>
      </c>
      <c r="AC64" s="32"/>
      <c r="AD64" s="38"/>
      <c r="AE64" s="38"/>
      <c r="AF64" s="38"/>
      <c r="AG64" s="38"/>
      <c r="AH64" s="38"/>
      <c r="AI64" s="38"/>
      <c r="AJ64" s="38"/>
      <c r="AK64" s="40"/>
    </row>
    <row r="65" spans="1:37" ht="47.25">
      <c r="A65" s="291"/>
      <c r="B65" s="357"/>
      <c r="C65" s="360"/>
      <c r="D65" s="362"/>
      <c r="E65" s="364"/>
      <c r="F65" s="364"/>
      <c r="G65" s="155"/>
      <c r="H65" s="26"/>
      <c r="I65" s="26"/>
      <c r="J65" s="126"/>
      <c r="K65" s="1136" t="s">
        <v>793</v>
      </c>
      <c r="L65" s="71" t="s">
        <v>794</v>
      </c>
      <c r="M65" s="1136" t="s">
        <v>1993</v>
      </c>
      <c r="N65" s="447">
        <v>0</v>
      </c>
      <c r="O65" s="447">
        <v>155309923</v>
      </c>
      <c r="P65" s="498">
        <f>N65+O65</f>
        <v>155309923</v>
      </c>
      <c r="Q65" s="30"/>
      <c r="R65" s="30"/>
      <c r="S65" s="30"/>
      <c r="T65" s="30"/>
      <c r="U65" s="30"/>
      <c r="V65" s="144">
        <f>P65</f>
        <v>155309923</v>
      </c>
      <c r="W65" s="349" t="s">
        <v>1992</v>
      </c>
      <c r="X65" s="509">
        <v>42573</v>
      </c>
      <c r="Y65" s="509">
        <v>42579</v>
      </c>
      <c r="Z65" s="103">
        <f>V65</f>
        <v>155309923</v>
      </c>
      <c r="AA65" s="288">
        <v>1</v>
      </c>
      <c r="AB65" s="426">
        <f t="shared" si="18"/>
        <v>-155309923</v>
      </c>
      <c r="AC65" s="32"/>
      <c r="AD65" s="38"/>
      <c r="AE65" s="38"/>
      <c r="AF65" s="38"/>
      <c r="AG65" s="38"/>
      <c r="AH65" s="38"/>
      <c r="AI65" s="38"/>
      <c r="AJ65" s="38"/>
      <c r="AK65" s="40"/>
    </row>
    <row r="66" spans="1:37" ht="31.5">
      <c r="A66" s="291"/>
      <c r="B66" s="357"/>
      <c r="C66" s="360"/>
      <c r="D66" s="362"/>
      <c r="E66" s="364"/>
      <c r="F66" s="364"/>
      <c r="G66" s="155"/>
      <c r="H66" s="26"/>
      <c r="I66" s="26"/>
      <c r="J66" s="126"/>
      <c r="K66" s="1136" t="s">
        <v>846</v>
      </c>
      <c r="L66" s="71" t="s">
        <v>794</v>
      </c>
      <c r="M66" s="1136" t="s">
        <v>1994</v>
      </c>
      <c r="N66" s="447">
        <v>0</v>
      </c>
      <c r="O66" s="447">
        <v>162740165</v>
      </c>
      <c r="P66" s="498">
        <f>N66+O66</f>
        <v>162740165</v>
      </c>
      <c r="Q66" s="30"/>
      <c r="R66" s="30"/>
      <c r="S66" s="30"/>
      <c r="T66" s="30"/>
      <c r="U66" s="30"/>
      <c r="V66" s="144">
        <f>P66</f>
        <v>162740165</v>
      </c>
      <c r="W66" s="349" t="s">
        <v>1992</v>
      </c>
      <c r="X66" s="509">
        <v>42573</v>
      </c>
      <c r="Y66" s="509">
        <v>42579</v>
      </c>
      <c r="Z66" s="103">
        <f>V66</f>
        <v>162740165</v>
      </c>
      <c r="AA66" s="288">
        <v>1</v>
      </c>
      <c r="AB66" s="426">
        <f t="shared" si="18"/>
        <v>-162740165</v>
      </c>
      <c r="AC66" s="32"/>
      <c r="AD66" s="38"/>
      <c r="AE66" s="38"/>
      <c r="AF66" s="38"/>
      <c r="AG66" s="38"/>
      <c r="AH66" s="38"/>
      <c r="AI66" s="38"/>
      <c r="AJ66" s="38"/>
      <c r="AK66" s="40"/>
    </row>
    <row r="67" spans="1:37" ht="47.25">
      <c r="A67" s="291"/>
      <c r="B67" s="357"/>
      <c r="C67" s="360"/>
      <c r="D67" s="362"/>
      <c r="E67" s="364"/>
      <c r="F67" s="364"/>
      <c r="G67" s="155"/>
      <c r="H67" s="26"/>
      <c r="I67" s="26"/>
      <c r="J67" s="126"/>
      <c r="K67" s="437" t="s">
        <v>854</v>
      </c>
      <c r="L67" s="437" t="s">
        <v>853</v>
      </c>
      <c r="M67" s="463" t="s">
        <v>894</v>
      </c>
      <c r="N67" s="464"/>
      <c r="O67" s="497">
        <f>18991621*6</f>
        <v>113949726</v>
      </c>
      <c r="P67" s="498">
        <f t="shared" si="14"/>
        <v>113949726</v>
      </c>
      <c r="Q67" s="30"/>
      <c r="R67" s="30"/>
      <c r="S67" s="30"/>
      <c r="T67" s="30"/>
      <c r="U67" s="30"/>
      <c r="V67" s="144">
        <f t="shared" si="15"/>
        <v>113949726</v>
      </c>
      <c r="W67" s="140" t="s">
        <v>563</v>
      </c>
      <c r="X67" s="307"/>
      <c r="Y67" s="465">
        <v>42429</v>
      </c>
      <c r="Z67" s="466">
        <v>18991621</v>
      </c>
      <c r="AA67" s="288">
        <v>1</v>
      </c>
      <c r="AB67" s="426">
        <f t="shared" si="17"/>
        <v>-113949726</v>
      </c>
      <c r="AC67" s="32" t="s">
        <v>898</v>
      </c>
      <c r="AD67" s="38"/>
      <c r="AE67" s="38"/>
      <c r="AF67" s="38"/>
      <c r="AG67" s="38"/>
      <c r="AH67" s="38"/>
      <c r="AI67" s="38"/>
      <c r="AJ67" s="38"/>
      <c r="AK67" s="40"/>
    </row>
    <row r="68" spans="1:37">
      <c r="A68" s="291"/>
      <c r="B68" s="357"/>
      <c r="C68" s="360"/>
      <c r="D68" s="362"/>
      <c r="E68" s="364"/>
      <c r="F68" s="364"/>
      <c r="G68" s="155"/>
      <c r="H68" s="26"/>
      <c r="I68" s="26"/>
      <c r="J68" s="126"/>
      <c r="K68" s="437"/>
      <c r="L68" s="437"/>
      <c r="M68" s="463"/>
      <c r="N68" s="464"/>
      <c r="O68" s="497"/>
      <c r="P68" s="498"/>
      <c r="Q68" s="30"/>
      <c r="R68" s="30"/>
      <c r="S68" s="30"/>
      <c r="T68" s="30"/>
      <c r="U68" s="30"/>
      <c r="V68" s="144"/>
      <c r="W68" s="140" t="s">
        <v>563</v>
      </c>
      <c r="X68" s="307"/>
      <c r="Y68" s="465">
        <v>42429</v>
      </c>
      <c r="Z68" s="466">
        <v>1082597</v>
      </c>
      <c r="AA68" s="288">
        <v>1</v>
      </c>
      <c r="AB68" s="426">
        <f t="shared" si="17"/>
        <v>0</v>
      </c>
      <c r="AC68" s="32" t="s">
        <v>899</v>
      </c>
      <c r="AD68" s="38"/>
      <c r="AE68" s="38"/>
      <c r="AF68" s="38"/>
      <c r="AG68" s="38"/>
      <c r="AH68" s="38"/>
      <c r="AI68" s="38"/>
      <c r="AJ68" s="38"/>
      <c r="AK68" s="40"/>
    </row>
    <row r="69" spans="1:37">
      <c r="A69" s="291"/>
      <c r="B69" s="357"/>
      <c r="C69" s="360"/>
      <c r="D69" s="362"/>
      <c r="E69" s="364"/>
      <c r="F69" s="364"/>
      <c r="G69" s="155"/>
      <c r="H69" s="26"/>
      <c r="I69" s="26"/>
      <c r="J69" s="126"/>
      <c r="K69" s="437"/>
      <c r="L69" s="437"/>
      <c r="M69" s="463"/>
      <c r="N69" s="464"/>
      <c r="O69" s="497"/>
      <c r="P69" s="498"/>
      <c r="Q69" s="30"/>
      <c r="R69" s="30"/>
      <c r="S69" s="30"/>
      <c r="T69" s="30"/>
      <c r="U69" s="30"/>
      <c r="V69" s="144"/>
      <c r="W69" s="140" t="s">
        <v>850</v>
      </c>
      <c r="X69" s="307">
        <v>42461</v>
      </c>
      <c r="Y69" s="465">
        <v>42466</v>
      </c>
      <c r="Z69" s="466">
        <v>18991621</v>
      </c>
      <c r="AA69" s="288">
        <v>1</v>
      </c>
      <c r="AB69" s="426">
        <f t="shared" si="17"/>
        <v>0</v>
      </c>
      <c r="AC69" s="32" t="s">
        <v>957</v>
      </c>
      <c r="AD69" s="38"/>
      <c r="AE69" s="38"/>
      <c r="AF69" s="38"/>
      <c r="AG69" s="38"/>
      <c r="AH69" s="38"/>
      <c r="AI69" s="38"/>
      <c r="AJ69" s="38"/>
      <c r="AK69" s="40"/>
    </row>
    <row r="70" spans="1:37">
      <c r="A70" s="291"/>
      <c r="B70" s="357"/>
      <c r="C70" s="360"/>
      <c r="D70" s="362"/>
      <c r="E70" s="364"/>
      <c r="F70" s="364"/>
      <c r="G70" s="155"/>
      <c r="H70" s="26"/>
      <c r="I70" s="26"/>
      <c r="J70" s="126"/>
      <c r="K70" s="437"/>
      <c r="L70" s="437"/>
      <c r="M70" s="463"/>
      <c r="N70" s="464"/>
      <c r="O70" s="497"/>
      <c r="P70" s="498"/>
      <c r="Q70" s="30"/>
      <c r="R70" s="30"/>
      <c r="S70" s="30"/>
      <c r="T70" s="30"/>
      <c r="U70" s="30"/>
      <c r="V70" s="144"/>
      <c r="W70" s="140" t="s">
        <v>850</v>
      </c>
      <c r="X70" s="307">
        <v>42461</v>
      </c>
      <c r="Y70" s="465">
        <v>42466</v>
      </c>
      <c r="Z70" s="466">
        <v>18991621</v>
      </c>
      <c r="AA70" s="288">
        <v>1</v>
      </c>
      <c r="AB70" s="426">
        <f t="shared" si="17"/>
        <v>0</v>
      </c>
      <c r="AC70" s="32" t="s">
        <v>958</v>
      </c>
      <c r="AD70" s="38"/>
      <c r="AE70" s="38"/>
      <c r="AF70" s="38"/>
      <c r="AG70" s="38"/>
      <c r="AH70" s="38"/>
      <c r="AI70" s="38"/>
      <c r="AJ70" s="38"/>
      <c r="AK70" s="40"/>
    </row>
    <row r="71" spans="1:37">
      <c r="A71" s="291"/>
      <c r="B71" s="357"/>
      <c r="C71" s="360"/>
      <c r="D71" s="362"/>
      <c r="E71" s="364"/>
      <c r="F71" s="364"/>
      <c r="G71" s="155"/>
      <c r="H71" s="26"/>
      <c r="I71" s="26"/>
      <c r="J71" s="126"/>
      <c r="K71" s="437"/>
      <c r="L71" s="437"/>
      <c r="M71" s="463"/>
      <c r="N71" s="464"/>
      <c r="O71" s="497"/>
      <c r="P71" s="498"/>
      <c r="Q71" s="30"/>
      <c r="R71" s="30"/>
      <c r="S71" s="30"/>
      <c r="T71" s="30"/>
      <c r="U71" s="30"/>
      <c r="V71" s="144"/>
      <c r="W71" s="140" t="s">
        <v>1339</v>
      </c>
      <c r="X71" s="307">
        <v>42502</v>
      </c>
      <c r="Y71" s="465">
        <v>42517</v>
      </c>
      <c r="Z71" s="466">
        <v>18991621</v>
      </c>
      <c r="AA71" s="288">
        <v>1</v>
      </c>
      <c r="AB71" s="426">
        <f t="shared" si="17"/>
        <v>0</v>
      </c>
      <c r="AC71" s="32" t="s">
        <v>1340</v>
      </c>
      <c r="AD71" s="38"/>
      <c r="AE71" s="38"/>
      <c r="AF71" s="38"/>
      <c r="AG71" s="38"/>
      <c r="AH71" s="38"/>
      <c r="AI71" s="38"/>
      <c r="AJ71" s="38"/>
      <c r="AK71" s="40"/>
    </row>
    <row r="72" spans="1:37">
      <c r="A72" s="291"/>
      <c r="B72" s="357"/>
      <c r="C72" s="360"/>
      <c r="D72" s="362"/>
      <c r="E72" s="364"/>
      <c r="F72" s="364"/>
      <c r="G72" s="155"/>
      <c r="H72" s="26"/>
      <c r="I72" s="26"/>
      <c r="J72" s="126"/>
      <c r="K72" s="437"/>
      <c r="L72" s="437"/>
      <c r="M72" s="463"/>
      <c r="N72" s="464"/>
      <c r="O72" s="497"/>
      <c r="P72" s="498"/>
      <c r="Q72" s="30"/>
      <c r="R72" s="30"/>
      <c r="S72" s="30"/>
      <c r="T72" s="30"/>
      <c r="U72" s="30"/>
      <c r="V72" s="144"/>
      <c r="W72" s="140" t="s">
        <v>1476</v>
      </c>
      <c r="X72" s="307">
        <v>42516</v>
      </c>
      <c r="Y72" s="465">
        <v>42520</v>
      </c>
      <c r="Z72" s="466">
        <v>18991621</v>
      </c>
      <c r="AA72" s="288">
        <v>1</v>
      </c>
      <c r="AB72" s="426">
        <f t="shared" si="17"/>
        <v>0</v>
      </c>
      <c r="AC72" s="32" t="s">
        <v>1478</v>
      </c>
      <c r="AD72" s="38"/>
      <c r="AE72" s="38"/>
      <c r="AF72" s="38"/>
      <c r="AG72" s="38"/>
      <c r="AH72" s="38"/>
      <c r="AI72" s="38"/>
      <c r="AJ72" s="38"/>
      <c r="AK72" s="40"/>
    </row>
    <row r="73" spans="1:37">
      <c r="A73" s="291"/>
      <c r="B73" s="357"/>
      <c r="C73" s="360"/>
      <c r="D73" s="362"/>
      <c r="E73" s="364"/>
      <c r="F73" s="364"/>
      <c r="G73" s="155"/>
      <c r="H73" s="26"/>
      <c r="I73" s="26"/>
      <c r="J73" s="126"/>
      <c r="K73" s="437"/>
      <c r="L73" s="437"/>
      <c r="M73" s="463"/>
      <c r="N73" s="464"/>
      <c r="O73" s="497"/>
      <c r="P73" s="498"/>
      <c r="Q73" s="30"/>
      <c r="R73" s="30"/>
      <c r="S73" s="30"/>
      <c r="T73" s="30"/>
      <c r="U73" s="30"/>
      <c r="V73" s="144"/>
      <c r="W73" s="140" t="s">
        <v>1721</v>
      </c>
      <c r="X73" s="307">
        <v>42542</v>
      </c>
      <c r="Y73" s="465">
        <v>42549</v>
      </c>
      <c r="Z73" s="466">
        <v>18991621</v>
      </c>
      <c r="AA73" s="288">
        <v>1</v>
      </c>
      <c r="AB73" s="426"/>
      <c r="AC73" s="32" t="s">
        <v>1681</v>
      </c>
      <c r="AD73" s="38"/>
      <c r="AE73" s="38"/>
      <c r="AF73" s="38"/>
      <c r="AG73" s="38"/>
      <c r="AH73" s="38"/>
      <c r="AI73" s="38"/>
      <c r="AJ73" s="38"/>
      <c r="AK73" s="40"/>
    </row>
    <row r="74" spans="1:37">
      <c r="A74" s="291"/>
      <c r="B74" s="357"/>
      <c r="C74" s="360"/>
      <c r="D74" s="362"/>
      <c r="E74" s="364"/>
      <c r="F74" s="364"/>
      <c r="G74" s="155"/>
      <c r="H74" s="26"/>
      <c r="I74" s="26"/>
      <c r="J74" s="126"/>
      <c r="K74" s="437"/>
      <c r="L74" s="437"/>
      <c r="M74" s="463"/>
      <c r="N74" s="464"/>
      <c r="O74" s="497"/>
      <c r="P74" s="498"/>
      <c r="Q74" s="30"/>
      <c r="R74" s="30"/>
      <c r="S74" s="30"/>
      <c r="T74" s="30"/>
      <c r="U74" s="30"/>
      <c r="V74" s="144"/>
      <c r="W74" s="140" t="s">
        <v>2127</v>
      </c>
      <c r="X74" s="307">
        <v>42585</v>
      </c>
      <c r="Y74" s="465">
        <v>42586</v>
      </c>
      <c r="Z74" s="466">
        <v>18991621</v>
      </c>
      <c r="AA74" s="288">
        <v>1</v>
      </c>
      <c r="AB74" s="426"/>
      <c r="AC74" s="32" t="s">
        <v>2121</v>
      </c>
      <c r="AD74" s="38"/>
      <c r="AE74" s="38"/>
      <c r="AF74" s="38"/>
      <c r="AG74" s="38"/>
      <c r="AH74" s="38"/>
      <c r="AI74" s="38"/>
      <c r="AJ74" s="38"/>
      <c r="AK74" s="40"/>
    </row>
    <row r="75" spans="1:37" ht="47.25">
      <c r="A75" s="291"/>
      <c r="B75" s="357"/>
      <c r="C75" s="360"/>
      <c r="D75" s="362"/>
      <c r="E75" s="364"/>
      <c r="F75" s="364"/>
      <c r="G75" s="155"/>
      <c r="H75" s="26"/>
      <c r="I75" s="26"/>
      <c r="J75" s="126"/>
      <c r="K75" s="437" t="s">
        <v>855</v>
      </c>
      <c r="L75" s="437" t="s">
        <v>853</v>
      </c>
      <c r="M75" s="463" t="s">
        <v>895</v>
      </c>
      <c r="N75" s="464"/>
      <c r="O75" s="497">
        <f>28405587*6</f>
        <v>170433522</v>
      </c>
      <c r="P75" s="498">
        <f>N75+O75</f>
        <v>170433522</v>
      </c>
      <c r="Q75" s="30"/>
      <c r="R75" s="30"/>
      <c r="S75" s="30"/>
      <c r="T75" s="30"/>
      <c r="U75" s="30"/>
      <c r="V75" s="144">
        <f>P75</f>
        <v>170433522</v>
      </c>
      <c r="W75" s="140" t="s">
        <v>559</v>
      </c>
      <c r="X75" s="307"/>
      <c r="Y75" s="465">
        <v>42398</v>
      </c>
      <c r="Z75" s="466">
        <v>28405587</v>
      </c>
      <c r="AA75" s="288">
        <v>1</v>
      </c>
      <c r="AB75" s="426">
        <f t="shared" si="17"/>
        <v>-170433522</v>
      </c>
      <c r="AC75" s="32" t="s">
        <v>898</v>
      </c>
      <c r="AD75" s="38"/>
      <c r="AE75" s="38"/>
      <c r="AF75" s="38"/>
      <c r="AG75" s="38"/>
      <c r="AH75" s="38"/>
      <c r="AI75" s="38"/>
      <c r="AJ75" s="38"/>
      <c r="AK75" s="40"/>
    </row>
    <row r="76" spans="1:37">
      <c r="A76" s="291"/>
      <c r="B76" s="501"/>
      <c r="C76" s="502"/>
      <c r="D76" s="503"/>
      <c r="E76" s="504"/>
      <c r="F76" s="504"/>
      <c r="G76" s="199"/>
      <c r="H76" s="169"/>
      <c r="I76" s="169"/>
      <c r="J76" s="303"/>
      <c r="K76" s="435"/>
      <c r="L76" s="435"/>
      <c r="M76" s="691"/>
      <c r="N76" s="464"/>
      <c r="O76" s="505"/>
      <c r="P76" s="506"/>
      <c r="Q76" s="507"/>
      <c r="R76" s="507"/>
      <c r="S76" s="507"/>
      <c r="T76" s="507"/>
      <c r="U76" s="507"/>
      <c r="V76" s="295"/>
      <c r="W76" s="140" t="s">
        <v>850</v>
      </c>
      <c r="X76" s="307">
        <v>42461</v>
      </c>
      <c r="Y76" s="465">
        <v>42466</v>
      </c>
      <c r="Z76" s="103">
        <v>1182529</v>
      </c>
      <c r="AA76" s="288">
        <v>1</v>
      </c>
      <c r="AB76" s="426">
        <f t="shared" si="17"/>
        <v>0</v>
      </c>
      <c r="AC76" s="78" t="s">
        <v>959</v>
      </c>
      <c r="AD76" s="38"/>
      <c r="AE76" s="38"/>
      <c r="AF76" s="38"/>
      <c r="AG76" s="38"/>
      <c r="AH76" s="38"/>
      <c r="AI76" s="38"/>
      <c r="AJ76" s="38"/>
      <c r="AK76" s="40"/>
    </row>
    <row r="77" spans="1:37">
      <c r="A77" s="291"/>
      <c r="B77" s="501"/>
      <c r="C77" s="502"/>
      <c r="D77" s="503"/>
      <c r="E77" s="504"/>
      <c r="F77" s="504"/>
      <c r="G77" s="199"/>
      <c r="H77" s="169"/>
      <c r="I77" s="169"/>
      <c r="J77" s="303"/>
      <c r="K77" s="435"/>
      <c r="L77" s="435"/>
      <c r="M77" s="691"/>
      <c r="N77" s="464"/>
      <c r="O77" s="505"/>
      <c r="P77" s="506"/>
      <c r="Q77" s="507"/>
      <c r="R77" s="507"/>
      <c r="S77" s="507"/>
      <c r="T77" s="507"/>
      <c r="U77" s="507"/>
      <c r="V77" s="295"/>
      <c r="W77" s="140" t="s">
        <v>850</v>
      </c>
      <c r="X77" s="307">
        <v>42461</v>
      </c>
      <c r="Y77" s="465">
        <v>42466</v>
      </c>
      <c r="Z77" s="103">
        <v>1132563</v>
      </c>
      <c r="AA77" s="288">
        <v>1</v>
      </c>
      <c r="AB77" s="426">
        <f t="shared" si="17"/>
        <v>0</v>
      </c>
      <c r="AC77" s="78" t="s">
        <v>960</v>
      </c>
      <c r="AD77" s="38"/>
      <c r="AE77" s="38"/>
      <c r="AF77" s="38"/>
      <c r="AG77" s="38"/>
      <c r="AH77" s="38"/>
      <c r="AI77" s="38"/>
      <c r="AJ77" s="38"/>
      <c r="AK77" s="40"/>
    </row>
    <row r="78" spans="1:37">
      <c r="A78" s="291"/>
      <c r="B78" s="501"/>
      <c r="C78" s="502"/>
      <c r="D78" s="503"/>
      <c r="E78" s="504"/>
      <c r="F78" s="504"/>
      <c r="G78" s="199"/>
      <c r="H78" s="169"/>
      <c r="I78" s="169"/>
      <c r="J78" s="303"/>
      <c r="K78" s="435"/>
      <c r="L78" s="435"/>
      <c r="M78" s="691"/>
      <c r="N78" s="464"/>
      <c r="O78" s="505"/>
      <c r="P78" s="506"/>
      <c r="Q78" s="507"/>
      <c r="R78" s="507"/>
      <c r="S78" s="507"/>
      <c r="T78" s="507"/>
      <c r="U78" s="507"/>
      <c r="V78" s="295"/>
      <c r="W78" s="140" t="s">
        <v>961</v>
      </c>
      <c r="X78" s="508">
        <v>42468</v>
      </c>
      <c r="Y78" s="307">
        <v>42474</v>
      </c>
      <c r="Z78" s="103">
        <v>28405587</v>
      </c>
      <c r="AA78" s="288">
        <v>1</v>
      </c>
      <c r="AB78" s="426">
        <f t="shared" si="17"/>
        <v>0</v>
      </c>
      <c r="AC78" s="78" t="s">
        <v>957</v>
      </c>
      <c r="AD78" s="38"/>
      <c r="AE78" s="38"/>
      <c r="AF78" s="38"/>
      <c r="AG78" s="38"/>
      <c r="AH78" s="38"/>
      <c r="AI78" s="38"/>
      <c r="AJ78" s="38"/>
      <c r="AK78" s="40"/>
    </row>
    <row r="79" spans="1:37">
      <c r="A79" s="291"/>
      <c r="B79" s="501"/>
      <c r="C79" s="502"/>
      <c r="D79" s="503"/>
      <c r="E79" s="504"/>
      <c r="F79" s="504"/>
      <c r="G79" s="199"/>
      <c r="H79" s="169"/>
      <c r="I79" s="169"/>
      <c r="J79" s="303"/>
      <c r="K79" s="435"/>
      <c r="L79" s="435"/>
      <c r="M79" s="691"/>
      <c r="N79" s="464"/>
      <c r="O79" s="505"/>
      <c r="P79" s="506"/>
      <c r="Q79" s="507"/>
      <c r="R79" s="507"/>
      <c r="S79" s="507"/>
      <c r="T79" s="507"/>
      <c r="U79" s="507"/>
      <c r="V79" s="295"/>
      <c r="W79" s="140" t="s">
        <v>961</v>
      </c>
      <c r="X79" s="508">
        <v>42468</v>
      </c>
      <c r="Y79" s="307">
        <v>42474</v>
      </c>
      <c r="Z79" s="103">
        <v>28405587</v>
      </c>
      <c r="AA79" s="288">
        <v>1</v>
      </c>
      <c r="AB79" s="426">
        <f t="shared" si="17"/>
        <v>0</v>
      </c>
      <c r="AC79" s="78" t="s">
        <v>958</v>
      </c>
      <c r="AD79" s="38"/>
      <c r="AE79" s="38"/>
      <c r="AF79" s="38"/>
      <c r="AG79" s="38"/>
      <c r="AH79" s="38"/>
      <c r="AI79" s="38"/>
      <c r="AJ79" s="38"/>
      <c r="AK79" s="40"/>
    </row>
    <row r="80" spans="1:37">
      <c r="A80" s="291"/>
      <c r="B80" s="501"/>
      <c r="C80" s="502"/>
      <c r="D80" s="503"/>
      <c r="E80" s="504"/>
      <c r="F80" s="504"/>
      <c r="G80" s="199"/>
      <c r="H80" s="169"/>
      <c r="I80" s="169"/>
      <c r="J80" s="303"/>
      <c r="K80" s="435"/>
      <c r="L80" s="435"/>
      <c r="M80" s="691"/>
      <c r="N80" s="464"/>
      <c r="O80" s="505"/>
      <c r="P80" s="506"/>
      <c r="Q80" s="507"/>
      <c r="R80" s="507"/>
      <c r="S80" s="507"/>
      <c r="T80" s="507"/>
      <c r="U80" s="507"/>
      <c r="V80" s="295"/>
      <c r="W80" s="140" t="s">
        <v>1339</v>
      </c>
      <c r="X80" s="307">
        <v>42503</v>
      </c>
      <c r="Y80" s="307">
        <v>42517</v>
      </c>
      <c r="Z80" s="103">
        <v>28405587</v>
      </c>
      <c r="AA80" s="288">
        <v>1</v>
      </c>
      <c r="AC80" s="78" t="s">
        <v>1340</v>
      </c>
      <c r="AD80" s="38"/>
      <c r="AE80" s="38"/>
      <c r="AF80" s="38"/>
      <c r="AG80" s="38"/>
      <c r="AH80" s="38"/>
      <c r="AI80" s="38"/>
      <c r="AJ80" s="38"/>
      <c r="AK80" s="40"/>
    </row>
    <row r="81" spans="1:37">
      <c r="A81" s="291"/>
      <c r="B81" s="501"/>
      <c r="C81" s="502"/>
      <c r="D81" s="503"/>
      <c r="E81" s="504"/>
      <c r="F81" s="504"/>
      <c r="G81" s="199"/>
      <c r="H81" s="169"/>
      <c r="I81" s="169"/>
      <c r="J81" s="303"/>
      <c r="K81" s="435"/>
      <c r="L81" s="435"/>
      <c r="M81" s="691"/>
      <c r="N81" s="464"/>
      <c r="O81" s="505"/>
      <c r="P81" s="506"/>
      <c r="Q81" s="507"/>
      <c r="R81" s="507"/>
      <c r="S81" s="507"/>
      <c r="T81" s="507"/>
      <c r="U81" s="507"/>
      <c r="V81" s="295"/>
      <c r="W81" s="326" t="s">
        <v>1343</v>
      </c>
      <c r="X81" s="508">
        <v>42503</v>
      </c>
      <c r="Y81" s="307">
        <v>42510</v>
      </c>
      <c r="Z81" s="103">
        <v>1165873</v>
      </c>
      <c r="AA81" s="288">
        <v>1</v>
      </c>
      <c r="AB81" s="426">
        <f>+G80-P80</f>
        <v>0</v>
      </c>
      <c r="AC81" s="78" t="s">
        <v>1344</v>
      </c>
      <c r="AD81" s="38"/>
      <c r="AE81" s="38"/>
      <c r="AF81" s="38"/>
      <c r="AG81" s="38"/>
      <c r="AH81" s="38"/>
      <c r="AI81" s="38"/>
      <c r="AJ81" s="38"/>
      <c r="AK81" s="40"/>
    </row>
    <row r="82" spans="1:37">
      <c r="A82" s="291"/>
      <c r="B82" s="501"/>
      <c r="C82" s="502"/>
      <c r="D82" s="503"/>
      <c r="E82" s="504"/>
      <c r="F82" s="504"/>
      <c r="G82" s="199"/>
      <c r="H82" s="169"/>
      <c r="I82" s="169"/>
      <c r="J82" s="303"/>
      <c r="K82" s="435"/>
      <c r="L82" s="435"/>
      <c r="M82" s="691"/>
      <c r="N82" s="464"/>
      <c r="O82" s="505"/>
      <c r="P82" s="506"/>
      <c r="Q82" s="507"/>
      <c r="R82" s="507"/>
      <c r="S82" s="507"/>
      <c r="T82" s="507"/>
      <c r="U82" s="507"/>
      <c r="V82" s="295"/>
      <c r="W82" s="326" t="s">
        <v>1477</v>
      </c>
      <c r="X82" s="508">
        <v>42515</v>
      </c>
      <c r="Y82" s="307">
        <v>42520</v>
      </c>
      <c r="Z82" s="103">
        <v>28405587</v>
      </c>
      <c r="AA82" s="288">
        <v>1</v>
      </c>
      <c r="AB82" s="511"/>
      <c r="AC82" s="78" t="s">
        <v>1478</v>
      </c>
      <c r="AD82" s="38"/>
      <c r="AE82" s="38"/>
      <c r="AF82" s="38"/>
      <c r="AG82" s="38"/>
      <c r="AH82" s="38"/>
      <c r="AI82" s="38"/>
      <c r="AJ82" s="38"/>
      <c r="AK82" s="40"/>
    </row>
    <row r="83" spans="1:37">
      <c r="A83" s="291"/>
      <c r="B83" s="501"/>
      <c r="C83" s="502"/>
      <c r="D83" s="503"/>
      <c r="E83" s="504"/>
      <c r="F83" s="504"/>
      <c r="G83" s="199"/>
      <c r="H83" s="169"/>
      <c r="I83" s="169"/>
      <c r="J83" s="303"/>
      <c r="K83" s="435"/>
      <c r="L83" s="435"/>
      <c r="M83" s="691"/>
      <c r="N83" s="464"/>
      <c r="O83" s="505"/>
      <c r="P83" s="506"/>
      <c r="Q83" s="507"/>
      <c r="R83" s="507"/>
      <c r="S83" s="507"/>
      <c r="T83" s="507"/>
      <c r="U83" s="507"/>
      <c r="V83" s="295"/>
      <c r="W83" s="140" t="s">
        <v>1476</v>
      </c>
      <c r="X83" s="307">
        <v>42516</v>
      </c>
      <c r="Y83" s="465">
        <v>42520</v>
      </c>
      <c r="Z83" s="103">
        <v>1215839</v>
      </c>
      <c r="AA83" s="288">
        <v>1</v>
      </c>
      <c r="AB83" s="511"/>
      <c r="AC83" s="78" t="s">
        <v>1479</v>
      </c>
      <c r="AD83" s="38"/>
      <c r="AE83" s="38"/>
      <c r="AF83" s="38"/>
      <c r="AG83" s="38"/>
      <c r="AH83" s="38"/>
      <c r="AI83" s="38"/>
      <c r="AJ83" s="38"/>
      <c r="AK83" s="40"/>
    </row>
    <row r="84" spans="1:37">
      <c r="A84" s="291"/>
      <c r="B84" s="501"/>
      <c r="C84" s="502"/>
      <c r="D84" s="503"/>
      <c r="E84" s="504"/>
      <c r="F84" s="504"/>
      <c r="G84" s="199"/>
      <c r="H84" s="169"/>
      <c r="I84" s="169"/>
      <c r="J84" s="303"/>
      <c r="K84" s="435"/>
      <c r="L84" s="435"/>
      <c r="M84" s="691"/>
      <c r="N84" s="464"/>
      <c r="O84" s="505"/>
      <c r="P84" s="506"/>
      <c r="Q84" s="507"/>
      <c r="R84" s="507"/>
      <c r="S84" s="507"/>
      <c r="T84" s="507"/>
      <c r="U84" s="507"/>
      <c r="V84" s="295"/>
      <c r="W84" s="140" t="s">
        <v>1720</v>
      </c>
      <c r="X84" s="307">
        <v>42542</v>
      </c>
      <c r="Y84" s="465">
        <v>42549</v>
      </c>
      <c r="Z84" s="103">
        <v>28405587</v>
      </c>
      <c r="AA84" s="288">
        <v>1</v>
      </c>
      <c r="AB84" s="511"/>
      <c r="AC84" s="78" t="s">
        <v>1681</v>
      </c>
      <c r="AD84" s="38"/>
      <c r="AE84" s="38"/>
      <c r="AF84" s="38"/>
      <c r="AG84" s="38"/>
      <c r="AH84" s="38"/>
      <c r="AI84" s="38"/>
      <c r="AJ84" s="38"/>
      <c r="AK84" s="40"/>
    </row>
    <row r="85" spans="1:37">
      <c r="A85" s="291"/>
      <c r="B85" s="501"/>
      <c r="C85" s="502"/>
      <c r="D85" s="503"/>
      <c r="E85" s="504"/>
      <c r="F85" s="504"/>
      <c r="G85" s="199"/>
      <c r="H85" s="169"/>
      <c r="I85" s="169"/>
      <c r="J85" s="303"/>
      <c r="K85" s="435"/>
      <c r="L85" s="435"/>
      <c r="M85" s="691"/>
      <c r="N85" s="464"/>
      <c r="O85" s="505"/>
      <c r="P85" s="506"/>
      <c r="Q85" s="507"/>
      <c r="R85" s="507"/>
      <c r="S85" s="507"/>
      <c r="T85" s="507"/>
      <c r="U85" s="507"/>
      <c r="V85" s="295"/>
      <c r="W85" s="140" t="s">
        <v>1938</v>
      </c>
      <c r="X85" s="508">
        <v>42545</v>
      </c>
      <c r="Y85" s="465">
        <v>42563</v>
      </c>
      <c r="Z85" s="103">
        <v>899765</v>
      </c>
      <c r="AA85" s="288">
        <v>1</v>
      </c>
      <c r="AB85" s="511"/>
      <c r="AC85" s="78" t="s">
        <v>1995</v>
      </c>
      <c r="AD85" s="38"/>
      <c r="AE85" s="38"/>
      <c r="AF85" s="38"/>
      <c r="AG85" s="38"/>
      <c r="AH85" s="38"/>
      <c r="AI85" s="38"/>
      <c r="AJ85" s="38"/>
      <c r="AK85" s="40"/>
    </row>
    <row r="86" spans="1:37">
      <c r="A86" s="291"/>
      <c r="B86" s="501"/>
      <c r="C86" s="502"/>
      <c r="D86" s="503"/>
      <c r="E86" s="504"/>
      <c r="F86" s="504"/>
      <c r="G86" s="199"/>
      <c r="H86" s="169"/>
      <c r="I86" s="169"/>
      <c r="J86" s="303"/>
      <c r="K86" s="435"/>
      <c r="L86" s="435"/>
      <c r="M86" s="691"/>
      <c r="N86" s="464"/>
      <c r="O86" s="505"/>
      <c r="P86" s="506"/>
      <c r="Q86" s="507"/>
      <c r="R86" s="507"/>
      <c r="S86" s="507"/>
      <c r="T86" s="507"/>
      <c r="U86" s="507"/>
      <c r="V86" s="295"/>
      <c r="W86" s="140" t="s">
        <v>2367</v>
      </c>
      <c r="X86" s="508">
        <v>42622</v>
      </c>
      <c r="Y86" s="465">
        <v>42627</v>
      </c>
      <c r="Z86" s="103">
        <v>30337843</v>
      </c>
      <c r="AA86" s="288">
        <v>1</v>
      </c>
      <c r="AB86" s="511"/>
      <c r="AC86" s="78" t="s">
        <v>2368</v>
      </c>
      <c r="AD86" s="38"/>
      <c r="AE86" s="38"/>
      <c r="AF86" s="38"/>
      <c r="AG86" s="38"/>
      <c r="AH86" s="38"/>
      <c r="AI86" s="38"/>
      <c r="AJ86" s="38"/>
      <c r="AK86" s="40"/>
    </row>
    <row r="87" spans="1:37" ht="47.25">
      <c r="A87" s="291"/>
      <c r="B87" s="501"/>
      <c r="C87" s="502"/>
      <c r="D87" s="503"/>
      <c r="E87" s="504"/>
      <c r="F87" s="504"/>
      <c r="G87" s="199"/>
      <c r="H87" s="169"/>
      <c r="I87" s="169"/>
      <c r="J87" s="303"/>
      <c r="K87" s="435" t="s">
        <v>896</v>
      </c>
      <c r="L87" s="435" t="s">
        <v>853</v>
      </c>
      <c r="M87" s="442" t="s">
        <v>897</v>
      </c>
      <c r="N87" s="464"/>
      <c r="O87" s="505">
        <f>26204932*6</f>
        <v>157229592</v>
      </c>
      <c r="P87" s="506">
        <f>N87+O87</f>
        <v>157229592</v>
      </c>
      <c r="Q87" s="507"/>
      <c r="R87" s="507"/>
      <c r="S87" s="507"/>
      <c r="T87" s="507"/>
      <c r="U87" s="507"/>
      <c r="V87" s="295">
        <f>P87</f>
        <v>157229592</v>
      </c>
      <c r="W87" s="326" t="s">
        <v>559</v>
      </c>
      <c r="X87" s="508"/>
      <c r="Y87" s="307">
        <v>42398</v>
      </c>
      <c r="Z87" s="103">
        <v>26204932</v>
      </c>
      <c r="AA87" s="456">
        <v>1</v>
      </c>
      <c r="AB87" s="511">
        <f t="shared" si="17"/>
        <v>-157229592</v>
      </c>
      <c r="AC87" s="78" t="s">
        <v>898</v>
      </c>
      <c r="AD87" s="38"/>
      <c r="AE87" s="38"/>
      <c r="AF87" s="38"/>
      <c r="AG87" s="38"/>
      <c r="AH87" s="38"/>
      <c r="AI87" s="38"/>
      <c r="AJ87" s="38"/>
      <c r="AK87" s="40"/>
    </row>
    <row r="88" spans="1:37">
      <c r="A88" s="920"/>
      <c r="B88" s="357"/>
      <c r="C88" s="360"/>
      <c r="D88" s="362"/>
      <c r="E88" s="364"/>
      <c r="F88" s="364"/>
      <c r="G88" s="155"/>
      <c r="H88" s="26"/>
      <c r="I88" s="26"/>
      <c r="J88" s="126"/>
      <c r="K88" s="437"/>
      <c r="L88" s="437"/>
      <c r="M88" s="443"/>
      <c r="N88" s="921"/>
      <c r="O88" s="922"/>
      <c r="P88" s="498"/>
      <c r="Q88" s="36"/>
      <c r="R88" s="36"/>
      <c r="S88" s="36"/>
      <c r="T88" s="36"/>
      <c r="U88" s="36"/>
      <c r="V88" s="144"/>
      <c r="W88" s="140" t="s">
        <v>961</v>
      </c>
      <c r="X88" s="307">
        <v>42468</v>
      </c>
      <c r="Y88" s="307">
        <v>42474</v>
      </c>
      <c r="Z88" s="103">
        <v>26204932</v>
      </c>
      <c r="AA88" s="288">
        <v>1</v>
      </c>
      <c r="AB88" s="426">
        <f>+G88-P88</f>
        <v>0</v>
      </c>
      <c r="AC88" s="38" t="s">
        <v>958</v>
      </c>
      <c r="AD88" s="38"/>
      <c r="AE88" s="38"/>
      <c r="AF88" s="38"/>
      <c r="AG88" s="38"/>
      <c r="AH88" s="38"/>
      <c r="AI88" s="38"/>
      <c r="AJ88" s="38"/>
      <c r="AK88" s="40"/>
    </row>
    <row r="89" spans="1:37">
      <c r="A89" s="920"/>
      <c r="B89" s="357"/>
      <c r="C89" s="360"/>
      <c r="D89" s="362"/>
      <c r="E89" s="364"/>
      <c r="F89" s="364"/>
      <c r="G89" s="155"/>
      <c r="H89" s="26"/>
      <c r="I89" s="26"/>
      <c r="J89" s="126"/>
      <c r="K89" s="437"/>
      <c r="L89" s="437"/>
      <c r="M89" s="443"/>
      <c r="N89" s="921"/>
      <c r="O89" s="922"/>
      <c r="P89" s="498"/>
      <c r="Q89" s="36"/>
      <c r="R89" s="36"/>
      <c r="S89" s="36"/>
      <c r="T89" s="36"/>
      <c r="U89" s="36"/>
      <c r="V89" s="144"/>
      <c r="W89" s="140" t="s">
        <v>964</v>
      </c>
      <c r="X89" s="307">
        <v>42468</v>
      </c>
      <c r="Y89" s="307">
        <v>42474</v>
      </c>
      <c r="Z89" s="103">
        <v>26204932</v>
      </c>
      <c r="AA89" s="288">
        <v>1</v>
      </c>
      <c r="AB89" s="511">
        <f t="shared" si="17"/>
        <v>0</v>
      </c>
      <c r="AC89" s="38" t="s">
        <v>957</v>
      </c>
      <c r="AD89" s="38"/>
      <c r="AE89" s="38"/>
      <c r="AF89" s="38"/>
      <c r="AG89" s="38"/>
      <c r="AH89" s="38"/>
      <c r="AI89" s="38"/>
      <c r="AJ89" s="38"/>
      <c r="AK89" s="40"/>
    </row>
    <row r="90" spans="1:37">
      <c r="A90" s="920"/>
      <c r="B90" s="357"/>
      <c r="C90" s="360"/>
      <c r="D90" s="362"/>
      <c r="E90" s="364"/>
      <c r="F90" s="364"/>
      <c r="G90" s="155"/>
      <c r="H90" s="26"/>
      <c r="I90" s="26"/>
      <c r="J90" s="126"/>
      <c r="K90" s="437"/>
      <c r="L90" s="437"/>
      <c r="M90" s="443"/>
      <c r="N90" s="921"/>
      <c r="O90" s="922"/>
      <c r="P90" s="498"/>
      <c r="Q90" s="36"/>
      <c r="R90" s="36"/>
      <c r="S90" s="36"/>
      <c r="T90" s="36"/>
      <c r="U90" s="36"/>
      <c r="V90" s="144"/>
      <c r="W90" s="140" t="s">
        <v>964</v>
      </c>
      <c r="X90" s="307">
        <v>42468</v>
      </c>
      <c r="Y90" s="307">
        <v>42474</v>
      </c>
      <c r="Z90" s="103">
        <v>26204932</v>
      </c>
      <c r="AA90" s="288">
        <v>1</v>
      </c>
      <c r="AB90" s="511">
        <f t="shared" si="17"/>
        <v>0</v>
      </c>
      <c r="AC90" s="38" t="s">
        <v>958</v>
      </c>
      <c r="AD90" s="38"/>
      <c r="AE90" s="38"/>
      <c r="AF90" s="38"/>
      <c r="AG90" s="38"/>
      <c r="AH90" s="38"/>
      <c r="AI90" s="38"/>
      <c r="AJ90" s="38"/>
      <c r="AK90" s="40"/>
    </row>
    <row r="91" spans="1:37" ht="16.5" thickBot="1">
      <c r="A91" s="697"/>
      <c r="B91" s="698"/>
      <c r="C91" s="699"/>
      <c r="D91" s="700"/>
      <c r="E91" s="701"/>
      <c r="F91" s="701"/>
      <c r="G91" s="702"/>
      <c r="H91" s="703"/>
      <c r="I91" s="703"/>
      <c r="J91" s="704"/>
      <c r="K91" s="705"/>
      <c r="L91" s="705"/>
      <c r="M91" s="706"/>
      <c r="N91" s="707"/>
      <c r="O91" s="708"/>
      <c r="P91" s="709"/>
      <c r="Q91" s="710"/>
      <c r="R91" s="710"/>
      <c r="S91" s="710"/>
      <c r="T91" s="710"/>
      <c r="U91" s="710"/>
      <c r="V91" s="711"/>
      <c r="W91" s="374" t="s">
        <v>1343</v>
      </c>
      <c r="X91" s="531">
        <v>42503</v>
      </c>
      <c r="Y91" s="509">
        <v>42517</v>
      </c>
      <c r="Z91" s="510">
        <v>26204932</v>
      </c>
      <c r="AA91" s="351">
        <v>1</v>
      </c>
      <c r="AB91" s="511">
        <f t="shared" si="17"/>
        <v>0</v>
      </c>
      <c r="AC91" s="712" t="s">
        <v>1340</v>
      </c>
      <c r="AD91" s="38"/>
      <c r="AE91" s="38"/>
      <c r="AF91" s="38"/>
      <c r="AG91" s="38"/>
      <c r="AH91" s="38"/>
      <c r="AI91" s="38"/>
      <c r="AJ91" s="38"/>
      <c r="AK91" s="40"/>
    </row>
    <row r="92" spans="1:37">
      <c r="A92" s="1219"/>
      <c r="B92" s="513"/>
      <c r="C92" s="525"/>
      <c r="D92" s="526"/>
      <c r="E92" s="527"/>
      <c r="F92" s="527"/>
      <c r="G92" s="370"/>
      <c r="H92" s="240"/>
      <c r="I92" s="240"/>
      <c r="J92" s="517"/>
      <c r="K92" s="1220"/>
      <c r="L92" s="1220"/>
      <c r="M92" s="1221"/>
      <c r="N92" s="1222"/>
      <c r="O92" s="1223"/>
      <c r="P92" s="1224"/>
      <c r="Q92" s="30"/>
      <c r="R92" s="30"/>
      <c r="S92" s="30"/>
      <c r="T92" s="30"/>
      <c r="U92" s="30"/>
      <c r="V92" s="446"/>
      <c r="W92" s="140" t="s">
        <v>1477</v>
      </c>
      <c r="X92" s="307">
        <v>42515</v>
      </c>
      <c r="Y92" s="307">
        <v>42520</v>
      </c>
      <c r="Z92" s="466">
        <v>26204932</v>
      </c>
      <c r="AA92" s="288">
        <v>1</v>
      </c>
      <c r="AB92" s="511">
        <f t="shared" si="17"/>
        <v>0</v>
      </c>
      <c r="AC92" s="32" t="s">
        <v>1478</v>
      </c>
      <c r="AD92" s="38"/>
      <c r="AE92" s="38"/>
      <c r="AF92" s="38"/>
      <c r="AG92" s="38"/>
      <c r="AH92" s="38"/>
      <c r="AI92" s="38"/>
      <c r="AJ92" s="38"/>
      <c r="AK92" s="40"/>
    </row>
    <row r="93" spans="1:37">
      <c r="A93" s="920"/>
      <c r="B93" s="357"/>
      <c r="C93" s="360"/>
      <c r="D93" s="362"/>
      <c r="E93" s="364"/>
      <c r="F93" s="364"/>
      <c r="G93" s="155"/>
      <c r="H93" s="26"/>
      <c r="I93" s="26"/>
      <c r="J93" s="126"/>
      <c r="K93" s="437"/>
      <c r="L93" s="437"/>
      <c r="M93" s="443"/>
      <c r="N93" s="921"/>
      <c r="O93" s="922"/>
      <c r="P93" s="498"/>
      <c r="Q93" s="36"/>
      <c r="R93" s="36"/>
      <c r="S93" s="36"/>
      <c r="T93" s="36"/>
      <c r="U93" s="36"/>
      <c r="V93" s="144"/>
      <c r="W93" s="140" t="s">
        <v>1720</v>
      </c>
      <c r="X93" s="307">
        <v>42542</v>
      </c>
      <c r="Y93" s="1225">
        <v>42549</v>
      </c>
      <c r="Z93" s="1082">
        <v>26204932</v>
      </c>
      <c r="AA93" s="288">
        <v>1</v>
      </c>
      <c r="AB93" s="511">
        <f t="shared" si="17"/>
        <v>0</v>
      </c>
      <c r="AC93" s="38" t="s">
        <v>1681</v>
      </c>
      <c r="AD93" s="38"/>
      <c r="AE93" s="38"/>
      <c r="AF93" s="38"/>
      <c r="AG93" s="38"/>
      <c r="AH93" s="38"/>
      <c r="AI93" s="38"/>
      <c r="AJ93" s="38"/>
      <c r="AK93" s="40"/>
    </row>
    <row r="94" spans="1:37">
      <c r="A94" s="920"/>
      <c r="B94" s="357"/>
      <c r="C94" s="360"/>
      <c r="D94" s="362"/>
      <c r="E94" s="364"/>
      <c r="F94" s="364"/>
      <c r="G94" s="155"/>
      <c r="H94" s="26"/>
      <c r="I94" s="26"/>
      <c r="J94" s="126"/>
      <c r="K94" s="437"/>
      <c r="L94" s="437"/>
      <c r="M94" s="443"/>
      <c r="N94" s="921"/>
      <c r="O94" s="922"/>
      <c r="P94" s="498"/>
      <c r="Q94" s="36"/>
      <c r="R94" s="36"/>
      <c r="S94" s="36"/>
      <c r="T94" s="36"/>
      <c r="U94" s="36"/>
      <c r="V94" s="144"/>
      <c r="W94" s="140" t="s">
        <v>2125</v>
      </c>
      <c r="X94" s="1225">
        <v>42580</v>
      </c>
      <c r="Y94" s="1225">
        <v>42585</v>
      </c>
      <c r="Z94" s="1082">
        <v>26204931</v>
      </c>
      <c r="AA94" s="288">
        <v>1</v>
      </c>
      <c r="AB94" s="511">
        <f t="shared" si="17"/>
        <v>0</v>
      </c>
      <c r="AC94" s="38" t="s">
        <v>2121</v>
      </c>
      <c r="AD94" s="38"/>
      <c r="AE94" s="38"/>
      <c r="AF94" s="38"/>
      <c r="AG94" s="38"/>
      <c r="AH94" s="38"/>
      <c r="AI94" s="38"/>
      <c r="AJ94" s="38"/>
      <c r="AK94" s="40"/>
    </row>
    <row r="95" spans="1:37" ht="31.5">
      <c r="A95" s="920"/>
      <c r="B95" s="357"/>
      <c r="C95" s="360"/>
      <c r="D95" s="362"/>
      <c r="E95" s="364"/>
      <c r="F95" s="364"/>
      <c r="G95" s="155"/>
      <c r="H95" s="26"/>
      <c r="I95" s="26"/>
      <c r="J95" s="126"/>
      <c r="K95" s="437" t="s">
        <v>2231</v>
      </c>
      <c r="L95" s="71" t="s">
        <v>794</v>
      </c>
      <c r="M95" s="443" t="s">
        <v>2232</v>
      </c>
      <c r="N95" s="921"/>
      <c r="O95" s="922">
        <v>2098013117</v>
      </c>
      <c r="P95" s="506">
        <f>N95+O95</f>
        <v>2098013117</v>
      </c>
      <c r="Q95" s="507"/>
      <c r="R95" s="507"/>
      <c r="S95" s="507"/>
      <c r="T95" s="507"/>
      <c r="U95" s="507"/>
      <c r="V95" s="295">
        <f>P95</f>
        <v>2098013117</v>
      </c>
      <c r="W95" s="140" t="s">
        <v>3117</v>
      </c>
      <c r="X95" s="1225">
        <v>42689</v>
      </c>
      <c r="Y95" s="1225">
        <v>42691</v>
      </c>
      <c r="Z95" s="1082">
        <v>413328365</v>
      </c>
      <c r="AA95" s="1226"/>
      <c r="AB95" s="511">
        <f t="shared" si="17"/>
        <v>-2098013117</v>
      </c>
      <c r="AC95" s="38" t="s">
        <v>2135</v>
      </c>
      <c r="AD95" s="967"/>
      <c r="AE95" s="38"/>
      <c r="AF95" s="38"/>
      <c r="AG95" s="1435">
        <f>346935333*3</f>
        <v>1040805999</v>
      </c>
      <c r="AH95" s="1435">
        <v>346935333</v>
      </c>
      <c r="AI95" s="1435">
        <v>346935333</v>
      </c>
      <c r="AJ95" s="38"/>
      <c r="AK95" s="40"/>
    </row>
    <row r="96" spans="1:37">
      <c r="A96" s="512"/>
      <c r="B96" s="692"/>
      <c r="C96" s="1521"/>
      <c r="D96" s="1522"/>
      <c r="E96" s="1523"/>
      <c r="F96" s="1523"/>
      <c r="G96" s="345"/>
      <c r="H96" s="26"/>
      <c r="I96" s="686"/>
      <c r="J96" s="126"/>
      <c r="K96" s="1174"/>
      <c r="L96" s="894"/>
      <c r="M96" s="1524"/>
      <c r="N96" s="1525"/>
      <c r="O96" s="1526"/>
      <c r="P96" s="506"/>
      <c r="Q96" s="507"/>
      <c r="R96" s="507"/>
      <c r="S96" s="507"/>
      <c r="T96" s="507"/>
      <c r="U96" s="507"/>
      <c r="V96" s="1110"/>
      <c r="W96" s="140" t="s">
        <v>3117</v>
      </c>
      <c r="X96" s="1225">
        <v>42689</v>
      </c>
      <c r="Y96" s="1225">
        <v>42691</v>
      </c>
      <c r="Z96" s="1082">
        <v>413328365</v>
      </c>
      <c r="AA96" s="897"/>
      <c r="AB96" s="511"/>
      <c r="AC96" s="78" t="s">
        <v>2361</v>
      </c>
      <c r="AD96" s="967"/>
      <c r="AE96" s="38"/>
      <c r="AF96" s="38"/>
      <c r="AG96" s="1435"/>
      <c r="AH96" s="1435"/>
      <c r="AI96" s="1435"/>
      <c r="AJ96" s="38"/>
      <c r="AK96" s="40"/>
    </row>
    <row r="97" spans="1:39">
      <c r="A97" s="512"/>
      <c r="B97" s="692"/>
      <c r="C97" s="1521"/>
      <c r="D97" s="1522"/>
      <c r="E97" s="1523"/>
      <c r="F97" s="1523"/>
      <c r="G97" s="345"/>
      <c r="H97" s="26"/>
      <c r="I97" s="686"/>
      <c r="J97" s="126"/>
      <c r="K97" s="1174"/>
      <c r="L97" s="894"/>
      <c r="M97" s="1524"/>
      <c r="N97" s="1525"/>
      <c r="O97" s="1526"/>
      <c r="P97" s="506"/>
      <c r="Q97" s="507"/>
      <c r="R97" s="507"/>
      <c r="S97" s="507"/>
      <c r="T97" s="507"/>
      <c r="U97" s="507"/>
      <c r="V97" s="1110"/>
      <c r="W97" s="349" t="s">
        <v>3200</v>
      </c>
      <c r="X97" s="509">
        <v>42698</v>
      </c>
      <c r="Y97" s="509">
        <v>42704</v>
      </c>
      <c r="Z97" s="510">
        <v>413328365</v>
      </c>
      <c r="AA97" s="897"/>
      <c r="AB97" s="511"/>
      <c r="AC97" s="78" t="s">
        <v>2809</v>
      </c>
      <c r="AD97" s="967"/>
      <c r="AE97" s="38"/>
      <c r="AF97" s="38"/>
      <c r="AG97" s="1435"/>
      <c r="AH97" s="1435"/>
      <c r="AI97" s="1435"/>
      <c r="AJ97" s="38"/>
      <c r="AK97" s="40"/>
    </row>
    <row r="98" spans="1:39">
      <c r="A98" s="512"/>
      <c r="B98" s="692"/>
      <c r="C98" s="1521"/>
      <c r="D98" s="1522"/>
      <c r="E98" s="1523"/>
      <c r="F98" s="1523"/>
      <c r="G98" s="345"/>
      <c r="H98" s="26"/>
      <c r="I98" s="686"/>
      <c r="J98" s="126"/>
      <c r="K98" s="1174"/>
      <c r="L98" s="894"/>
      <c r="M98" s="1524"/>
      <c r="N98" s="1525"/>
      <c r="O98" s="1526"/>
      <c r="P98" s="506"/>
      <c r="Q98" s="507"/>
      <c r="R98" s="507"/>
      <c r="S98" s="507"/>
      <c r="T98" s="507"/>
      <c r="U98" s="507"/>
      <c r="V98" s="1110"/>
      <c r="W98" s="349" t="s">
        <v>3555</v>
      </c>
      <c r="X98" s="509">
        <v>42724</v>
      </c>
      <c r="Y98" s="509">
        <v>42731</v>
      </c>
      <c r="Z98" s="510">
        <v>417422904</v>
      </c>
      <c r="AA98" s="897"/>
      <c r="AB98" s="511"/>
      <c r="AC98" s="78" t="s">
        <v>3067</v>
      </c>
      <c r="AD98" s="967"/>
      <c r="AE98" s="38"/>
      <c r="AF98" s="38"/>
      <c r="AG98" s="1435"/>
      <c r="AH98" s="1435"/>
      <c r="AI98" s="1435"/>
      <c r="AJ98" s="38"/>
      <c r="AK98" s="40"/>
    </row>
    <row r="99" spans="1:39">
      <c r="A99" s="512"/>
      <c r="B99" s="692"/>
      <c r="C99" s="1521"/>
      <c r="D99" s="1522"/>
      <c r="E99" s="1523"/>
      <c r="F99" s="1523"/>
      <c r="G99" s="345"/>
      <c r="H99" s="26"/>
      <c r="I99" s="686"/>
      <c r="J99" s="126"/>
      <c r="K99" s="1174"/>
      <c r="L99" s="894"/>
      <c r="M99" s="1524"/>
      <c r="N99" s="1525"/>
      <c r="O99" s="1526"/>
      <c r="P99" s="506"/>
      <c r="Q99" s="507"/>
      <c r="R99" s="507"/>
      <c r="S99" s="507"/>
      <c r="T99" s="507"/>
      <c r="U99" s="507"/>
      <c r="V99" s="1110"/>
      <c r="W99" s="349" t="s">
        <v>3545</v>
      </c>
      <c r="X99" s="509">
        <v>42727</v>
      </c>
      <c r="Y99" s="509">
        <v>42731</v>
      </c>
      <c r="Z99" s="510">
        <v>429670654</v>
      </c>
      <c r="AA99" s="897"/>
      <c r="AB99" s="511"/>
      <c r="AC99" s="78" t="s">
        <v>3415</v>
      </c>
      <c r="AD99" s="967"/>
      <c r="AE99" s="38"/>
      <c r="AF99" s="38"/>
      <c r="AG99" s="1435"/>
      <c r="AH99" s="1435"/>
      <c r="AI99" s="1435"/>
      <c r="AJ99" s="38"/>
      <c r="AK99" s="40"/>
    </row>
    <row r="100" spans="1:39" ht="47.25">
      <c r="A100" s="512"/>
      <c r="B100" s="692"/>
      <c r="C100" s="1521"/>
      <c r="D100" s="1522"/>
      <c r="E100" s="1523"/>
      <c r="F100" s="1523"/>
      <c r="G100" s="345"/>
      <c r="H100" s="559" t="s">
        <v>2944</v>
      </c>
      <c r="I100" s="1527">
        <v>42646</v>
      </c>
      <c r="J100" s="126" t="s">
        <v>2942</v>
      </c>
      <c r="K100" s="1174" t="s">
        <v>3583</v>
      </c>
      <c r="L100" s="894" t="s">
        <v>3584</v>
      </c>
      <c r="M100" s="1524" t="s">
        <v>2943</v>
      </c>
      <c r="N100" s="1525"/>
      <c r="O100" s="1526">
        <v>136880336</v>
      </c>
      <c r="P100" s="506">
        <f>N100+O100</f>
        <v>136880336</v>
      </c>
      <c r="Q100" s="507"/>
      <c r="R100" s="507"/>
      <c r="S100" s="507"/>
      <c r="T100" s="507"/>
      <c r="U100" s="507"/>
      <c r="V100" s="1110">
        <f>P100</f>
        <v>136880336</v>
      </c>
      <c r="W100" s="349" t="s">
        <v>3555</v>
      </c>
      <c r="X100" s="509">
        <v>42724</v>
      </c>
      <c r="Y100" s="509">
        <v>42731</v>
      </c>
      <c r="Z100" s="510">
        <f>V100</f>
        <v>136880336</v>
      </c>
      <c r="AA100" s="897">
        <v>1</v>
      </c>
      <c r="AB100" s="511">
        <f t="shared" si="17"/>
        <v>-136880336</v>
      </c>
      <c r="AC100" s="78"/>
      <c r="AD100" s="967"/>
      <c r="AE100" s="38"/>
      <c r="AF100" s="38"/>
      <c r="AG100" s="1435"/>
      <c r="AH100" s="1435"/>
      <c r="AI100" s="1435"/>
      <c r="AJ100" s="38"/>
      <c r="AK100" s="40"/>
    </row>
    <row r="101" spans="1:39" ht="16.5" thickBot="1">
      <c r="A101" s="697"/>
      <c r="B101" s="698"/>
      <c r="C101" s="699"/>
      <c r="D101" s="700"/>
      <c r="E101" s="701"/>
      <c r="F101" s="701"/>
      <c r="G101" s="702"/>
      <c r="H101" s="703"/>
      <c r="I101" s="703"/>
      <c r="J101" s="704"/>
      <c r="K101" s="705"/>
      <c r="L101" s="705"/>
      <c r="M101" s="706"/>
      <c r="N101" s="707"/>
      <c r="O101" s="708"/>
      <c r="P101" s="709"/>
      <c r="Q101" s="710"/>
      <c r="R101" s="710"/>
      <c r="S101" s="710"/>
      <c r="T101" s="710"/>
      <c r="U101" s="710"/>
      <c r="V101" s="711"/>
      <c r="W101" s="349"/>
      <c r="X101" s="509"/>
      <c r="Y101" s="509"/>
      <c r="Z101" s="510"/>
      <c r="AA101" s="897"/>
      <c r="AB101" s="694"/>
      <c r="AC101" s="712"/>
      <c r="AD101" s="38"/>
      <c r="AE101" s="38"/>
      <c r="AF101" s="38"/>
      <c r="AG101" s="38"/>
      <c r="AH101" s="38"/>
      <c r="AI101" s="38"/>
      <c r="AJ101" s="38"/>
      <c r="AK101" s="40"/>
    </row>
    <row r="102" spans="1:39" s="769" customFormat="1" ht="16.5" thickBot="1">
      <c r="A102" s="1065"/>
      <c r="B102" s="1066"/>
      <c r="C102" s="1196"/>
      <c r="D102" s="1197"/>
      <c r="E102" s="1198">
        <f>SUM(E51:E101)</f>
        <v>0</v>
      </c>
      <c r="F102" s="1198">
        <f>SUM(F51:F101)</f>
        <v>5295139000</v>
      </c>
      <c r="G102" s="1198">
        <f>SUM(G51:G101)</f>
        <v>5295139000</v>
      </c>
      <c r="H102" s="1070"/>
      <c r="I102" s="1070"/>
      <c r="J102" s="1071"/>
      <c r="K102" s="1072"/>
      <c r="L102" s="1072"/>
      <c r="M102" s="1150"/>
      <c r="N102" s="1198">
        <f t="shared" ref="N102:V102" si="19">SUM(N51:N101)</f>
        <v>0</v>
      </c>
      <c r="O102" s="1198">
        <f t="shared" si="19"/>
        <v>5272054965.2453279</v>
      </c>
      <c r="P102" s="1198">
        <f t="shared" si="19"/>
        <v>5272054965.2453279</v>
      </c>
      <c r="Q102" s="1198">
        <f t="shared" si="19"/>
        <v>0</v>
      </c>
      <c r="R102" s="1198">
        <f t="shared" si="19"/>
        <v>0</v>
      </c>
      <c r="S102" s="1198">
        <f t="shared" si="19"/>
        <v>0</v>
      </c>
      <c r="T102" s="1198">
        <f t="shared" si="19"/>
        <v>0</v>
      </c>
      <c r="U102" s="1198">
        <f t="shared" si="19"/>
        <v>0</v>
      </c>
      <c r="V102" s="1198">
        <f t="shared" si="19"/>
        <v>5272054965.2453279</v>
      </c>
      <c r="W102" s="1075"/>
      <c r="X102" s="1076"/>
      <c r="Y102" s="1076"/>
      <c r="Z102" s="1198">
        <f>SUM(Z51:Z101)</f>
        <v>5369538994.2453279</v>
      </c>
      <c r="AA102" s="1075"/>
      <c r="AB102" s="1198">
        <f>SUM(AB51:AB101)</f>
        <v>23084034.754672527</v>
      </c>
      <c r="AC102" s="1077"/>
      <c r="AD102" s="38"/>
      <c r="AE102" s="38"/>
      <c r="AF102" s="38"/>
      <c r="AG102" s="38"/>
      <c r="AH102" s="38"/>
      <c r="AI102" s="38"/>
      <c r="AJ102" s="38"/>
      <c r="AK102" s="1102"/>
    </row>
    <row r="103" spans="1:39" s="538" customFormat="1">
      <c r="A103" s="539"/>
      <c r="B103" s="540"/>
      <c r="C103" s="541"/>
      <c r="D103" s="542"/>
      <c r="E103" s="543"/>
      <c r="F103" s="543"/>
      <c r="G103" s="543"/>
      <c r="H103" s="544"/>
      <c r="I103" s="544"/>
      <c r="J103" s="545"/>
      <c r="K103" s="546"/>
      <c r="L103" s="546"/>
      <c r="M103" s="547"/>
      <c r="N103" s="548"/>
      <c r="O103" s="548"/>
      <c r="P103" s="548"/>
      <c r="Q103" s="548"/>
      <c r="R103" s="548"/>
      <c r="S103" s="548"/>
      <c r="T103" s="548"/>
      <c r="U103" s="548"/>
      <c r="V103" s="548"/>
      <c r="W103" s="549"/>
      <c r="X103" s="550"/>
      <c r="Y103" s="550"/>
      <c r="Z103" s="548"/>
      <c r="AA103" s="549"/>
      <c r="AB103" s="551"/>
      <c r="AC103" s="552"/>
      <c r="AD103" s="38"/>
      <c r="AE103" s="38"/>
      <c r="AF103" s="38"/>
      <c r="AG103" s="38"/>
      <c r="AH103" s="38"/>
      <c r="AI103" s="38"/>
      <c r="AJ103" s="38"/>
      <c r="AK103" s="100"/>
    </row>
    <row r="104" spans="1:39" ht="47.25">
      <c r="A104" s="512"/>
      <c r="B104" s="513"/>
      <c r="C104" s="514" t="s">
        <v>625</v>
      </c>
      <c r="D104" s="515" t="s">
        <v>645</v>
      </c>
      <c r="E104" s="516"/>
      <c r="F104" s="516">
        <v>324000000</v>
      </c>
      <c r="G104" s="240">
        <f>E104+F104</f>
        <v>324000000</v>
      </c>
      <c r="H104" s="559" t="s">
        <v>1836</v>
      </c>
      <c r="I104" s="1105">
        <v>42549</v>
      </c>
      <c r="J104" s="126" t="s">
        <v>1825</v>
      </c>
      <c r="K104" s="77" t="s">
        <v>3524</v>
      </c>
      <c r="L104" s="518" t="s">
        <v>1737</v>
      </c>
      <c r="M104" s="519" t="s">
        <v>1826</v>
      </c>
      <c r="N104" s="520"/>
      <c r="O104" s="520">
        <v>66000000</v>
      </c>
      <c r="P104" s="29">
        <f>N104+O104</f>
        <v>66000000</v>
      </c>
      <c r="Q104" s="30"/>
      <c r="R104" s="30"/>
      <c r="S104" s="30"/>
      <c r="T104" s="30"/>
      <c r="U104" s="30"/>
      <c r="V104" s="30">
        <f>P104</f>
        <v>66000000</v>
      </c>
      <c r="W104" s="30" t="s">
        <v>3212</v>
      </c>
      <c r="X104" s="31">
        <v>42698</v>
      </c>
      <c r="Y104" s="31">
        <v>42704</v>
      </c>
      <c r="Z104" s="30">
        <v>5500000</v>
      </c>
      <c r="AA104" s="910">
        <v>1</v>
      </c>
      <c r="AB104" s="521">
        <f>+G104-P104</f>
        <v>258000000</v>
      </c>
      <c r="AC104" s="32" t="s">
        <v>2135</v>
      </c>
      <c r="AD104" s="38"/>
      <c r="AE104" s="38"/>
      <c r="AF104" s="38"/>
      <c r="AG104" s="1435">
        <f>2150000*4</f>
        <v>8600000</v>
      </c>
      <c r="AH104" s="1435">
        <v>2150000</v>
      </c>
      <c r="AI104" s="1435">
        <v>2150000</v>
      </c>
      <c r="AJ104" s="38"/>
      <c r="AK104" s="40"/>
    </row>
    <row r="105" spans="1:39">
      <c r="A105" s="512"/>
      <c r="B105" s="513"/>
      <c r="C105" s="514"/>
      <c r="D105" s="515"/>
      <c r="E105" s="516"/>
      <c r="F105" s="516"/>
      <c r="G105" s="240"/>
      <c r="H105" s="559"/>
      <c r="I105" s="1105"/>
      <c r="J105" s="126"/>
      <c r="K105" s="77"/>
      <c r="L105" s="518"/>
      <c r="M105" s="519"/>
      <c r="N105" s="520"/>
      <c r="O105" s="520"/>
      <c r="P105" s="29"/>
      <c r="Q105" s="30"/>
      <c r="R105" s="30"/>
      <c r="S105" s="30"/>
      <c r="T105" s="30"/>
      <c r="U105" s="30"/>
      <c r="V105" s="30"/>
      <c r="W105" s="30" t="s">
        <v>3212</v>
      </c>
      <c r="X105" s="31">
        <v>42698</v>
      </c>
      <c r="Y105" s="31">
        <v>42704</v>
      </c>
      <c r="Z105" s="30">
        <v>5500000</v>
      </c>
      <c r="AA105" s="910">
        <v>1</v>
      </c>
      <c r="AB105" s="521"/>
      <c r="AC105" s="32" t="s">
        <v>2361</v>
      </c>
      <c r="AD105" s="38"/>
      <c r="AE105" s="38"/>
      <c r="AF105" s="38"/>
      <c r="AG105" s="1435"/>
      <c r="AH105" s="1435"/>
      <c r="AI105" s="1435"/>
      <c r="AJ105" s="38"/>
      <c r="AK105" s="40"/>
    </row>
    <row r="106" spans="1:39">
      <c r="A106" s="512"/>
      <c r="B106" s="513"/>
      <c r="C106" s="514"/>
      <c r="D106" s="515"/>
      <c r="E106" s="516"/>
      <c r="F106" s="516"/>
      <c r="G106" s="240"/>
      <c r="H106" s="559"/>
      <c r="I106" s="1105"/>
      <c r="J106" s="126"/>
      <c r="K106" s="77"/>
      <c r="L106" s="518"/>
      <c r="M106" s="519"/>
      <c r="N106" s="520"/>
      <c r="O106" s="520"/>
      <c r="P106" s="29"/>
      <c r="Q106" s="30"/>
      <c r="R106" s="30"/>
      <c r="S106" s="30"/>
      <c r="T106" s="30"/>
      <c r="U106" s="30"/>
      <c r="V106" s="30"/>
      <c r="W106" s="30" t="s">
        <v>3212</v>
      </c>
      <c r="X106" s="31">
        <v>42698</v>
      </c>
      <c r="Y106" s="31">
        <v>42704</v>
      </c>
      <c r="Z106" s="30">
        <v>5500000</v>
      </c>
      <c r="AA106" s="910">
        <v>1</v>
      </c>
      <c r="AB106" s="521"/>
      <c r="AC106" s="32" t="s">
        <v>2809</v>
      </c>
      <c r="AD106" s="38"/>
      <c r="AE106" s="38"/>
      <c r="AF106" s="38"/>
      <c r="AG106" s="1435"/>
      <c r="AH106" s="1435"/>
      <c r="AI106" s="1435"/>
      <c r="AJ106" s="38"/>
      <c r="AK106" s="40"/>
    </row>
    <row r="107" spans="1:39">
      <c r="A107" s="512"/>
      <c r="B107" s="513"/>
      <c r="C107" s="514"/>
      <c r="D107" s="515"/>
      <c r="E107" s="516"/>
      <c r="F107" s="516"/>
      <c r="G107" s="240"/>
      <c r="H107" s="559"/>
      <c r="I107" s="1105"/>
      <c r="J107" s="126"/>
      <c r="K107" s="77"/>
      <c r="L107" s="518"/>
      <c r="M107" s="519"/>
      <c r="N107" s="520"/>
      <c r="O107" s="520"/>
      <c r="P107" s="29"/>
      <c r="Q107" s="30"/>
      <c r="R107" s="30"/>
      <c r="S107" s="30"/>
      <c r="T107" s="30"/>
      <c r="U107" s="30"/>
      <c r="V107" s="30"/>
      <c r="W107" s="30" t="s">
        <v>3212</v>
      </c>
      <c r="X107" s="31">
        <v>42698</v>
      </c>
      <c r="Y107" s="31">
        <v>42704</v>
      </c>
      <c r="Z107" s="30">
        <v>5500000</v>
      </c>
      <c r="AA107" s="910">
        <v>1</v>
      </c>
      <c r="AB107" s="521"/>
      <c r="AC107" s="32" t="s">
        <v>3067</v>
      </c>
      <c r="AD107" s="38"/>
      <c r="AE107" s="38"/>
      <c r="AF107" s="38"/>
      <c r="AG107" s="1435"/>
      <c r="AH107" s="1435"/>
      <c r="AI107" s="1435"/>
      <c r="AJ107" s="38"/>
      <c r="AK107" s="40"/>
    </row>
    <row r="108" spans="1:39">
      <c r="A108" s="512"/>
      <c r="B108" s="513"/>
      <c r="C108" s="514"/>
      <c r="D108" s="515"/>
      <c r="E108" s="516"/>
      <c r="F108" s="516"/>
      <c r="G108" s="240"/>
      <c r="H108" s="559"/>
      <c r="I108" s="1105"/>
      <c r="J108" s="126"/>
      <c r="K108" s="77"/>
      <c r="L108" s="518"/>
      <c r="M108" s="519"/>
      <c r="N108" s="520"/>
      <c r="O108" s="520"/>
      <c r="P108" s="29"/>
      <c r="Q108" s="30"/>
      <c r="R108" s="30"/>
      <c r="S108" s="30"/>
      <c r="T108" s="30"/>
      <c r="U108" s="30"/>
      <c r="V108" s="30"/>
      <c r="W108" s="366" t="s">
        <v>3455</v>
      </c>
      <c r="X108" s="1716">
        <v>42718</v>
      </c>
      <c r="Y108" s="1716">
        <v>42720</v>
      </c>
      <c r="Z108" s="30">
        <v>5500000</v>
      </c>
      <c r="AA108" s="910">
        <v>1</v>
      </c>
      <c r="AB108" s="1187"/>
      <c r="AC108" s="32" t="s">
        <v>3415</v>
      </c>
      <c r="AD108" s="38"/>
      <c r="AE108" s="38"/>
      <c r="AF108" s="38"/>
      <c r="AG108" s="1435"/>
      <c r="AH108" s="1435"/>
      <c r="AI108" s="1435"/>
      <c r="AJ108" s="38"/>
      <c r="AK108" s="40"/>
    </row>
    <row r="109" spans="1:39">
      <c r="A109" s="291"/>
      <c r="B109" s="357"/>
      <c r="C109" s="359"/>
      <c r="D109" s="361"/>
      <c r="E109" s="363"/>
      <c r="F109" s="363"/>
      <c r="G109" s="26"/>
      <c r="H109" s="26"/>
      <c r="I109" s="26"/>
      <c r="J109" s="126"/>
      <c r="K109" s="27"/>
      <c r="L109" s="27"/>
      <c r="M109" s="130"/>
      <c r="N109" s="128"/>
      <c r="O109" s="468"/>
      <c r="P109" s="29"/>
      <c r="Q109" s="30"/>
      <c r="R109" s="30"/>
      <c r="S109" s="30"/>
      <c r="T109" s="30"/>
      <c r="U109" s="30"/>
      <c r="V109" s="36"/>
      <c r="W109" s="30"/>
      <c r="X109" s="31"/>
      <c r="Y109" s="31"/>
      <c r="Z109" s="30"/>
      <c r="AA109" s="30"/>
      <c r="AB109" s="378"/>
      <c r="AC109" s="32"/>
      <c r="AD109" s="38"/>
      <c r="AE109" s="38"/>
      <c r="AF109" s="38"/>
      <c r="AG109" s="38"/>
      <c r="AH109" s="38"/>
      <c r="AI109" s="38"/>
      <c r="AJ109" s="38"/>
      <c r="AK109" s="40"/>
    </row>
    <row r="110" spans="1:39" ht="47.25">
      <c r="A110" s="291"/>
      <c r="B110" s="357"/>
      <c r="C110" s="359" t="s">
        <v>626</v>
      </c>
      <c r="D110" s="361" t="s">
        <v>646</v>
      </c>
      <c r="E110" s="363"/>
      <c r="F110" s="364">
        <v>1432992000</v>
      </c>
      <c r="G110" s="155">
        <f>E110+F110</f>
        <v>1432992000</v>
      </c>
      <c r="H110" s="559" t="s">
        <v>952</v>
      </c>
      <c r="I110" s="558">
        <v>42474</v>
      </c>
      <c r="J110" s="126" t="s">
        <v>856</v>
      </c>
      <c r="K110" s="77" t="s">
        <v>1466</v>
      </c>
      <c r="L110" s="27" t="s">
        <v>786</v>
      </c>
      <c r="M110" s="130" t="s">
        <v>857</v>
      </c>
      <c r="N110" s="128"/>
      <c r="O110" s="128">
        <v>336600000</v>
      </c>
      <c r="P110" s="29">
        <f>N110+O110</f>
        <v>336600000</v>
      </c>
      <c r="Q110" s="30"/>
      <c r="R110" s="30"/>
      <c r="S110" s="30"/>
      <c r="T110" s="1312" t="s">
        <v>2432</v>
      </c>
      <c r="U110" s="1313">
        <v>42583</v>
      </c>
      <c r="V110" s="36">
        <f>P110</f>
        <v>336600000</v>
      </c>
      <c r="W110" s="30" t="s">
        <v>1680</v>
      </c>
      <c r="X110" s="31">
        <v>42524</v>
      </c>
      <c r="Y110" s="31">
        <v>42535</v>
      </c>
      <c r="Z110" s="30">
        <v>42075000</v>
      </c>
      <c r="AA110" s="30"/>
      <c r="AB110" s="378">
        <f>+G110-P110</f>
        <v>1096392000</v>
      </c>
      <c r="AC110" s="1097" t="s">
        <v>1478</v>
      </c>
      <c r="AD110" s="38"/>
      <c r="AE110" s="38"/>
      <c r="AF110" s="38"/>
      <c r="AG110" s="38"/>
      <c r="AH110" s="38"/>
      <c r="AI110" s="38"/>
      <c r="AJ110" s="38"/>
      <c r="AK110" s="1432"/>
      <c r="AL110" s="1044">
        <f>V110/9</f>
        <v>37400000</v>
      </c>
      <c r="AM110" s="1044">
        <f>AL110*8</f>
        <v>299200000</v>
      </c>
    </row>
    <row r="111" spans="1:39">
      <c r="A111" s="291"/>
      <c r="B111" s="357"/>
      <c r="C111" s="359"/>
      <c r="D111" s="361"/>
      <c r="E111" s="363"/>
      <c r="F111" s="1096"/>
      <c r="G111" s="155"/>
      <c r="H111" s="559"/>
      <c r="I111" s="558"/>
      <c r="J111" s="126"/>
      <c r="K111" s="77"/>
      <c r="L111" s="27"/>
      <c r="M111" s="130"/>
      <c r="N111" s="128"/>
      <c r="O111" s="128"/>
      <c r="P111" s="29"/>
      <c r="Q111" s="30"/>
      <c r="R111" s="30"/>
      <c r="S111" s="30"/>
      <c r="T111" s="30"/>
      <c r="U111" s="30"/>
      <c r="V111" s="36"/>
      <c r="W111" s="30" t="s">
        <v>1680</v>
      </c>
      <c r="X111" s="31">
        <v>42524</v>
      </c>
      <c r="Y111" s="31">
        <v>42535</v>
      </c>
      <c r="Z111" s="30">
        <v>42075000</v>
      </c>
      <c r="AA111" s="30"/>
      <c r="AB111" s="378"/>
      <c r="AC111" s="1097" t="s">
        <v>1681</v>
      </c>
      <c r="AD111" s="38"/>
      <c r="AE111" s="38"/>
      <c r="AF111" s="38"/>
      <c r="AG111" s="38"/>
      <c r="AH111" s="38"/>
      <c r="AI111" s="38"/>
      <c r="AJ111" s="38"/>
      <c r="AK111" s="1432"/>
    </row>
    <row r="112" spans="1:39">
      <c r="A112" s="291"/>
      <c r="B112" s="357"/>
      <c r="C112" s="359"/>
      <c r="D112" s="361"/>
      <c r="E112" s="363"/>
      <c r="F112" s="1096"/>
      <c r="G112" s="155"/>
      <c r="H112" s="559"/>
      <c r="I112" s="558"/>
      <c r="J112" s="126"/>
      <c r="K112" s="77"/>
      <c r="L112" s="27"/>
      <c r="M112" s="130"/>
      <c r="N112" s="128"/>
      <c r="O112" s="128"/>
      <c r="P112" s="29"/>
      <c r="Q112" s="30"/>
      <c r="R112" s="30"/>
      <c r="S112" s="30"/>
      <c r="T112" s="30"/>
      <c r="U112" s="30"/>
      <c r="V112" s="36"/>
      <c r="W112" s="30" t="s">
        <v>2120</v>
      </c>
      <c r="X112" s="31">
        <v>42580</v>
      </c>
      <c r="Y112" s="31">
        <v>42585</v>
      </c>
      <c r="Z112" s="30">
        <v>42075000</v>
      </c>
      <c r="AA112" s="30"/>
      <c r="AB112" s="378"/>
      <c r="AC112" s="1097" t="s">
        <v>2121</v>
      </c>
      <c r="AD112" s="38"/>
      <c r="AE112" s="38"/>
      <c r="AF112" s="38"/>
      <c r="AG112" s="38"/>
      <c r="AH112" s="38"/>
      <c r="AI112" s="38"/>
      <c r="AJ112" s="38"/>
      <c r="AK112" s="1432"/>
    </row>
    <row r="113" spans="1:39">
      <c r="A113" s="291"/>
      <c r="B113" s="357"/>
      <c r="C113" s="359"/>
      <c r="D113" s="361"/>
      <c r="E113" s="363"/>
      <c r="F113" s="1096"/>
      <c r="G113" s="155"/>
      <c r="H113" s="559"/>
      <c r="I113" s="558"/>
      <c r="J113" s="126"/>
      <c r="K113" s="77"/>
      <c r="L113" s="27"/>
      <c r="M113" s="130"/>
      <c r="N113" s="128"/>
      <c r="O113" s="128"/>
      <c r="P113" s="29"/>
      <c r="Q113" s="30"/>
      <c r="R113" s="30"/>
      <c r="S113" s="30"/>
      <c r="T113" s="30"/>
      <c r="U113" s="30"/>
      <c r="V113" s="36"/>
      <c r="W113" s="30" t="s">
        <v>2134</v>
      </c>
      <c r="X113" s="31">
        <v>42600</v>
      </c>
      <c r="Y113" s="31">
        <v>42605</v>
      </c>
      <c r="Z113" s="30">
        <v>42075000</v>
      </c>
      <c r="AA113" s="30"/>
      <c r="AB113" s="378"/>
      <c r="AC113" s="1097" t="s">
        <v>2135</v>
      </c>
      <c r="AD113" s="38"/>
      <c r="AE113" s="38"/>
      <c r="AF113" s="38"/>
      <c r="AG113" s="38"/>
      <c r="AH113" s="38"/>
      <c r="AI113" s="38"/>
      <c r="AJ113" s="38"/>
      <c r="AK113" s="1432"/>
    </row>
    <row r="114" spans="1:39">
      <c r="A114" s="291"/>
      <c r="B114" s="357"/>
      <c r="C114" s="359"/>
      <c r="D114" s="361"/>
      <c r="E114" s="363"/>
      <c r="F114" s="1096"/>
      <c r="G114" s="155"/>
      <c r="H114" s="559"/>
      <c r="I114" s="558"/>
      <c r="J114" s="126"/>
      <c r="K114" s="77"/>
      <c r="L114" s="27"/>
      <c r="M114" s="130"/>
      <c r="N114" s="128"/>
      <c r="O114" s="128"/>
      <c r="P114" s="29"/>
      <c r="Q114" s="30"/>
      <c r="R114" s="30"/>
      <c r="S114" s="30"/>
      <c r="T114" s="30"/>
      <c r="U114" s="30"/>
      <c r="V114" s="36"/>
      <c r="W114" s="30" t="s">
        <v>2360</v>
      </c>
      <c r="X114" s="31">
        <v>42620</v>
      </c>
      <c r="Y114" s="31">
        <v>42627</v>
      </c>
      <c r="Z114" s="30">
        <v>42075000</v>
      </c>
      <c r="AA114" s="30"/>
      <c r="AB114" s="378"/>
      <c r="AC114" s="1097" t="s">
        <v>2361</v>
      </c>
      <c r="AD114" s="38"/>
      <c r="AE114" s="38"/>
      <c r="AF114" s="38"/>
      <c r="AG114" s="1435">
        <v>42075000</v>
      </c>
      <c r="AH114" s="1435">
        <v>42075000</v>
      </c>
      <c r="AI114" s="1435">
        <v>42075000</v>
      </c>
      <c r="AJ114" s="38"/>
      <c r="AK114" s="1432"/>
    </row>
    <row r="115" spans="1:39">
      <c r="A115" s="291"/>
      <c r="B115" s="357"/>
      <c r="C115" s="359"/>
      <c r="D115" s="361"/>
      <c r="E115" s="363"/>
      <c r="F115" s="1096"/>
      <c r="G115" s="155"/>
      <c r="H115" s="559"/>
      <c r="I115" s="558"/>
      <c r="J115" s="126"/>
      <c r="K115" s="77"/>
      <c r="L115" s="27"/>
      <c r="M115" s="130"/>
      <c r="N115" s="128"/>
      <c r="O115" s="128"/>
      <c r="P115" s="29"/>
      <c r="Q115" s="30"/>
      <c r="R115" s="30"/>
      <c r="S115" s="30"/>
      <c r="T115" s="30"/>
      <c r="U115" s="30"/>
      <c r="V115" s="36"/>
      <c r="W115" s="30" t="s">
        <v>2808</v>
      </c>
      <c r="X115" s="31">
        <v>42661</v>
      </c>
      <c r="Y115" s="31">
        <v>42664</v>
      </c>
      <c r="Z115" s="30">
        <v>42075000</v>
      </c>
      <c r="AA115" s="30"/>
      <c r="AB115" s="378"/>
      <c r="AC115" s="1097" t="s">
        <v>2809</v>
      </c>
      <c r="AD115" s="38"/>
      <c r="AE115" s="38"/>
      <c r="AF115" s="38"/>
      <c r="AG115" s="1435"/>
      <c r="AH115" s="1435"/>
      <c r="AI115" s="1435"/>
      <c r="AJ115" s="38"/>
      <c r="AK115" s="1432"/>
    </row>
    <row r="116" spans="1:39">
      <c r="A116" s="291"/>
      <c r="B116" s="357"/>
      <c r="C116" s="359"/>
      <c r="D116" s="361"/>
      <c r="E116" s="363"/>
      <c r="F116" s="1096"/>
      <c r="G116" s="155"/>
      <c r="H116" s="559"/>
      <c r="I116" s="558"/>
      <c r="J116" s="126"/>
      <c r="K116" s="77"/>
      <c r="L116" s="27"/>
      <c r="M116" s="130"/>
      <c r="N116" s="128"/>
      <c r="O116" s="128"/>
      <c r="P116" s="29"/>
      <c r="Q116" s="30"/>
      <c r="R116" s="30"/>
      <c r="S116" s="30"/>
      <c r="T116" s="30"/>
      <c r="U116" s="30"/>
      <c r="V116" s="36"/>
      <c r="W116" s="30" t="s">
        <v>3066</v>
      </c>
      <c r="X116" s="31">
        <v>42682</v>
      </c>
      <c r="Y116" s="31">
        <v>42685</v>
      </c>
      <c r="Z116" s="30">
        <v>42075000</v>
      </c>
      <c r="AA116" s="30"/>
      <c r="AB116" s="378"/>
      <c r="AC116" s="1097" t="s">
        <v>3067</v>
      </c>
      <c r="AD116" s="38"/>
      <c r="AE116" s="38"/>
      <c r="AF116" s="38"/>
      <c r="AG116" s="1435"/>
      <c r="AH116" s="1435"/>
      <c r="AI116" s="1435"/>
      <c r="AJ116" s="38"/>
      <c r="AK116" s="1432"/>
    </row>
    <row r="117" spans="1:39">
      <c r="A117" s="291"/>
      <c r="B117" s="357"/>
      <c r="C117" s="359"/>
      <c r="D117" s="361"/>
      <c r="E117" s="363"/>
      <c r="F117" s="1096"/>
      <c r="G117" s="155"/>
      <c r="H117" s="559"/>
      <c r="I117" s="558"/>
      <c r="J117" s="126"/>
      <c r="K117" s="77"/>
      <c r="L117" s="27"/>
      <c r="M117" s="130"/>
      <c r="N117" s="128"/>
      <c r="O117" s="128"/>
      <c r="P117" s="29"/>
      <c r="Q117" s="30"/>
      <c r="R117" s="30"/>
      <c r="S117" s="30"/>
      <c r="T117" s="30"/>
      <c r="U117" s="30"/>
      <c r="V117" s="36"/>
      <c r="W117" s="30" t="s">
        <v>3414</v>
      </c>
      <c r="X117" s="31">
        <v>42711</v>
      </c>
      <c r="Y117" s="31">
        <v>42718</v>
      </c>
      <c r="Z117" s="30">
        <v>42075000</v>
      </c>
      <c r="AA117" s="30"/>
      <c r="AB117" s="378"/>
      <c r="AC117" s="1097" t="s">
        <v>3415</v>
      </c>
      <c r="AD117" s="38"/>
      <c r="AE117" s="38"/>
      <c r="AF117" s="38"/>
      <c r="AG117" s="1435"/>
      <c r="AH117" s="1435"/>
      <c r="AI117" s="1435"/>
      <c r="AJ117" s="38"/>
      <c r="AK117" s="1432"/>
    </row>
    <row r="118" spans="1:39" ht="47.25">
      <c r="A118" s="291"/>
      <c r="B118" s="357"/>
      <c r="C118" s="359"/>
      <c r="D118" s="361"/>
      <c r="E118" s="363"/>
      <c r="F118" s="407"/>
      <c r="G118" s="26"/>
      <c r="H118" s="559" t="s">
        <v>956</v>
      </c>
      <c r="I118" s="558">
        <v>42474</v>
      </c>
      <c r="J118" s="126" t="s">
        <v>858</v>
      </c>
      <c r="K118" s="77" t="s">
        <v>1468</v>
      </c>
      <c r="L118" s="27" t="s">
        <v>786</v>
      </c>
      <c r="M118" s="130" t="s">
        <v>859</v>
      </c>
      <c r="N118" s="128"/>
      <c r="O118" s="128">
        <v>349360000</v>
      </c>
      <c r="P118" s="29">
        <f>N118+O118</f>
        <v>349360000</v>
      </c>
      <c r="Q118" s="30"/>
      <c r="R118" s="30"/>
      <c r="S118" s="30"/>
      <c r="T118" s="1312" t="s">
        <v>2433</v>
      </c>
      <c r="U118" s="1313">
        <v>42583</v>
      </c>
      <c r="V118" s="36">
        <f>P118</f>
        <v>349360000</v>
      </c>
      <c r="W118" s="30" t="s">
        <v>1680</v>
      </c>
      <c r="X118" s="31">
        <v>42524</v>
      </c>
      <c r="Y118" s="31">
        <v>42535</v>
      </c>
      <c r="Z118" s="30">
        <v>43670000</v>
      </c>
      <c r="AA118" s="30"/>
      <c r="AB118" s="378">
        <f>+G118-P118</f>
        <v>-349360000</v>
      </c>
      <c r="AC118" s="1097" t="s">
        <v>1478</v>
      </c>
      <c r="AD118" s="38"/>
      <c r="AE118" s="38"/>
      <c r="AF118" s="38"/>
      <c r="AG118" s="38"/>
      <c r="AH118" s="38"/>
      <c r="AI118" s="38"/>
      <c r="AJ118" s="38"/>
      <c r="AK118" s="1432"/>
      <c r="AL118" s="1044">
        <f>V118/9</f>
        <v>38817777.777777776</v>
      </c>
      <c r="AM118" s="1044">
        <f>AL118*8</f>
        <v>310542222.22222221</v>
      </c>
    </row>
    <row r="119" spans="1:39">
      <c r="A119" s="291"/>
      <c r="B119" s="357"/>
      <c r="C119" s="359"/>
      <c r="D119" s="361"/>
      <c r="E119" s="363"/>
      <c r="F119" s="407"/>
      <c r="G119" s="26"/>
      <c r="H119" s="559"/>
      <c r="I119" s="558"/>
      <c r="J119" s="126"/>
      <c r="K119" s="77"/>
      <c r="L119" s="27"/>
      <c r="M119" s="130"/>
      <c r="N119" s="128"/>
      <c r="O119" s="128"/>
      <c r="P119" s="29"/>
      <c r="Q119" s="30"/>
      <c r="R119" s="30"/>
      <c r="S119" s="30"/>
      <c r="T119" s="30"/>
      <c r="U119" s="30"/>
      <c r="V119" s="36"/>
      <c r="W119" s="30" t="s">
        <v>1680</v>
      </c>
      <c r="X119" s="31">
        <v>42524</v>
      </c>
      <c r="Y119" s="31">
        <v>42535</v>
      </c>
      <c r="Z119" s="30">
        <v>43670000</v>
      </c>
      <c r="AA119" s="30"/>
      <c r="AB119" s="378"/>
      <c r="AC119" s="1097" t="s">
        <v>1681</v>
      </c>
      <c r="AD119" s="38"/>
      <c r="AE119" s="38"/>
      <c r="AF119" s="38"/>
      <c r="AG119" s="38"/>
      <c r="AH119" s="38"/>
      <c r="AI119" s="38"/>
      <c r="AJ119" s="38"/>
      <c r="AK119" s="1432"/>
    </row>
    <row r="120" spans="1:39">
      <c r="A120" s="291"/>
      <c r="B120" s="357"/>
      <c r="C120" s="359"/>
      <c r="D120" s="361"/>
      <c r="E120" s="363"/>
      <c r="F120" s="407"/>
      <c r="G120" s="26"/>
      <c r="H120" s="559"/>
      <c r="I120" s="558"/>
      <c r="J120" s="126"/>
      <c r="K120" s="77"/>
      <c r="L120" s="27"/>
      <c r="M120" s="130"/>
      <c r="N120" s="128"/>
      <c r="O120" s="128"/>
      <c r="P120" s="29"/>
      <c r="Q120" s="30"/>
      <c r="R120" s="30"/>
      <c r="S120" s="30"/>
      <c r="T120" s="30"/>
      <c r="U120" s="30"/>
      <c r="V120" s="36"/>
      <c r="W120" s="30" t="s">
        <v>2120</v>
      </c>
      <c r="X120" s="31">
        <v>42580</v>
      </c>
      <c r="Y120" s="31">
        <v>42585</v>
      </c>
      <c r="Z120" s="30">
        <v>43670000</v>
      </c>
      <c r="AA120" s="30"/>
      <c r="AB120" s="378"/>
      <c r="AC120" s="1097" t="s">
        <v>2121</v>
      </c>
      <c r="AD120" s="38"/>
      <c r="AE120" s="38"/>
      <c r="AF120" s="38"/>
      <c r="AG120" s="38"/>
      <c r="AH120" s="38"/>
      <c r="AI120" s="38"/>
      <c r="AJ120" s="38"/>
      <c r="AK120" s="1432"/>
    </row>
    <row r="121" spans="1:39">
      <c r="A121" s="291"/>
      <c r="B121" s="357"/>
      <c r="C121" s="359"/>
      <c r="D121" s="361"/>
      <c r="E121" s="363"/>
      <c r="F121" s="407"/>
      <c r="G121" s="26"/>
      <c r="H121" s="559"/>
      <c r="I121" s="558"/>
      <c r="J121" s="126"/>
      <c r="K121" s="77"/>
      <c r="L121" s="27"/>
      <c r="M121" s="130"/>
      <c r="N121" s="128"/>
      <c r="O121" s="128"/>
      <c r="P121" s="29"/>
      <c r="Q121" s="30"/>
      <c r="R121" s="30"/>
      <c r="S121" s="30"/>
      <c r="T121" s="30"/>
      <c r="U121" s="30"/>
      <c r="V121" s="36"/>
      <c r="W121" s="30" t="s">
        <v>2134</v>
      </c>
      <c r="X121" s="31">
        <v>42600</v>
      </c>
      <c r="Y121" s="31">
        <v>42605</v>
      </c>
      <c r="Z121" s="30">
        <v>43670000</v>
      </c>
      <c r="AA121" s="30"/>
      <c r="AB121" s="378"/>
      <c r="AC121" s="1097" t="s">
        <v>2135</v>
      </c>
      <c r="AD121" s="38"/>
      <c r="AE121" s="38"/>
      <c r="AF121" s="38"/>
      <c r="AG121" s="38"/>
      <c r="AH121" s="38"/>
      <c r="AI121" s="38"/>
      <c r="AJ121" s="38"/>
      <c r="AK121" s="1432"/>
    </row>
    <row r="122" spans="1:39">
      <c r="A122" s="291"/>
      <c r="B122" s="357"/>
      <c r="C122" s="359"/>
      <c r="D122" s="361"/>
      <c r="E122" s="363"/>
      <c r="F122" s="407"/>
      <c r="G122" s="26"/>
      <c r="H122" s="559"/>
      <c r="I122" s="558"/>
      <c r="J122" s="126"/>
      <c r="K122" s="77"/>
      <c r="L122" s="27"/>
      <c r="M122" s="130"/>
      <c r="N122" s="128"/>
      <c r="O122" s="128"/>
      <c r="P122" s="29"/>
      <c r="Q122" s="30"/>
      <c r="R122" s="30"/>
      <c r="S122" s="30"/>
      <c r="T122" s="30"/>
      <c r="U122" s="30"/>
      <c r="V122" s="36"/>
      <c r="W122" s="30" t="s">
        <v>2360</v>
      </c>
      <c r="X122" s="31">
        <v>42620</v>
      </c>
      <c r="Y122" s="31">
        <v>42627</v>
      </c>
      <c r="Z122" s="30">
        <v>43670000</v>
      </c>
      <c r="AA122" s="30"/>
      <c r="AB122" s="378"/>
      <c r="AC122" s="1097" t="s">
        <v>2361</v>
      </c>
      <c r="AD122" s="38"/>
      <c r="AE122" s="38"/>
      <c r="AF122" s="38"/>
      <c r="AG122" s="1435">
        <v>43670000</v>
      </c>
      <c r="AH122" s="1435">
        <v>43670000</v>
      </c>
      <c r="AI122" s="1435">
        <v>43670000</v>
      </c>
      <c r="AJ122" s="38"/>
      <c r="AK122" s="1432"/>
    </row>
    <row r="123" spans="1:39">
      <c r="A123" s="291"/>
      <c r="B123" s="357"/>
      <c r="C123" s="359"/>
      <c r="D123" s="361"/>
      <c r="E123" s="363"/>
      <c r="F123" s="407"/>
      <c r="G123" s="26"/>
      <c r="H123" s="559"/>
      <c r="I123" s="558"/>
      <c r="J123" s="126"/>
      <c r="K123" s="77"/>
      <c r="L123" s="27"/>
      <c r="M123" s="130"/>
      <c r="N123" s="128"/>
      <c r="O123" s="128"/>
      <c r="P123" s="29"/>
      <c r="Q123" s="30"/>
      <c r="R123" s="30"/>
      <c r="S123" s="30"/>
      <c r="T123" s="30"/>
      <c r="U123" s="30"/>
      <c r="V123" s="36"/>
      <c r="W123" s="30" t="s">
        <v>2808</v>
      </c>
      <c r="X123" s="31">
        <v>42661</v>
      </c>
      <c r="Y123" s="31">
        <v>42664</v>
      </c>
      <c r="Z123" s="30">
        <v>43670000</v>
      </c>
      <c r="AA123" s="30"/>
      <c r="AB123" s="378"/>
      <c r="AC123" s="1097" t="s">
        <v>2809</v>
      </c>
      <c r="AD123" s="38"/>
      <c r="AE123" s="38"/>
      <c r="AF123" s="38"/>
      <c r="AG123" s="1435"/>
      <c r="AH123" s="1435"/>
      <c r="AI123" s="1435"/>
      <c r="AJ123" s="38"/>
      <c r="AK123" s="1432"/>
    </row>
    <row r="124" spans="1:39">
      <c r="A124" s="291"/>
      <c r="B124" s="357"/>
      <c r="C124" s="359"/>
      <c r="D124" s="361"/>
      <c r="E124" s="363"/>
      <c r="F124" s="407"/>
      <c r="G124" s="26"/>
      <c r="H124" s="559"/>
      <c r="I124" s="558"/>
      <c r="J124" s="126"/>
      <c r="K124" s="77"/>
      <c r="L124" s="27"/>
      <c r="M124" s="130"/>
      <c r="N124" s="128"/>
      <c r="O124" s="128"/>
      <c r="P124" s="29"/>
      <c r="Q124" s="30"/>
      <c r="R124" s="30"/>
      <c r="S124" s="30"/>
      <c r="T124" s="30"/>
      <c r="U124" s="30"/>
      <c r="V124" s="36"/>
      <c r="W124" s="30" t="s">
        <v>3066</v>
      </c>
      <c r="X124" s="31">
        <v>42682</v>
      </c>
      <c r="Y124" s="31">
        <v>42685</v>
      </c>
      <c r="Z124" s="30">
        <v>43670000</v>
      </c>
      <c r="AA124" s="30"/>
      <c r="AB124" s="378"/>
      <c r="AC124" s="1097" t="s">
        <v>3067</v>
      </c>
      <c r="AD124" s="38"/>
      <c r="AE124" s="38"/>
      <c r="AF124" s="38"/>
      <c r="AG124" s="1435"/>
      <c r="AH124" s="1435"/>
      <c r="AI124" s="1435"/>
      <c r="AJ124" s="38"/>
      <c r="AK124" s="1432"/>
    </row>
    <row r="125" spans="1:39">
      <c r="A125" s="291"/>
      <c r="B125" s="357"/>
      <c r="C125" s="359"/>
      <c r="D125" s="361"/>
      <c r="E125" s="363"/>
      <c r="F125" s="1096"/>
      <c r="G125" s="155"/>
      <c r="H125" s="559"/>
      <c r="I125" s="558"/>
      <c r="J125" s="126"/>
      <c r="K125" s="77"/>
      <c r="L125" s="27"/>
      <c r="M125" s="130"/>
      <c r="N125" s="128"/>
      <c r="O125" s="128"/>
      <c r="P125" s="29"/>
      <c r="Q125" s="30"/>
      <c r="R125" s="30"/>
      <c r="S125" s="30"/>
      <c r="T125" s="30"/>
      <c r="U125" s="30"/>
      <c r="V125" s="36"/>
      <c r="W125" s="30" t="s">
        <v>3414</v>
      </c>
      <c r="X125" s="31">
        <v>42711</v>
      </c>
      <c r="Y125" s="31">
        <v>42718</v>
      </c>
      <c r="Z125" s="30">
        <v>43670000</v>
      </c>
      <c r="AA125" s="30"/>
      <c r="AB125" s="378"/>
      <c r="AC125" s="1097" t="s">
        <v>3415</v>
      </c>
      <c r="AD125" s="38"/>
      <c r="AE125" s="38"/>
      <c r="AF125" s="38"/>
      <c r="AG125" s="1435"/>
      <c r="AH125" s="1435"/>
      <c r="AI125" s="1435"/>
      <c r="AJ125" s="38"/>
      <c r="AK125" s="1432"/>
    </row>
    <row r="126" spans="1:39" ht="47.25">
      <c r="A126" s="291"/>
      <c r="B126" s="357"/>
      <c r="C126" s="359"/>
      <c r="D126" s="361"/>
      <c r="E126" s="363"/>
      <c r="F126" s="407"/>
      <c r="G126" s="26"/>
      <c r="H126" s="559" t="s">
        <v>954</v>
      </c>
      <c r="I126" s="558">
        <v>42474</v>
      </c>
      <c r="J126" s="126" t="s">
        <v>860</v>
      </c>
      <c r="K126" s="77" t="s">
        <v>1470</v>
      </c>
      <c r="L126" s="27" t="s">
        <v>786</v>
      </c>
      <c r="M126" s="130" t="s">
        <v>861</v>
      </c>
      <c r="N126" s="128"/>
      <c r="O126" s="128">
        <v>330976800</v>
      </c>
      <c r="P126" s="29">
        <f>N126+O126</f>
        <v>330976800</v>
      </c>
      <c r="Q126" s="30"/>
      <c r="R126" s="30"/>
      <c r="S126" s="30"/>
      <c r="T126" s="1312" t="s">
        <v>2431</v>
      </c>
      <c r="U126" s="1313">
        <v>42583</v>
      </c>
      <c r="V126" s="36">
        <f>P126</f>
        <v>330976800</v>
      </c>
      <c r="W126" s="30" t="s">
        <v>1682</v>
      </c>
      <c r="X126" s="31">
        <v>42524</v>
      </c>
      <c r="Y126" s="31">
        <v>42530</v>
      </c>
      <c r="Z126" s="30">
        <v>41372100</v>
      </c>
      <c r="AA126" s="30"/>
      <c r="AB126" s="378">
        <f>+G126-P126</f>
        <v>-330976800</v>
      </c>
      <c r="AC126" s="1097" t="s">
        <v>1478</v>
      </c>
      <c r="AD126" s="38"/>
      <c r="AE126" s="38"/>
      <c r="AF126" s="38"/>
      <c r="AG126" s="38"/>
      <c r="AH126" s="38"/>
      <c r="AI126" s="38"/>
      <c r="AJ126" s="38"/>
      <c r="AK126" s="1432"/>
      <c r="AL126" s="1044">
        <f>V126/9</f>
        <v>36775200</v>
      </c>
      <c r="AM126" s="1044">
        <f>AL126*8</f>
        <v>294201600</v>
      </c>
    </row>
    <row r="127" spans="1:39">
      <c r="A127" s="291"/>
      <c r="B127" s="357"/>
      <c r="C127" s="359"/>
      <c r="D127" s="361"/>
      <c r="E127" s="363"/>
      <c r="F127" s="407"/>
      <c r="G127" s="26"/>
      <c r="H127" s="559"/>
      <c r="I127" s="558"/>
      <c r="J127" s="126"/>
      <c r="K127" s="77"/>
      <c r="L127" s="27"/>
      <c r="M127" s="130"/>
      <c r="N127" s="128"/>
      <c r="O127" s="128"/>
      <c r="P127" s="29"/>
      <c r="Q127" s="30"/>
      <c r="R127" s="30"/>
      <c r="S127" s="30"/>
      <c r="T127" s="30"/>
      <c r="U127" s="30"/>
      <c r="V127" s="36"/>
      <c r="W127" s="30" t="s">
        <v>1682</v>
      </c>
      <c r="X127" s="31">
        <v>42524</v>
      </c>
      <c r="Y127" s="31">
        <v>42530</v>
      </c>
      <c r="Z127" s="30">
        <v>41372100</v>
      </c>
      <c r="AA127" s="30"/>
      <c r="AB127" s="378"/>
      <c r="AC127" s="1097" t="s">
        <v>1681</v>
      </c>
      <c r="AD127" s="38"/>
      <c r="AE127" s="38"/>
      <c r="AF127" s="38"/>
      <c r="AG127" s="38"/>
      <c r="AH127" s="38"/>
      <c r="AI127" s="38"/>
      <c r="AJ127" s="38"/>
      <c r="AK127" s="1432"/>
    </row>
    <row r="128" spans="1:39">
      <c r="A128" s="291"/>
      <c r="B128" s="357"/>
      <c r="C128" s="359"/>
      <c r="D128" s="361"/>
      <c r="E128" s="363"/>
      <c r="F128" s="407"/>
      <c r="G128" s="26"/>
      <c r="H128" s="559"/>
      <c r="I128" s="558"/>
      <c r="J128" s="126"/>
      <c r="K128" s="77"/>
      <c r="L128" s="27"/>
      <c r="M128" s="130"/>
      <c r="N128" s="128"/>
      <c r="O128" s="128"/>
      <c r="P128" s="29"/>
      <c r="Q128" s="30"/>
      <c r="R128" s="30"/>
      <c r="S128" s="30"/>
      <c r="T128" s="30"/>
      <c r="U128" s="30"/>
      <c r="V128" s="36"/>
      <c r="W128" s="30" t="s">
        <v>2120</v>
      </c>
      <c r="X128" s="31">
        <v>42580</v>
      </c>
      <c r="Y128" s="31">
        <v>42585</v>
      </c>
      <c r="Z128" s="30">
        <v>41372100</v>
      </c>
      <c r="AA128" s="30"/>
      <c r="AB128" s="378"/>
      <c r="AC128" s="1097" t="s">
        <v>2121</v>
      </c>
      <c r="AD128" s="38"/>
      <c r="AE128" s="38"/>
      <c r="AF128" s="38"/>
      <c r="AG128" s="38"/>
      <c r="AH128" s="38"/>
      <c r="AI128" s="38"/>
      <c r="AJ128" s="38"/>
      <c r="AK128" s="1432"/>
    </row>
    <row r="129" spans="1:41">
      <c r="A129" s="291"/>
      <c r="B129" s="357"/>
      <c r="C129" s="359"/>
      <c r="D129" s="361"/>
      <c r="E129" s="363"/>
      <c r="F129" s="407"/>
      <c r="G129" s="26"/>
      <c r="H129" s="559"/>
      <c r="I129" s="558"/>
      <c r="J129" s="126"/>
      <c r="K129" s="77"/>
      <c r="L129" s="27"/>
      <c r="M129" s="130"/>
      <c r="N129" s="128"/>
      <c r="O129" s="128"/>
      <c r="P129" s="29"/>
      <c r="Q129" s="30"/>
      <c r="R129" s="30"/>
      <c r="S129" s="30"/>
      <c r="T129" s="30"/>
      <c r="U129" s="30"/>
      <c r="V129" s="36"/>
      <c r="W129" s="30" t="s">
        <v>2134</v>
      </c>
      <c r="X129" s="31">
        <v>42600</v>
      </c>
      <c r="Y129" s="31">
        <v>42605</v>
      </c>
      <c r="Z129" s="30">
        <v>41372100</v>
      </c>
      <c r="AA129" s="30"/>
      <c r="AB129" s="378"/>
      <c r="AC129" s="1097" t="s">
        <v>2135</v>
      </c>
      <c r="AD129" s="38"/>
      <c r="AE129" s="38"/>
      <c r="AF129" s="38"/>
      <c r="AG129" s="38"/>
      <c r="AH129" s="38"/>
      <c r="AI129" s="38"/>
      <c r="AJ129" s="38"/>
      <c r="AK129" s="1432"/>
    </row>
    <row r="130" spans="1:41">
      <c r="A130" s="291"/>
      <c r="B130" s="357"/>
      <c r="C130" s="359"/>
      <c r="D130" s="361"/>
      <c r="E130" s="363"/>
      <c r="F130" s="407"/>
      <c r="G130" s="26"/>
      <c r="H130" s="559"/>
      <c r="I130" s="558"/>
      <c r="J130" s="126"/>
      <c r="K130" s="77"/>
      <c r="L130" s="27"/>
      <c r="M130" s="130"/>
      <c r="N130" s="128"/>
      <c r="O130" s="128"/>
      <c r="P130" s="29"/>
      <c r="Q130" s="30"/>
      <c r="R130" s="30"/>
      <c r="S130" s="30"/>
      <c r="T130" s="30"/>
      <c r="U130" s="30"/>
      <c r="V130" s="36"/>
      <c r="W130" s="30" t="s">
        <v>2366</v>
      </c>
      <c r="X130" s="31">
        <v>42622</v>
      </c>
      <c r="Y130" s="31">
        <v>42627</v>
      </c>
      <c r="Z130" s="30">
        <v>41372100</v>
      </c>
      <c r="AA130" s="30"/>
      <c r="AB130" s="378"/>
      <c r="AC130" s="1097" t="s">
        <v>2361</v>
      </c>
      <c r="AD130" s="38"/>
      <c r="AE130" s="38"/>
      <c r="AF130" s="38"/>
      <c r="AG130" s="1435">
        <v>41372100</v>
      </c>
      <c r="AH130" s="1435">
        <v>41372100</v>
      </c>
      <c r="AI130" s="1435">
        <v>41372100</v>
      </c>
      <c r="AJ130" s="38"/>
      <c r="AK130" s="1432"/>
    </row>
    <row r="131" spans="1:41">
      <c r="A131" s="291"/>
      <c r="B131" s="357"/>
      <c r="C131" s="359"/>
      <c r="D131" s="361"/>
      <c r="E131" s="363"/>
      <c r="F131" s="407"/>
      <c r="G131" s="26"/>
      <c r="H131" s="559"/>
      <c r="I131" s="558"/>
      <c r="J131" s="126"/>
      <c r="K131" s="77"/>
      <c r="L131" s="27"/>
      <c r="M131" s="130"/>
      <c r="N131" s="128"/>
      <c r="O131" s="128"/>
      <c r="P131" s="29"/>
      <c r="Q131" s="30"/>
      <c r="R131" s="30"/>
      <c r="S131" s="30"/>
      <c r="T131" s="30"/>
      <c r="U131" s="30"/>
      <c r="V131" s="36"/>
      <c r="W131" s="30" t="s">
        <v>2808</v>
      </c>
      <c r="X131" s="31">
        <v>42661</v>
      </c>
      <c r="Y131" s="31">
        <v>42664</v>
      </c>
      <c r="Z131" s="30">
        <v>41372100</v>
      </c>
      <c r="AA131" s="30"/>
      <c r="AB131" s="378"/>
      <c r="AC131" s="1097" t="s">
        <v>2809</v>
      </c>
      <c r="AD131" s="38"/>
      <c r="AE131" s="38"/>
      <c r="AF131" s="38"/>
      <c r="AG131" s="1435"/>
      <c r="AH131" s="1435"/>
      <c r="AI131" s="1435"/>
      <c r="AJ131" s="38"/>
      <c r="AK131" s="1432"/>
    </row>
    <row r="132" spans="1:41">
      <c r="A132" s="291"/>
      <c r="B132" s="357"/>
      <c r="C132" s="359"/>
      <c r="D132" s="361"/>
      <c r="E132" s="363"/>
      <c r="F132" s="407"/>
      <c r="G132" s="26"/>
      <c r="H132" s="559"/>
      <c r="I132" s="558"/>
      <c r="J132" s="126"/>
      <c r="K132" s="77"/>
      <c r="L132" s="27"/>
      <c r="M132" s="130"/>
      <c r="N132" s="128"/>
      <c r="O132" s="128"/>
      <c r="P132" s="29"/>
      <c r="Q132" s="30"/>
      <c r="R132" s="30"/>
      <c r="S132" s="30"/>
      <c r="T132" s="30"/>
      <c r="U132" s="30"/>
      <c r="V132" s="36"/>
      <c r="W132" s="30" t="s">
        <v>3066</v>
      </c>
      <c r="X132" s="31">
        <v>42682</v>
      </c>
      <c r="Y132" s="31">
        <v>42685</v>
      </c>
      <c r="Z132" s="30">
        <v>41372100</v>
      </c>
      <c r="AA132" s="30"/>
      <c r="AB132" s="378"/>
      <c r="AC132" s="1097" t="s">
        <v>3067</v>
      </c>
      <c r="AD132" s="38"/>
      <c r="AE132" s="38"/>
      <c r="AF132" s="38"/>
      <c r="AG132" s="1435"/>
      <c r="AH132" s="1435"/>
      <c r="AI132" s="1435"/>
      <c r="AJ132" s="38"/>
      <c r="AK132" s="1432"/>
    </row>
    <row r="133" spans="1:41">
      <c r="A133" s="291"/>
      <c r="B133" s="357"/>
      <c r="C133" s="359"/>
      <c r="D133" s="361"/>
      <c r="E133" s="363"/>
      <c r="F133" s="1096"/>
      <c r="G133" s="155"/>
      <c r="H133" s="559"/>
      <c r="I133" s="558"/>
      <c r="J133" s="126"/>
      <c r="K133" s="77"/>
      <c r="L133" s="27"/>
      <c r="M133" s="130"/>
      <c r="N133" s="128"/>
      <c r="O133" s="128"/>
      <c r="P133" s="29"/>
      <c r="Q133" s="30"/>
      <c r="R133" s="30"/>
      <c r="S133" s="30"/>
      <c r="T133" s="30"/>
      <c r="U133" s="30"/>
      <c r="V133" s="36"/>
      <c r="W133" s="30" t="s">
        <v>3414</v>
      </c>
      <c r="X133" s="31">
        <v>42711</v>
      </c>
      <c r="Y133" s="31">
        <v>42718</v>
      </c>
      <c r="Z133" s="30">
        <v>41372100</v>
      </c>
      <c r="AA133" s="30"/>
      <c r="AB133" s="378"/>
      <c r="AC133" s="1097" t="s">
        <v>3415</v>
      </c>
      <c r="AD133" s="38"/>
      <c r="AE133" s="38"/>
      <c r="AF133" s="38"/>
      <c r="AG133" s="1435"/>
      <c r="AH133" s="1435"/>
      <c r="AI133" s="1435"/>
      <c r="AJ133" s="38"/>
      <c r="AK133" s="1432"/>
    </row>
    <row r="134" spans="1:41" ht="47.25">
      <c r="A134" s="291"/>
      <c r="B134" s="357"/>
      <c r="C134" s="359"/>
      <c r="D134" s="361"/>
      <c r="E134" s="363"/>
      <c r="F134" s="407"/>
      <c r="G134" s="26"/>
      <c r="H134" s="559" t="s">
        <v>955</v>
      </c>
      <c r="I134" s="558">
        <v>42474</v>
      </c>
      <c r="J134" s="126" t="s">
        <v>862</v>
      </c>
      <c r="K134" s="77" t="s">
        <v>1469</v>
      </c>
      <c r="L134" s="27" t="s">
        <v>786</v>
      </c>
      <c r="M134" s="130" t="s">
        <v>864</v>
      </c>
      <c r="N134" s="128"/>
      <c r="O134" s="36">
        <v>189129600</v>
      </c>
      <c r="P134" s="29">
        <f>N134+O134</f>
        <v>189129600</v>
      </c>
      <c r="Q134" s="30"/>
      <c r="R134" s="30"/>
      <c r="S134" s="30"/>
      <c r="T134" s="1312" t="s">
        <v>2434</v>
      </c>
      <c r="U134" s="1313">
        <v>42583</v>
      </c>
      <c r="V134" s="36">
        <f>P134</f>
        <v>189129600</v>
      </c>
      <c r="W134" s="30" t="s">
        <v>1682</v>
      </c>
      <c r="X134" s="31">
        <v>42524</v>
      </c>
      <c r="Y134" s="31">
        <v>42530</v>
      </c>
      <c r="Z134" s="30">
        <v>23641200</v>
      </c>
      <c r="AA134" s="30"/>
      <c r="AB134" s="378">
        <f>+G134-P134</f>
        <v>-189129600</v>
      </c>
      <c r="AC134" s="1097" t="s">
        <v>1478</v>
      </c>
      <c r="AD134" s="38"/>
      <c r="AE134" s="38"/>
      <c r="AF134" s="38"/>
      <c r="AG134" s="38"/>
      <c r="AH134" s="38"/>
      <c r="AI134" s="38"/>
      <c r="AJ134" s="38"/>
      <c r="AK134" s="1432"/>
      <c r="AL134" s="1044">
        <f>O134/9</f>
        <v>21014400</v>
      </c>
      <c r="AM134" s="1044">
        <f>AL134*8</f>
        <v>168115200</v>
      </c>
    </row>
    <row r="135" spans="1:41">
      <c r="A135" s="291"/>
      <c r="B135" s="357"/>
      <c r="C135" s="359"/>
      <c r="D135" s="361"/>
      <c r="E135" s="363"/>
      <c r="F135" s="407"/>
      <c r="G135" s="26"/>
      <c r="H135" s="559"/>
      <c r="I135" s="558"/>
      <c r="J135" s="126"/>
      <c r="K135" s="77"/>
      <c r="L135" s="27"/>
      <c r="M135" s="130"/>
      <c r="N135" s="128"/>
      <c r="O135" s="172"/>
      <c r="P135" s="29"/>
      <c r="Q135" s="30"/>
      <c r="R135" s="30"/>
      <c r="S135" s="30"/>
      <c r="T135" s="30"/>
      <c r="U135" s="30"/>
      <c r="V135" s="36"/>
      <c r="W135" s="30" t="s">
        <v>1682</v>
      </c>
      <c r="X135" s="31">
        <v>42524</v>
      </c>
      <c r="Y135" s="31">
        <v>42530</v>
      </c>
      <c r="Z135" s="30">
        <v>23641200</v>
      </c>
      <c r="AA135" s="30"/>
      <c r="AB135" s="378"/>
      <c r="AC135" s="1097" t="s">
        <v>1681</v>
      </c>
      <c r="AD135" s="38"/>
      <c r="AE135" s="38"/>
      <c r="AF135" s="38"/>
      <c r="AG135" s="38"/>
      <c r="AH135" s="38"/>
      <c r="AI135" s="38"/>
      <c r="AJ135" s="38"/>
      <c r="AK135" s="1432"/>
    </row>
    <row r="136" spans="1:41">
      <c r="A136" s="291"/>
      <c r="B136" s="357"/>
      <c r="C136" s="359"/>
      <c r="D136" s="361"/>
      <c r="E136" s="363"/>
      <c r="F136" s="407"/>
      <c r="G136" s="26"/>
      <c r="H136" s="559"/>
      <c r="I136" s="558"/>
      <c r="J136" s="126"/>
      <c r="K136" s="77"/>
      <c r="L136" s="27"/>
      <c r="M136" s="130"/>
      <c r="N136" s="128"/>
      <c r="O136" s="172"/>
      <c r="P136" s="29"/>
      <c r="Q136" s="30"/>
      <c r="R136" s="30"/>
      <c r="S136" s="30"/>
      <c r="T136" s="30"/>
      <c r="U136" s="30"/>
      <c r="V136" s="36"/>
      <c r="W136" s="30" t="s">
        <v>2122</v>
      </c>
      <c r="X136" s="31">
        <v>42585</v>
      </c>
      <c r="Y136" s="31">
        <v>42586</v>
      </c>
      <c r="Z136" s="30">
        <v>23641200</v>
      </c>
      <c r="AA136" s="30"/>
      <c r="AB136" s="378"/>
      <c r="AC136" s="1097" t="s">
        <v>2121</v>
      </c>
      <c r="AD136" s="38"/>
      <c r="AE136" s="38"/>
      <c r="AF136" s="38"/>
      <c r="AG136" s="38"/>
      <c r="AH136" s="38"/>
      <c r="AI136" s="38"/>
      <c r="AJ136" s="38"/>
      <c r="AK136" s="1432"/>
    </row>
    <row r="137" spans="1:41">
      <c r="A137" s="291"/>
      <c r="B137" s="357"/>
      <c r="C137" s="359"/>
      <c r="D137" s="361"/>
      <c r="E137" s="363"/>
      <c r="F137" s="407"/>
      <c r="G137" s="26"/>
      <c r="H137" s="559"/>
      <c r="I137" s="558"/>
      <c r="J137" s="126"/>
      <c r="K137" s="77"/>
      <c r="L137" s="27"/>
      <c r="M137" s="130"/>
      <c r="N137" s="128"/>
      <c r="O137" s="172"/>
      <c r="P137" s="29"/>
      <c r="Q137" s="30"/>
      <c r="R137" s="30"/>
      <c r="S137" s="30"/>
      <c r="T137" s="30"/>
      <c r="U137" s="30"/>
      <c r="V137" s="36"/>
      <c r="W137" s="30" t="s">
        <v>2262</v>
      </c>
      <c r="X137" s="31">
        <v>42608</v>
      </c>
      <c r="Y137" s="31">
        <v>42615</v>
      </c>
      <c r="Z137" s="30">
        <v>23641200</v>
      </c>
      <c r="AA137" s="30"/>
      <c r="AB137" s="378"/>
      <c r="AC137" s="1097" t="s">
        <v>2135</v>
      </c>
      <c r="AD137" s="38"/>
      <c r="AE137" s="38"/>
      <c r="AF137" s="38"/>
      <c r="AG137" s="38"/>
      <c r="AH137" s="38"/>
      <c r="AI137" s="38"/>
      <c r="AJ137" s="38"/>
      <c r="AK137" s="1432"/>
    </row>
    <row r="138" spans="1:41">
      <c r="A138" s="291"/>
      <c r="B138" s="357"/>
      <c r="C138" s="359"/>
      <c r="D138" s="361"/>
      <c r="E138" s="363"/>
      <c r="F138" s="407"/>
      <c r="G138" s="26"/>
      <c r="H138" s="559"/>
      <c r="I138" s="558"/>
      <c r="J138" s="126"/>
      <c r="K138" s="77"/>
      <c r="L138" s="27"/>
      <c r="M138" s="130"/>
      <c r="N138" s="128"/>
      <c r="O138" s="172"/>
      <c r="P138" s="29"/>
      <c r="Q138" s="30"/>
      <c r="R138" s="30"/>
      <c r="S138" s="30"/>
      <c r="T138" s="30"/>
      <c r="U138" s="30"/>
      <c r="V138" s="36"/>
      <c r="W138" s="30" t="s">
        <v>2365</v>
      </c>
      <c r="X138" s="31">
        <v>42620</v>
      </c>
      <c r="Y138" s="31">
        <v>42627</v>
      </c>
      <c r="Z138" s="30">
        <v>23641200</v>
      </c>
      <c r="AA138" s="30"/>
      <c r="AB138" s="378"/>
      <c r="AC138" s="1097" t="s">
        <v>2361</v>
      </c>
      <c r="AD138" s="38"/>
      <c r="AE138" s="38"/>
      <c r="AF138" s="38"/>
      <c r="AG138" s="1435">
        <v>23641200</v>
      </c>
      <c r="AH138" s="1435">
        <v>23641200</v>
      </c>
      <c r="AI138" s="1435">
        <v>23641200</v>
      </c>
      <c r="AJ138" s="38"/>
      <c r="AK138" s="1432"/>
    </row>
    <row r="139" spans="1:41">
      <c r="A139" s="291"/>
      <c r="B139" s="357"/>
      <c r="C139" s="359"/>
      <c r="D139" s="361"/>
      <c r="E139" s="363"/>
      <c r="F139" s="407"/>
      <c r="G139" s="26"/>
      <c r="H139" s="559"/>
      <c r="I139" s="558"/>
      <c r="J139" s="126"/>
      <c r="K139" s="77"/>
      <c r="L139" s="27"/>
      <c r="M139" s="130"/>
      <c r="N139" s="128"/>
      <c r="O139" s="172"/>
      <c r="P139" s="29"/>
      <c r="Q139" s="30"/>
      <c r="R139" s="30"/>
      <c r="S139" s="30"/>
      <c r="T139" s="30"/>
      <c r="U139" s="30"/>
      <c r="V139" s="36"/>
      <c r="W139" s="30" t="s">
        <v>2815</v>
      </c>
      <c r="X139" s="31">
        <v>42663</v>
      </c>
      <c r="Y139" s="31">
        <v>42668</v>
      </c>
      <c r="Z139" s="30">
        <v>23641200</v>
      </c>
      <c r="AA139" s="30"/>
      <c r="AB139" s="378"/>
      <c r="AC139" s="1097" t="s">
        <v>2809</v>
      </c>
      <c r="AD139" s="38"/>
      <c r="AE139" s="38"/>
      <c r="AF139" s="38"/>
      <c r="AG139" s="1435"/>
      <c r="AH139" s="1435"/>
      <c r="AI139" s="1435"/>
      <c r="AJ139" s="38"/>
      <c r="AK139" s="1432"/>
    </row>
    <row r="140" spans="1:41">
      <c r="A140" s="291"/>
      <c r="B140" s="357"/>
      <c r="C140" s="359"/>
      <c r="D140" s="361"/>
      <c r="E140" s="363"/>
      <c r="F140" s="407"/>
      <c r="G140" s="26"/>
      <c r="H140" s="559"/>
      <c r="I140" s="558"/>
      <c r="J140" s="126"/>
      <c r="K140" s="77"/>
      <c r="L140" s="27"/>
      <c r="M140" s="130"/>
      <c r="N140" s="128"/>
      <c r="O140" s="172"/>
      <c r="P140" s="29"/>
      <c r="Q140" s="30"/>
      <c r="R140" s="30"/>
      <c r="S140" s="30"/>
      <c r="T140" s="30"/>
      <c r="U140" s="30"/>
      <c r="V140" s="36"/>
      <c r="W140" s="30" t="s">
        <v>3106</v>
      </c>
      <c r="X140" s="31">
        <v>42684</v>
      </c>
      <c r="Y140" s="31">
        <v>42696</v>
      </c>
      <c r="Z140" s="30">
        <v>23641200</v>
      </c>
      <c r="AA140" s="30"/>
      <c r="AB140" s="378"/>
      <c r="AC140" s="1097" t="s">
        <v>3067</v>
      </c>
      <c r="AD140" s="38"/>
      <c r="AE140" s="38"/>
      <c r="AF140" s="38"/>
      <c r="AG140" s="1435"/>
      <c r="AH140" s="1435"/>
      <c r="AI140" s="1435"/>
      <c r="AJ140" s="38"/>
      <c r="AK140" s="1432"/>
    </row>
    <row r="141" spans="1:41">
      <c r="A141" s="291"/>
      <c r="B141" s="357"/>
      <c r="C141" s="359"/>
      <c r="D141" s="361"/>
      <c r="E141" s="363"/>
      <c r="F141" s="407"/>
      <c r="G141" s="26"/>
      <c r="H141" s="559"/>
      <c r="I141" s="558"/>
      <c r="J141" s="126"/>
      <c r="K141" s="77"/>
      <c r="L141" s="27"/>
      <c r="M141" s="130"/>
      <c r="N141" s="128"/>
      <c r="O141" s="172"/>
      <c r="P141" s="29"/>
      <c r="Q141" s="30"/>
      <c r="R141" s="30"/>
      <c r="S141" s="30"/>
      <c r="T141" s="30"/>
      <c r="U141" s="30"/>
      <c r="V141" s="36"/>
      <c r="W141" s="30" t="s">
        <v>3417</v>
      </c>
      <c r="X141" s="31">
        <v>42713</v>
      </c>
      <c r="Y141" s="31">
        <v>42718</v>
      </c>
      <c r="Z141" s="30">
        <v>23641200</v>
      </c>
      <c r="AA141" s="30"/>
      <c r="AB141" s="378"/>
      <c r="AC141" s="1097" t="s">
        <v>3415</v>
      </c>
      <c r="AD141" s="38"/>
      <c r="AE141" s="38"/>
      <c r="AF141" s="38"/>
      <c r="AG141" s="1435"/>
      <c r="AH141" s="1435"/>
      <c r="AI141" s="1435"/>
      <c r="AJ141" s="38"/>
      <c r="AK141" s="1432"/>
    </row>
    <row r="142" spans="1:41" ht="47.25">
      <c r="A142" s="291"/>
      <c r="B142" s="357"/>
      <c r="C142" s="359"/>
      <c r="D142" s="361"/>
      <c r="E142" s="363"/>
      <c r="F142" s="407"/>
      <c r="G142" s="26"/>
      <c r="H142" s="559" t="s">
        <v>953</v>
      </c>
      <c r="I142" s="558">
        <v>42474</v>
      </c>
      <c r="J142" s="126" t="s">
        <v>863</v>
      </c>
      <c r="K142" s="77" t="s">
        <v>1467</v>
      </c>
      <c r="L142" s="27" t="s">
        <v>786</v>
      </c>
      <c r="M142" s="130" t="s">
        <v>865</v>
      </c>
      <c r="N142" s="128"/>
      <c r="O142" s="128">
        <v>283694400</v>
      </c>
      <c r="P142" s="29">
        <f>N142+O142</f>
        <v>283694400</v>
      </c>
      <c r="Q142" s="30"/>
      <c r="R142" s="30"/>
      <c r="S142" s="30"/>
      <c r="T142" s="1312" t="s">
        <v>2435</v>
      </c>
      <c r="U142" s="1313">
        <v>42583</v>
      </c>
      <c r="V142" s="36">
        <f>P142</f>
        <v>283694400</v>
      </c>
      <c r="W142" s="30" t="s">
        <v>1682</v>
      </c>
      <c r="X142" s="31">
        <v>42524</v>
      </c>
      <c r="Y142" s="31">
        <v>42530</v>
      </c>
      <c r="Z142" s="30">
        <v>35461800</v>
      </c>
      <c r="AA142" s="30"/>
      <c r="AB142" s="378">
        <f>+G142-P142</f>
        <v>-283694400</v>
      </c>
      <c r="AC142" s="1097" t="s">
        <v>1478</v>
      </c>
      <c r="AD142" s="38"/>
      <c r="AE142" s="38"/>
      <c r="AF142" s="38"/>
      <c r="AG142" s="38"/>
      <c r="AH142" s="38"/>
      <c r="AI142" s="38"/>
      <c r="AJ142" s="38"/>
      <c r="AK142" s="1432"/>
      <c r="AL142" s="1044">
        <f>V142/9</f>
        <v>31521600</v>
      </c>
      <c r="AM142" s="1044">
        <f>AL142*8</f>
        <v>252172800</v>
      </c>
    </row>
    <row r="143" spans="1:41">
      <c r="A143" s="291"/>
      <c r="B143" s="357"/>
      <c r="C143" s="359"/>
      <c r="D143" s="361"/>
      <c r="E143" s="363"/>
      <c r="F143" s="407"/>
      <c r="G143" s="26"/>
      <c r="H143" s="559"/>
      <c r="I143" s="558"/>
      <c r="J143" s="126"/>
      <c r="K143" s="77"/>
      <c r="L143" s="27"/>
      <c r="M143" s="130"/>
      <c r="N143" s="128"/>
      <c r="O143" s="128"/>
      <c r="P143" s="172"/>
      <c r="Q143" s="30"/>
      <c r="R143" s="30"/>
      <c r="S143" s="30"/>
      <c r="T143" s="30"/>
      <c r="U143" s="30"/>
      <c r="V143" s="36"/>
      <c r="W143" s="30" t="s">
        <v>1682</v>
      </c>
      <c r="X143" s="31">
        <v>42524</v>
      </c>
      <c r="Y143" s="31">
        <v>42530</v>
      </c>
      <c r="Z143" s="30">
        <v>35461800</v>
      </c>
      <c r="AA143" s="30"/>
      <c r="AB143" s="378"/>
      <c r="AC143" s="1097" t="s">
        <v>1681</v>
      </c>
      <c r="AD143" s="38"/>
      <c r="AE143" s="38"/>
      <c r="AF143" s="38"/>
      <c r="AG143" s="38"/>
      <c r="AH143" s="38"/>
      <c r="AI143" s="38"/>
      <c r="AJ143" s="38"/>
      <c r="AK143" s="1432"/>
      <c r="AO143" s="1044">
        <f>AB157+AB104</f>
        <v>21259760</v>
      </c>
    </row>
    <row r="144" spans="1:41">
      <c r="A144" s="291"/>
      <c r="B144" s="357"/>
      <c r="C144" s="359"/>
      <c r="D144" s="361"/>
      <c r="E144" s="363"/>
      <c r="F144" s="407"/>
      <c r="G144" s="26"/>
      <c r="H144" s="559"/>
      <c r="I144" s="558"/>
      <c r="J144" s="126"/>
      <c r="K144" s="77"/>
      <c r="L144" s="27"/>
      <c r="M144" s="130"/>
      <c r="N144" s="128"/>
      <c r="O144" s="128"/>
      <c r="P144" s="172"/>
      <c r="Q144" s="30"/>
      <c r="R144" s="30"/>
      <c r="S144" s="30"/>
      <c r="T144" s="30"/>
      <c r="U144" s="30"/>
      <c r="V144" s="36"/>
      <c r="W144" s="30" t="s">
        <v>2120</v>
      </c>
      <c r="X144" s="31">
        <v>42580</v>
      </c>
      <c r="Y144" s="31">
        <v>42585</v>
      </c>
      <c r="Z144" s="30">
        <v>35461800</v>
      </c>
      <c r="AA144" s="30"/>
      <c r="AB144" s="378"/>
      <c r="AC144" s="1097" t="s">
        <v>2121</v>
      </c>
      <c r="AD144" s="38"/>
      <c r="AE144" s="38"/>
      <c r="AF144" s="38"/>
      <c r="AG144" s="38"/>
      <c r="AH144" s="38"/>
      <c r="AI144" s="38"/>
      <c r="AJ144" s="38"/>
      <c r="AK144" s="1432"/>
      <c r="AO144" s="1044"/>
    </row>
    <row r="145" spans="1:41">
      <c r="A145" s="291"/>
      <c r="B145" s="357"/>
      <c r="C145" s="359"/>
      <c r="D145" s="361"/>
      <c r="E145" s="363"/>
      <c r="F145" s="407"/>
      <c r="G145" s="26"/>
      <c r="H145" s="559"/>
      <c r="I145" s="558"/>
      <c r="J145" s="126"/>
      <c r="K145" s="77"/>
      <c r="L145" s="27"/>
      <c r="M145" s="130"/>
      <c r="N145" s="128"/>
      <c r="O145" s="128"/>
      <c r="P145" s="172"/>
      <c r="Q145" s="30"/>
      <c r="R145" s="30"/>
      <c r="S145" s="30"/>
      <c r="T145" s="30"/>
      <c r="U145" s="30"/>
      <c r="V145" s="36"/>
      <c r="W145" s="30" t="s">
        <v>2134</v>
      </c>
      <c r="X145" s="31">
        <v>42600</v>
      </c>
      <c r="Y145" s="31">
        <v>42605</v>
      </c>
      <c r="Z145" s="30">
        <v>35461800</v>
      </c>
      <c r="AA145" s="30"/>
      <c r="AB145" s="378"/>
      <c r="AC145" s="1097" t="s">
        <v>2135</v>
      </c>
      <c r="AD145" s="38"/>
      <c r="AE145" s="38"/>
      <c r="AF145" s="38"/>
      <c r="AG145" s="38"/>
      <c r="AH145" s="38"/>
      <c r="AI145" s="38"/>
      <c r="AJ145" s="38"/>
      <c r="AK145" s="1432"/>
      <c r="AO145" s="1044"/>
    </row>
    <row r="146" spans="1:41">
      <c r="A146" s="291"/>
      <c r="B146" s="357"/>
      <c r="C146" s="359"/>
      <c r="D146" s="361"/>
      <c r="E146" s="363"/>
      <c r="F146" s="407"/>
      <c r="G146" s="26"/>
      <c r="H146" s="559"/>
      <c r="I146" s="558"/>
      <c r="J146" s="126"/>
      <c r="K146" s="77"/>
      <c r="L146" s="27"/>
      <c r="M146" s="130"/>
      <c r="N146" s="128"/>
      <c r="O146" s="128"/>
      <c r="P146" s="172"/>
      <c r="Q146" s="30"/>
      <c r="R146" s="30"/>
      <c r="S146" s="30"/>
      <c r="T146" s="30"/>
      <c r="U146" s="30"/>
      <c r="V146" s="36"/>
      <c r="W146" s="30" t="s">
        <v>2360</v>
      </c>
      <c r="X146" s="31">
        <v>42620</v>
      </c>
      <c r="Y146" s="31">
        <v>42627</v>
      </c>
      <c r="Z146" s="30">
        <v>35461800</v>
      </c>
      <c r="AA146" s="30"/>
      <c r="AB146" s="378"/>
      <c r="AC146" s="1097" t="s">
        <v>2361</v>
      </c>
      <c r="AD146" s="38"/>
      <c r="AE146" s="38"/>
      <c r="AF146" s="38"/>
      <c r="AG146" s="1435">
        <v>35461800</v>
      </c>
      <c r="AH146" s="1435">
        <v>35461800</v>
      </c>
      <c r="AI146" s="1435">
        <v>35461800</v>
      </c>
      <c r="AJ146" s="38"/>
      <c r="AK146" s="1432"/>
      <c r="AO146" s="1044"/>
    </row>
    <row r="147" spans="1:41">
      <c r="A147" s="291"/>
      <c r="B147" s="357"/>
      <c r="C147" s="359"/>
      <c r="D147" s="361"/>
      <c r="E147" s="363"/>
      <c r="F147" s="407"/>
      <c r="G147" s="26"/>
      <c r="H147" s="559"/>
      <c r="I147" s="558"/>
      <c r="J147" s="126"/>
      <c r="K147" s="77"/>
      <c r="L147" s="27"/>
      <c r="M147" s="130"/>
      <c r="N147" s="128"/>
      <c r="O147" s="128"/>
      <c r="P147" s="172"/>
      <c r="Q147" s="30"/>
      <c r="R147" s="30"/>
      <c r="S147" s="30"/>
      <c r="T147" s="30"/>
      <c r="U147" s="30"/>
      <c r="V147" s="36"/>
      <c r="W147" s="30" t="s">
        <v>2808</v>
      </c>
      <c r="X147" s="31">
        <v>42661</v>
      </c>
      <c r="Y147" s="31">
        <v>42664</v>
      </c>
      <c r="Z147" s="30">
        <v>35461800</v>
      </c>
      <c r="AA147" s="30"/>
      <c r="AB147" s="378"/>
      <c r="AC147" s="1097" t="s">
        <v>2809</v>
      </c>
      <c r="AD147" s="38"/>
      <c r="AE147" s="38"/>
      <c r="AF147" s="38"/>
      <c r="AG147" s="1435"/>
      <c r="AH147" s="1435"/>
      <c r="AI147" s="1435"/>
      <c r="AJ147" s="38"/>
      <c r="AK147" s="1432"/>
      <c r="AO147" s="1044"/>
    </row>
    <row r="148" spans="1:41">
      <c r="A148" s="291"/>
      <c r="B148" s="357"/>
      <c r="C148" s="359"/>
      <c r="D148" s="361"/>
      <c r="E148" s="363"/>
      <c r="F148" s="407"/>
      <c r="G148" s="26"/>
      <c r="H148" s="559"/>
      <c r="I148" s="558"/>
      <c r="J148" s="126"/>
      <c r="K148" s="77"/>
      <c r="L148" s="27"/>
      <c r="M148" s="130"/>
      <c r="N148" s="128"/>
      <c r="O148" s="128"/>
      <c r="P148" s="172"/>
      <c r="Q148" s="30"/>
      <c r="R148" s="30"/>
      <c r="S148" s="30"/>
      <c r="T148" s="30"/>
      <c r="U148" s="30"/>
      <c r="V148" s="36"/>
      <c r="W148" s="30" t="s">
        <v>3066</v>
      </c>
      <c r="X148" s="31">
        <v>42682</v>
      </c>
      <c r="Y148" s="31">
        <v>42685</v>
      </c>
      <c r="Z148" s="30">
        <v>35461800</v>
      </c>
      <c r="AA148" s="30"/>
      <c r="AB148" s="378"/>
      <c r="AC148" s="1097" t="s">
        <v>3067</v>
      </c>
      <c r="AD148" s="38"/>
      <c r="AE148" s="38"/>
      <c r="AF148" s="38"/>
      <c r="AG148" s="1435"/>
      <c r="AH148" s="1435"/>
      <c r="AI148" s="1435"/>
      <c r="AJ148" s="38"/>
      <c r="AK148" s="1432"/>
      <c r="AO148" s="1044"/>
    </row>
    <row r="149" spans="1:41">
      <c r="A149" s="291"/>
      <c r="B149" s="357"/>
      <c r="C149" s="359"/>
      <c r="D149" s="361"/>
      <c r="E149" s="363"/>
      <c r="F149" s="1096"/>
      <c r="G149" s="155"/>
      <c r="H149" s="559"/>
      <c r="I149" s="558"/>
      <c r="J149" s="126"/>
      <c r="K149" s="77"/>
      <c r="L149" s="27"/>
      <c r="M149" s="130"/>
      <c r="N149" s="128"/>
      <c r="O149" s="128"/>
      <c r="P149" s="29"/>
      <c r="Q149" s="30"/>
      <c r="R149" s="30"/>
      <c r="S149" s="30"/>
      <c r="T149" s="30"/>
      <c r="U149" s="30"/>
      <c r="V149" s="36"/>
      <c r="W149" s="30" t="s">
        <v>3414</v>
      </c>
      <c r="X149" s="31">
        <v>42711</v>
      </c>
      <c r="Y149" s="31">
        <v>42718</v>
      </c>
      <c r="Z149" s="30">
        <v>35461800</v>
      </c>
      <c r="AA149" s="30"/>
      <c r="AB149" s="378"/>
      <c r="AC149" s="1097" t="s">
        <v>3415</v>
      </c>
      <c r="AD149" s="38"/>
      <c r="AE149" s="38"/>
      <c r="AF149" s="38"/>
      <c r="AG149" s="1435"/>
      <c r="AH149" s="1435"/>
      <c r="AI149" s="1435"/>
      <c r="AJ149" s="38"/>
      <c r="AK149" s="1432"/>
    </row>
    <row r="150" spans="1:41" ht="47.25">
      <c r="A150" s="291"/>
      <c r="B150" s="357"/>
      <c r="C150" s="359"/>
      <c r="D150" s="361"/>
      <c r="E150" s="363"/>
      <c r="F150" s="407"/>
      <c r="G150" s="26"/>
      <c r="H150" s="559" t="s">
        <v>1240</v>
      </c>
      <c r="I150" s="558"/>
      <c r="J150" s="126" t="s">
        <v>1118</v>
      </c>
      <c r="K150" s="1098" t="s">
        <v>1697</v>
      </c>
      <c r="L150" s="27" t="s">
        <v>786</v>
      </c>
      <c r="M150" s="130" t="s">
        <v>1119</v>
      </c>
      <c r="N150" s="128"/>
      <c r="O150" s="128">
        <v>39721440</v>
      </c>
      <c r="P150" s="172">
        <f>N150+O150</f>
        <v>39721440</v>
      </c>
      <c r="Q150" s="30"/>
      <c r="R150" s="30"/>
      <c r="S150" s="30"/>
      <c r="T150" s="30"/>
      <c r="U150" s="30"/>
      <c r="V150" s="36">
        <f>P150</f>
        <v>39721440</v>
      </c>
      <c r="W150" s="30" t="s">
        <v>1946</v>
      </c>
      <c r="X150" s="31">
        <v>42545</v>
      </c>
      <c r="Y150" s="31">
        <v>42552</v>
      </c>
      <c r="Z150" s="30">
        <f>V150</f>
        <v>39721440</v>
      </c>
      <c r="AA150" s="30"/>
      <c r="AB150" s="378">
        <f>+G150-P150</f>
        <v>-39721440</v>
      </c>
      <c r="AC150" s="32"/>
      <c r="AD150" s="38"/>
      <c r="AE150" s="38"/>
      <c r="AF150" s="38"/>
      <c r="AG150" s="38"/>
      <c r="AH150" s="38"/>
      <c r="AI150" s="38"/>
      <c r="AJ150" s="38"/>
      <c r="AK150" s="40"/>
      <c r="AM150" s="1044">
        <f>SUM(V110:V142)</f>
        <v>1489760800</v>
      </c>
      <c r="AN150" s="1044">
        <f>AM150/6</f>
        <v>248293466.66666666</v>
      </c>
      <c r="AO150" s="1044">
        <f>AN150*2</f>
        <v>496586933.33333331</v>
      </c>
    </row>
    <row r="151" spans="1:41" ht="47.25">
      <c r="A151" s="291"/>
      <c r="B151" s="357"/>
      <c r="C151" s="359"/>
      <c r="D151" s="361"/>
      <c r="E151" s="363"/>
      <c r="F151" s="407"/>
      <c r="G151" s="26"/>
      <c r="H151" s="559" t="s">
        <v>1838</v>
      </c>
      <c r="I151" s="558">
        <v>42549</v>
      </c>
      <c r="J151" s="126" t="s">
        <v>1827</v>
      </c>
      <c r="K151" s="77" t="s">
        <v>3523</v>
      </c>
      <c r="L151" s="518" t="s">
        <v>1737</v>
      </c>
      <c r="M151" s="130" t="s">
        <v>1828</v>
      </c>
      <c r="N151" s="128"/>
      <c r="O151" s="128">
        <v>140250000</v>
      </c>
      <c r="P151" s="172">
        <f>N151+O151</f>
        <v>140250000</v>
      </c>
      <c r="Q151" s="30"/>
      <c r="R151" s="30"/>
      <c r="S151" s="30"/>
      <c r="T151" s="30"/>
      <c r="U151" s="30"/>
      <c r="V151" s="172">
        <f>P151</f>
        <v>140250000</v>
      </c>
      <c r="W151" s="30" t="s">
        <v>3203</v>
      </c>
      <c r="X151" s="31">
        <v>42698</v>
      </c>
      <c r="Y151" s="31">
        <v>42704</v>
      </c>
      <c r="Z151" s="30">
        <v>23375000</v>
      </c>
      <c r="AA151" s="30"/>
      <c r="AB151" s="378">
        <f>+G151-P151</f>
        <v>-140250000</v>
      </c>
      <c r="AC151" s="32" t="s">
        <v>2135</v>
      </c>
      <c r="AD151" s="38"/>
      <c r="AE151" s="1435"/>
      <c r="AF151" s="38"/>
      <c r="AG151" s="1435">
        <v>11687500</v>
      </c>
      <c r="AH151" s="1435">
        <v>11687500</v>
      </c>
      <c r="AI151" s="1435">
        <v>11687500</v>
      </c>
      <c r="AJ151" s="38"/>
      <c r="AK151" s="40"/>
      <c r="AL151" s="1044">
        <f>AM151/5</f>
        <v>23375000</v>
      </c>
      <c r="AM151" s="1044">
        <v>116875000</v>
      </c>
      <c r="AN151" s="128">
        <v>70125000</v>
      </c>
      <c r="AO151" s="1044"/>
    </row>
    <row r="152" spans="1:41">
      <c r="A152" s="291"/>
      <c r="B152" s="357"/>
      <c r="C152" s="359"/>
      <c r="D152" s="361"/>
      <c r="E152" s="363"/>
      <c r="F152" s="407"/>
      <c r="G152" s="26"/>
      <c r="H152" s="559"/>
      <c r="I152" s="558"/>
      <c r="J152" s="126"/>
      <c r="K152" s="77"/>
      <c r="L152" s="518"/>
      <c r="M152" s="130"/>
      <c r="N152" s="128"/>
      <c r="O152" s="128"/>
      <c r="P152" s="172"/>
      <c r="Q152" s="30"/>
      <c r="R152" s="30"/>
      <c r="S152" s="30"/>
      <c r="T152" s="30"/>
      <c r="U152" s="30"/>
      <c r="V152" s="172"/>
      <c r="W152" s="30" t="s">
        <v>3203</v>
      </c>
      <c r="X152" s="31">
        <v>42698</v>
      </c>
      <c r="Y152" s="31">
        <v>42704</v>
      </c>
      <c r="Z152" s="30">
        <v>23375000</v>
      </c>
      <c r="AA152" s="30"/>
      <c r="AB152" s="1187"/>
      <c r="AC152" s="32" t="s">
        <v>2361</v>
      </c>
      <c r="AD152" s="38"/>
      <c r="AE152" s="1435"/>
      <c r="AF152" s="38"/>
      <c r="AG152" s="1435"/>
      <c r="AH152" s="1435"/>
      <c r="AI152" s="1435"/>
      <c r="AJ152" s="38"/>
      <c r="AK152" s="40"/>
      <c r="AL152" s="1044"/>
      <c r="AM152" s="1044"/>
      <c r="AN152" s="1649"/>
      <c r="AO152" s="1044"/>
    </row>
    <row r="153" spans="1:41">
      <c r="A153" s="291"/>
      <c r="B153" s="357"/>
      <c r="C153" s="359"/>
      <c r="D153" s="361"/>
      <c r="E153" s="363"/>
      <c r="F153" s="407"/>
      <c r="G153" s="26"/>
      <c r="H153" s="559"/>
      <c r="I153" s="558"/>
      <c r="J153" s="126"/>
      <c r="K153" s="77"/>
      <c r="L153" s="518"/>
      <c r="M153" s="130"/>
      <c r="N153" s="128"/>
      <c r="O153" s="128"/>
      <c r="P153" s="172"/>
      <c r="Q153" s="30"/>
      <c r="R153" s="30"/>
      <c r="S153" s="30"/>
      <c r="T153" s="30"/>
      <c r="U153" s="30"/>
      <c r="V153" s="172"/>
      <c r="W153" s="30" t="s">
        <v>3203</v>
      </c>
      <c r="X153" s="31">
        <v>42698</v>
      </c>
      <c r="Y153" s="31">
        <v>42704</v>
      </c>
      <c r="Z153" s="30">
        <v>23375000</v>
      </c>
      <c r="AA153" s="30"/>
      <c r="AB153" s="1187"/>
      <c r="AC153" s="32" t="s">
        <v>2809</v>
      </c>
      <c r="AD153" s="38"/>
      <c r="AE153" s="1435"/>
      <c r="AF153" s="38"/>
      <c r="AG153" s="1435"/>
      <c r="AH153" s="1435"/>
      <c r="AI153" s="1435"/>
      <c r="AJ153" s="38"/>
      <c r="AK153" s="40"/>
      <c r="AL153" s="1044"/>
      <c r="AM153" s="1044"/>
      <c r="AN153" s="1649"/>
      <c r="AO153" s="1044"/>
    </row>
    <row r="154" spans="1:41">
      <c r="A154" s="291"/>
      <c r="B154" s="357"/>
      <c r="C154" s="359"/>
      <c r="D154" s="361"/>
      <c r="E154" s="363"/>
      <c r="F154" s="407"/>
      <c r="G154" s="26"/>
      <c r="H154" s="559"/>
      <c r="I154" s="558"/>
      <c r="J154" s="126"/>
      <c r="K154" s="77"/>
      <c r="L154" s="518"/>
      <c r="M154" s="130"/>
      <c r="N154" s="128"/>
      <c r="O154" s="128"/>
      <c r="P154" s="172"/>
      <c r="Q154" s="30"/>
      <c r="R154" s="30"/>
      <c r="S154" s="30"/>
      <c r="T154" s="30"/>
      <c r="U154" s="30"/>
      <c r="V154" s="172"/>
      <c r="W154" s="30" t="s">
        <v>3203</v>
      </c>
      <c r="X154" s="31">
        <v>42698</v>
      </c>
      <c r="Y154" s="31">
        <v>42704</v>
      </c>
      <c r="Z154" s="30">
        <v>23375000</v>
      </c>
      <c r="AA154" s="30"/>
      <c r="AB154" s="1187"/>
      <c r="AC154" s="32" t="s">
        <v>3067</v>
      </c>
      <c r="AD154" s="38"/>
      <c r="AE154" s="1435"/>
      <c r="AF154" s="38"/>
      <c r="AG154" s="1435"/>
      <c r="AH154" s="1435"/>
      <c r="AI154" s="1435"/>
      <c r="AJ154" s="38"/>
      <c r="AK154" s="40"/>
      <c r="AL154" s="1044"/>
      <c r="AM154" s="1044"/>
      <c r="AN154" s="1649"/>
      <c r="AO154" s="1044"/>
    </row>
    <row r="155" spans="1:41">
      <c r="A155" s="291"/>
      <c r="B155" s="357"/>
      <c r="C155" s="359"/>
      <c r="D155" s="361"/>
      <c r="E155" s="363"/>
      <c r="F155" s="407"/>
      <c r="G155" s="26"/>
      <c r="H155" s="559"/>
      <c r="I155" s="558"/>
      <c r="J155" s="126"/>
      <c r="K155" s="77"/>
      <c r="L155" s="518"/>
      <c r="M155" s="130"/>
      <c r="N155" s="128"/>
      <c r="O155" s="128"/>
      <c r="P155" s="172"/>
      <c r="Q155" s="30"/>
      <c r="R155" s="30"/>
      <c r="S155" s="30"/>
      <c r="T155" s="30"/>
      <c r="U155" s="30"/>
      <c r="V155" s="172"/>
      <c r="W155" s="366" t="s">
        <v>3455</v>
      </c>
      <c r="X155" s="1716">
        <v>42718</v>
      </c>
      <c r="Y155" s="1716">
        <v>42720</v>
      </c>
      <c r="Z155" s="30">
        <v>23375000</v>
      </c>
      <c r="AA155" s="30"/>
      <c r="AB155" s="1187"/>
      <c r="AC155" s="32" t="s">
        <v>3415</v>
      </c>
      <c r="AD155" s="38"/>
      <c r="AE155" s="1435"/>
      <c r="AF155" s="38"/>
      <c r="AG155" s="1435"/>
      <c r="AH155" s="1435"/>
      <c r="AI155" s="1435"/>
      <c r="AJ155" s="38"/>
      <c r="AK155" s="40"/>
      <c r="AL155" s="1044"/>
      <c r="AM155" s="1044"/>
      <c r="AN155" s="1649"/>
      <c r="AO155" s="1044"/>
    </row>
    <row r="156" spans="1:41">
      <c r="A156" s="291"/>
      <c r="B156" s="357"/>
      <c r="C156" s="359"/>
      <c r="D156" s="361"/>
      <c r="E156" s="363"/>
      <c r="F156" s="407"/>
      <c r="G156" s="26"/>
      <c r="H156" s="559"/>
      <c r="I156" s="558"/>
      <c r="J156" s="126"/>
      <c r="K156" s="77"/>
      <c r="L156" s="518"/>
      <c r="M156" s="130"/>
      <c r="N156" s="128"/>
      <c r="O156" s="128"/>
      <c r="P156" s="172"/>
      <c r="Q156" s="30"/>
      <c r="R156" s="30"/>
      <c r="S156" s="30"/>
      <c r="T156" s="30"/>
      <c r="U156" s="30"/>
      <c r="V156" s="172"/>
      <c r="W156" s="30"/>
      <c r="X156" s="31"/>
      <c r="Y156" s="31"/>
      <c r="Z156" s="30"/>
      <c r="AA156" s="30"/>
      <c r="AB156" s="1187"/>
      <c r="AC156" s="32"/>
      <c r="AD156" s="38"/>
      <c r="AE156" s="1435"/>
      <c r="AF156" s="38"/>
      <c r="AG156" s="1435"/>
      <c r="AH156" s="1435"/>
      <c r="AI156" s="1435"/>
      <c r="AJ156" s="38"/>
      <c r="AK156" s="40"/>
      <c r="AL156" s="1044"/>
      <c r="AM156" s="1044"/>
      <c r="AN156" s="1649"/>
      <c r="AO156" s="1044"/>
    </row>
    <row r="157" spans="1:41" s="769" customFormat="1">
      <c r="A157" s="757"/>
      <c r="B157" s="1057"/>
      <c r="C157" s="759"/>
      <c r="D157" s="1063"/>
      <c r="E157" s="1064">
        <f>SUM(E110:E142)</f>
        <v>0</v>
      </c>
      <c r="F157" s="1064">
        <f>SUM(F110:F142)</f>
        <v>1432992000</v>
      </c>
      <c r="G157" s="656">
        <f>SUM(G110:G142)</f>
        <v>1432992000</v>
      </c>
      <c r="H157" s="656"/>
      <c r="I157" s="656"/>
      <c r="J157" s="762"/>
      <c r="K157" s="763"/>
      <c r="L157" s="763"/>
      <c r="M157" s="764"/>
      <c r="N157" s="765"/>
      <c r="O157" s="765">
        <f>SUM(O110:O151)</f>
        <v>1669732240</v>
      </c>
      <c r="P157" s="765">
        <f>SUM(P110:P151)</f>
        <v>1669732240</v>
      </c>
      <c r="Q157" s="658"/>
      <c r="R157" s="658"/>
      <c r="S157" s="658"/>
      <c r="T157" s="658"/>
      <c r="U157" s="658"/>
      <c r="V157" s="765">
        <f>SUM(V110:V151)</f>
        <v>1669732240</v>
      </c>
      <c r="W157" s="658"/>
      <c r="X157" s="766"/>
      <c r="Y157" s="766"/>
      <c r="Z157" s="658">
        <f>SUM(Z104:Z156)</f>
        <v>1673857240</v>
      </c>
      <c r="AA157" s="658"/>
      <c r="AB157" s="765">
        <f>SUM(AB110:AB151)</f>
        <v>-236740240</v>
      </c>
      <c r="AC157" s="767"/>
      <c r="AD157" s="38"/>
      <c r="AE157" s="38"/>
      <c r="AF157" s="38"/>
      <c r="AG157" s="38"/>
      <c r="AH157" s="38"/>
      <c r="AI157" s="38"/>
      <c r="AJ157" s="38"/>
      <c r="AK157" s="1102"/>
    </row>
    <row r="158" spans="1:41">
      <c r="A158" s="291"/>
      <c r="B158" s="357"/>
      <c r="C158" s="359"/>
      <c r="D158" s="361"/>
      <c r="E158" s="363"/>
      <c r="F158" s="407"/>
      <c r="G158" s="26"/>
      <c r="H158" s="26"/>
      <c r="I158" s="26"/>
      <c r="J158" s="126"/>
      <c r="K158" s="27"/>
      <c r="L158" s="27"/>
      <c r="M158" s="130"/>
      <c r="N158" s="128"/>
      <c r="O158" s="468"/>
      <c r="P158" s="29"/>
      <c r="Q158" s="30"/>
      <c r="R158" s="30"/>
      <c r="S158" s="30"/>
      <c r="T158" s="30"/>
      <c r="U158" s="30"/>
      <c r="V158" s="36"/>
      <c r="W158" s="30"/>
      <c r="X158" s="31"/>
      <c r="Y158" s="31"/>
      <c r="Z158" s="30"/>
      <c r="AA158" s="30"/>
      <c r="AB158" s="378"/>
      <c r="AC158" s="32"/>
      <c r="AD158" s="38"/>
      <c r="AE158" s="38"/>
      <c r="AF158" s="38"/>
      <c r="AG158" s="38"/>
      <c r="AH158" s="38"/>
      <c r="AI158" s="38"/>
      <c r="AJ158" s="38"/>
      <c r="AK158" s="40"/>
    </row>
    <row r="159" spans="1:41">
      <c r="A159" s="291"/>
      <c r="B159" s="357"/>
      <c r="C159" s="359" t="s">
        <v>627</v>
      </c>
      <c r="D159" s="361" t="s">
        <v>647</v>
      </c>
      <c r="E159" s="363">
        <v>348311040</v>
      </c>
      <c r="F159" s="358"/>
      <c r="G159" s="26">
        <f>E159+F159</f>
        <v>348311040</v>
      </c>
      <c r="H159" s="26"/>
      <c r="I159" s="26"/>
      <c r="J159" s="126"/>
      <c r="K159" s="27"/>
      <c r="L159" s="27"/>
      <c r="M159" s="130"/>
      <c r="N159" s="128"/>
      <c r="O159" s="128">
        <v>552404588</v>
      </c>
      <c r="P159" s="29">
        <f>O159</f>
        <v>552404588</v>
      </c>
      <c r="Q159" s="30"/>
      <c r="R159" s="30"/>
      <c r="S159" s="30"/>
      <c r="T159" s="30"/>
      <c r="U159" s="30"/>
      <c r="V159" s="36">
        <f>P159</f>
        <v>552404588</v>
      </c>
      <c r="W159" s="30" t="s">
        <v>3192</v>
      </c>
      <c r="X159" s="31"/>
      <c r="Y159" s="31"/>
      <c r="Z159" s="30">
        <f>V159</f>
        <v>552404588</v>
      </c>
      <c r="AA159" s="30"/>
      <c r="AB159" s="378">
        <f>+G159-P159</f>
        <v>-204093548</v>
      </c>
      <c r="AC159" s="32"/>
      <c r="AD159" s="38"/>
      <c r="AE159" s="38"/>
      <c r="AF159" s="38"/>
      <c r="AG159" s="38"/>
      <c r="AH159" s="38"/>
      <c r="AI159" s="38"/>
      <c r="AJ159" s="38"/>
      <c r="AK159" s="40"/>
    </row>
    <row r="160" spans="1:41">
      <c r="A160" s="291"/>
      <c r="B160" s="357"/>
      <c r="C160" s="359"/>
      <c r="D160" s="361"/>
      <c r="E160" s="363"/>
      <c r="F160" s="358"/>
      <c r="G160" s="26"/>
      <c r="H160" s="26"/>
      <c r="I160" s="26"/>
      <c r="J160" s="126"/>
      <c r="K160" s="27"/>
      <c r="L160" s="27"/>
      <c r="M160" s="130"/>
      <c r="N160" s="128"/>
      <c r="O160" s="468"/>
      <c r="P160" s="29"/>
      <c r="Q160" s="30"/>
      <c r="R160" s="30"/>
      <c r="S160" s="30"/>
      <c r="T160" s="30"/>
      <c r="U160" s="30"/>
      <c r="V160" s="36"/>
      <c r="W160" s="30"/>
      <c r="X160" s="31"/>
      <c r="Y160" s="31"/>
      <c r="Z160" s="30"/>
      <c r="AA160" s="30"/>
      <c r="AB160" s="378"/>
      <c r="AC160" s="32"/>
      <c r="AD160" s="38"/>
      <c r="AE160" s="38"/>
      <c r="AF160" s="38"/>
      <c r="AG160" s="38"/>
      <c r="AH160" s="38"/>
      <c r="AI160" s="38"/>
      <c r="AJ160" s="38"/>
      <c r="AK160" s="40"/>
    </row>
    <row r="161" spans="1:37" ht="47.25">
      <c r="A161" s="291"/>
      <c r="B161" s="357"/>
      <c r="C161" s="360" t="s">
        <v>628</v>
      </c>
      <c r="D161" s="362" t="s">
        <v>648</v>
      </c>
      <c r="E161" s="364">
        <v>207339000</v>
      </c>
      <c r="F161" s="358"/>
      <c r="G161" s="26">
        <f>E161+F161</f>
        <v>207339000</v>
      </c>
      <c r="H161" s="559" t="s">
        <v>913</v>
      </c>
      <c r="I161" s="558">
        <v>42468</v>
      </c>
      <c r="J161" s="126" t="s">
        <v>726</v>
      </c>
      <c r="K161" s="77" t="s">
        <v>1464</v>
      </c>
      <c r="L161" s="27" t="s">
        <v>387</v>
      </c>
      <c r="M161" s="130" t="s">
        <v>788</v>
      </c>
      <c r="N161" s="128">
        <v>45496000</v>
      </c>
      <c r="O161" s="468"/>
      <c r="P161" s="29">
        <f t="shared" ref="P161:P166" si="20">N161+O161</f>
        <v>45496000</v>
      </c>
      <c r="Q161" s="30"/>
      <c r="R161" s="30"/>
      <c r="S161" s="30"/>
      <c r="T161" s="30"/>
      <c r="U161" s="30"/>
      <c r="V161" s="36">
        <f t="shared" ref="V161:V166" si="21">P161</f>
        <v>45496000</v>
      </c>
      <c r="W161" s="30" t="s">
        <v>1349</v>
      </c>
      <c r="X161" s="31">
        <v>42513</v>
      </c>
      <c r="Y161" s="31">
        <v>42520</v>
      </c>
      <c r="Z161" s="30">
        <f t="shared" ref="Z161:Z166" si="22">V161</f>
        <v>45496000</v>
      </c>
      <c r="AA161" s="1043">
        <v>1</v>
      </c>
      <c r="AB161" s="378">
        <f t="shared" ref="AB161:AB166" si="23">+G161-P161</f>
        <v>161843000</v>
      </c>
      <c r="AC161" s="32"/>
      <c r="AD161" s="38"/>
      <c r="AE161" s="38"/>
      <c r="AF161" s="38"/>
      <c r="AG161" s="38"/>
      <c r="AH161" s="38"/>
      <c r="AI161" s="38"/>
      <c r="AJ161" s="38"/>
      <c r="AK161" s="40"/>
    </row>
    <row r="162" spans="1:37">
      <c r="A162" s="291"/>
      <c r="B162" s="357"/>
      <c r="C162" s="360"/>
      <c r="D162" s="362"/>
      <c r="E162" s="364"/>
      <c r="F162" s="358"/>
      <c r="G162" s="26"/>
      <c r="H162" s="559"/>
      <c r="I162" s="558"/>
      <c r="J162" s="126" t="s">
        <v>1570</v>
      </c>
      <c r="K162" s="77"/>
      <c r="L162" s="27"/>
      <c r="M162" s="130" t="s">
        <v>1571</v>
      </c>
      <c r="N162" s="128"/>
      <c r="O162" s="645">
        <v>9567800</v>
      </c>
      <c r="P162" s="29">
        <f t="shared" si="20"/>
        <v>9567800</v>
      </c>
      <c r="Q162" s="30"/>
      <c r="R162" s="30"/>
      <c r="S162" s="30"/>
      <c r="T162" s="30"/>
      <c r="U162" s="30"/>
      <c r="V162" s="36">
        <f t="shared" si="21"/>
        <v>9567800</v>
      </c>
      <c r="W162" s="30" t="s">
        <v>1721</v>
      </c>
      <c r="X162" s="31">
        <v>42542</v>
      </c>
      <c r="Y162" s="31">
        <v>42549</v>
      </c>
      <c r="Z162" s="30">
        <f t="shared" si="22"/>
        <v>9567800</v>
      </c>
      <c r="AA162" s="1043">
        <v>1</v>
      </c>
      <c r="AB162" s="378">
        <f t="shared" si="23"/>
        <v>-9567800</v>
      </c>
      <c r="AC162" s="32"/>
      <c r="AD162" s="38"/>
      <c r="AE162" s="38"/>
      <c r="AF162" s="38"/>
      <c r="AG162" s="38"/>
      <c r="AH162" s="38"/>
      <c r="AI162" s="38"/>
      <c r="AJ162" s="38"/>
      <c r="AK162" s="40"/>
    </row>
    <row r="163" spans="1:37">
      <c r="A163" s="291"/>
      <c r="B163" s="357"/>
      <c r="C163" s="360"/>
      <c r="D163" s="362"/>
      <c r="E163" s="364"/>
      <c r="F163" s="358"/>
      <c r="G163" s="26"/>
      <c r="H163" s="559"/>
      <c r="I163" s="558"/>
      <c r="J163" s="126" t="s">
        <v>1572</v>
      </c>
      <c r="K163" s="77"/>
      <c r="L163" s="27" t="s">
        <v>387</v>
      </c>
      <c r="M163" s="130" t="s">
        <v>1583</v>
      </c>
      <c r="N163" s="128">
        <v>8607500</v>
      </c>
      <c r="O163" s="468"/>
      <c r="P163" s="29">
        <f t="shared" si="20"/>
        <v>8607500</v>
      </c>
      <c r="Q163" s="30"/>
      <c r="R163" s="30"/>
      <c r="S163" s="30"/>
      <c r="T163" s="30"/>
      <c r="U163" s="30"/>
      <c r="V163" s="36">
        <f t="shared" si="21"/>
        <v>8607500</v>
      </c>
      <c r="W163" s="30" t="s">
        <v>1938</v>
      </c>
      <c r="X163" s="31">
        <v>42545</v>
      </c>
      <c r="Y163" s="31">
        <v>42563</v>
      </c>
      <c r="Z163" s="30">
        <f t="shared" si="22"/>
        <v>8607500</v>
      </c>
      <c r="AA163" s="1043">
        <v>1</v>
      </c>
      <c r="AB163" s="378">
        <f t="shared" si="23"/>
        <v>-8607500</v>
      </c>
      <c r="AC163" s="32"/>
      <c r="AD163" s="38"/>
      <c r="AE163" s="38"/>
      <c r="AF163" s="38"/>
      <c r="AG163" s="38"/>
      <c r="AH163" s="38"/>
      <c r="AI163" s="38"/>
      <c r="AJ163" s="38"/>
      <c r="AK163" s="40"/>
    </row>
    <row r="164" spans="1:37">
      <c r="A164" s="291"/>
      <c r="B164" s="357"/>
      <c r="C164" s="360"/>
      <c r="D164" s="362"/>
      <c r="E164" s="364"/>
      <c r="F164" s="358"/>
      <c r="G164" s="26"/>
      <c r="H164" s="559"/>
      <c r="I164" s="558"/>
      <c r="J164" s="126" t="s">
        <v>1584</v>
      </c>
      <c r="K164" s="77"/>
      <c r="L164" s="27" t="s">
        <v>387</v>
      </c>
      <c r="M164" s="130" t="s">
        <v>1582</v>
      </c>
      <c r="N164" s="128">
        <v>9853800</v>
      </c>
      <c r="O164" s="468"/>
      <c r="P164" s="29">
        <f t="shared" si="20"/>
        <v>9853800</v>
      </c>
      <c r="Q164" s="30"/>
      <c r="R164" s="30"/>
      <c r="S164" s="30"/>
      <c r="T164" s="30"/>
      <c r="U164" s="30"/>
      <c r="V164" s="36">
        <f t="shared" si="21"/>
        <v>9853800</v>
      </c>
      <c r="W164" s="30" t="s">
        <v>1938</v>
      </c>
      <c r="X164" s="31">
        <v>42545</v>
      </c>
      <c r="Y164" s="31">
        <v>42563</v>
      </c>
      <c r="Z164" s="30">
        <f t="shared" si="22"/>
        <v>9853800</v>
      </c>
      <c r="AA164" s="1043">
        <v>1</v>
      </c>
      <c r="AB164" s="378">
        <f t="shared" si="23"/>
        <v>-9853800</v>
      </c>
      <c r="AC164" s="32"/>
      <c r="AD164" s="38"/>
      <c r="AE164" s="38"/>
      <c r="AF164" s="38"/>
      <c r="AG164" s="38"/>
      <c r="AH164" s="38"/>
      <c r="AI164" s="38"/>
      <c r="AJ164" s="38"/>
      <c r="AK164" s="40"/>
    </row>
    <row r="165" spans="1:37" ht="47.25">
      <c r="A165" s="291"/>
      <c r="B165" s="357"/>
      <c r="C165" s="360"/>
      <c r="D165" s="362"/>
      <c r="E165" s="364"/>
      <c r="F165" s="358"/>
      <c r="G165" s="26"/>
      <c r="H165" s="559" t="s">
        <v>1837</v>
      </c>
      <c r="I165" s="558">
        <v>42549</v>
      </c>
      <c r="J165" s="126" t="s">
        <v>1821</v>
      </c>
      <c r="K165" s="77" t="s">
        <v>2168</v>
      </c>
      <c r="L165" s="27" t="s">
        <v>2711</v>
      </c>
      <c r="M165" s="130" t="s">
        <v>1822</v>
      </c>
      <c r="N165" s="128">
        <v>41800000</v>
      </c>
      <c r="O165" s="468"/>
      <c r="P165" s="29">
        <f t="shared" si="20"/>
        <v>41800000</v>
      </c>
      <c r="Q165" s="30"/>
      <c r="R165" s="30"/>
      <c r="S165" s="30"/>
      <c r="T165" s="30"/>
      <c r="U165" s="30"/>
      <c r="V165" s="36">
        <f t="shared" si="21"/>
        <v>41800000</v>
      </c>
      <c r="W165" s="30" t="s">
        <v>2903</v>
      </c>
      <c r="X165" s="31">
        <v>42667</v>
      </c>
      <c r="Y165" s="31">
        <v>42671</v>
      </c>
      <c r="Z165" s="30">
        <f t="shared" si="22"/>
        <v>41800000</v>
      </c>
      <c r="AA165" s="1043">
        <v>1</v>
      </c>
      <c r="AB165" s="378">
        <f t="shared" si="23"/>
        <v>-41800000</v>
      </c>
      <c r="AC165" s="32"/>
      <c r="AD165" s="38"/>
      <c r="AE165" s="38"/>
      <c r="AF165" s="38"/>
      <c r="AG165" s="48">
        <f>V165</f>
        <v>41800000</v>
      </c>
      <c r="AH165" s="38"/>
      <c r="AI165" s="38"/>
      <c r="AJ165" s="38"/>
      <c r="AK165" s="40"/>
    </row>
    <row r="166" spans="1:37" ht="47.25">
      <c r="A166" s="291"/>
      <c r="B166" s="357"/>
      <c r="C166" s="360"/>
      <c r="D166" s="362"/>
      <c r="E166" s="364"/>
      <c r="F166" s="358"/>
      <c r="G166" s="26"/>
      <c r="H166" s="559" t="s">
        <v>2191</v>
      </c>
      <c r="I166" s="558">
        <v>42611</v>
      </c>
      <c r="J166" s="126" t="s">
        <v>2059</v>
      </c>
      <c r="K166" s="77" t="s">
        <v>2483</v>
      </c>
      <c r="L166" s="27" t="s">
        <v>387</v>
      </c>
      <c r="M166" s="130" t="s">
        <v>2190</v>
      </c>
      <c r="N166" s="128">
        <v>91560700</v>
      </c>
      <c r="O166" s="128">
        <v>0</v>
      </c>
      <c r="P166" s="29">
        <f t="shared" si="20"/>
        <v>91560700</v>
      </c>
      <c r="Q166" s="507"/>
      <c r="R166" s="507"/>
      <c r="S166" s="507"/>
      <c r="T166" s="507"/>
      <c r="U166" s="507"/>
      <c r="V166" s="36">
        <f t="shared" si="21"/>
        <v>91560700</v>
      </c>
      <c r="W166" s="30" t="s">
        <v>3060</v>
      </c>
      <c r="X166" s="31">
        <v>42678</v>
      </c>
      <c r="Y166" s="31">
        <v>42684</v>
      </c>
      <c r="Z166" s="30">
        <f t="shared" si="22"/>
        <v>91560700</v>
      </c>
      <c r="AA166" s="910">
        <v>1</v>
      </c>
      <c r="AB166" s="378">
        <f t="shared" si="23"/>
        <v>-91560700</v>
      </c>
      <c r="AC166" s="32"/>
      <c r="AD166" s="38"/>
      <c r="AE166" s="38"/>
      <c r="AF166" s="38"/>
      <c r="AG166" s="48">
        <f>V166</f>
        <v>91560700</v>
      </c>
      <c r="AH166" s="38"/>
      <c r="AI166" s="38"/>
      <c r="AJ166" s="38"/>
      <c r="AK166" s="40"/>
    </row>
    <row r="167" spans="1:37" s="769" customFormat="1">
      <c r="A167" s="757"/>
      <c r="B167" s="1057"/>
      <c r="C167" s="1056" t="str">
        <f>C161</f>
        <v>PRK.2015.WKT-4.12.53222.315</v>
      </c>
      <c r="D167" s="1058"/>
      <c r="E167" s="1059"/>
      <c r="F167" s="1060"/>
      <c r="G167" s="656">
        <f>G161</f>
        <v>207339000</v>
      </c>
      <c r="H167" s="864"/>
      <c r="I167" s="761"/>
      <c r="J167" s="762"/>
      <c r="K167" s="775"/>
      <c r="L167" s="763"/>
      <c r="M167" s="764"/>
      <c r="N167" s="765">
        <f>SUM(N161:N166)</f>
        <v>197318000</v>
      </c>
      <c r="O167" s="765">
        <f t="shared" ref="O167:V167" si="24">SUM(O161:O166)</f>
        <v>9567800</v>
      </c>
      <c r="P167" s="765">
        <f t="shared" si="24"/>
        <v>206885800</v>
      </c>
      <c r="Q167" s="765">
        <f t="shared" si="24"/>
        <v>0</v>
      </c>
      <c r="R167" s="765">
        <f t="shared" si="24"/>
        <v>0</v>
      </c>
      <c r="S167" s="765">
        <f t="shared" si="24"/>
        <v>0</v>
      </c>
      <c r="T167" s="765">
        <f t="shared" si="24"/>
        <v>0</v>
      </c>
      <c r="U167" s="765">
        <f t="shared" si="24"/>
        <v>0</v>
      </c>
      <c r="V167" s="765">
        <f t="shared" si="24"/>
        <v>206885800</v>
      </c>
      <c r="W167" s="658"/>
      <c r="X167" s="766"/>
      <c r="Y167" s="766"/>
      <c r="Z167" s="765">
        <f>SUM(Z161:Z166)</f>
        <v>206885800</v>
      </c>
      <c r="AA167" s="1061"/>
      <c r="AB167" s="1015">
        <f>SUM(AB161:AB166)</f>
        <v>453200</v>
      </c>
      <c r="AC167" s="767"/>
      <c r="AD167" s="38"/>
      <c r="AE167" s="38"/>
      <c r="AF167" s="38"/>
      <c r="AG167" s="38"/>
      <c r="AH167" s="38"/>
      <c r="AI167" s="38"/>
      <c r="AJ167" s="38"/>
      <c r="AK167" s="1102"/>
    </row>
    <row r="168" spans="1:37" ht="47.25">
      <c r="A168" s="291"/>
      <c r="B168" s="357"/>
      <c r="C168" s="360" t="s">
        <v>629</v>
      </c>
      <c r="D168" s="362" t="s">
        <v>649</v>
      </c>
      <c r="E168" s="364">
        <v>395000000</v>
      </c>
      <c r="F168" s="358"/>
      <c r="G168" s="26">
        <f>E168+F168</f>
        <v>395000000</v>
      </c>
      <c r="H168" s="559" t="s">
        <v>909</v>
      </c>
      <c r="I168" s="558">
        <v>42468</v>
      </c>
      <c r="J168" s="126" t="s">
        <v>723</v>
      </c>
      <c r="K168" s="77" t="s">
        <v>1462</v>
      </c>
      <c r="L168" s="27" t="s">
        <v>387</v>
      </c>
      <c r="M168" s="130" t="s">
        <v>724</v>
      </c>
      <c r="N168" s="128">
        <v>22114400</v>
      </c>
      <c r="O168" s="468"/>
      <c r="P168" s="29">
        <f>N168+O168</f>
        <v>22114400</v>
      </c>
      <c r="Q168" s="30"/>
      <c r="R168" s="30"/>
      <c r="S168" s="30"/>
      <c r="T168" s="30"/>
      <c r="U168" s="30"/>
      <c r="V168" s="36">
        <f>P168</f>
        <v>22114400</v>
      </c>
      <c r="W168" s="30" t="s">
        <v>1474</v>
      </c>
      <c r="X168" s="31">
        <v>42513</v>
      </c>
      <c r="Y168" s="31">
        <v>42520</v>
      </c>
      <c r="Z168" s="30">
        <f>V168</f>
        <v>22114400</v>
      </c>
      <c r="AA168" s="1043">
        <v>1</v>
      </c>
      <c r="AB168" s="378">
        <f>+G168-P168</f>
        <v>372885600</v>
      </c>
      <c r="AC168" s="32"/>
      <c r="AD168" s="38"/>
      <c r="AE168" s="38"/>
      <c r="AF168" s="38"/>
      <c r="AG168" s="38"/>
      <c r="AH168" s="38"/>
      <c r="AI168" s="38"/>
      <c r="AJ168" s="38"/>
      <c r="AK168" s="40"/>
    </row>
    <row r="169" spans="1:37" ht="47.25">
      <c r="A169" s="291"/>
      <c r="B169" s="357"/>
      <c r="C169" s="360"/>
      <c r="D169" s="362"/>
      <c r="E169" s="364"/>
      <c r="F169" s="358"/>
      <c r="G169" s="26"/>
      <c r="H169" s="559" t="s">
        <v>912</v>
      </c>
      <c r="I169" s="558">
        <v>42468</v>
      </c>
      <c r="J169" s="126" t="s">
        <v>730</v>
      </c>
      <c r="K169" s="77" t="s">
        <v>1463</v>
      </c>
      <c r="L169" s="27" t="s">
        <v>387</v>
      </c>
      <c r="M169" s="130" t="s">
        <v>787</v>
      </c>
      <c r="N169" s="128">
        <v>66220000</v>
      </c>
      <c r="O169" s="468"/>
      <c r="P169" s="29">
        <f>N169+O169</f>
        <v>66220000</v>
      </c>
      <c r="Q169" s="30"/>
      <c r="R169" s="30"/>
      <c r="S169" s="30"/>
      <c r="T169" s="30"/>
      <c r="U169" s="30"/>
      <c r="V169" s="36">
        <f>P169</f>
        <v>66220000</v>
      </c>
      <c r="W169" s="30" t="s">
        <v>1349</v>
      </c>
      <c r="X169" s="31">
        <v>42513</v>
      </c>
      <c r="Y169" s="31">
        <v>42520</v>
      </c>
      <c r="Z169" s="30">
        <f>V169</f>
        <v>66220000</v>
      </c>
      <c r="AA169" s="1043">
        <v>1</v>
      </c>
      <c r="AB169" s="378">
        <f>+G169-P169</f>
        <v>-66220000</v>
      </c>
      <c r="AC169" s="32"/>
      <c r="AD169" s="38"/>
      <c r="AE169" s="38"/>
      <c r="AF169" s="38"/>
      <c r="AG169" s="38"/>
      <c r="AH169" s="38"/>
      <c r="AI169" s="38"/>
      <c r="AJ169" s="38"/>
      <c r="AK169" s="40"/>
    </row>
    <row r="170" spans="1:37" ht="31.5">
      <c r="A170" s="291"/>
      <c r="B170" s="357"/>
      <c r="C170" s="360"/>
      <c r="D170" s="362"/>
      <c r="E170" s="364"/>
      <c r="F170" s="358"/>
      <c r="G170" s="26"/>
      <c r="H170" s="26"/>
      <c r="I170" s="26"/>
      <c r="J170" s="126" t="s">
        <v>733</v>
      </c>
      <c r="K170" s="27"/>
      <c r="L170" s="27"/>
      <c r="M170" s="130" t="s">
        <v>734</v>
      </c>
      <c r="N170" s="128">
        <v>8415000</v>
      </c>
      <c r="O170" s="468"/>
      <c r="P170" s="29">
        <f>N170+O170</f>
        <v>8415000</v>
      </c>
      <c r="Q170" s="30"/>
      <c r="R170" s="30"/>
      <c r="S170" s="30"/>
      <c r="T170" s="30"/>
      <c r="U170" s="30"/>
      <c r="V170" s="36">
        <f>P170</f>
        <v>8415000</v>
      </c>
      <c r="W170" s="30" t="s">
        <v>1105</v>
      </c>
      <c r="X170" s="31">
        <v>42482</v>
      </c>
      <c r="Y170" s="31">
        <v>42493</v>
      </c>
      <c r="Z170" s="30">
        <f>V170</f>
        <v>8415000</v>
      </c>
      <c r="AA170" s="1043">
        <v>1</v>
      </c>
      <c r="AB170" s="378">
        <f>+G170-P170</f>
        <v>-8415000</v>
      </c>
      <c r="AC170" s="32"/>
      <c r="AD170" s="38"/>
      <c r="AE170" s="38"/>
      <c r="AF170" s="38"/>
      <c r="AG170" s="38"/>
      <c r="AH170" s="38"/>
      <c r="AI170" s="38"/>
      <c r="AJ170" s="38"/>
      <c r="AK170" s="40"/>
    </row>
    <row r="171" spans="1:37" ht="47.25">
      <c r="A171" s="291"/>
      <c r="B171" s="357"/>
      <c r="C171" s="360"/>
      <c r="D171" s="362"/>
      <c r="E171" s="364"/>
      <c r="F171" s="358"/>
      <c r="G171" s="26"/>
      <c r="H171" s="559" t="s">
        <v>2090</v>
      </c>
      <c r="I171" s="558">
        <v>42606</v>
      </c>
      <c r="J171" s="126" t="s">
        <v>2055</v>
      </c>
      <c r="K171" s="171" t="s">
        <v>2528</v>
      </c>
      <c r="L171" s="27" t="s">
        <v>387</v>
      </c>
      <c r="M171" s="130" t="s">
        <v>2056</v>
      </c>
      <c r="N171" s="128">
        <v>294360000</v>
      </c>
      <c r="O171" s="468"/>
      <c r="P171" s="29">
        <f>N171+O171</f>
        <v>294360000</v>
      </c>
      <c r="Q171" s="30"/>
      <c r="R171" s="30"/>
      <c r="S171" s="30"/>
      <c r="T171" s="30"/>
      <c r="U171" s="30"/>
      <c r="V171" s="36">
        <f>P171</f>
        <v>294360000</v>
      </c>
      <c r="W171" s="30" t="s">
        <v>3060</v>
      </c>
      <c r="X171" s="31">
        <v>42678</v>
      </c>
      <c r="Y171" s="31">
        <v>42684</v>
      </c>
      <c r="Z171" s="30">
        <f>V171</f>
        <v>294360000</v>
      </c>
      <c r="AA171" s="910">
        <v>1</v>
      </c>
      <c r="AB171" s="378">
        <f>+G171-P171</f>
        <v>-294360000</v>
      </c>
      <c r="AC171" s="32"/>
      <c r="AD171" s="38"/>
      <c r="AE171" s="38"/>
      <c r="AF171" s="38"/>
      <c r="AG171" s="48">
        <f>V171</f>
        <v>294360000</v>
      </c>
      <c r="AH171" s="38"/>
      <c r="AI171" s="38"/>
      <c r="AJ171" s="38"/>
      <c r="AK171" s="40"/>
    </row>
    <row r="172" spans="1:37">
      <c r="A172" s="291"/>
      <c r="B172" s="357"/>
      <c r="C172" s="360"/>
      <c r="D172" s="362"/>
      <c r="E172" s="364"/>
      <c r="F172" s="358"/>
      <c r="G172" s="26"/>
      <c r="H172" s="26"/>
      <c r="I172" s="26"/>
      <c r="J172" s="126"/>
      <c r="K172" s="27"/>
      <c r="L172" s="27"/>
      <c r="M172" s="130"/>
      <c r="N172" s="128"/>
      <c r="O172" s="468"/>
      <c r="P172" s="172"/>
      <c r="Q172" s="507"/>
      <c r="R172" s="507"/>
      <c r="S172" s="507"/>
      <c r="T172" s="507"/>
      <c r="U172" s="507"/>
      <c r="V172" s="172"/>
      <c r="W172" s="30"/>
      <c r="X172" s="31"/>
      <c r="Y172" s="31"/>
      <c r="Z172" s="507"/>
      <c r="AA172" s="30"/>
      <c r="AB172" s="378"/>
      <c r="AC172" s="32"/>
      <c r="AD172" s="38"/>
      <c r="AE172" s="38"/>
      <c r="AF172" s="38"/>
      <c r="AG172" s="38"/>
      <c r="AH172" s="38"/>
      <c r="AI172" s="38"/>
      <c r="AJ172" s="38"/>
      <c r="AK172" s="40"/>
    </row>
    <row r="173" spans="1:37" s="769" customFormat="1">
      <c r="A173" s="757"/>
      <c r="B173" s="1057"/>
      <c r="C173" s="1056" t="str">
        <f>C168</f>
        <v>PRK.2015.WKT-4.12.53222.316</v>
      </c>
      <c r="D173" s="1058"/>
      <c r="E173" s="656">
        <f>E168</f>
        <v>395000000</v>
      </c>
      <c r="F173" s="1060"/>
      <c r="G173" s="656">
        <f>G168</f>
        <v>395000000</v>
      </c>
      <c r="H173" s="656"/>
      <c r="I173" s="656"/>
      <c r="J173" s="762"/>
      <c r="K173" s="763"/>
      <c r="L173" s="763"/>
      <c r="M173" s="764"/>
      <c r="N173" s="765">
        <f>SUM(N168:N172)</f>
        <v>391109400</v>
      </c>
      <c r="O173" s="765">
        <f t="shared" ref="O173:V173" si="25">SUM(O168:O172)</f>
        <v>0</v>
      </c>
      <c r="P173" s="765">
        <f t="shared" si="25"/>
        <v>391109400</v>
      </c>
      <c r="Q173" s="765">
        <f t="shared" si="25"/>
        <v>0</v>
      </c>
      <c r="R173" s="765">
        <f t="shared" si="25"/>
        <v>0</v>
      </c>
      <c r="S173" s="765">
        <f t="shared" si="25"/>
        <v>0</v>
      </c>
      <c r="T173" s="765">
        <f t="shared" si="25"/>
        <v>0</v>
      </c>
      <c r="U173" s="765">
        <f t="shared" si="25"/>
        <v>0</v>
      </c>
      <c r="V173" s="765">
        <f t="shared" si="25"/>
        <v>391109400</v>
      </c>
      <c r="W173" s="658"/>
      <c r="X173" s="766"/>
      <c r="Y173" s="766"/>
      <c r="Z173" s="765">
        <f>SUM(Z168:Z171)</f>
        <v>391109400</v>
      </c>
      <c r="AA173" s="658"/>
      <c r="AB173" s="765">
        <f>SUM(AB168:AB172)</f>
        <v>3890600</v>
      </c>
      <c r="AC173" s="767"/>
      <c r="AD173" s="38"/>
      <c r="AE173" s="38"/>
      <c r="AF173" s="38"/>
      <c r="AG173" s="38"/>
      <c r="AH173" s="38"/>
      <c r="AI173" s="38"/>
      <c r="AJ173" s="38"/>
      <c r="AK173" s="1102"/>
    </row>
    <row r="174" spans="1:37" s="422" customFormat="1">
      <c r="A174" s="408"/>
      <c r="B174" s="409"/>
      <c r="C174" s="410"/>
      <c r="D174" s="411"/>
      <c r="E174" s="412"/>
      <c r="F174" s="420"/>
      <c r="G174" s="412"/>
      <c r="H174" s="412"/>
      <c r="I174" s="412"/>
      <c r="J174" s="413"/>
      <c r="K174" s="104"/>
      <c r="L174" s="104"/>
      <c r="M174" s="105"/>
      <c r="N174" s="414"/>
      <c r="O174" s="474"/>
      <c r="P174" s="414"/>
      <c r="Q174" s="421"/>
      <c r="R174" s="421"/>
      <c r="S174" s="421"/>
      <c r="T174" s="421"/>
      <c r="U174" s="421"/>
      <c r="V174" s="416"/>
      <c r="W174" s="415"/>
      <c r="X174" s="417"/>
      <c r="Y174" s="417"/>
      <c r="Z174" s="415"/>
      <c r="AA174" s="415"/>
      <c r="AB174" s="418"/>
      <c r="AC174" s="419"/>
      <c r="AD174" s="38"/>
      <c r="AE174" s="38"/>
      <c r="AF174" s="38"/>
      <c r="AG174" s="38"/>
      <c r="AH174" s="38"/>
      <c r="AI174" s="38"/>
      <c r="AJ174" s="38"/>
      <c r="AK174" s="735"/>
    </row>
    <row r="175" spans="1:37" ht="47.25">
      <c r="A175" s="291"/>
      <c r="B175" s="357"/>
      <c r="C175" s="360" t="s">
        <v>630</v>
      </c>
      <c r="D175" s="362" t="s">
        <v>650</v>
      </c>
      <c r="E175" s="364">
        <v>127600000</v>
      </c>
      <c r="F175" s="358"/>
      <c r="G175" s="365">
        <f>E175+F175</f>
        <v>127600000</v>
      </c>
      <c r="H175" s="559" t="s">
        <v>910</v>
      </c>
      <c r="I175" s="558">
        <v>42468</v>
      </c>
      <c r="J175" s="126" t="s">
        <v>725</v>
      </c>
      <c r="K175" s="77" t="s">
        <v>1465</v>
      </c>
      <c r="L175" s="27" t="s">
        <v>387</v>
      </c>
      <c r="M175" s="130" t="s">
        <v>727</v>
      </c>
      <c r="N175" s="128">
        <v>39600000</v>
      </c>
      <c r="O175" s="468"/>
      <c r="P175" s="29">
        <f t="shared" ref="P175:P181" si="26">N175+O175</f>
        <v>39600000</v>
      </c>
      <c r="Q175" s="30"/>
      <c r="R175" s="30"/>
      <c r="S175" s="30"/>
      <c r="T175" s="30"/>
      <c r="U175" s="30"/>
      <c r="V175" s="36">
        <f t="shared" ref="V175:V181" si="27">P175</f>
        <v>39600000</v>
      </c>
      <c r="W175" s="30" t="s">
        <v>1349</v>
      </c>
      <c r="X175" s="31">
        <v>42513</v>
      </c>
      <c r="Y175" s="31">
        <v>42520</v>
      </c>
      <c r="Z175" s="30">
        <f t="shared" ref="Z175:Z181" si="28">V175</f>
        <v>39600000</v>
      </c>
      <c r="AA175" s="1043">
        <v>1</v>
      </c>
      <c r="AB175" s="378">
        <f t="shared" ref="AB175:AB183" si="29">+G175-P175</f>
        <v>88000000</v>
      </c>
      <c r="AC175" s="32"/>
      <c r="AD175" s="38"/>
      <c r="AE175" s="38"/>
      <c r="AF175" s="38"/>
      <c r="AG175" s="38"/>
      <c r="AH175" s="38"/>
      <c r="AI175" s="38"/>
      <c r="AJ175" s="38"/>
      <c r="AK175" s="40"/>
    </row>
    <row r="176" spans="1:37">
      <c r="A176" s="291"/>
      <c r="B176" s="357"/>
      <c r="C176" s="360"/>
      <c r="D176" s="362"/>
      <c r="E176" s="364"/>
      <c r="F176" s="358"/>
      <c r="G176" s="365"/>
      <c r="H176" s="26"/>
      <c r="I176" s="26"/>
      <c r="J176" s="126" t="s">
        <v>731</v>
      </c>
      <c r="K176" s="27"/>
      <c r="L176" s="27"/>
      <c r="M176" s="130" t="s">
        <v>732</v>
      </c>
      <c r="N176" s="128"/>
      <c r="O176" s="128">
        <v>5786000</v>
      </c>
      <c r="P176" s="29">
        <f t="shared" si="26"/>
        <v>5786000</v>
      </c>
      <c r="Q176" s="30"/>
      <c r="R176" s="30"/>
      <c r="S176" s="30"/>
      <c r="T176" s="30"/>
      <c r="U176" s="30"/>
      <c r="V176" s="36">
        <f t="shared" si="27"/>
        <v>5786000</v>
      </c>
      <c r="W176" s="30" t="s">
        <v>1105</v>
      </c>
      <c r="X176" s="31">
        <v>42482</v>
      </c>
      <c r="Y176" s="31">
        <v>42493</v>
      </c>
      <c r="Z176" s="30">
        <f t="shared" si="28"/>
        <v>5786000</v>
      </c>
      <c r="AA176" s="1043">
        <v>1</v>
      </c>
      <c r="AB176" s="378">
        <f t="shared" si="29"/>
        <v>-5786000</v>
      </c>
      <c r="AC176" s="32"/>
      <c r="AD176" s="38"/>
      <c r="AE176" s="38"/>
      <c r="AF176" s="38"/>
      <c r="AG176" s="38"/>
      <c r="AH176" s="38"/>
      <c r="AI176" s="38"/>
      <c r="AJ176" s="38"/>
      <c r="AK176" s="40"/>
    </row>
    <row r="177" spans="1:37" ht="47.25">
      <c r="A177" s="291"/>
      <c r="B177" s="357"/>
      <c r="C177" s="360"/>
      <c r="D177" s="362"/>
      <c r="E177" s="364"/>
      <c r="F177" s="358"/>
      <c r="G177" s="365"/>
      <c r="H177" s="559" t="s">
        <v>1504</v>
      </c>
      <c r="I177" s="558">
        <v>42520</v>
      </c>
      <c r="J177" s="126" t="s">
        <v>1491</v>
      </c>
      <c r="K177" s="77" t="s">
        <v>1759</v>
      </c>
      <c r="L177" s="27" t="s">
        <v>387</v>
      </c>
      <c r="M177" s="130" t="s">
        <v>732</v>
      </c>
      <c r="N177" s="128"/>
      <c r="O177" s="645">
        <v>31262000</v>
      </c>
      <c r="P177" s="29">
        <f t="shared" si="26"/>
        <v>31262000</v>
      </c>
      <c r="Q177" s="30"/>
      <c r="R177" s="30"/>
      <c r="S177" s="30"/>
      <c r="T177" s="30"/>
      <c r="U177" s="30"/>
      <c r="V177" s="36">
        <f t="shared" si="27"/>
        <v>31262000</v>
      </c>
      <c r="W177" s="30" t="s">
        <v>2792</v>
      </c>
      <c r="X177" s="31">
        <v>42655</v>
      </c>
      <c r="Y177" s="31">
        <v>42655</v>
      </c>
      <c r="Z177" s="30">
        <f t="shared" si="28"/>
        <v>31262000</v>
      </c>
      <c r="AA177" s="1043">
        <v>1</v>
      </c>
      <c r="AB177" s="378">
        <f t="shared" si="29"/>
        <v>-31262000</v>
      </c>
      <c r="AC177" s="32"/>
      <c r="AD177" s="38"/>
      <c r="AE177" s="38"/>
      <c r="AF177" s="38"/>
      <c r="AG177" s="48">
        <f>V177</f>
        <v>31262000</v>
      </c>
      <c r="AH177" s="38"/>
      <c r="AI177" s="38"/>
      <c r="AJ177" s="38"/>
      <c r="AK177" s="40"/>
    </row>
    <row r="178" spans="1:37" ht="47.25">
      <c r="A178" s="291"/>
      <c r="B178" s="357"/>
      <c r="C178" s="360"/>
      <c r="D178" s="362"/>
      <c r="E178" s="364"/>
      <c r="F178" s="358"/>
      <c r="G178" s="365"/>
      <c r="H178" s="559" t="s">
        <v>1503</v>
      </c>
      <c r="I178" s="558">
        <v>42520</v>
      </c>
      <c r="J178" s="126" t="s">
        <v>1492</v>
      </c>
      <c r="K178" s="77" t="s">
        <v>1757</v>
      </c>
      <c r="L178" s="27" t="s">
        <v>387</v>
      </c>
      <c r="M178" s="130" t="s">
        <v>1493</v>
      </c>
      <c r="N178" s="128">
        <v>26620000</v>
      </c>
      <c r="O178" s="645"/>
      <c r="P178" s="29">
        <f t="shared" si="26"/>
        <v>26620000</v>
      </c>
      <c r="Q178" s="30"/>
      <c r="R178" s="30"/>
      <c r="S178" s="30"/>
      <c r="T178" s="30"/>
      <c r="U178" s="30"/>
      <c r="V178" s="36">
        <f t="shared" si="27"/>
        <v>26620000</v>
      </c>
      <c r="W178" s="30" t="s">
        <v>1992</v>
      </c>
      <c r="X178" s="31">
        <v>42573</v>
      </c>
      <c r="Y178" s="31">
        <v>42579</v>
      </c>
      <c r="Z178" s="30">
        <f t="shared" si="28"/>
        <v>26620000</v>
      </c>
      <c r="AA178" s="1043">
        <v>1</v>
      </c>
      <c r="AB178" s="378">
        <f t="shared" si="29"/>
        <v>-26620000</v>
      </c>
      <c r="AC178" s="32"/>
      <c r="AD178" s="38"/>
      <c r="AE178" s="38"/>
      <c r="AF178" s="38"/>
      <c r="AG178" s="38"/>
      <c r="AH178" s="38"/>
      <c r="AI178" s="38"/>
      <c r="AJ178" s="38"/>
      <c r="AK178" s="40"/>
    </row>
    <row r="179" spans="1:37" ht="31.5">
      <c r="A179" s="291"/>
      <c r="B179" s="357"/>
      <c r="C179" s="360"/>
      <c r="D179" s="362"/>
      <c r="E179" s="364"/>
      <c r="F179" s="358"/>
      <c r="G179" s="365"/>
      <c r="H179" s="26"/>
      <c r="I179" s="26"/>
      <c r="J179" s="126" t="s">
        <v>2464</v>
      </c>
      <c r="K179" s="27"/>
      <c r="L179" s="27" t="s">
        <v>387</v>
      </c>
      <c r="M179" s="130" t="s">
        <v>2467</v>
      </c>
      <c r="N179" s="128">
        <v>8910000</v>
      </c>
      <c r="O179" s="468"/>
      <c r="P179" s="29">
        <f t="shared" si="26"/>
        <v>8910000</v>
      </c>
      <c r="Q179" s="30"/>
      <c r="R179" s="30"/>
      <c r="S179" s="30"/>
      <c r="T179" s="30"/>
      <c r="U179" s="30"/>
      <c r="V179" s="36">
        <f t="shared" si="27"/>
        <v>8910000</v>
      </c>
      <c r="W179" s="30" t="s">
        <v>2786</v>
      </c>
      <c r="X179" s="31">
        <v>42653</v>
      </c>
      <c r="Y179" s="31">
        <v>42656</v>
      </c>
      <c r="Z179" s="30">
        <f t="shared" si="28"/>
        <v>8910000</v>
      </c>
      <c r="AA179" s="1043">
        <v>1</v>
      </c>
      <c r="AB179" s="378">
        <f t="shared" si="29"/>
        <v>-8910000</v>
      </c>
      <c r="AC179" s="32"/>
      <c r="AD179" s="38"/>
      <c r="AE179" s="38"/>
      <c r="AF179" s="38"/>
      <c r="AG179" s="48">
        <f>V179</f>
        <v>8910000</v>
      </c>
      <c r="AH179" s="38"/>
      <c r="AI179" s="38"/>
      <c r="AJ179" s="38"/>
      <c r="AK179" s="40"/>
    </row>
    <row r="180" spans="1:37" ht="31.5">
      <c r="A180" s="291"/>
      <c r="B180" s="357"/>
      <c r="C180" s="360"/>
      <c r="D180" s="362"/>
      <c r="E180" s="364"/>
      <c r="F180" s="358"/>
      <c r="G180" s="365"/>
      <c r="H180" s="26"/>
      <c r="I180" s="26"/>
      <c r="J180" s="126" t="s">
        <v>2465</v>
      </c>
      <c r="K180" s="27"/>
      <c r="L180" s="27" t="s">
        <v>387</v>
      </c>
      <c r="M180" s="130" t="s">
        <v>2467</v>
      </c>
      <c r="N180" s="128">
        <v>8910000</v>
      </c>
      <c r="O180" s="468"/>
      <c r="P180" s="172">
        <f t="shared" si="26"/>
        <v>8910000</v>
      </c>
      <c r="Q180" s="507"/>
      <c r="R180" s="507"/>
      <c r="S180" s="507"/>
      <c r="T180" s="507"/>
      <c r="U180" s="507"/>
      <c r="V180" s="36">
        <f t="shared" si="27"/>
        <v>8910000</v>
      </c>
      <c r="W180" s="30" t="s">
        <v>2786</v>
      </c>
      <c r="X180" s="31">
        <v>42653</v>
      </c>
      <c r="Y180" s="31">
        <v>42656</v>
      </c>
      <c r="Z180" s="30">
        <f t="shared" si="28"/>
        <v>8910000</v>
      </c>
      <c r="AA180" s="1043">
        <v>1</v>
      </c>
      <c r="AB180" s="378">
        <f t="shared" si="29"/>
        <v>-8910000</v>
      </c>
      <c r="AC180" s="32"/>
      <c r="AD180" s="38"/>
      <c r="AE180" s="38"/>
      <c r="AF180" s="38"/>
      <c r="AG180" s="48">
        <f>V180</f>
        <v>8910000</v>
      </c>
      <c r="AH180" s="38"/>
      <c r="AI180" s="38"/>
      <c r="AJ180" s="38"/>
      <c r="AK180" s="40"/>
    </row>
    <row r="181" spans="1:37" ht="31.5">
      <c r="A181" s="291"/>
      <c r="B181" s="357"/>
      <c r="C181" s="360"/>
      <c r="D181" s="362"/>
      <c r="E181" s="364"/>
      <c r="F181" s="358"/>
      <c r="G181" s="365"/>
      <c r="H181" s="26"/>
      <c r="I181" s="26"/>
      <c r="J181" s="126" t="s">
        <v>2466</v>
      </c>
      <c r="K181" s="27"/>
      <c r="L181" s="27" t="s">
        <v>387</v>
      </c>
      <c r="M181" s="130" t="s">
        <v>2467</v>
      </c>
      <c r="N181" s="128">
        <v>5720000</v>
      </c>
      <c r="O181" s="468"/>
      <c r="P181" s="172">
        <f t="shared" si="26"/>
        <v>5720000</v>
      </c>
      <c r="Q181" s="507"/>
      <c r="R181" s="507"/>
      <c r="S181" s="507"/>
      <c r="T181" s="507"/>
      <c r="U181" s="507"/>
      <c r="V181" s="36">
        <f t="shared" si="27"/>
        <v>5720000</v>
      </c>
      <c r="W181" s="30" t="s">
        <v>2786</v>
      </c>
      <c r="X181" s="31">
        <v>42653</v>
      </c>
      <c r="Y181" s="31">
        <v>42656</v>
      </c>
      <c r="Z181" s="30">
        <f t="shared" si="28"/>
        <v>5720000</v>
      </c>
      <c r="AA181" s="1043">
        <v>1</v>
      </c>
      <c r="AB181" s="378">
        <f t="shared" si="29"/>
        <v>-5720000</v>
      </c>
      <c r="AC181" s="32"/>
      <c r="AD181" s="38"/>
      <c r="AE181" s="38"/>
      <c r="AF181" s="38"/>
      <c r="AG181" s="48">
        <f>V181</f>
        <v>5720000</v>
      </c>
      <c r="AH181" s="38"/>
      <c r="AI181" s="38"/>
      <c r="AJ181" s="38"/>
      <c r="AK181" s="40"/>
    </row>
    <row r="182" spans="1:37" s="769" customFormat="1">
      <c r="A182" s="757"/>
      <c r="B182" s="1057"/>
      <c r="C182" s="1056"/>
      <c r="D182" s="1058"/>
      <c r="E182" s="1059">
        <f>SUM(E175:E179)</f>
        <v>127600000</v>
      </c>
      <c r="F182" s="1059">
        <f>SUM(F175:F179)</f>
        <v>0</v>
      </c>
      <c r="G182" s="1062">
        <f>G175</f>
        <v>127600000</v>
      </c>
      <c r="H182" s="656"/>
      <c r="I182" s="656"/>
      <c r="J182" s="762"/>
      <c r="K182" s="763"/>
      <c r="L182" s="763"/>
      <c r="M182" s="764"/>
      <c r="N182" s="765">
        <f>SUM(N175:N181)</f>
        <v>89760000</v>
      </c>
      <c r="O182" s="765">
        <f t="shared" ref="O182:V182" si="30">SUM(O175:O181)</f>
        <v>37048000</v>
      </c>
      <c r="P182" s="765">
        <f t="shared" si="30"/>
        <v>126808000</v>
      </c>
      <c r="Q182" s="765">
        <f t="shared" si="30"/>
        <v>0</v>
      </c>
      <c r="R182" s="765">
        <f t="shared" si="30"/>
        <v>0</v>
      </c>
      <c r="S182" s="765">
        <f t="shared" si="30"/>
        <v>0</v>
      </c>
      <c r="T182" s="765">
        <f t="shared" si="30"/>
        <v>0</v>
      </c>
      <c r="U182" s="765">
        <f t="shared" si="30"/>
        <v>0</v>
      </c>
      <c r="V182" s="765">
        <f t="shared" si="30"/>
        <v>126808000</v>
      </c>
      <c r="W182" s="658"/>
      <c r="X182" s="766"/>
      <c r="Y182" s="766"/>
      <c r="Z182" s="765">
        <f>SUM(Z175:Z181)</f>
        <v>126808000</v>
      </c>
      <c r="AA182" s="658"/>
      <c r="AB182" s="765">
        <f>SUM(AB175:AB181)</f>
        <v>792000</v>
      </c>
      <c r="AC182" s="767"/>
      <c r="AD182" s="38"/>
      <c r="AE182" s="38"/>
      <c r="AF182" s="38"/>
      <c r="AG182" s="38"/>
      <c r="AH182" s="38"/>
      <c r="AI182" s="38"/>
      <c r="AJ182" s="38"/>
      <c r="AK182" s="1102"/>
    </row>
    <row r="183" spans="1:37" ht="47.25">
      <c r="A183" s="291"/>
      <c r="B183" s="357"/>
      <c r="C183" s="359" t="s">
        <v>631</v>
      </c>
      <c r="D183" s="361" t="s">
        <v>651</v>
      </c>
      <c r="E183" s="363"/>
      <c r="F183" s="363">
        <v>164175000</v>
      </c>
      <c r="G183" s="26">
        <f>E183+F183</f>
        <v>164175000</v>
      </c>
      <c r="H183" s="559" t="s">
        <v>1242</v>
      </c>
      <c r="I183" s="26"/>
      <c r="J183" s="126" t="s">
        <v>1020</v>
      </c>
      <c r="K183" s="77" t="s">
        <v>1744</v>
      </c>
      <c r="L183" s="27" t="s">
        <v>1745</v>
      </c>
      <c r="M183" s="130" t="s">
        <v>1021</v>
      </c>
      <c r="N183" s="128"/>
      <c r="O183" s="645">
        <v>161425000</v>
      </c>
      <c r="P183" s="29">
        <f>N183+O183</f>
        <v>161425000</v>
      </c>
      <c r="Q183" s="30"/>
      <c r="R183" s="30"/>
      <c r="S183" s="30"/>
      <c r="T183" s="30"/>
      <c r="U183" s="30"/>
      <c r="V183" s="36">
        <f>P183</f>
        <v>161425000</v>
      </c>
      <c r="W183" s="30" t="s">
        <v>2367</v>
      </c>
      <c r="X183" s="31">
        <v>42622</v>
      </c>
      <c r="Y183" s="31">
        <v>42627</v>
      </c>
      <c r="Z183" s="30">
        <v>103873000</v>
      </c>
      <c r="AA183" s="1043">
        <f>Z183/V183</f>
        <v>0.64347529812606474</v>
      </c>
      <c r="AB183" s="378">
        <f t="shared" si="29"/>
        <v>2750000</v>
      </c>
      <c r="AC183" s="32"/>
      <c r="AD183" s="48"/>
      <c r="AE183" s="38"/>
      <c r="AF183" s="38"/>
      <c r="AG183" s="38"/>
      <c r="AH183" s="38"/>
      <c r="AI183" s="38"/>
      <c r="AJ183" s="38"/>
      <c r="AK183" s="40"/>
    </row>
    <row r="184" spans="1:37">
      <c r="A184" s="291"/>
      <c r="B184" s="357"/>
      <c r="C184" s="359"/>
      <c r="D184" s="361"/>
      <c r="E184" s="363"/>
      <c r="F184" s="363"/>
      <c r="G184" s="26"/>
      <c r="H184" s="559"/>
      <c r="I184" s="26"/>
      <c r="J184" s="126"/>
      <c r="K184" s="77"/>
      <c r="L184" s="27"/>
      <c r="M184" s="130"/>
      <c r="N184" s="128"/>
      <c r="O184" s="645"/>
      <c r="P184" s="29"/>
      <c r="Q184" s="30"/>
      <c r="R184" s="30"/>
      <c r="S184" s="30"/>
      <c r="T184" s="30"/>
      <c r="U184" s="30"/>
      <c r="V184" s="36"/>
      <c r="W184" s="30" t="s">
        <v>3548</v>
      </c>
      <c r="X184" s="31">
        <v>42732</v>
      </c>
      <c r="Y184" s="31">
        <v>42734</v>
      </c>
      <c r="Z184" s="30">
        <v>53691000</v>
      </c>
      <c r="AA184" s="1043">
        <f>Z184/V183</f>
        <v>0.33260647359454854</v>
      </c>
      <c r="AB184" s="378"/>
      <c r="AC184" s="32"/>
      <c r="AD184" s="48"/>
      <c r="AE184" s="38"/>
      <c r="AF184" s="38"/>
      <c r="AG184" s="38"/>
      <c r="AH184" s="38"/>
      <c r="AI184" s="38"/>
      <c r="AJ184" s="38"/>
      <c r="AK184" s="40"/>
    </row>
    <row r="185" spans="1:37">
      <c r="A185" s="1003"/>
      <c r="B185" s="1004"/>
      <c r="C185" s="1768"/>
      <c r="D185" s="1005"/>
      <c r="E185" s="1006"/>
      <c r="F185" s="1006"/>
      <c r="G185" s="860"/>
      <c r="H185" s="1090"/>
      <c r="I185" s="860"/>
      <c r="J185" s="1008"/>
      <c r="K185" s="1009"/>
      <c r="L185" s="1010"/>
      <c r="M185" s="1011"/>
      <c r="N185" s="1769"/>
      <c r="O185" s="1770"/>
      <c r="P185" s="1771"/>
      <c r="Q185" s="1012"/>
      <c r="R185" s="1012"/>
      <c r="S185" s="1012"/>
      <c r="T185" s="1012"/>
      <c r="U185" s="1012"/>
      <c r="V185" s="861"/>
      <c r="W185" s="1012"/>
      <c r="X185" s="1013"/>
      <c r="Y185" s="1013"/>
      <c r="Z185" s="658">
        <f>SUM(Z183:Z184)</f>
        <v>157564000</v>
      </c>
      <c r="AA185" s="1772"/>
      <c r="AB185" s="1773"/>
      <c r="AC185" s="1014"/>
      <c r="AD185" s="48"/>
      <c r="AE185" s="38"/>
      <c r="AF185" s="38"/>
      <c r="AG185" s="38"/>
      <c r="AH185" s="38"/>
      <c r="AI185" s="38"/>
      <c r="AJ185" s="38"/>
      <c r="AK185" s="40"/>
    </row>
    <row r="186" spans="1:37">
      <c r="A186" s="291"/>
      <c r="B186" s="357"/>
      <c r="C186" s="359"/>
      <c r="D186" s="361"/>
      <c r="E186" s="363"/>
      <c r="F186" s="363"/>
      <c r="G186" s="26"/>
      <c r="H186" s="26"/>
      <c r="I186" s="26"/>
      <c r="J186" s="126"/>
      <c r="K186" s="27"/>
      <c r="L186" s="27"/>
      <c r="M186" s="130"/>
      <c r="N186" s="128"/>
      <c r="O186" s="468"/>
      <c r="P186" s="29"/>
      <c r="Q186" s="30"/>
      <c r="R186" s="30"/>
      <c r="S186" s="30"/>
      <c r="T186" s="30"/>
      <c r="U186" s="30"/>
      <c r="V186" s="36"/>
      <c r="W186" s="30"/>
      <c r="X186" s="31"/>
      <c r="Y186" s="31"/>
      <c r="Z186" s="30"/>
      <c r="AA186" s="30"/>
      <c r="AB186" s="378"/>
      <c r="AC186" s="32"/>
      <c r="AD186" s="38"/>
      <c r="AE186" s="38"/>
      <c r="AF186" s="38"/>
      <c r="AG186" s="38"/>
      <c r="AH186" s="38"/>
      <c r="AI186" s="38"/>
      <c r="AJ186" s="38"/>
      <c r="AK186" s="40"/>
    </row>
    <row r="187" spans="1:37" ht="47.25">
      <c r="A187" s="291"/>
      <c r="B187" s="357"/>
      <c r="C187" s="359" t="s">
        <v>632</v>
      </c>
      <c r="D187" s="361" t="s">
        <v>652</v>
      </c>
      <c r="E187" s="363"/>
      <c r="F187" s="363">
        <v>283566000</v>
      </c>
      <c r="G187" s="26">
        <f>E187+F187</f>
        <v>283566000</v>
      </c>
      <c r="H187" s="559" t="s">
        <v>911</v>
      </c>
      <c r="I187" s="558">
        <v>42468</v>
      </c>
      <c r="J187" s="126" t="s">
        <v>790</v>
      </c>
      <c r="K187" s="77" t="s">
        <v>1480</v>
      </c>
      <c r="L187" s="27" t="s">
        <v>786</v>
      </c>
      <c r="M187" s="130" t="s">
        <v>789</v>
      </c>
      <c r="N187" s="128">
        <v>66775480</v>
      </c>
      <c r="O187" s="468"/>
      <c r="P187" s="29">
        <f>N187+O187</f>
        <v>66775480</v>
      </c>
      <c r="Q187" s="30"/>
      <c r="R187" s="30"/>
      <c r="S187" s="30"/>
      <c r="T187" s="30"/>
      <c r="U187" s="30"/>
      <c r="V187" s="36">
        <f>P187</f>
        <v>66775480</v>
      </c>
      <c r="W187" s="30" t="s">
        <v>1698</v>
      </c>
      <c r="X187" s="31">
        <v>42534</v>
      </c>
      <c r="Y187" s="31">
        <v>42549</v>
      </c>
      <c r="Z187" s="30">
        <f>V187</f>
        <v>66775480</v>
      </c>
      <c r="AA187" s="1043">
        <v>1</v>
      </c>
      <c r="AB187" s="378">
        <f>+G187-P187</f>
        <v>216790520</v>
      </c>
      <c r="AC187" s="32"/>
      <c r="AD187" s="38"/>
      <c r="AE187" s="38"/>
      <c r="AF187" s="38"/>
      <c r="AG187" s="38"/>
      <c r="AH187" s="38"/>
      <c r="AI187" s="38"/>
      <c r="AJ187" s="38"/>
      <c r="AK187" s="40"/>
    </row>
    <row r="188" spans="1:37" ht="47.25">
      <c r="A188" s="291"/>
      <c r="B188" s="357"/>
      <c r="C188" s="359"/>
      <c r="D188" s="361"/>
      <c r="E188" s="363"/>
      <c r="F188" s="363"/>
      <c r="G188" s="26"/>
      <c r="H188" s="559" t="s">
        <v>2559</v>
      </c>
      <c r="I188" s="558">
        <v>42641</v>
      </c>
      <c r="J188" s="126" t="s">
        <v>2554</v>
      </c>
      <c r="K188" s="171" t="s">
        <v>2838</v>
      </c>
      <c r="L188" s="27" t="s">
        <v>784</v>
      </c>
      <c r="M188" s="130" t="s">
        <v>2555</v>
      </c>
      <c r="N188" s="128"/>
      <c r="O188" s="645">
        <v>210093991</v>
      </c>
      <c r="P188" s="29">
        <f>N188+O188</f>
        <v>210093991</v>
      </c>
      <c r="Q188" s="30"/>
      <c r="R188" s="30"/>
      <c r="S188" s="30"/>
      <c r="T188" s="30"/>
      <c r="U188" s="30"/>
      <c r="V188" s="36">
        <f>P188</f>
        <v>210093991</v>
      </c>
      <c r="W188" s="30" t="s">
        <v>3585</v>
      </c>
      <c r="X188" s="31">
        <v>42732</v>
      </c>
      <c r="Y188" s="31">
        <v>42734</v>
      </c>
      <c r="Z188" s="30">
        <f>V188</f>
        <v>210093991</v>
      </c>
      <c r="AA188" s="1043">
        <v>1</v>
      </c>
      <c r="AB188" s="378">
        <f>+G188-P188</f>
        <v>-210093991</v>
      </c>
      <c r="AC188" s="32"/>
      <c r="AD188" s="38"/>
      <c r="AE188" s="38"/>
      <c r="AF188" s="38"/>
      <c r="AG188" s="38"/>
      <c r="AH188" s="38"/>
      <c r="AI188" s="38"/>
      <c r="AJ188" s="38"/>
      <c r="AK188" s="40"/>
    </row>
    <row r="189" spans="1:37" s="769" customFormat="1">
      <c r="A189" s="757"/>
      <c r="B189" s="1057"/>
      <c r="C189" s="759" t="str">
        <f>C187</f>
        <v>PRK.2015.WKT-4.12.53221.319</v>
      </c>
      <c r="D189" s="1063"/>
      <c r="E189" s="1064"/>
      <c r="F189" s="1064"/>
      <c r="G189" s="656">
        <f>G187</f>
        <v>283566000</v>
      </c>
      <c r="H189" s="864"/>
      <c r="I189" s="761"/>
      <c r="J189" s="762"/>
      <c r="K189" s="775"/>
      <c r="L189" s="763"/>
      <c r="M189" s="764"/>
      <c r="N189" s="765">
        <f>SUM(N187:N188)</f>
        <v>66775480</v>
      </c>
      <c r="O189" s="765">
        <f t="shared" ref="O189:V189" si="31">SUM(O187:O188)</f>
        <v>210093991</v>
      </c>
      <c r="P189" s="765">
        <f t="shared" si="31"/>
        <v>276869471</v>
      </c>
      <c r="Q189" s="765">
        <f t="shared" si="31"/>
        <v>0</v>
      </c>
      <c r="R189" s="765">
        <f t="shared" si="31"/>
        <v>0</v>
      </c>
      <c r="S189" s="765">
        <f t="shared" si="31"/>
        <v>0</v>
      </c>
      <c r="T189" s="765">
        <f t="shared" si="31"/>
        <v>0</v>
      </c>
      <c r="U189" s="765">
        <f t="shared" si="31"/>
        <v>0</v>
      </c>
      <c r="V189" s="765">
        <f t="shared" si="31"/>
        <v>276869471</v>
      </c>
      <c r="W189" s="658"/>
      <c r="X189" s="766"/>
      <c r="Y189" s="766"/>
      <c r="Z189" s="765">
        <f>SUM(Z187:Z188)</f>
        <v>276869471</v>
      </c>
      <c r="AA189" s="1366"/>
      <c r="AB189" s="765">
        <f>SUM(AB187:AB188)</f>
        <v>6696529</v>
      </c>
      <c r="AC189" s="767"/>
      <c r="AD189" s="38"/>
      <c r="AE189" s="38"/>
      <c r="AF189" s="38"/>
      <c r="AG189" s="38"/>
      <c r="AH189" s="48"/>
      <c r="AI189" s="38"/>
      <c r="AJ189" s="38"/>
      <c r="AK189" s="1102"/>
    </row>
    <row r="190" spans="1:37">
      <c r="A190" s="291"/>
      <c r="B190" s="357"/>
      <c r="C190" s="359"/>
      <c r="D190" s="361"/>
      <c r="E190" s="363"/>
      <c r="F190" s="363"/>
      <c r="G190" s="26"/>
      <c r="H190" s="26"/>
      <c r="I190" s="26"/>
      <c r="J190" s="126"/>
      <c r="K190" s="27"/>
      <c r="L190" s="27"/>
      <c r="M190" s="130"/>
      <c r="N190" s="128"/>
      <c r="O190" s="468"/>
      <c r="P190" s="29"/>
      <c r="Q190" s="30"/>
      <c r="R190" s="30"/>
      <c r="S190" s="30"/>
      <c r="T190" s="30"/>
      <c r="U190" s="30"/>
      <c r="V190" s="36"/>
      <c r="W190" s="30"/>
      <c r="X190" s="31"/>
      <c r="Y190" s="31"/>
      <c r="Z190" s="30"/>
      <c r="AA190" s="30"/>
      <c r="AB190" s="378"/>
      <c r="AC190" s="32"/>
      <c r="AD190" s="38"/>
      <c r="AE190" s="38"/>
      <c r="AF190" s="38"/>
      <c r="AG190" s="38"/>
      <c r="AH190" s="48"/>
      <c r="AI190" s="38"/>
      <c r="AJ190" s="38"/>
      <c r="AK190" s="40"/>
    </row>
    <row r="191" spans="1:37" ht="31.5">
      <c r="A191" s="291"/>
      <c r="B191" s="357"/>
      <c r="C191" s="359" t="s">
        <v>633</v>
      </c>
      <c r="D191" s="361" t="s">
        <v>653</v>
      </c>
      <c r="E191" s="363"/>
      <c r="F191" s="363">
        <v>297320000</v>
      </c>
      <c r="G191" s="26">
        <f>E191+F191</f>
        <v>297320000</v>
      </c>
      <c r="H191" s="26"/>
      <c r="I191" s="26"/>
      <c r="J191" s="126" t="s">
        <v>1823</v>
      </c>
      <c r="K191" s="77" t="s">
        <v>2823</v>
      </c>
      <c r="L191" s="27" t="s">
        <v>2824</v>
      </c>
      <c r="M191" s="130" t="s">
        <v>1824</v>
      </c>
      <c r="N191" s="128"/>
      <c r="O191" s="645">
        <v>184052676</v>
      </c>
      <c r="P191" s="29">
        <f>N191+O191</f>
        <v>184052676</v>
      </c>
      <c r="Q191" s="30"/>
      <c r="R191" s="30"/>
      <c r="S191" s="30"/>
      <c r="T191" s="30"/>
      <c r="U191" s="30"/>
      <c r="V191" s="36">
        <f>P191</f>
        <v>184052676</v>
      </c>
      <c r="W191" s="30" t="s">
        <v>3058</v>
      </c>
      <c r="X191" s="31">
        <v>42675</v>
      </c>
      <c r="Y191" s="31">
        <v>42678</v>
      </c>
      <c r="Z191" s="30">
        <f>V191</f>
        <v>184052676</v>
      </c>
      <c r="AA191" s="1043">
        <v>1</v>
      </c>
      <c r="AB191" s="378">
        <f>+G191-P191</f>
        <v>113267324</v>
      </c>
      <c r="AC191" s="32"/>
      <c r="AD191" s="38"/>
      <c r="AE191" s="38"/>
      <c r="AF191" s="38"/>
      <c r="AG191" s="38"/>
      <c r="AH191" s="48">
        <f>V191</f>
        <v>184052676</v>
      </c>
      <c r="AI191" s="38"/>
      <c r="AJ191" s="38"/>
      <c r="AK191" s="40"/>
    </row>
    <row r="192" spans="1:37" ht="47.25">
      <c r="A192" s="291"/>
      <c r="B192" s="357"/>
      <c r="C192" s="359"/>
      <c r="D192" s="361"/>
      <c r="E192" s="363"/>
      <c r="F192" s="363"/>
      <c r="G192" s="26"/>
      <c r="H192" s="381" t="s">
        <v>2458</v>
      </c>
      <c r="I192" s="558">
        <v>42641</v>
      </c>
      <c r="J192" s="126" t="s">
        <v>2454</v>
      </c>
      <c r="K192" s="77" t="s">
        <v>2822</v>
      </c>
      <c r="L192" s="27" t="s">
        <v>387</v>
      </c>
      <c r="M192" s="130" t="s">
        <v>2455</v>
      </c>
      <c r="N192" s="128"/>
      <c r="O192" s="645">
        <v>99454232</v>
      </c>
      <c r="P192" s="29">
        <f>N192+O192</f>
        <v>99454232</v>
      </c>
      <c r="Q192" s="30"/>
      <c r="R192" s="30"/>
      <c r="S192" s="30"/>
      <c r="T192" s="30"/>
      <c r="U192" s="30"/>
      <c r="V192" s="36">
        <f>P192</f>
        <v>99454232</v>
      </c>
      <c r="W192" s="366" t="s">
        <v>3538</v>
      </c>
      <c r="X192" s="1714">
        <v>42719</v>
      </c>
      <c r="Y192" s="1714">
        <v>42724</v>
      </c>
      <c r="Z192" s="369">
        <f>V192</f>
        <v>99454232</v>
      </c>
      <c r="AA192" s="1658">
        <v>1</v>
      </c>
      <c r="AB192" s="378">
        <f>+G192-P192</f>
        <v>-99454232</v>
      </c>
      <c r="AC192" s="32"/>
      <c r="AD192" s="38"/>
      <c r="AE192" s="38"/>
      <c r="AF192" s="38"/>
      <c r="AG192" s="38"/>
      <c r="AH192" s="48">
        <f>V192</f>
        <v>99454232</v>
      </c>
      <c r="AI192" s="38"/>
      <c r="AJ192" s="38"/>
      <c r="AK192" s="40"/>
    </row>
    <row r="193" spans="1:37">
      <c r="A193" s="291"/>
      <c r="B193" s="357"/>
      <c r="C193" s="359"/>
      <c r="D193" s="361"/>
      <c r="E193" s="363"/>
      <c r="F193" s="363"/>
      <c r="G193" s="26"/>
      <c r="H193" s="381"/>
      <c r="I193" s="558"/>
      <c r="J193" s="126" t="s">
        <v>2926</v>
      </c>
      <c r="K193" s="77"/>
      <c r="L193" s="27" t="s">
        <v>2788</v>
      </c>
      <c r="M193" s="130" t="s">
        <v>2927</v>
      </c>
      <c r="N193" s="128"/>
      <c r="O193" s="645">
        <v>8118000</v>
      </c>
      <c r="P193" s="29">
        <f>N193+O193</f>
        <v>8118000</v>
      </c>
      <c r="Q193" s="507"/>
      <c r="R193" s="507"/>
      <c r="S193" s="507"/>
      <c r="T193" s="507"/>
      <c r="U193" s="30"/>
      <c r="V193" s="36">
        <f>P193</f>
        <v>8118000</v>
      </c>
      <c r="W193" s="30" t="s">
        <v>3112</v>
      </c>
      <c r="X193" s="31">
        <v>42685</v>
      </c>
      <c r="Y193" s="31">
        <v>42691</v>
      </c>
      <c r="Z193" s="30">
        <f>V193</f>
        <v>8118000</v>
      </c>
      <c r="AA193" s="910">
        <v>1</v>
      </c>
      <c r="AB193" s="378">
        <f>+G193-P193</f>
        <v>-8118000</v>
      </c>
      <c r="AC193" s="32"/>
      <c r="AD193" s="38"/>
      <c r="AE193" s="38"/>
      <c r="AF193" s="38"/>
      <c r="AG193" s="38"/>
      <c r="AH193" s="48"/>
      <c r="AI193" s="38"/>
      <c r="AJ193" s="38"/>
      <c r="AK193" s="40"/>
    </row>
    <row r="194" spans="1:37">
      <c r="A194" s="291"/>
      <c r="B194" s="357"/>
      <c r="C194" s="359"/>
      <c r="D194" s="361"/>
      <c r="E194" s="363"/>
      <c r="F194" s="363"/>
      <c r="G194" s="26"/>
      <c r="H194" s="381"/>
      <c r="I194" s="558"/>
      <c r="J194" s="126" t="s">
        <v>2929</v>
      </c>
      <c r="K194" s="77"/>
      <c r="L194" s="27" t="s">
        <v>786</v>
      </c>
      <c r="M194" s="130" t="s">
        <v>2928</v>
      </c>
      <c r="N194" s="128">
        <v>5412000</v>
      </c>
      <c r="O194" s="645"/>
      <c r="P194" s="29">
        <f>N194+O194</f>
        <v>5412000</v>
      </c>
      <c r="Q194" s="507"/>
      <c r="R194" s="507"/>
      <c r="S194" s="507"/>
      <c r="T194" s="507"/>
      <c r="U194" s="30"/>
      <c r="V194" s="36">
        <f>P194</f>
        <v>5412000</v>
      </c>
      <c r="W194" s="30" t="s">
        <v>3168</v>
      </c>
      <c r="X194" s="31">
        <v>42690</v>
      </c>
      <c r="Y194" s="31">
        <v>42697</v>
      </c>
      <c r="Z194" s="30">
        <f>V194</f>
        <v>5412000</v>
      </c>
      <c r="AA194" s="910">
        <v>1</v>
      </c>
      <c r="AB194" s="378">
        <f>+G194-P194</f>
        <v>-5412000</v>
      </c>
      <c r="AC194" s="32"/>
      <c r="AD194" s="38"/>
      <c r="AE194" s="38"/>
      <c r="AF194" s="38"/>
      <c r="AG194" s="38"/>
      <c r="AH194" s="48"/>
      <c r="AI194" s="38"/>
      <c r="AJ194" s="38"/>
      <c r="AK194" s="40"/>
    </row>
    <row r="195" spans="1:37" s="769" customFormat="1">
      <c r="A195" s="757"/>
      <c r="B195" s="1057"/>
      <c r="C195" s="759" t="str">
        <f>C191</f>
        <v>PRK.2015.WKT-4.12.53221.320</v>
      </c>
      <c r="D195" s="1063"/>
      <c r="E195" s="1064"/>
      <c r="F195" s="1064"/>
      <c r="G195" s="656">
        <f>G191</f>
        <v>297320000</v>
      </c>
      <c r="H195" s="656"/>
      <c r="I195" s="656"/>
      <c r="J195" s="762"/>
      <c r="K195" s="763"/>
      <c r="L195" s="763"/>
      <c r="M195" s="764"/>
      <c r="N195" s="765">
        <f>SUM(N191:N194)</f>
        <v>5412000</v>
      </c>
      <c r="O195" s="765">
        <f t="shared" ref="O195:V195" si="32">SUM(O191:O194)</f>
        <v>291624908</v>
      </c>
      <c r="P195" s="765">
        <f t="shared" si="32"/>
        <v>297036908</v>
      </c>
      <c r="Q195" s="765">
        <f t="shared" si="32"/>
        <v>0</v>
      </c>
      <c r="R195" s="765">
        <f t="shared" si="32"/>
        <v>0</v>
      </c>
      <c r="S195" s="765">
        <f t="shared" si="32"/>
        <v>0</v>
      </c>
      <c r="T195" s="765">
        <f t="shared" si="32"/>
        <v>0</v>
      </c>
      <c r="U195" s="765">
        <f t="shared" si="32"/>
        <v>0</v>
      </c>
      <c r="V195" s="765">
        <f t="shared" si="32"/>
        <v>297036908</v>
      </c>
      <c r="W195" s="658"/>
      <c r="X195" s="766"/>
      <c r="Y195" s="766"/>
      <c r="Z195" s="765">
        <f>SUM(Z191:Z194)</f>
        <v>297036908</v>
      </c>
      <c r="AA195" s="658"/>
      <c r="AB195" s="765">
        <f>SUM(AB191:AB194)</f>
        <v>283092</v>
      </c>
      <c r="AC195" s="767"/>
      <c r="AD195" s="38"/>
      <c r="AE195" s="38"/>
      <c r="AF195" s="38"/>
      <c r="AG195" s="38"/>
      <c r="AH195" s="38"/>
      <c r="AI195" s="38"/>
      <c r="AJ195" s="38"/>
      <c r="AK195" s="1102"/>
    </row>
    <row r="196" spans="1:37">
      <c r="A196" s="291"/>
      <c r="B196" s="357"/>
      <c r="C196" s="359"/>
      <c r="D196" s="361"/>
      <c r="E196" s="363"/>
      <c r="F196" s="363"/>
      <c r="G196" s="26"/>
      <c r="H196" s="26"/>
      <c r="I196" s="26"/>
      <c r="J196" s="126"/>
      <c r="K196" s="27"/>
      <c r="L196" s="27"/>
      <c r="M196" s="130"/>
      <c r="N196" s="128"/>
      <c r="O196" s="468"/>
      <c r="P196" s="29"/>
      <c r="Q196" s="30"/>
      <c r="R196" s="30"/>
      <c r="S196" s="30"/>
      <c r="T196" s="30"/>
      <c r="U196" s="30"/>
      <c r="V196" s="36"/>
      <c r="W196" s="30"/>
      <c r="X196" s="31"/>
      <c r="Y196" s="31"/>
      <c r="Z196" s="30"/>
      <c r="AA196" s="30"/>
      <c r="AB196" s="378"/>
      <c r="AC196" s="32"/>
      <c r="AD196" s="38"/>
      <c r="AE196" s="38"/>
      <c r="AF196" s="38"/>
      <c r="AG196" s="38"/>
      <c r="AH196" s="38"/>
      <c r="AI196" s="38"/>
      <c r="AJ196" s="38"/>
      <c r="AK196" s="40"/>
    </row>
    <row r="197" spans="1:37" ht="47.25">
      <c r="A197" s="291"/>
      <c r="B197" s="357"/>
      <c r="C197" s="359" t="s">
        <v>634</v>
      </c>
      <c r="D197" s="361" t="s">
        <v>654</v>
      </c>
      <c r="E197" s="363"/>
      <c r="F197" s="363">
        <v>223050000</v>
      </c>
      <c r="G197" s="26">
        <f>E197+F197</f>
        <v>223050000</v>
      </c>
      <c r="H197" s="559" t="s">
        <v>791</v>
      </c>
      <c r="I197" s="73">
        <v>42465</v>
      </c>
      <c r="J197" s="126" t="s">
        <v>728</v>
      </c>
      <c r="K197" s="77" t="s">
        <v>977</v>
      </c>
      <c r="L197" s="27" t="s">
        <v>387</v>
      </c>
      <c r="M197" s="130" t="s">
        <v>729</v>
      </c>
      <c r="N197" s="128"/>
      <c r="O197" s="128">
        <v>18241105</v>
      </c>
      <c r="P197" s="29">
        <f>N197+O197</f>
        <v>18241105</v>
      </c>
      <c r="Q197" s="30"/>
      <c r="R197" s="30"/>
      <c r="S197" s="30"/>
      <c r="T197" s="30"/>
      <c r="U197" s="30"/>
      <c r="V197" s="36">
        <f>P197</f>
        <v>18241105</v>
      </c>
      <c r="W197" s="30" t="s">
        <v>1474</v>
      </c>
      <c r="X197" s="31">
        <v>42513</v>
      </c>
      <c r="Y197" s="31">
        <v>42520</v>
      </c>
      <c r="Z197" s="30">
        <f>V197</f>
        <v>18241105</v>
      </c>
      <c r="AA197" s="1043">
        <v>1</v>
      </c>
      <c r="AB197" s="378">
        <f>+G197-P197</f>
        <v>204808895</v>
      </c>
      <c r="AC197" s="32"/>
      <c r="AD197" s="38"/>
      <c r="AE197" s="38"/>
      <c r="AF197" s="38"/>
      <c r="AG197" s="38"/>
      <c r="AH197" s="38"/>
      <c r="AI197" s="38"/>
      <c r="AJ197" s="38"/>
      <c r="AK197" s="40"/>
    </row>
    <row r="198" spans="1:37">
      <c r="A198" s="291"/>
      <c r="B198" s="357"/>
      <c r="C198" s="359"/>
      <c r="D198" s="361"/>
      <c r="E198" s="363"/>
      <c r="F198" s="363"/>
      <c r="G198" s="26"/>
      <c r="H198" s="26"/>
      <c r="I198" s="73"/>
      <c r="J198" s="126" t="s">
        <v>1416</v>
      </c>
      <c r="K198" s="77"/>
      <c r="L198" s="27" t="s">
        <v>3111</v>
      </c>
      <c r="M198" s="130" t="s">
        <v>1417</v>
      </c>
      <c r="N198" s="128"/>
      <c r="O198" s="128">
        <v>5005000</v>
      </c>
      <c r="P198" s="29">
        <f>N198+O198</f>
        <v>5005000</v>
      </c>
      <c r="Q198" s="30"/>
      <c r="R198" s="30"/>
      <c r="S198" s="30"/>
      <c r="T198" s="30"/>
      <c r="U198" s="30"/>
      <c r="V198" s="36">
        <f>P198</f>
        <v>5005000</v>
      </c>
      <c r="W198" s="1214" t="s">
        <v>3107</v>
      </c>
      <c r="X198" s="1657">
        <v>42684</v>
      </c>
      <c r="Y198" s="1657">
        <v>42696</v>
      </c>
      <c r="Z198" s="369">
        <f>V198</f>
        <v>5005000</v>
      </c>
      <c r="AA198" s="1658">
        <v>1</v>
      </c>
      <c r="AB198" s="378">
        <f>+G198-P198</f>
        <v>-5005000</v>
      </c>
      <c r="AC198" s="32"/>
      <c r="AD198" s="38"/>
      <c r="AE198" s="38"/>
      <c r="AF198" s="38"/>
      <c r="AG198" s="48">
        <f>P198</f>
        <v>5005000</v>
      </c>
      <c r="AH198" s="38"/>
      <c r="AI198" s="38"/>
      <c r="AJ198" s="38"/>
      <c r="AK198" s="40"/>
    </row>
    <row r="199" spans="1:37" ht="47.25">
      <c r="A199" s="291"/>
      <c r="B199" s="357"/>
      <c r="C199" s="359"/>
      <c r="D199" s="361"/>
      <c r="E199" s="363"/>
      <c r="F199" s="363"/>
      <c r="G199" s="26"/>
      <c r="H199" s="559" t="s">
        <v>1585</v>
      </c>
      <c r="I199" s="73">
        <v>42535</v>
      </c>
      <c r="J199" s="126" t="s">
        <v>1581</v>
      </c>
      <c r="K199" s="77" t="s">
        <v>2166</v>
      </c>
      <c r="L199" s="27" t="s">
        <v>1737</v>
      </c>
      <c r="M199" s="130" t="s">
        <v>1580</v>
      </c>
      <c r="N199" s="128"/>
      <c r="O199" s="128">
        <v>51480000</v>
      </c>
      <c r="P199" s="29">
        <f>N199+O199</f>
        <v>51480000</v>
      </c>
      <c r="Q199" s="507"/>
      <c r="R199" s="507"/>
      <c r="S199" s="507"/>
      <c r="T199" s="507"/>
      <c r="U199" s="507"/>
      <c r="V199" s="172">
        <f>P199</f>
        <v>51480000</v>
      </c>
      <c r="W199" s="30" t="s">
        <v>3060</v>
      </c>
      <c r="X199" s="31">
        <v>42678</v>
      </c>
      <c r="Y199" s="31">
        <v>42684</v>
      </c>
      <c r="Z199" s="30">
        <f>V199</f>
        <v>51480000</v>
      </c>
      <c r="AA199" s="910">
        <v>1</v>
      </c>
      <c r="AB199" s="378">
        <f>+G199-P199</f>
        <v>-51480000</v>
      </c>
      <c r="AC199" s="32"/>
      <c r="AD199" s="38"/>
      <c r="AE199" s="38"/>
      <c r="AF199" s="38"/>
      <c r="AG199" s="48">
        <f>P199</f>
        <v>51480000</v>
      </c>
      <c r="AH199" s="38"/>
      <c r="AI199" s="38"/>
      <c r="AJ199" s="38"/>
      <c r="AK199" s="40"/>
    </row>
    <row r="200" spans="1:37" ht="47.25">
      <c r="A200" s="291"/>
      <c r="B200" s="357"/>
      <c r="C200" s="359"/>
      <c r="D200" s="361"/>
      <c r="E200" s="363"/>
      <c r="F200" s="363"/>
      <c r="G200" s="26"/>
      <c r="H200" s="559" t="s">
        <v>2298</v>
      </c>
      <c r="I200" s="73">
        <v>42620</v>
      </c>
      <c r="J200" s="126" t="s">
        <v>2299</v>
      </c>
      <c r="K200" s="171" t="s">
        <v>3289</v>
      </c>
      <c r="L200" s="27" t="s">
        <v>2840</v>
      </c>
      <c r="M200" s="130" t="s">
        <v>2300</v>
      </c>
      <c r="N200" s="128"/>
      <c r="O200" s="128">
        <v>136879737</v>
      </c>
      <c r="P200" s="29">
        <f>N200+O200</f>
        <v>136879737</v>
      </c>
      <c r="Q200" s="507"/>
      <c r="R200" s="507"/>
      <c r="S200" s="507"/>
      <c r="T200" s="507"/>
      <c r="U200" s="507"/>
      <c r="V200" s="172">
        <f>P200</f>
        <v>136879737</v>
      </c>
      <c r="W200" s="30"/>
      <c r="X200" s="31"/>
      <c r="Y200" s="31"/>
      <c r="Z200" s="507"/>
      <c r="AA200" s="30"/>
      <c r="AB200" s="378">
        <f>+G200-P200</f>
        <v>-136879737</v>
      </c>
      <c r="AC200" s="32" t="s">
        <v>1482</v>
      </c>
      <c r="AD200" s="38"/>
      <c r="AE200" s="38"/>
      <c r="AF200" s="38"/>
      <c r="AG200" s="38"/>
      <c r="AH200" s="48"/>
      <c r="AI200" s="48">
        <f>P200</f>
        <v>136879737</v>
      </c>
      <c r="AJ200" s="38"/>
      <c r="AK200" s="40"/>
    </row>
    <row r="201" spans="1:37" ht="31.5">
      <c r="A201" s="291"/>
      <c r="B201" s="357"/>
      <c r="C201" s="359"/>
      <c r="D201" s="361"/>
      <c r="E201" s="363"/>
      <c r="F201" s="363"/>
      <c r="G201" s="26"/>
      <c r="H201" s="559"/>
      <c r="I201" s="73"/>
      <c r="J201" s="126" t="s">
        <v>3287</v>
      </c>
      <c r="K201" s="171"/>
      <c r="L201" s="27" t="s">
        <v>336</v>
      </c>
      <c r="M201" s="130" t="s">
        <v>3288</v>
      </c>
      <c r="N201" s="128"/>
      <c r="O201" s="128">
        <v>6733320</v>
      </c>
      <c r="P201" s="172">
        <f>N201+O201</f>
        <v>6733320</v>
      </c>
      <c r="Q201" s="507"/>
      <c r="R201" s="507"/>
      <c r="S201" s="507"/>
      <c r="T201" s="507"/>
      <c r="U201" s="507"/>
      <c r="V201" s="172">
        <f>P201</f>
        <v>6733320</v>
      </c>
      <c r="W201" s="30" t="s">
        <v>3542</v>
      </c>
      <c r="X201" s="31">
        <v>42724</v>
      </c>
      <c r="Y201" s="31">
        <v>42731</v>
      </c>
      <c r="Z201" s="30">
        <f>V201</f>
        <v>6733320</v>
      </c>
      <c r="AA201" s="910">
        <v>1</v>
      </c>
      <c r="AB201" s="1187">
        <f>+G201-P201</f>
        <v>-6733320</v>
      </c>
      <c r="AC201" s="32"/>
      <c r="AD201" s="38"/>
      <c r="AE201" s="38"/>
      <c r="AF201" s="38"/>
      <c r="AG201" s="38"/>
      <c r="AH201" s="48"/>
      <c r="AI201" s="48"/>
      <c r="AJ201" s="38"/>
      <c r="AK201" s="40"/>
    </row>
    <row r="202" spans="1:37" s="1000" customFormat="1">
      <c r="A202" s="1003"/>
      <c r="B202" s="1004"/>
      <c r="C202" s="759" t="str">
        <f>C197</f>
        <v>PRK.2015.WKT-4.12.53221.323</v>
      </c>
      <c r="D202" s="1005"/>
      <c r="E202" s="1006"/>
      <c r="F202" s="1006"/>
      <c r="G202" s="656">
        <f>G197</f>
        <v>223050000</v>
      </c>
      <c r="H202" s="860"/>
      <c r="I202" s="1007"/>
      <c r="J202" s="1008"/>
      <c r="K202" s="1009"/>
      <c r="L202" s="1010"/>
      <c r="M202" s="1011"/>
      <c r="N202" s="765">
        <f>SUM(N197:N198)</f>
        <v>0</v>
      </c>
      <c r="O202" s="765">
        <f>SUM(O197:O201)</f>
        <v>218339162</v>
      </c>
      <c r="P202" s="765">
        <f>SUM(P197:P201)</f>
        <v>218339162</v>
      </c>
      <c r="Q202" s="765">
        <f>SUM(Q197:Q200)</f>
        <v>0</v>
      </c>
      <c r="R202" s="765">
        <f>SUM(R197:R200)</f>
        <v>0</v>
      </c>
      <c r="S202" s="765">
        <f>SUM(S197:S200)</f>
        <v>0</v>
      </c>
      <c r="T202" s="765">
        <f>SUM(T197:T200)</f>
        <v>0</v>
      </c>
      <c r="U202" s="765">
        <f>SUM(U197:U200)</f>
        <v>0</v>
      </c>
      <c r="V202" s="765">
        <f>SUM(V197:V201)</f>
        <v>218339162</v>
      </c>
      <c r="W202" s="1012"/>
      <c r="X202" s="1013"/>
      <c r="Y202" s="1013"/>
      <c r="Z202" s="765">
        <f>SUM(Z197:Z201)</f>
        <v>81459425</v>
      </c>
      <c r="AA202" s="1012"/>
      <c r="AB202" s="765">
        <f>SUM(AB197:AB201)</f>
        <v>4710838</v>
      </c>
      <c r="AC202" s="1014"/>
      <c r="AD202" s="38"/>
      <c r="AE202" s="38"/>
      <c r="AF202" s="38"/>
      <c r="AG202" s="38"/>
      <c r="AH202" s="38"/>
      <c r="AI202" s="38"/>
      <c r="AJ202" s="38"/>
      <c r="AK202" s="1054"/>
    </row>
    <row r="203" spans="1:37">
      <c r="A203" s="291"/>
      <c r="B203" s="357"/>
      <c r="C203" s="359"/>
      <c r="D203" s="361"/>
      <c r="E203" s="363"/>
      <c r="F203" s="363"/>
      <c r="G203" s="26"/>
      <c r="H203" s="26"/>
      <c r="I203" s="26"/>
      <c r="J203" s="126"/>
      <c r="K203" s="27"/>
      <c r="L203" s="27"/>
      <c r="M203" s="130"/>
      <c r="N203" s="128"/>
      <c r="O203" s="468"/>
      <c r="P203" s="29"/>
      <c r="Q203" s="30"/>
      <c r="R203" s="30"/>
      <c r="S203" s="30"/>
      <c r="T203" s="30"/>
      <c r="U203" s="30"/>
      <c r="V203" s="36"/>
      <c r="W203" s="30"/>
      <c r="X203" s="31"/>
      <c r="Y203" s="31"/>
      <c r="Z203" s="30"/>
      <c r="AA203" s="30"/>
      <c r="AB203" s="378"/>
      <c r="AC203" s="32"/>
      <c r="AD203" s="38"/>
      <c r="AE203" s="38"/>
      <c r="AF203" s="38"/>
      <c r="AG203" s="38"/>
      <c r="AH203" s="38"/>
      <c r="AI203" s="38"/>
      <c r="AJ203" s="38"/>
      <c r="AK203" s="40"/>
    </row>
    <row r="204" spans="1:37" ht="47.25">
      <c r="A204" s="291"/>
      <c r="B204" s="357"/>
      <c r="C204" s="359" t="s">
        <v>635</v>
      </c>
      <c r="D204" s="361" t="s">
        <v>655</v>
      </c>
      <c r="E204" s="363"/>
      <c r="F204" s="363">
        <v>227350000</v>
      </c>
      <c r="G204" s="26">
        <f>E204+F204</f>
        <v>227350000</v>
      </c>
      <c r="H204" s="559" t="s">
        <v>1484</v>
      </c>
      <c r="I204" s="73">
        <v>42520</v>
      </c>
      <c r="J204" s="126" t="s">
        <v>1244</v>
      </c>
      <c r="K204" s="171" t="s">
        <v>2841</v>
      </c>
      <c r="L204" s="27" t="s">
        <v>396</v>
      </c>
      <c r="M204" s="130" t="s">
        <v>1245</v>
      </c>
      <c r="N204" s="128"/>
      <c r="O204" s="645">
        <v>135983212</v>
      </c>
      <c r="P204" s="29">
        <f>N204+O204</f>
        <v>135983212</v>
      </c>
      <c r="Q204" s="30"/>
      <c r="R204" s="30"/>
      <c r="S204" s="30"/>
      <c r="T204" s="30"/>
      <c r="U204" s="30"/>
      <c r="V204" s="172">
        <f>P204</f>
        <v>135983212</v>
      </c>
      <c r="W204" s="30" t="s">
        <v>3175</v>
      </c>
      <c r="X204" s="31">
        <v>42691</v>
      </c>
      <c r="Y204" s="31">
        <v>42697</v>
      </c>
      <c r="Z204" s="30">
        <f>V204</f>
        <v>135983212</v>
      </c>
      <c r="AA204" s="910">
        <v>1</v>
      </c>
      <c r="AB204" s="378">
        <f t="shared" ref="AB204:AB211" si="33">+G204-P204</f>
        <v>91366788</v>
      </c>
      <c r="AC204" s="32"/>
      <c r="AD204" s="38"/>
      <c r="AE204" s="38"/>
      <c r="AF204" s="38"/>
      <c r="AG204" s="38"/>
      <c r="AH204" s="48">
        <f>P204</f>
        <v>135983212</v>
      </c>
      <c r="AI204" s="38"/>
      <c r="AJ204" s="38"/>
      <c r="AK204" s="40"/>
    </row>
    <row r="205" spans="1:37" ht="47.25">
      <c r="A205" s="291"/>
      <c r="B205" s="357"/>
      <c r="C205" s="359"/>
      <c r="D205" s="361"/>
      <c r="E205" s="363"/>
      <c r="F205" s="363"/>
      <c r="G205" s="26"/>
      <c r="H205" s="559" t="s">
        <v>3154</v>
      </c>
      <c r="I205" s="73">
        <v>42641</v>
      </c>
      <c r="J205" s="126" t="s">
        <v>3148</v>
      </c>
      <c r="K205" s="171" t="s">
        <v>3290</v>
      </c>
      <c r="L205" s="27" t="s">
        <v>2840</v>
      </c>
      <c r="M205" s="130" t="s">
        <v>3147</v>
      </c>
      <c r="N205" s="128"/>
      <c r="O205" s="645">
        <v>67029047</v>
      </c>
      <c r="P205" s="29">
        <f>N205+O205</f>
        <v>67029047</v>
      </c>
      <c r="Q205" s="30"/>
      <c r="R205" s="30"/>
      <c r="S205" s="30"/>
      <c r="T205" s="30"/>
      <c r="U205" s="30"/>
      <c r="V205" s="172">
        <f>P205</f>
        <v>67029047</v>
      </c>
      <c r="W205" s="30"/>
      <c r="X205" s="31"/>
      <c r="Y205" s="31"/>
      <c r="Z205" s="30"/>
      <c r="AA205" s="30"/>
      <c r="AB205" s="378">
        <f t="shared" si="33"/>
        <v>-67029047</v>
      </c>
      <c r="AC205" s="32" t="s">
        <v>1482</v>
      </c>
      <c r="AD205" s="38"/>
      <c r="AE205" s="38"/>
      <c r="AF205" s="38"/>
      <c r="AG205" s="38"/>
      <c r="AH205" s="48"/>
      <c r="AI205" s="38"/>
      <c r="AJ205" s="38"/>
      <c r="AK205" s="40"/>
    </row>
    <row r="206" spans="1:37">
      <c r="A206" s="291"/>
      <c r="B206" s="357"/>
      <c r="C206" s="359"/>
      <c r="D206" s="361"/>
      <c r="E206" s="363"/>
      <c r="F206" s="363"/>
      <c r="G206" s="26"/>
      <c r="H206" s="26"/>
      <c r="I206" s="26"/>
      <c r="J206" s="126" t="s">
        <v>3328</v>
      </c>
      <c r="K206" s="27"/>
      <c r="L206" s="27" t="s">
        <v>387</v>
      </c>
      <c r="M206" s="130" t="s">
        <v>732</v>
      </c>
      <c r="N206" s="128"/>
      <c r="O206" s="645">
        <v>5115000</v>
      </c>
      <c r="P206" s="29">
        <f>N206+O206</f>
        <v>5115000</v>
      </c>
      <c r="Q206" s="30"/>
      <c r="R206" s="30"/>
      <c r="S206" s="30"/>
      <c r="T206" s="30"/>
      <c r="U206" s="30"/>
      <c r="V206" s="172">
        <f>P206</f>
        <v>5115000</v>
      </c>
      <c r="W206" s="30"/>
      <c r="X206" s="31"/>
      <c r="Y206" s="31"/>
      <c r="Z206" s="30"/>
      <c r="AA206" s="30"/>
      <c r="AB206" s="378">
        <f t="shared" si="33"/>
        <v>-5115000</v>
      </c>
      <c r="AC206" s="32"/>
      <c r="AD206" s="38"/>
      <c r="AE206" s="38"/>
      <c r="AF206" s="38"/>
      <c r="AG206" s="38"/>
      <c r="AH206" s="38"/>
      <c r="AI206" s="38"/>
      <c r="AJ206" s="38"/>
      <c r="AK206" s="40"/>
    </row>
    <row r="207" spans="1:37" s="769" customFormat="1">
      <c r="A207" s="757"/>
      <c r="B207" s="1057"/>
      <c r="C207" s="759" t="str">
        <f>C204</f>
        <v>PRK.2015.WKT-4.12.53221.324</v>
      </c>
      <c r="D207" s="1063"/>
      <c r="E207" s="1064"/>
      <c r="F207" s="1064"/>
      <c r="G207" s="656">
        <f>G204</f>
        <v>227350000</v>
      </c>
      <c r="H207" s="656"/>
      <c r="I207" s="656"/>
      <c r="J207" s="762"/>
      <c r="K207" s="763"/>
      <c r="L207" s="763"/>
      <c r="M207" s="764"/>
      <c r="N207" s="1172">
        <f>SUM(N204:N206)</f>
        <v>0</v>
      </c>
      <c r="O207" s="1172">
        <f>SUM(O204:O206)</f>
        <v>208127259</v>
      </c>
      <c r="P207" s="1172">
        <f t="shared" ref="P207:V207" si="34">SUM(P204:P206)</f>
        <v>208127259</v>
      </c>
      <c r="Q207" s="1172">
        <f t="shared" si="34"/>
        <v>0</v>
      </c>
      <c r="R207" s="1172">
        <f t="shared" si="34"/>
        <v>0</v>
      </c>
      <c r="S207" s="1172">
        <f t="shared" si="34"/>
        <v>0</v>
      </c>
      <c r="T207" s="1172">
        <f t="shared" si="34"/>
        <v>0</v>
      </c>
      <c r="U207" s="1172">
        <f t="shared" si="34"/>
        <v>0</v>
      </c>
      <c r="V207" s="1172">
        <f t="shared" si="34"/>
        <v>208127259</v>
      </c>
      <c r="W207" s="658"/>
      <c r="X207" s="766"/>
      <c r="Y207" s="766"/>
      <c r="Z207" s="1172">
        <f>SUM(Z204:Z206)</f>
        <v>135983212</v>
      </c>
      <c r="AA207" s="658"/>
      <c r="AB207" s="1172">
        <f>SUM(AB204:AB206)</f>
        <v>19222741</v>
      </c>
      <c r="AC207" s="767"/>
      <c r="AD207" s="38"/>
      <c r="AE207" s="38"/>
      <c r="AF207" s="38"/>
      <c r="AG207" s="38"/>
      <c r="AH207" s="38"/>
      <c r="AI207" s="38"/>
      <c r="AJ207" s="38"/>
      <c r="AK207" s="1102"/>
    </row>
    <row r="208" spans="1:37" ht="47.25">
      <c r="A208" s="291"/>
      <c r="B208" s="357"/>
      <c r="C208" s="359" t="s">
        <v>636</v>
      </c>
      <c r="D208" s="361" t="s">
        <v>656</v>
      </c>
      <c r="E208" s="363"/>
      <c r="F208" s="363">
        <v>317900000</v>
      </c>
      <c r="G208" s="26">
        <f>E208+F208</f>
        <v>317900000</v>
      </c>
      <c r="H208" s="559" t="s">
        <v>2189</v>
      </c>
      <c r="I208" s="558">
        <v>42611</v>
      </c>
      <c r="J208" s="126" t="s">
        <v>2107</v>
      </c>
      <c r="K208" s="171" t="s">
        <v>2529</v>
      </c>
      <c r="L208" s="27" t="s">
        <v>2530</v>
      </c>
      <c r="M208" s="130" t="s">
        <v>2108</v>
      </c>
      <c r="N208" s="128"/>
      <c r="O208" s="645">
        <v>287140000</v>
      </c>
      <c r="P208" s="29">
        <f>N208+O208</f>
        <v>287140000</v>
      </c>
      <c r="Q208" s="30"/>
      <c r="R208" s="30"/>
      <c r="S208" s="30"/>
      <c r="T208" s="30"/>
      <c r="U208" s="30"/>
      <c r="V208" s="36">
        <f>P208</f>
        <v>287140000</v>
      </c>
      <c r="W208" s="30" t="s">
        <v>3543</v>
      </c>
      <c r="X208" s="31">
        <v>42725</v>
      </c>
      <c r="Y208" s="31">
        <v>42731</v>
      </c>
      <c r="Z208" s="30">
        <f>V208</f>
        <v>287140000</v>
      </c>
      <c r="AA208" s="910">
        <v>1</v>
      </c>
      <c r="AB208" s="378">
        <f t="shared" si="33"/>
        <v>30760000</v>
      </c>
      <c r="AC208" s="32"/>
      <c r="AD208" s="38"/>
      <c r="AE208" s="38"/>
      <c r="AF208" s="38"/>
      <c r="AG208" s="38"/>
      <c r="AH208" s="48">
        <f>P208</f>
        <v>287140000</v>
      </c>
      <c r="AI208" s="38"/>
      <c r="AJ208" s="38"/>
      <c r="AK208" s="40"/>
    </row>
    <row r="209" spans="1:39">
      <c r="A209" s="291"/>
      <c r="B209" s="357"/>
      <c r="C209" s="359"/>
      <c r="D209" s="361"/>
      <c r="E209" s="363"/>
      <c r="F209" s="363"/>
      <c r="G209" s="26"/>
      <c r="H209" s="26"/>
      <c r="I209" s="26"/>
      <c r="J209" s="126" t="s">
        <v>2141</v>
      </c>
      <c r="K209" s="27"/>
      <c r="L209" s="27" t="s">
        <v>786</v>
      </c>
      <c r="M209" s="130" t="s">
        <v>2142</v>
      </c>
      <c r="N209" s="128"/>
      <c r="O209" s="645">
        <v>4081000</v>
      </c>
      <c r="P209" s="29">
        <f>N209+O209</f>
        <v>4081000</v>
      </c>
      <c r="Q209" s="30"/>
      <c r="R209" s="30"/>
      <c r="S209" s="30"/>
      <c r="T209" s="30"/>
      <c r="U209" s="30"/>
      <c r="V209" s="36">
        <f>P209</f>
        <v>4081000</v>
      </c>
      <c r="W209" s="30" t="s">
        <v>2902</v>
      </c>
      <c r="X209" s="31">
        <v>42667</v>
      </c>
      <c r="Y209" s="31">
        <v>42671</v>
      </c>
      <c r="Z209" s="30">
        <f>V209</f>
        <v>4081000</v>
      </c>
      <c r="AA209" s="910">
        <v>1</v>
      </c>
      <c r="AB209" s="378">
        <f t="shared" si="33"/>
        <v>-4081000</v>
      </c>
      <c r="AC209" s="32"/>
      <c r="AD209" s="38"/>
      <c r="AE209" s="38"/>
      <c r="AF209" s="38"/>
      <c r="AG209" s="48">
        <f>P209</f>
        <v>4081000</v>
      </c>
      <c r="AH209" s="38"/>
      <c r="AI209" s="38"/>
      <c r="AJ209" s="38"/>
      <c r="AK209" s="40"/>
    </row>
    <row r="210" spans="1:39">
      <c r="A210" s="291"/>
      <c r="B210" s="357"/>
      <c r="C210" s="359"/>
      <c r="D210" s="361"/>
      <c r="E210" s="363"/>
      <c r="F210" s="363"/>
      <c r="G210" s="26"/>
      <c r="H210" s="26"/>
      <c r="I210" s="26"/>
      <c r="J210" s="126" t="s">
        <v>2552</v>
      </c>
      <c r="K210" s="27"/>
      <c r="L210" s="27" t="s">
        <v>786</v>
      </c>
      <c r="M210" s="130" t="s">
        <v>2142</v>
      </c>
      <c r="N210" s="128"/>
      <c r="O210" s="645">
        <v>7796250</v>
      </c>
      <c r="P210" s="172">
        <f>N210+O210</f>
        <v>7796250</v>
      </c>
      <c r="Q210" s="507"/>
      <c r="R210" s="507"/>
      <c r="S210" s="507"/>
      <c r="T210" s="507"/>
      <c r="U210" s="507"/>
      <c r="V210" s="36">
        <f>P210</f>
        <v>7796250</v>
      </c>
      <c r="W210" s="30" t="s">
        <v>2902</v>
      </c>
      <c r="X210" s="31">
        <v>42667</v>
      </c>
      <c r="Y210" s="31">
        <v>42671</v>
      </c>
      <c r="Z210" s="30">
        <f>V210</f>
        <v>7796250</v>
      </c>
      <c r="AA210" s="910">
        <v>1</v>
      </c>
      <c r="AB210" s="378">
        <f t="shared" si="33"/>
        <v>-7796250</v>
      </c>
      <c r="AC210" s="32"/>
      <c r="AD210" s="38"/>
      <c r="AE210" s="38"/>
      <c r="AF210" s="38"/>
      <c r="AG210" s="48">
        <f>P210</f>
        <v>7796250</v>
      </c>
      <c r="AH210" s="38"/>
      <c r="AI210" s="38"/>
      <c r="AJ210" s="38"/>
      <c r="AK210" s="40"/>
    </row>
    <row r="211" spans="1:39" s="769" customFormat="1">
      <c r="A211" s="757"/>
      <c r="B211" s="1057"/>
      <c r="C211" s="759"/>
      <c r="D211" s="1063"/>
      <c r="E211" s="1064"/>
      <c r="F211" s="1064"/>
      <c r="G211" s="656">
        <f>G208</f>
        <v>317900000</v>
      </c>
      <c r="H211" s="656"/>
      <c r="I211" s="656"/>
      <c r="J211" s="762"/>
      <c r="K211" s="763"/>
      <c r="L211" s="763"/>
      <c r="M211" s="764"/>
      <c r="N211" s="765">
        <f>SUM(N208:N210)</f>
        <v>0</v>
      </c>
      <c r="O211" s="765">
        <f>SUM(O208:O210)</f>
        <v>299017250</v>
      </c>
      <c r="P211" s="765">
        <f t="shared" ref="P211:V211" si="35">SUM(P208:P210)</f>
        <v>299017250</v>
      </c>
      <c r="Q211" s="765">
        <f t="shared" si="35"/>
        <v>0</v>
      </c>
      <c r="R211" s="765">
        <f t="shared" si="35"/>
        <v>0</v>
      </c>
      <c r="S211" s="765">
        <f t="shared" si="35"/>
        <v>0</v>
      </c>
      <c r="T211" s="765">
        <f t="shared" si="35"/>
        <v>0</v>
      </c>
      <c r="U211" s="765">
        <f t="shared" si="35"/>
        <v>0</v>
      </c>
      <c r="V211" s="765">
        <f t="shared" si="35"/>
        <v>299017250</v>
      </c>
      <c r="W211" s="658"/>
      <c r="X211" s="766"/>
      <c r="Y211" s="766"/>
      <c r="Z211" s="765">
        <f>SUM(Z208:Z210)</f>
        <v>299017250</v>
      </c>
      <c r="AA211" s="658"/>
      <c r="AB211" s="1015">
        <f t="shared" si="33"/>
        <v>18882750</v>
      </c>
      <c r="AC211" s="767"/>
      <c r="AD211" s="38"/>
      <c r="AE211" s="38"/>
      <c r="AF211" s="38"/>
      <c r="AG211" s="38"/>
      <c r="AH211" s="38"/>
      <c r="AI211" s="38"/>
      <c r="AJ211" s="38"/>
      <c r="AK211" s="1102"/>
    </row>
    <row r="212" spans="1:39">
      <c r="A212" s="291"/>
      <c r="B212" s="357"/>
      <c r="C212" s="359"/>
      <c r="D212" s="361"/>
      <c r="E212" s="363"/>
      <c r="F212" s="363"/>
      <c r="G212" s="26"/>
      <c r="H212" s="26"/>
      <c r="I212" s="26"/>
      <c r="J212" s="126"/>
      <c r="K212" s="27"/>
      <c r="L212" s="27"/>
      <c r="M212" s="130"/>
      <c r="N212" s="128"/>
      <c r="O212" s="468"/>
      <c r="P212" s="29"/>
      <c r="Q212" s="30"/>
      <c r="R212" s="30"/>
      <c r="S212" s="30"/>
      <c r="T212" s="30"/>
      <c r="U212" s="30"/>
      <c r="V212" s="36"/>
      <c r="W212" s="30"/>
      <c r="X212" s="31"/>
      <c r="Y212" s="31"/>
      <c r="Z212" s="30"/>
      <c r="AA212" s="30"/>
      <c r="AB212" s="378"/>
      <c r="AC212" s="32"/>
      <c r="AD212" s="38"/>
      <c r="AE212" s="38"/>
      <c r="AF212" s="38"/>
      <c r="AG212" s="38"/>
      <c r="AH212" s="38"/>
      <c r="AI212" s="38"/>
      <c r="AJ212" s="38"/>
      <c r="AK212" s="40"/>
    </row>
    <row r="213" spans="1:39" ht="31.5">
      <c r="A213" s="291"/>
      <c r="B213" s="357"/>
      <c r="C213" s="360" t="s">
        <v>637</v>
      </c>
      <c r="D213" s="362" t="s">
        <v>657</v>
      </c>
      <c r="E213" s="364"/>
      <c r="F213" s="364">
        <v>82280000</v>
      </c>
      <c r="G213" s="155">
        <f>E213+F213</f>
        <v>82280000</v>
      </c>
      <c r="H213" s="26"/>
      <c r="I213" s="26"/>
      <c r="J213" s="126"/>
      <c r="K213" s="77" t="s">
        <v>782</v>
      </c>
      <c r="L213" s="404" t="s">
        <v>387</v>
      </c>
      <c r="M213" s="404" t="s">
        <v>657</v>
      </c>
      <c r="N213" s="128"/>
      <c r="O213" s="128">
        <v>82280000</v>
      </c>
      <c r="P213" s="406">
        <v>82280000</v>
      </c>
      <c r="Q213" s="30"/>
      <c r="R213" s="30"/>
      <c r="S213" s="30"/>
      <c r="T213" s="30"/>
      <c r="U213" s="30"/>
      <c r="V213" s="36">
        <f>P213</f>
        <v>82280000</v>
      </c>
      <c r="W213" s="30" t="s">
        <v>779</v>
      </c>
      <c r="X213" s="31"/>
      <c r="Y213" s="31">
        <v>42381</v>
      </c>
      <c r="Z213" s="30">
        <f>V213</f>
        <v>82280000</v>
      </c>
      <c r="AA213" s="1043">
        <v>1</v>
      </c>
      <c r="AB213" s="378">
        <f>+G213-P213</f>
        <v>0</v>
      </c>
      <c r="AC213" s="32"/>
      <c r="AD213" s="38"/>
      <c r="AE213" s="38"/>
      <c r="AF213" s="38"/>
      <c r="AG213" s="38"/>
      <c r="AH213" s="38"/>
      <c r="AI213" s="38"/>
      <c r="AJ213" s="38"/>
      <c r="AK213" s="40"/>
    </row>
    <row r="214" spans="1:39">
      <c r="A214" s="291"/>
      <c r="B214" s="357"/>
      <c r="C214" s="360"/>
      <c r="D214" s="362"/>
      <c r="E214" s="364"/>
      <c r="F214" s="364"/>
      <c r="G214" s="155"/>
      <c r="H214" s="26"/>
      <c r="I214" s="26"/>
      <c r="J214" s="126"/>
      <c r="K214" s="77"/>
      <c r="L214" s="404"/>
      <c r="M214" s="404"/>
      <c r="N214" s="128"/>
      <c r="O214" s="128"/>
      <c r="P214" s="406"/>
      <c r="Q214" s="30"/>
      <c r="R214" s="30"/>
      <c r="S214" s="30"/>
      <c r="T214" s="30"/>
      <c r="U214" s="30"/>
      <c r="V214" s="36"/>
      <c r="W214" s="30"/>
      <c r="X214" s="31"/>
      <c r="Y214" s="31"/>
      <c r="Z214" s="30"/>
      <c r="AA214" s="30"/>
      <c r="AB214" s="378"/>
      <c r="AC214" s="32"/>
      <c r="AD214" s="38"/>
      <c r="AE214" s="38"/>
      <c r="AF214" s="38"/>
      <c r="AG214" s="38"/>
      <c r="AH214" s="38"/>
      <c r="AI214" s="38"/>
      <c r="AJ214" s="38"/>
      <c r="AK214" s="40"/>
    </row>
    <row r="215" spans="1:39" ht="31.5">
      <c r="A215" s="291"/>
      <c r="B215" s="357"/>
      <c r="C215" s="360" t="s">
        <v>638</v>
      </c>
      <c r="D215" s="362" t="s">
        <v>658</v>
      </c>
      <c r="E215" s="364"/>
      <c r="F215" s="364">
        <v>95381000</v>
      </c>
      <c r="G215" s="155">
        <f>E215+F215</f>
        <v>95381000</v>
      </c>
      <c r="H215" s="26"/>
      <c r="I215" s="26"/>
      <c r="J215" s="126"/>
      <c r="K215" s="77" t="s">
        <v>783</v>
      </c>
      <c r="L215" s="405" t="s">
        <v>784</v>
      </c>
      <c r="M215" s="404" t="s">
        <v>658</v>
      </c>
      <c r="N215" s="128"/>
      <c r="O215" s="128">
        <v>95036072</v>
      </c>
      <c r="P215" s="406">
        <f>N215+O215</f>
        <v>95036072</v>
      </c>
      <c r="Q215" s="30"/>
      <c r="R215" s="30"/>
      <c r="S215" s="30"/>
      <c r="T215" s="30"/>
      <c r="U215" s="30"/>
      <c r="V215" s="36">
        <f t="shared" ref="V215:V221" si="36">P215</f>
        <v>95036072</v>
      </c>
      <c r="W215" s="30" t="s">
        <v>1311</v>
      </c>
      <c r="X215" s="31">
        <v>42488</v>
      </c>
      <c r="Y215" s="31">
        <v>42499</v>
      </c>
      <c r="Z215" s="30">
        <f>V215</f>
        <v>95036072</v>
      </c>
      <c r="AA215" s="1043">
        <v>1</v>
      </c>
      <c r="AB215" s="378">
        <f>+G215-P215</f>
        <v>344928</v>
      </c>
      <c r="AC215" s="32"/>
      <c r="AD215" s="38"/>
      <c r="AE215" s="38"/>
      <c r="AF215" s="38"/>
      <c r="AG215" s="38"/>
      <c r="AH215" s="38"/>
      <c r="AI215" s="38"/>
      <c r="AJ215" s="38"/>
      <c r="AK215" s="40"/>
    </row>
    <row r="216" spans="1:39">
      <c r="A216" s="291"/>
      <c r="B216" s="357"/>
      <c r="C216" s="360"/>
      <c r="D216" s="362"/>
      <c r="E216" s="364"/>
      <c r="F216" s="364"/>
      <c r="G216" s="155"/>
      <c r="H216" s="26"/>
      <c r="I216" s="26"/>
      <c r="J216" s="126"/>
      <c r="K216" s="77"/>
      <c r="L216" s="404"/>
      <c r="M216" s="404"/>
      <c r="N216" s="128"/>
      <c r="O216" s="128"/>
      <c r="P216" s="406"/>
      <c r="Q216" s="30"/>
      <c r="R216" s="30"/>
      <c r="S216" s="30"/>
      <c r="T216" s="30"/>
      <c r="U216" s="30"/>
      <c r="V216" s="36"/>
      <c r="W216" s="30"/>
      <c r="X216" s="31"/>
      <c r="Y216" s="31"/>
      <c r="Z216" s="30"/>
      <c r="AA216" s="30"/>
      <c r="AB216" s="378"/>
      <c r="AC216" s="32"/>
      <c r="AD216" s="38"/>
      <c r="AE216" s="38"/>
      <c r="AF216" s="38"/>
      <c r="AG216" s="38"/>
      <c r="AH216" s="38"/>
      <c r="AI216" s="38"/>
      <c r="AJ216" s="38"/>
      <c r="AK216" s="40"/>
    </row>
    <row r="217" spans="1:39" ht="31.5">
      <c r="A217" s="291"/>
      <c r="B217" s="357"/>
      <c r="C217" s="360" t="s">
        <v>639</v>
      </c>
      <c r="D217" s="362" t="s">
        <v>659</v>
      </c>
      <c r="E217" s="364"/>
      <c r="F217" s="364">
        <v>68537482</v>
      </c>
      <c r="G217" s="155">
        <f>E217+F217</f>
        <v>68537482</v>
      </c>
      <c r="H217" s="26"/>
      <c r="I217" s="26"/>
      <c r="J217" s="126"/>
      <c r="K217" s="77" t="s">
        <v>785</v>
      </c>
      <c r="L217" s="405" t="s">
        <v>784</v>
      </c>
      <c r="M217" s="404" t="s">
        <v>659</v>
      </c>
      <c r="N217" s="128"/>
      <c r="O217" s="128">
        <v>67602482</v>
      </c>
      <c r="P217" s="406">
        <f>N217+O217</f>
        <v>67602482</v>
      </c>
      <c r="Q217" s="30"/>
      <c r="R217" s="30"/>
      <c r="S217" s="30"/>
      <c r="T217" s="30"/>
      <c r="U217" s="30"/>
      <c r="V217" s="36">
        <f t="shared" si="36"/>
        <v>67602482</v>
      </c>
      <c r="W217" s="30" t="s">
        <v>1311</v>
      </c>
      <c r="X217" s="31">
        <v>42488</v>
      </c>
      <c r="Y217" s="31">
        <v>42499</v>
      </c>
      <c r="Z217" s="30">
        <f>V217</f>
        <v>67602482</v>
      </c>
      <c r="AA217" s="1043">
        <v>1</v>
      </c>
      <c r="AB217" s="378">
        <f>+G217-P217</f>
        <v>935000</v>
      </c>
      <c r="AC217" s="32"/>
      <c r="AD217" s="38"/>
      <c r="AE217" s="38"/>
      <c r="AF217" s="38"/>
      <c r="AG217" s="38"/>
      <c r="AH217" s="38"/>
      <c r="AI217" s="38"/>
      <c r="AJ217" s="38"/>
      <c r="AK217" s="40"/>
    </row>
    <row r="218" spans="1:39">
      <c r="A218" s="291"/>
      <c r="B218" s="357"/>
      <c r="C218" s="360"/>
      <c r="D218" s="362"/>
      <c r="E218" s="364"/>
      <c r="F218" s="364"/>
      <c r="G218" s="155"/>
      <c r="H218" s="26"/>
      <c r="I218" s="26"/>
      <c r="J218" s="126"/>
      <c r="K218" s="77"/>
      <c r="L218" s="404"/>
      <c r="M218" s="404"/>
      <c r="N218" s="128"/>
      <c r="O218" s="128"/>
      <c r="P218" s="406"/>
      <c r="Q218" s="30"/>
      <c r="R218" s="30"/>
      <c r="S218" s="30"/>
      <c r="T218" s="30"/>
      <c r="U218" s="30"/>
      <c r="V218" s="36"/>
      <c r="W218" s="30"/>
      <c r="X218" s="31"/>
      <c r="Y218" s="31"/>
      <c r="Z218" s="30"/>
      <c r="AA218" s="30"/>
      <c r="AB218" s="378"/>
      <c r="AC218" s="32"/>
      <c r="AD218" s="38"/>
      <c r="AE218" s="38"/>
      <c r="AF218" s="38"/>
      <c r="AG218" s="38"/>
      <c r="AH218" s="38"/>
      <c r="AI218" s="38"/>
      <c r="AJ218" s="38"/>
      <c r="AK218" s="40"/>
    </row>
    <row r="219" spans="1:39" ht="31.5">
      <c r="A219" s="291"/>
      <c r="B219" s="357"/>
      <c r="C219" s="360" t="s">
        <v>640</v>
      </c>
      <c r="D219" s="362" t="s">
        <v>660</v>
      </c>
      <c r="E219" s="364"/>
      <c r="F219" s="364">
        <v>11361900</v>
      </c>
      <c r="G219" s="155">
        <f>E219+F219</f>
        <v>11361900</v>
      </c>
      <c r="H219" s="26"/>
      <c r="I219" s="26"/>
      <c r="J219" s="126"/>
      <c r="K219" s="27"/>
      <c r="L219" s="404" t="s">
        <v>786</v>
      </c>
      <c r="M219" s="405" t="s">
        <v>660</v>
      </c>
      <c r="N219" s="128"/>
      <c r="O219" s="128">
        <v>11361900</v>
      </c>
      <c r="P219" s="406">
        <v>11361900</v>
      </c>
      <c r="Q219" s="30"/>
      <c r="R219" s="30"/>
      <c r="S219" s="30"/>
      <c r="T219" s="30"/>
      <c r="U219" s="30"/>
      <c r="V219" s="36">
        <f t="shared" si="36"/>
        <v>11361900</v>
      </c>
      <c r="W219" s="30" t="s">
        <v>780</v>
      </c>
      <c r="X219" s="31">
        <v>42354</v>
      </c>
      <c r="Y219" s="31">
        <v>42361</v>
      </c>
      <c r="Z219" s="30">
        <f>V219</f>
        <v>11361900</v>
      </c>
      <c r="AA219" s="1043">
        <v>1</v>
      </c>
      <c r="AB219" s="378">
        <f>+G219-P219</f>
        <v>0</v>
      </c>
      <c r="AC219" s="32"/>
      <c r="AD219" s="38"/>
      <c r="AE219" s="38"/>
      <c r="AF219" s="38"/>
      <c r="AG219" s="38"/>
      <c r="AH219" s="38"/>
      <c r="AI219" s="38"/>
      <c r="AJ219" s="38"/>
      <c r="AK219" s="40"/>
    </row>
    <row r="220" spans="1:39">
      <c r="A220" s="291"/>
      <c r="B220" s="357"/>
      <c r="C220" s="360"/>
      <c r="D220" s="362"/>
      <c r="E220" s="364"/>
      <c r="F220" s="364"/>
      <c r="G220" s="155"/>
      <c r="H220" s="26"/>
      <c r="I220" s="26"/>
      <c r="J220" s="126"/>
      <c r="K220" s="27"/>
      <c r="L220" s="404"/>
      <c r="M220" s="405"/>
      <c r="N220" s="128"/>
      <c r="O220" s="128"/>
      <c r="P220" s="406"/>
      <c r="Q220" s="30"/>
      <c r="R220" s="30"/>
      <c r="S220" s="30"/>
      <c r="T220" s="30"/>
      <c r="U220" s="30"/>
      <c r="V220" s="36"/>
      <c r="W220" s="30"/>
      <c r="X220" s="31"/>
      <c r="Y220" s="31"/>
      <c r="Z220" s="30"/>
      <c r="AA220" s="30"/>
      <c r="AB220" s="378"/>
      <c r="AC220" s="32"/>
      <c r="AD220" s="38"/>
      <c r="AE220" s="38"/>
      <c r="AF220" s="38"/>
      <c r="AG220" s="38"/>
      <c r="AH220" s="38"/>
      <c r="AI220" s="38"/>
      <c r="AJ220" s="38"/>
      <c r="AK220" s="40"/>
    </row>
    <row r="221" spans="1:39" ht="31.5">
      <c r="A221" s="291"/>
      <c r="B221" s="357"/>
      <c r="C221" s="360" t="s">
        <v>641</v>
      </c>
      <c r="D221" s="362" t="s">
        <v>661</v>
      </c>
      <c r="E221" s="364"/>
      <c r="F221" s="364">
        <v>11361900</v>
      </c>
      <c r="G221" s="155">
        <f>E221+F221</f>
        <v>11361900</v>
      </c>
      <c r="H221" s="26"/>
      <c r="I221" s="26"/>
      <c r="J221" s="126"/>
      <c r="K221" s="27"/>
      <c r="L221" s="404" t="s">
        <v>786</v>
      </c>
      <c r="M221" s="405" t="s">
        <v>661</v>
      </c>
      <c r="N221" s="128"/>
      <c r="O221" s="128">
        <v>11361900</v>
      </c>
      <c r="P221" s="406">
        <v>11361900</v>
      </c>
      <c r="Q221" s="30"/>
      <c r="R221" s="30"/>
      <c r="S221" s="30"/>
      <c r="T221" s="30"/>
      <c r="U221" s="30"/>
      <c r="V221" s="36">
        <f t="shared" si="36"/>
        <v>11361900</v>
      </c>
      <c r="W221" s="30" t="s">
        <v>781</v>
      </c>
      <c r="X221" s="31"/>
      <c r="Y221" s="31">
        <v>42429</v>
      </c>
      <c r="Z221" s="30">
        <f>V221</f>
        <v>11361900</v>
      </c>
      <c r="AA221" s="1043">
        <v>1</v>
      </c>
      <c r="AB221" s="378">
        <f>+G221-P221</f>
        <v>0</v>
      </c>
      <c r="AC221" s="32"/>
      <c r="AD221" s="38"/>
      <c r="AE221" s="38"/>
      <c r="AF221" s="38"/>
      <c r="AG221" s="38"/>
      <c r="AH221" s="38"/>
      <c r="AI221" s="38"/>
      <c r="AJ221" s="38"/>
      <c r="AK221" s="40"/>
    </row>
    <row r="222" spans="1:39" s="63" customFormat="1" ht="15.75" customHeight="1" thickBot="1">
      <c r="A222" s="121"/>
      <c r="B222" s="122"/>
      <c r="C222" s="123"/>
      <c r="D222" s="124"/>
      <c r="E222" s="125"/>
      <c r="F222" s="125"/>
      <c r="G222" s="120"/>
      <c r="H222" s="26"/>
      <c r="I222" s="26"/>
      <c r="J222" s="127"/>
      <c r="K222" s="133"/>
      <c r="L222" s="133"/>
      <c r="M222" s="134"/>
      <c r="N222" s="329"/>
      <c r="O222" s="475"/>
      <c r="P222" s="46">
        <f>N222+O222</f>
        <v>0</v>
      </c>
      <c r="Q222" s="117"/>
      <c r="R222" s="117"/>
      <c r="S222" s="117"/>
      <c r="T222" s="117"/>
      <c r="U222" s="117"/>
      <c r="V222" s="59">
        <f>+P222</f>
        <v>0</v>
      </c>
      <c r="W222" s="36"/>
      <c r="X222" s="31"/>
      <c r="Y222" s="37"/>
      <c r="Z222" s="46"/>
      <c r="AA222" s="119"/>
      <c r="AB222" s="377"/>
      <c r="AC222" s="117"/>
      <c r="AD222" s="38"/>
      <c r="AE222" s="38"/>
      <c r="AF222" s="38"/>
      <c r="AG222" s="38"/>
      <c r="AH222" s="38"/>
      <c r="AI222" s="38"/>
      <c r="AJ222" s="38"/>
      <c r="AK222" s="689"/>
    </row>
    <row r="223" spans="1:39" s="55" customFormat="1" ht="15.75" customHeight="1" thickBot="1">
      <c r="A223" s="2703" t="str">
        <f>B13</f>
        <v>001.TU/AO/BRU/2016/M</v>
      </c>
      <c r="B223" s="2704"/>
      <c r="C223" s="2704"/>
      <c r="D223" s="2705"/>
      <c r="E223" s="65">
        <f>E27+E50+E102+E104+E157+E159+E167+E173+E182+E183+E187+E191+E202+E204+E208+E213+E215+E217+E219+E221</f>
        <v>870911040</v>
      </c>
      <c r="F223" s="65">
        <f>F27+F50+F102+F104+F157+F159+F167+F173+F182+F183+F187+F191+F202+F204+F208+F213+F215+F217+F219+F221</f>
        <v>9456431282</v>
      </c>
      <c r="G223" s="65">
        <f>G27+G50+G102+G104+G157+G159+G167+G173+G182+G183+G187+G191+G202+G204+G208+G213+G215+G217+G219+G221</f>
        <v>10757731322</v>
      </c>
      <c r="H223" s="65"/>
      <c r="I223" s="65"/>
      <c r="J223" s="65"/>
      <c r="K223" s="66"/>
      <c r="L223" s="66"/>
      <c r="M223" s="67"/>
      <c r="N223" s="65">
        <f>N27+N50+N102+N104+N157+N159+N167+N173+N182+N183+N189+N195+N202+N207+N211+N213+N215+N217+N219+N221</f>
        <v>750374880</v>
      </c>
      <c r="O223" s="65">
        <f t="shared" ref="O223:V223" si="37">O27+O50+O102+O104+O157+O159+O167+O173+O182+O183+O189+O195+O202+O207+O211+O213+O215+O217+O219+O221</f>
        <v>10002351342.989178</v>
      </c>
      <c r="P223" s="65">
        <f t="shared" si="37"/>
        <v>10752726222.989178</v>
      </c>
      <c r="Q223" s="65">
        <f t="shared" si="37"/>
        <v>0</v>
      </c>
      <c r="R223" s="65">
        <f t="shared" si="37"/>
        <v>0</v>
      </c>
      <c r="S223" s="65">
        <f t="shared" si="37"/>
        <v>0</v>
      </c>
      <c r="T223" s="65">
        <f t="shared" si="37"/>
        <v>0</v>
      </c>
      <c r="U223" s="65">
        <f t="shared" si="37"/>
        <v>0</v>
      </c>
      <c r="V223" s="65">
        <f t="shared" si="37"/>
        <v>10752726222.989178</v>
      </c>
      <c r="W223" s="69"/>
      <c r="X223" s="70"/>
      <c r="Y223" s="70"/>
      <c r="Z223" s="65">
        <f>Z27+Z50+Z102+Z104+Z157+Z159+Z167+Z173+Z182+Z185+Z189+Z195+Z202+Z207+Z211+Z213+Z215+Z217+Z219+Z221</f>
        <v>10564397851.989178</v>
      </c>
      <c r="AA223" s="65"/>
      <c r="AB223" s="65">
        <f>AB27+AB50+AB102+AB104+AB157+AB159+AB167+AB173+AB182+AB183+AB189+AB195+AB202+AB207+AB211+AB213+AB215+AB217+AB219+AB221</f>
        <v>5005099.0108218193</v>
      </c>
      <c r="AC223" s="76"/>
      <c r="AD223" s="696"/>
      <c r="AE223" s="696"/>
      <c r="AF223" s="696"/>
      <c r="AG223" s="696"/>
      <c r="AH223" s="696"/>
      <c r="AI223" s="696"/>
      <c r="AJ223" s="696"/>
      <c r="AK223" s="1433"/>
      <c r="AM223" s="56"/>
    </row>
    <row r="224" spans="1:39" ht="15.75" customHeight="1" thickBot="1">
      <c r="A224" s="2735" t="s">
        <v>44</v>
      </c>
      <c r="B224" s="2736"/>
      <c r="C224" s="2736"/>
      <c r="D224" s="2737"/>
      <c r="E224" s="84">
        <f>E223</f>
        <v>870911040</v>
      </c>
      <c r="F224" s="84">
        <f>F223</f>
        <v>9456431282</v>
      </c>
      <c r="G224" s="84">
        <f>G223</f>
        <v>10757731322</v>
      </c>
      <c r="H224" s="84"/>
      <c r="I224" s="84"/>
      <c r="J224" s="84"/>
      <c r="K224" s="84"/>
      <c r="L224" s="84"/>
      <c r="M224" s="84"/>
      <c r="N224" s="84">
        <f t="shared" ref="N224:V224" si="38">N223</f>
        <v>750374880</v>
      </c>
      <c r="O224" s="84">
        <f t="shared" si="38"/>
        <v>10002351342.989178</v>
      </c>
      <c r="P224" s="84">
        <f t="shared" si="38"/>
        <v>10752726222.989178</v>
      </c>
      <c r="Q224" s="84">
        <f t="shared" si="38"/>
        <v>0</v>
      </c>
      <c r="R224" s="84">
        <f t="shared" si="38"/>
        <v>0</v>
      </c>
      <c r="S224" s="84">
        <f t="shared" si="38"/>
        <v>0</v>
      </c>
      <c r="T224" s="84">
        <f t="shared" si="38"/>
        <v>0</v>
      </c>
      <c r="U224" s="84">
        <f t="shared" si="38"/>
        <v>0</v>
      </c>
      <c r="V224" s="84">
        <f t="shared" si="38"/>
        <v>10752726222.989178</v>
      </c>
      <c r="W224" s="84"/>
      <c r="X224" s="84"/>
      <c r="Y224" s="84"/>
      <c r="Z224" s="84">
        <f>Z223</f>
        <v>10564397851.989178</v>
      </c>
      <c r="AA224" s="84"/>
      <c r="AB224" s="84">
        <f>AB223</f>
        <v>5005099.0108218193</v>
      </c>
      <c r="AC224" s="84"/>
      <c r="AK224" s="1434"/>
      <c r="AL224" s="79">
        <f>AB27+AB104+AB167+AB173+AB182+AB202+AB207+AB211+AB215+AB217</f>
        <v>398834736.28181332</v>
      </c>
      <c r="AM224" s="79">
        <f>AB50+AB102+AB157+AB159</f>
        <v>-403559258.2709915</v>
      </c>
    </row>
    <row r="225" spans="2:37" ht="15.75" customHeight="1">
      <c r="B225" s="88"/>
      <c r="N225" s="88"/>
      <c r="O225" s="476"/>
      <c r="P225" s="90"/>
      <c r="Q225" s="90"/>
      <c r="R225" s="90"/>
      <c r="S225" s="90"/>
      <c r="T225" s="90"/>
      <c r="U225" s="90"/>
      <c r="V225" s="90"/>
      <c r="X225" s="91"/>
      <c r="Y225" s="91"/>
      <c r="Z225" s="79"/>
      <c r="AA225" s="79"/>
      <c r="AB225" s="79"/>
    </row>
    <row r="226" spans="2:37">
      <c r="B226" s="88" t="s">
        <v>1351</v>
      </c>
      <c r="E226" s="79"/>
      <c r="F226" s="79"/>
      <c r="G226" s="79">
        <f>G224-G213-G215-G217-G219-G221</f>
        <v>10488809040</v>
      </c>
      <c r="H226" s="79"/>
      <c r="I226" s="79"/>
      <c r="J226" s="79"/>
      <c r="N226" s="79">
        <f t="shared" ref="N226:V226" si="39">N224-N213-N215-N217-N219-N221</f>
        <v>750374880</v>
      </c>
      <c r="O226" s="79">
        <f t="shared" si="39"/>
        <v>9734708988.9891777</v>
      </c>
      <c r="P226" s="79">
        <f t="shared" si="39"/>
        <v>10485083868.989178</v>
      </c>
      <c r="Q226" s="79">
        <f t="shared" si="39"/>
        <v>0</v>
      </c>
      <c r="R226" s="79">
        <f t="shared" si="39"/>
        <v>0</v>
      </c>
      <c r="S226" s="79">
        <f t="shared" si="39"/>
        <v>0</v>
      </c>
      <c r="T226" s="79">
        <f t="shared" si="39"/>
        <v>0</v>
      </c>
      <c r="U226" s="79">
        <f t="shared" si="39"/>
        <v>0</v>
      </c>
      <c r="V226" s="79">
        <f t="shared" si="39"/>
        <v>10485083868.989178</v>
      </c>
      <c r="W226" s="79">
        <f>P226-V226</f>
        <v>0</v>
      </c>
      <c r="X226" s="79">
        <f>W226-P206</f>
        <v>-5115000</v>
      </c>
      <c r="Z226" s="79">
        <f>Z224-Z213-Z215-Z217-Z219-Z221</f>
        <v>10296755497.989178</v>
      </c>
      <c r="AB226" s="79"/>
      <c r="AC226" s="88"/>
      <c r="AK226" s="88"/>
    </row>
    <row r="227" spans="2:37">
      <c r="B227" s="2" t="s">
        <v>1352</v>
      </c>
      <c r="G227" s="79">
        <f>G224-G226</f>
        <v>268922282</v>
      </c>
      <c r="N227" s="79">
        <f t="shared" ref="N227:V227" si="40">N224-N226</f>
        <v>0</v>
      </c>
      <c r="O227" s="79">
        <f t="shared" si="40"/>
        <v>267642354</v>
      </c>
      <c r="P227" s="79">
        <f t="shared" si="40"/>
        <v>267642354</v>
      </c>
      <c r="Q227" s="79">
        <f t="shared" si="40"/>
        <v>0</v>
      </c>
      <c r="R227" s="79">
        <f t="shared" si="40"/>
        <v>0</v>
      </c>
      <c r="S227" s="79">
        <f t="shared" si="40"/>
        <v>0</v>
      </c>
      <c r="T227" s="79">
        <f t="shared" si="40"/>
        <v>0</v>
      </c>
      <c r="U227" s="79">
        <f t="shared" si="40"/>
        <v>0</v>
      </c>
      <c r="V227" s="79">
        <f t="shared" si="40"/>
        <v>267642354</v>
      </c>
      <c r="Z227" s="79">
        <f>Z224-Z226</f>
        <v>267642354</v>
      </c>
      <c r="AB227" s="79"/>
    </row>
    <row r="228" spans="2:37">
      <c r="M228" s="92"/>
    </row>
  </sheetData>
  <mergeCells count="29">
    <mergeCell ref="A5:AC5"/>
    <mergeCell ref="A6:N6"/>
    <mergeCell ref="A8:A10"/>
    <mergeCell ref="B8:G8"/>
    <mergeCell ref="H8:I9"/>
    <mergeCell ref="B9:B10"/>
    <mergeCell ref="C9:C10"/>
    <mergeCell ref="D9:D10"/>
    <mergeCell ref="J9:J10"/>
    <mergeCell ref="J8:U8"/>
    <mergeCell ref="AG8:AI9"/>
    <mergeCell ref="AJ8:AJ10"/>
    <mergeCell ref="A224:D224"/>
    <mergeCell ref="W9:W10"/>
    <mergeCell ref="X9:X10"/>
    <mergeCell ref="Y9:Y10"/>
    <mergeCell ref="Z9:Z10"/>
    <mergeCell ref="AC8:AC10"/>
    <mergeCell ref="A223:D223"/>
    <mergeCell ref="AD8:AD10"/>
    <mergeCell ref="V8:V10"/>
    <mergeCell ref="W8:X8"/>
    <mergeCell ref="Y8:AA8"/>
    <mergeCell ref="AE8:AF9"/>
    <mergeCell ref="N9:P9"/>
    <mergeCell ref="Q9:S9"/>
    <mergeCell ref="T9:U9"/>
    <mergeCell ref="W11:Z11"/>
    <mergeCell ref="E9:G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AX22"/>
  <sheetViews>
    <sheetView zoomScale="70" zoomScaleNormal="70" zoomScaleSheetLayoutView="71" workbookViewId="0">
      <pane xSplit="2" ySplit="11" topLeftCell="L12" activePane="bottomRight" state="frozen"/>
      <selection activeCell="T26" sqref="T26"/>
      <selection pane="topRight" activeCell="T26" sqref="T26"/>
      <selection pane="bottomLeft" activeCell="T26" sqref="T26"/>
      <selection pane="bottomRight" activeCell="X20" sqref="X20"/>
    </sheetView>
  </sheetViews>
  <sheetFormatPr defaultColWidth="32.42578125" defaultRowHeight="15.75"/>
  <cols>
    <col min="1" max="1" width="4.85546875" style="2" customWidth="1"/>
    <col min="2" max="2" width="32.42578125" style="2" customWidth="1"/>
    <col min="3" max="3" width="32.5703125" style="89" customWidth="1"/>
    <col min="4" max="4" width="73.42578125" style="89" customWidth="1"/>
    <col min="5" max="5" width="22.140625" style="2" bestFit="1" customWidth="1"/>
    <col min="6" max="7" width="22.140625" style="2" hidden="1" customWidth="1"/>
    <col min="8" max="8" width="26.42578125" style="2" bestFit="1" customWidth="1"/>
    <col min="9" max="9" width="32.42578125" style="2" bestFit="1" customWidth="1"/>
    <col min="10" max="10" width="59.28515625" style="89" customWidth="1"/>
    <col min="11" max="11" width="27.7109375" style="2" bestFit="1" customWidth="1"/>
    <col min="12" max="12" width="16.85546875" style="2" bestFit="1" customWidth="1"/>
    <col min="13" max="13" width="14.42578125" style="2" customWidth="1"/>
    <col min="14" max="14" width="16.5703125" style="2" bestFit="1" customWidth="1"/>
    <col min="15" max="19" width="14.42578125" style="2" hidden="1" customWidth="1"/>
    <col min="20" max="20" width="19.85546875" style="2" customWidth="1"/>
    <col min="21" max="21" width="25.85546875" style="2" bestFit="1" customWidth="1"/>
    <col min="22" max="22" width="15.42578125" style="2" bestFit="1" customWidth="1"/>
    <col min="23" max="23" width="16.28515625" style="2" bestFit="1" customWidth="1"/>
    <col min="24" max="24" width="19.28515625" style="2" customWidth="1"/>
    <col min="25" max="25" width="10.140625" style="2" bestFit="1" customWidth="1"/>
    <col min="26" max="26" width="19.28515625" style="2" customWidth="1"/>
    <col min="27" max="27" width="32.5703125" style="2" hidden="1" customWidth="1"/>
    <col min="28" max="29" width="14.42578125" style="2" hidden="1" customWidth="1"/>
    <col min="30" max="30" width="16.42578125" style="2" hidden="1" customWidth="1"/>
    <col min="31" max="33" width="17.5703125" style="2" hidden="1" customWidth="1"/>
    <col min="34" max="34" width="14.42578125" style="2" hidden="1" customWidth="1"/>
    <col min="35" max="35" width="17.5703125" style="2" hidden="1" customWidth="1"/>
    <col min="36" max="43" width="18" style="2" hidden="1" customWidth="1"/>
    <col min="44" max="16384" width="32.42578125" style="2"/>
  </cols>
  <sheetData>
    <row r="1" spans="1:5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5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50" ht="18.75">
      <c r="A5" s="2656" t="s">
        <v>1353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</row>
    <row r="6" spans="1:50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</row>
    <row r="7" spans="1:50" ht="16.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50" ht="16.5" customHeight="1" thickBot="1">
      <c r="A8" s="2658" t="s">
        <v>3</v>
      </c>
      <c r="B8" s="2658" t="s">
        <v>1354</v>
      </c>
      <c r="C8" s="2664" t="s">
        <v>4</v>
      </c>
      <c r="D8" s="2770"/>
      <c r="E8" s="2665"/>
      <c r="F8" s="2664" t="s">
        <v>5</v>
      </c>
      <c r="G8" s="2665"/>
      <c r="H8" s="2661" t="s">
        <v>6</v>
      </c>
      <c r="I8" s="2662"/>
      <c r="J8" s="2662"/>
      <c r="K8" s="2662"/>
      <c r="L8" s="2662"/>
      <c r="M8" s="2662"/>
      <c r="N8" s="2663"/>
      <c r="O8" s="917"/>
      <c r="P8" s="917"/>
      <c r="Q8" s="917"/>
      <c r="R8" s="917"/>
      <c r="S8" s="917"/>
      <c r="T8" s="2772" t="s">
        <v>7</v>
      </c>
      <c r="U8" s="2668" t="s">
        <v>8</v>
      </c>
      <c r="V8" s="2670"/>
      <c r="W8" s="2687" t="s">
        <v>9</v>
      </c>
      <c r="X8" s="2687"/>
      <c r="Y8" s="2768"/>
      <c r="Z8" s="925" t="s">
        <v>1355</v>
      </c>
      <c r="AA8" s="2674" t="s">
        <v>11</v>
      </c>
      <c r="AB8" s="2696" t="s">
        <v>12</v>
      </c>
      <c r="AC8" s="2697"/>
      <c r="AD8" s="2697"/>
      <c r="AE8" s="2697"/>
      <c r="AF8" s="2697"/>
      <c r="AG8" s="2697"/>
      <c r="AH8" s="2697"/>
      <c r="AI8" s="2697"/>
      <c r="AJ8" s="2696" t="s">
        <v>13</v>
      </c>
      <c r="AK8" s="2697"/>
      <c r="AL8" s="2697"/>
      <c r="AM8" s="2697"/>
      <c r="AN8" s="2697"/>
      <c r="AO8" s="2697"/>
      <c r="AP8" s="2697"/>
      <c r="AQ8" s="2769"/>
      <c r="AR8" s="2690" t="s">
        <v>2571</v>
      </c>
      <c r="AS8" s="2710" t="s">
        <v>2572</v>
      </c>
      <c r="AT8" s="2698"/>
      <c r="AU8" s="2686" t="s">
        <v>2573</v>
      </c>
      <c r="AV8" s="2687"/>
      <c r="AW8" s="2687"/>
      <c r="AX8" s="2690" t="s">
        <v>2578</v>
      </c>
    </row>
    <row r="9" spans="1:50" ht="16.5" customHeight="1" thickBot="1">
      <c r="A9" s="2659"/>
      <c r="B9" s="2659"/>
      <c r="C9" s="2666"/>
      <c r="D9" s="2771"/>
      <c r="E9" s="2667"/>
      <c r="F9" s="2666"/>
      <c r="G9" s="2667"/>
      <c r="H9" s="2658" t="s">
        <v>16</v>
      </c>
      <c r="I9" s="2658" t="s">
        <v>1356</v>
      </c>
      <c r="J9" s="2658" t="s">
        <v>28</v>
      </c>
      <c r="K9" s="2772" t="s">
        <v>29</v>
      </c>
      <c r="L9" s="2706" t="s">
        <v>17</v>
      </c>
      <c r="M9" s="2707"/>
      <c r="N9" s="2708"/>
      <c r="O9" s="2680" t="s">
        <v>18</v>
      </c>
      <c r="P9" s="2681"/>
      <c r="Q9" s="2709"/>
      <c r="R9" s="2680" t="s">
        <v>19</v>
      </c>
      <c r="S9" s="2709"/>
      <c r="T9" s="2773"/>
      <c r="U9" s="2674" t="s">
        <v>20</v>
      </c>
      <c r="V9" s="2768" t="s">
        <v>21</v>
      </c>
      <c r="W9" s="2674" t="s">
        <v>22</v>
      </c>
      <c r="X9" s="2768" t="s">
        <v>15</v>
      </c>
      <c r="Y9" s="926" t="s">
        <v>23</v>
      </c>
      <c r="Z9" s="7" t="s">
        <v>36</v>
      </c>
      <c r="AA9" s="2675"/>
      <c r="AB9" s="8"/>
      <c r="AC9" s="9"/>
      <c r="AD9" s="9"/>
      <c r="AE9" s="9"/>
      <c r="AF9" s="9"/>
      <c r="AG9" s="9"/>
      <c r="AH9" s="9"/>
      <c r="AI9" s="9"/>
      <c r="AJ9" s="2775" t="s">
        <v>24</v>
      </c>
      <c r="AK9" s="2776"/>
      <c r="AL9" s="2776"/>
      <c r="AM9" s="2777"/>
      <c r="AN9" s="2775" t="s">
        <v>25</v>
      </c>
      <c r="AO9" s="2776"/>
      <c r="AP9" s="2776"/>
      <c r="AQ9" s="2777"/>
      <c r="AR9" s="2691"/>
      <c r="AS9" s="2711"/>
      <c r="AT9" s="2712"/>
      <c r="AU9" s="2688"/>
      <c r="AV9" s="2689"/>
      <c r="AW9" s="2689"/>
      <c r="AX9" s="2691"/>
    </row>
    <row r="10" spans="1:50" ht="16.5" thickBot="1">
      <c r="A10" s="2660"/>
      <c r="B10" s="2660"/>
      <c r="C10" s="10" t="s">
        <v>1357</v>
      </c>
      <c r="D10" s="10" t="s">
        <v>14</v>
      </c>
      <c r="E10" s="10" t="s">
        <v>15</v>
      </c>
      <c r="F10" s="10" t="s">
        <v>26</v>
      </c>
      <c r="G10" s="10" t="s">
        <v>27</v>
      </c>
      <c r="H10" s="2660"/>
      <c r="I10" s="2660"/>
      <c r="J10" s="2660"/>
      <c r="K10" s="2774"/>
      <c r="L10" s="11" t="s">
        <v>30</v>
      </c>
      <c r="M10" s="11" t="s">
        <v>31</v>
      </c>
      <c r="N10" s="12" t="s">
        <v>32</v>
      </c>
      <c r="O10" s="12" t="s">
        <v>33</v>
      </c>
      <c r="P10" s="12" t="s">
        <v>30</v>
      </c>
      <c r="Q10" s="12" t="s">
        <v>31</v>
      </c>
      <c r="R10" s="12" t="s">
        <v>33</v>
      </c>
      <c r="S10" s="12" t="s">
        <v>34</v>
      </c>
      <c r="T10" s="2774"/>
      <c r="U10" s="2676"/>
      <c r="V10" s="2778"/>
      <c r="W10" s="2676"/>
      <c r="X10" s="2778"/>
      <c r="Y10" s="927" t="s">
        <v>35</v>
      </c>
      <c r="Z10" s="12"/>
      <c r="AA10" s="2676"/>
      <c r="AB10" s="2700" t="s">
        <v>37</v>
      </c>
      <c r="AC10" s="2701"/>
      <c r="AD10" s="2701"/>
      <c r="AE10" s="2702"/>
      <c r="AF10" s="2700" t="s">
        <v>38</v>
      </c>
      <c r="AG10" s="2701"/>
      <c r="AH10" s="2701"/>
      <c r="AI10" s="2702"/>
      <c r="AJ10" s="928" t="s">
        <v>39</v>
      </c>
      <c r="AK10" s="928" t="s">
        <v>40</v>
      </c>
      <c r="AL10" s="928" t="s">
        <v>41</v>
      </c>
      <c r="AM10" s="928" t="s">
        <v>42</v>
      </c>
      <c r="AN10" s="928" t="s">
        <v>39</v>
      </c>
      <c r="AO10" s="928" t="s">
        <v>40</v>
      </c>
      <c r="AP10" s="928" t="s">
        <v>41</v>
      </c>
      <c r="AQ10" s="928" t="s">
        <v>42</v>
      </c>
      <c r="AR10" s="2692"/>
      <c r="AS10" s="16" t="s">
        <v>3</v>
      </c>
      <c r="AT10" s="16" t="s">
        <v>2574</v>
      </c>
      <c r="AU10" s="16" t="s">
        <v>2575</v>
      </c>
      <c r="AV10" s="16" t="s">
        <v>2576</v>
      </c>
      <c r="AW10" s="16" t="s">
        <v>2577</v>
      </c>
      <c r="AX10" s="2692"/>
    </row>
    <row r="11" spans="1:50" ht="16.5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>
        <v>5</v>
      </c>
      <c r="J11" s="10">
        <v>6</v>
      </c>
      <c r="K11" s="10">
        <v>7</v>
      </c>
      <c r="L11" s="10"/>
      <c r="M11" s="10">
        <v>8</v>
      </c>
      <c r="N11" s="16">
        <v>9</v>
      </c>
      <c r="O11" s="915"/>
      <c r="P11" s="915"/>
      <c r="Q11" s="915"/>
      <c r="R11" s="915"/>
      <c r="S11" s="915"/>
      <c r="T11" s="915"/>
      <c r="U11" s="2758">
        <v>10</v>
      </c>
      <c r="V11" s="2759"/>
      <c r="W11" s="2759"/>
      <c r="X11" s="2760"/>
      <c r="Y11" s="916"/>
      <c r="Z11" s="16">
        <v>11</v>
      </c>
      <c r="AA11" s="16">
        <v>11</v>
      </c>
      <c r="AB11" s="19" t="s">
        <v>39</v>
      </c>
      <c r="AC11" s="19" t="s">
        <v>40</v>
      </c>
      <c r="AD11" s="19" t="s">
        <v>41</v>
      </c>
      <c r="AE11" s="19" t="s">
        <v>42</v>
      </c>
      <c r="AF11" s="19" t="s">
        <v>39</v>
      </c>
      <c r="AG11" s="19" t="s">
        <v>40</v>
      </c>
      <c r="AH11" s="19" t="s">
        <v>41</v>
      </c>
      <c r="AI11" s="19" t="s">
        <v>42</v>
      </c>
      <c r="AJ11" s="929"/>
      <c r="AK11" s="929"/>
      <c r="AL11" s="929"/>
      <c r="AM11" s="929"/>
      <c r="AN11" s="929"/>
      <c r="AO11" s="929"/>
      <c r="AP11" s="929"/>
      <c r="AQ11" s="929"/>
      <c r="AR11" s="16"/>
      <c r="AS11" s="19"/>
      <c r="AT11" s="19"/>
      <c r="AU11" s="19"/>
      <c r="AV11" s="19"/>
      <c r="AW11" s="19"/>
      <c r="AX11" s="16"/>
    </row>
    <row r="12" spans="1:50" s="944" customFormat="1" ht="31.5">
      <c r="A12" s="930"/>
      <c r="B12" s="931" t="s">
        <v>1358</v>
      </c>
      <c r="C12" s="932"/>
      <c r="D12" s="933" t="s">
        <v>1359</v>
      </c>
      <c r="E12" s="934">
        <v>159170000</v>
      </c>
      <c r="F12" s="934"/>
      <c r="G12" s="934"/>
      <c r="H12" s="546"/>
      <c r="I12" s="935" t="s">
        <v>1360</v>
      </c>
      <c r="J12" s="936" t="s">
        <v>1359</v>
      </c>
      <c r="K12" s="937" t="s">
        <v>1361</v>
      </c>
      <c r="L12" s="938">
        <v>159170000</v>
      </c>
      <c r="M12" s="938"/>
      <c r="N12" s="939">
        <f>+L12</f>
        <v>159170000</v>
      </c>
      <c r="O12" s="939"/>
      <c r="P12" s="939"/>
      <c r="Q12" s="939"/>
      <c r="R12" s="939"/>
      <c r="S12" s="939"/>
      <c r="T12" s="939">
        <v>159170000</v>
      </c>
      <c r="U12" s="797" t="s">
        <v>1362</v>
      </c>
      <c r="V12" s="940"/>
      <c r="W12" s="940">
        <v>42397</v>
      </c>
      <c r="X12" s="797">
        <f t="shared" ref="X12:X19" si="0">T12</f>
        <v>159170000</v>
      </c>
      <c r="Y12" s="941">
        <v>1</v>
      </c>
      <c r="Z12" s="942">
        <f>E12-T12</f>
        <v>0</v>
      </c>
      <c r="AA12" s="942"/>
      <c r="AB12" s="942"/>
      <c r="AC12" s="552"/>
      <c r="AD12" s="552"/>
      <c r="AE12" s="552"/>
      <c r="AF12" s="552"/>
      <c r="AG12" s="552"/>
      <c r="AH12" s="552"/>
      <c r="AI12" s="552"/>
      <c r="AJ12" s="552"/>
      <c r="AK12" s="552"/>
      <c r="AL12" s="552"/>
      <c r="AM12" s="552"/>
      <c r="AN12" s="552"/>
      <c r="AO12" s="552"/>
      <c r="AP12" s="943"/>
      <c r="AQ12" s="552"/>
      <c r="AR12" s="1439"/>
      <c r="AS12" s="1440"/>
      <c r="AT12" s="1440"/>
      <c r="AU12" s="1440"/>
      <c r="AV12" s="1440"/>
      <c r="AW12" s="1440"/>
      <c r="AX12" s="1439"/>
    </row>
    <row r="13" spans="1:50" s="55" customFormat="1">
      <c r="A13" s="54"/>
      <c r="B13" s="945" t="s">
        <v>1363</v>
      </c>
      <c r="C13" s="851"/>
      <c r="D13" s="946" t="s">
        <v>1364</v>
      </c>
      <c r="E13" s="947">
        <v>84590000</v>
      </c>
      <c r="F13" s="947"/>
      <c r="G13" s="947"/>
      <c r="H13" s="27"/>
      <c r="I13" s="27" t="s">
        <v>1365</v>
      </c>
      <c r="J13" s="130" t="s">
        <v>1364</v>
      </c>
      <c r="K13" s="948" t="s">
        <v>168</v>
      </c>
      <c r="L13" s="949">
        <v>84590000</v>
      </c>
      <c r="M13" s="949"/>
      <c r="N13" s="950">
        <v>84590000</v>
      </c>
      <c r="O13" s="950"/>
      <c r="P13" s="950"/>
      <c r="Q13" s="950"/>
      <c r="R13" s="950"/>
      <c r="S13" s="950"/>
      <c r="T13" s="950">
        <v>84590000</v>
      </c>
      <c r="U13" s="797" t="s">
        <v>1362</v>
      </c>
      <c r="V13" s="940"/>
      <c r="W13" s="940">
        <v>42397</v>
      </c>
      <c r="X13" s="797">
        <f t="shared" si="0"/>
        <v>84590000</v>
      </c>
      <c r="Y13" s="941">
        <v>1</v>
      </c>
      <c r="Z13" s="951">
        <f t="shared" ref="Z13:Z19" si="1">E13-T13</f>
        <v>0</v>
      </c>
      <c r="AA13" s="53" t="s">
        <v>1366</v>
      </c>
      <c r="AB13" s="53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1441"/>
      <c r="AS13" s="1441"/>
      <c r="AT13" s="1441"/>
      <c r="AU13" s="1441"/>
      <c r="AV13" s="1441"/>
      <c r="AW13" s="1441"/>
      <c r="AX13" s="1441"/>
    </row>
    <row r="14" spans="1:50" s="959" customFormat="1" ht="31.5">
      <c r="A14" s="952"/>
      <c r="B14" s="953" t="s">
        <v>1367</v>
      </c>
      <c r="C14" s="851"/>
      <c r="D14" s="954" t="s">
        <v>1368</v>
      </c>
      <c r="E14" s="51">
        <v>49584700</v>
      </c>
      <c r="F14" s="51"/>
      <c r="G14" s="51"/>
      <c r="H14" s="27" t="s">
        <v>1369</v>
      </c>
      <c r="I14" s="77" t="s">
        <v>1370</v>
      </c>
      <c r="J14" s="130" t="s">
        <v>1368</v>
      </c>
      <c r="K14" s="948" t="s">
        <v>1371</v>
      </c>
      <c r="L14" s="949">
        <v>49584700</v>
      </c>
      <c r="M14" s="949"/>
      <c r="N14" s="950">
        <v>49584700</v>
      </c>
      <c r="O14" s="950"/>
      <c r="P14" s="950"/>
      <c r="Q14" s="950"/>
      <c r="R14" s="950"/>
      <c r="S14" s="950"/>
      <c r="T14" s="950">
        <v>49584700</v>
      </c>
      <c r="U14" s="53" t="s">
        <v>1372</v>
      </c>
      <c r="V14" s="955">
        <v>42367</v>
      </c>
      <c r="W14" s="955"/>
      <c r="X14" s="53">
        <f t="shared" si="0"/>
        <v>49584700</v>
      </c>
      <c r="Y14" s="941">
        <v>1</v>
      </c>
      <c r="Z14" s="951">
        <f t="shared" si="1"/>
        <v>0</v>
      </c>
      <c r="AA14" s="53"/>
      <c r="AB14" s="54"/>
      <c r="AC14" s="956"/>
      <c r="AD14" s="956"/>
      <c r="AE14" s="957"/>
      <c r="AF14" s="958"/>
      <c r="AG14" s="54"/>
      <c r="AH14" s="54"/>
      <c r="AI14" s="54"/>
      <c r="AJ14" s="54"/>
      <c r="AK14" s="54"/>
      <c r="AL14" s="54"/>
      <c r="AM14" s="54"/>
      <c r="AN14" s="54"/>
      <c r="AO14" s="54"/>
      <c r="AP14" s="54">
        <v>49584700</v>
      </c>
      <c r="AQ14" s="54"/>
      <c r="AR14" s="1441"/>
      <c r="AS14" s="1441"/>
      <c r="AT14" s="1441"/>
      <c r="AU14" s="1441"/>
      <c r="AV14" s="1441"/>
      <c r="AW14" s="1441"/>
      <c r="AX14" s="1441"/>
    </row>
    <row r="15" spans="1:50" s="962" customFormat="1" ht="31.5">
      <c r="A15" s="952"/>
      <c r="B15" s="960" t="s">
        <v>1373</v>
      </c>
      <c r="C15" s="851"/>
      <c r="D15" s="961" t="s">
        <v>1374</v>
      </c>
      <c r="E15" s="51">
        <v>96184000</v>
      </c>
      <c r="F15" s="51"/>
      <c r="G15" s="51"/>
      <c r="H15" s="27"/>
      <c r="I15" s="27" t="s">
        <v>1375</v>
      </c>
      <c r="J15" s="130" t="s">
        <v>1374</v>
      </c>
      <c r="K15" s="948" t="s">
        <v>168</v>
      </c>
      <c r="L15" s="949">
        <v>96184000</v>
      </c>
      <c r="M15" s="949"/>
      <c r="N15" s="950">
        <v>96184000</v>
      </c>
      <c r="O15" s="950"/>
      <c r="P15" s="950"/>
      <c r="Q15" s="950"/>
      <c r="R15" s="950"/>
      <c r="S15" s="950"/>
      <c r="T15" s="950">
        <v>96184000</v>
      </c>
      <c r="U15" s="797" t="s">
        <v>1362</v>
      </c>
      <c r="V15" s="940"/>
      <c r="W15" s="940">
        <v>42397</v>
      </c>
      <c r="X15" s="797">
        <f t="shared" si="0"/>
        <v>96184000</v>
      </c>
      <c r="Y15" s="941">
        <v>1</v>
      </c>
      <c r="Z15" s="53">
        <f t="shared" si="1"/>
        <v>0</v>
      </c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59">
        <v>49995000</v>
      </c>
      <c r="AP15" s="260"/>
      <c r="AQ15" s="260"/>
      <c r="AR15" s="1441"/>
      <c r="AS15" s="1441"/>
      <c r="AT15" s="1441"/>
      <c r="AU15" s="1441"/>
      <c r="AV15" s="1441"/>
      <c r="AW15" s="1441"/>
      <c r="AX15" s="1441"/>
    </row>
    <row r="16" spans="1:50" ht="31.5">
      <c r="A16" s="54"/>
      <c r="B16" s="960" t="s">
        <v>1376</v>
      </c>
      <c r="C16" s="851"/>
      <c r="D16" s="946" t="s">
        <v>1377</v>
      </c>
      <c r="E16" s="947">
        <v>49995000</v>
      </c>
      <c r="F16" s="947"/>
      <c r="G16" s="947"/>
      <c r="H16" s="27" t="s">
        <v>1378</v>
      </c>
      <c r="I16" s="963" t="s">
        <v>1379</v>
      </c>
      <c r="J16" s="851" t="s">
        <v>1377</v>
      </c>
      <c r="K16" s="964" t="s">
        <v>1380</v>
      </c>
      <c r="L16" s="965">
        <v>49995000</v>
      </c>
      <c r="M16" s="965"/>
      <c r="N16" s="966">
        <v>49995000</v>
      </c>
      <c r="O16" s="957"/>
      <c r="P16" s="957"/>
      <c r="Q16" s="957"/>
      <c r="R16" s="957"/>
      <c r="S16" s="957"/>
      <c r="T16" s="966">
        <v>49995000</v>
      </c>
      <c r="U16" s="797" t="s">
        <v>2881</v>
      </c>
      <c r="V16" s="940"/>
      <c r="W16" s="940">
        <v>42381</v>
      </c>
      <c r="X16" s="797">
        <f t="shared" si="0"/>
        <v>49995000</v>
      </c>
      <c r="Y16" s="941">
        <v>1</v>
      </c>
      <c r="Z16" s="53">
        <f t="shared" si="1"/>
        <v>0</v>
      </c>
      <c r="AA16" s="54"/>
      <c r="AB16" s="54"/>
      <c r="AC16" s="54"/>
      <c r="AD16" s="54"/>
      <c r="AE16" s="54"/>
      <c r="AF16" s="54"/>
      <c r="AG16" s="54"/>
      <c r="AH16" s="54"/>
      <c r="AI16" s="54"/>
      <c r="AJ16" s="38"/>
      <c r="AK16" s="38"/>
      <c r="AL16" s="38"/>
      <c r="AM16" s="38"/>
      <c r="AN16" s="967"/>
      <c r="AO16" s="967"/>
      <c r="AP16" s="38"/>
      <c r="AQ16" s="38"/>
      <c r="AR16" s="32"/>
      <c r="AS16" s="32"/>
      <c r="AT16" s="32"/>
      <c r="AU16" s="32"/>
      <c r="AV16" s="32"/>
      <c r="AW16" s="32"/>
      <c r="AX16" s="32"/>
    </row>
    <row r="17" spans="1:50" s="971" customFormat="1" ht="31.5">
      <c r="A17" s="952"/>
      <c r="B17" s="960" t="s">
        <v>1381</v>
      </c>
      <c r="C17" s="851"/>
      <c r="D17" s="946" t="s">
        <v>1382</v>
      </c>
      <c r="E17" s="947">
        <v>104940000</v>
      </c>
      <c r="F17" s="947"/>
      <c r="G17" s="947"/>
      <c r="H17" s="27"/>
      <c r="I17" s="77" t="s">
        <v>1383</v>
      </c>
      <c r="J17" s="968" t="s">
        <v>1382</v>
      </c>
      <c r="K17" s="969" t="s">
        <v>168</v>
      </c>
      <c r="L17" s="797">
        <v>104940000</v>
      </c>
      <c r="M17" s="970"/>
      <c r="N17" s="797">
        <v>104940000</v>
      </c>
      <c r="O17" s="797"/>
      <c r="P17" s="797"/>
      <c r="Q17" s="797"/>
      <c r="R17" s="797"/>
      <c r="S17" s="797"/>
      <c r="T17" s="797">
        <v>104940000</v>
      </c>
      <c r="U17" s="797" t="s">
        <v>1362</v>
      </c>
      <c r="V17" s="940"/>
      <c r="W17" s="940">
        <v>42397</v>
      </c>
      <c r="X17" s="797">
        <f t="shared" si="0"/>
        <v>104940000</v>
      </c>
      <c r="Y17" s="941">
        <v>1</v>
      </c>
      <c r="Z17" s="53">
        <f t="shared" si="1"/>
        <v>0</v>
      </c>
      <c r="AA17" s="54"/>
      <c r="AB17" s="54"/>
      <c r="AC17" s="54"/>
      <c r="AD17" s="54"/>
      <c r="AE17" s="54"/>
      <c r="AF17" s="54"/>
      <c r="AG17" s="54"/>
      <c r="AH17" s="54"/>
      <c r="AI17" s="54"/>
      <c r="AJ17" s="38"/>
      <c r="AK17" s="38"/>
      <c r="AL17" s="38"/>
      <c r="AM17" s="38"/>
      <c r="AN17" s="38"/>
      <c r="AO17" s="38"/>
      <c r="AP17" s="38"/>
      <c r="AQ17" s="38"/>
      <c r="AR17" s="32"/>
      <c r="AS17" s="32"/>
      <c r="AT17" s="32"/>
      <c r="AU17" s="32"/>
      <c r="AV17" s="32"/>
      <c r="AW17" s="32"/>
      <c r="AX17" s="32"/>
    </row>
    <row r="18" spans="1:50" s="971" customFormat="1" ht="31.5">
      <c r="A18" s="952"/>
      <c r="B18" s="960" t="s">
        <v>1384</v>
      </c>
      <c r="C18" s="851"/>
      <c r="D18" s="972" t="s">
        <v>1385</v>
      </c>
      <c r="E18" s="947">
        <v>89892000</v>
      </c>
      <c r="F18" s="947"/>
      <c r="G18" s="947"/>
      <c r="H18" s="27"/>
      <c r="I18" s="77" t="s">
        <v>1386</v>
      </c>
      <c r="J18" s="968" t="s">
        <v>1385</v>
      </c>
      <c r="K18" s="969" t="s">
        <v>168</v>
      </c>
      <c r="L18" s="797">
        <v>89892000</v>
      </c>
      <c r="M18" s="970"/>
      <c r="N18" s="797">
        <v>89892000</v>
      </c>
      <c r="O18" s="797"/>
      <c r="P18" s="797"/>
      <c r="Q18" s="797"/>
      <c r="R18" s="797"/>
      <c r="S18" s="797"/>
      <c r="T18" s="797">
        <v>89892000</v>
      </c>
      <c r="U18" s="797" t="s">
        <v>1362</v>
      </c>
      <c r="V18" s="940"/>
      <c r="W18" s="940">
        <v>42397</v>
      </c>
      <c r="X18" s="797">
        <f t="shared" si="0"/>
        <v>89892000</v>
      </c>
      <c r="Y18" s="941">
        <v>1</v>
      </c>
      <c r="Z18" s="53">
        <f t="shared" si="1"/>
        <v>0</v>
      </c>
      <c r="AA18" s="54"/>
      <c r="AB18" s="54"/>
      <c r="AC18" s="54"/>
      <c r="AD18" s="54"/>
      <c r="AE18" s="54"/>
      <c r="AF18" s="54"/>
      <c r="AG18" s="54"/>
      <c r="AH18" s="54"/>
      <c r="AI18" s="54"/>
      <c r="AJ18" s="38"/>
      <c r="AK18" s="38"/>
      <c r="AL18" s="38"/>
      <c r="AM18" s="38"/>
      <c r="AN18" s="38"/>
      <c r="AO18" s="38"/>
      <c r="AP18" s="38"/>
      <c r="AQ18" s="38"/>
      <c r="AR18" s="767"/>
      <c r="AS18" s="767"/>
      <c r="AT18" s="767"/>
      <c r="AU18" s="767"/>
      <c r="AV18" s="767"/>
      <c r="AW18" s="767"/>
      <c r="AX18" s="767"/>
    </row>
    <row r="19" spans="1:50" s="971" customFormat="1" ht="32.25" thickBot="1">
      <c r="A19" s="973"/>
      <c r="B19" s="974" t="s">
        <v>1387</v>
      </c>
      <c r="C19" s="975"/>
      <c r="D19" s="976" t="s">
        <v>1388</v>
      </c>
      <c r="E19" s="977">
        <v>162115800</v>
      </c>
      <c r="F19" s="977"/>
      <c r="G19" s="977"/>
      <c r="H19" s="554"/>
      <c r="I19" s="77" t="s">
        <v>1389</v>
      </c>
      <c r="J19" s="968" t="s">
        <v>1388</v>
      </c>
      <c r="K19" s="969" t="s">
        <v>168</v>
      </c>
      <c r="L19" s="797">
        <v>162115800</v>
      </c>
      <c r="M19" s="970"/>
      <c r="N19" s="797">
        <v>162115800</v>
      </c>
      <c r="O19" s="797"/>
      <c r="P19" s="797"/>
      <c r="Q19" s="797"/>
      <c r="R19" s="797"/>
      <c r="S19" s="797"/>
      <c r="T19" s="797">
        <v>162115800</v>
      </c>
      <c r="U19" s="797" t="s">
        <v>1362</v>
      </c>
      <c r="V19" s="940"/>
      <c r="W19" s="940">
        <v>42397</v>
      </c>
      <c r="X19" s="797">
        <f t="shared" si="0"/>
        <v>162115800</v>
      </c>
      <c r="Y19" s="941">
        <v>1</v>
      </c>
      <c r="Z19" s="53">
        <f t="shared" si="1"/>
        <v>0</v>
      </c>
      <c r="AA19" s="978"/>
      <c r="AB19" s="978"/>
      <c r="AC19" s="978"/>
      <c r="AD19" s="978"/>
      <c r="AE19" s="978"/>
      <c r="AF19" s="978"/>
      <c r="AG19" s="978"/>
      <c r="AH19" s="978"/>
      <c r="AI19" s="978"/>
      <c r="AJ19" s="696"/>
      <c r="AK19" s="696"/>
      <c r="AL19" s="696"/>
      <c r="AM19" s="696"/>
      <c r="AN19" s="696"/>
      <c r="AO19" s="696"/>
      <c r="AP19" s="696"/>
      <c r="AQ19" s="696"/>
      <c r="AR19" s="32"/>
      <c r="AS19" s="32"/>
      <c r="AT19" s="32"/>
      <c r="AU19" s="32"/>
      <c r="AV19" s="32"/>
      <c r="AW19" s="32"/>
      <c r="AX19" s="32"/>
    </row>
    <row r="20" spans="1:50" ht="16.5" thickBot="1">
      <c r="A20" s="979"/>
      <c r="B20" s="979"/>
      <c r="C20" s="980"/>
      <c r="D20" s="980"/>
      <c r="E20" s="981">
        <f>SUM(E12:E19)</f>
        <v>796471500</v>
      </c>
      <c r="F20" s="981"/>
      <c r="G20" s="981"/>
      <c r="H20" s="981"/>
      <c r="I20" s="979"/>
      <c r="J20" s="980"/>
      <c r="K20" s="979"/>
      <c r="L20" s="981">
        <f t="shared" ref="L20:T20" si="2">SUM(L12:L19)</f>
        <v>796471500</v>
      </c>
      <c r="M20" s="981">
        <f t="shared" si="2"/>
        <v>0</v>
      </c>
      <c r="N20" s="981">
        <f t="shared" si="2"/>
        <v>796471500</v>
      </c>
      <c r="O20" s="981">
        <f t="shared" si="2"/>
        <v>0</v>
      </c>
      <c r="P20" s="981">
        <f t="shared" si="2"/>
        <v>0</v>
      </c>
      <c r="Q20" s="981">
        <f t="shared" si="2"/>
        <v>0</v>
      </c>
      <c r="R20" s="981">
        <f t="shared" si="2"/>
        <v>0</v>
      </c>
      <c r="S20" s="981">
        <f t="shared" si="2"/>
        <v>0</v>
      </c>
      <c r="T20" s="981">
        <f t="shared" si="2"/>
        <v>796471500</v>
      </c>
      <c r="U20" s="981"/>
      <c r="V20" s="981"/>
      <c r="W20" s="981"/>
      <c r="X20" s="981">
        <f>SUM(X12:X19)</f>
        <v>796471500</v>
      </c>
      <c r="Y20" s="981"/>
      <c r="Z20" s="84"/>
      <c r="AA20" s="981" t="e">
        <f>#REF!+AA14+#REF!+#REF!+#REF!+#REF!+#REF!</f>
        <v>#REF!</v>
      </c>
      <c r="AB20" s="981" t="e">
        <f>#REF!+AB14+#REF!+#REF!+#REF!+#REF!+#REF!</f>
        <v>#REF!</v>
      </c>
      <c r="AC20" s="981" t="e">
        <f>#REF!+AC14+#REF!+#REF!+#REF!+#REF!+#REF!</f>
        <v>#REF!</v>
      </c>
      <c r="AD20" s="981" t="e">
        <f>#REF!+AD14+#REF!+#REF!+#REF!+#REF!+#REF!</f>
        <v>#REF!</v>
      </c>
      <c r="AE20" s="981" t="e">
        <f>#REF!+AE14+#REF!+#REF!+#REF!+#REF!+#REF!</f>
        <v>#REF!</v>
      </c>
      <c r="AF20" s="981" t="e">
        <f>#REF!+AF14+#REF!+#REF!+#REF!+#REF!+#REF!</f>
        <v>#REF!</v>
      </c>
      <c r="AG20" s="981" t="e">
        <f>#REF!+AG14+#REF!+#REF!+#REF!+#REF!+#REF!</f>
        <v>#REF!</v>
      </c>
      <c r="AH20" s="981" t="e">
        <f>#REF!+AH14+#REF!+#REF!+#REF!+#REF!+#REF!</f>
        <v>#REF!</v>
      </c>
      <c r="AI20" s="981" t="e">
        <f>#REF!+AI14+#REF!+#REF!+#REF!+#REF!+#REF!</f>
        <v>#REF!</v>
      </c>
      <c r="AJ20" s="981" t="e">
        <f>#REF!+AJ14+#REF!+#REF!+#REF!+#REF!+#REF!</f>
        <v>#REF!</v>
      </c>
      <c r="AK20" s="981" t="e">
        <f>#REF!+AK14+#REF!+#REF!+#REF!+#REF!+#REF!</f>
        <v>#REF!</v>
      </c>
      <c r="AL20" s="981" t="e">
        <f>#REF!+AL14+#REF!+#REF!+#REF!+#REF!+#REF!</f>
        <v>#REF!</v>
      </c>
      <c r="AM20" s="981" t="e">
        <f>#REF!+AM14+#REF!+#REF!+#REF!+#REF!+#REF!</f>
        <v>#REF!</v>
      </c>
      <c r="AN20" s="981" t="e">
        <f>#REF!+AN14+#REF!+#REF!+#REF!+#REF!+#REF!</f>
        <v>#REF!</v>
      </c>
      <c r="AO20" s="981" t="e">
        <f>#REF!+AO14+#REF!+#REF!+#REF!+#REF!+#REF!</f>
        <v>#REF!</v>
      </c>
      <c r="AP20" s="981" t="e">
        <f>#REF!+AP14+#REF!+#REF!+#REF!+#REF!+#REF!</f>
        <v>#REF!</v>
      </c>
      <c r="AQ20" s="981" t="e">
        <f>#REF!+AQ14+#REF!+#REF!+#REF!+#REF!+#REF!</f>
        <v>#REF!</v>
      </c>
      <c r="AR20" s="32"/>
      <c r="AS20" s="32"/>
      <c r="AT20" s="32"/>
      <c r="AU20" s="32"/>
      <c r="AV20" s="32"/>
      <c r="AW20" s="32"/>
      <c r="AX20" s="32"/>
    </row>
    <row r="21" spans="1:50">
      <c r="B21" s="88"/>
      <c r="M21" s="88"/>
    </row>
    <row r="22" spans="1:50">
      <c r="B22" s="88"/>
      <c r="M22" s="88"/>
      <c r="AA22" s="88"/>
    </row>
  </sheetData>
  <mergeCells count="33">
    <mergeCell ref="U11:X11"/>
    <mergeCell ref="U9:U10"/>
    <mergeCell ref="V9:V10"/>
    <mergeCell ref="W9:W10"/>
    <mergeCell ref="X9:X10"/>
    <mergeCell ref="O9:Q9"/>
    <mergeCell ref="AN9:AQ9"/>
    <mergeCell ref="AB10:AE10"/>
    <mergeCell ref="AF10:AI10"/>
    <mergeCell ref="AA8:AA10"/>
    <mergeCell ref="AB8:AI8"/>
    <mergeCell ref="AJ9:AM9"/>
    <mergeCell ref="R9:S9"/>
    <mergeCell ref="AJ8:AQ8"/>
    <mergeCell ref="A5:AA5"/>
    <mergeCell ref="A6:M6"/>
    <mergeCell ref="A8:A10"/>
    <mergeCell ref="B8:B10"/>
    <mergeCell ref="C8:E9"/>
    <mergeCell ref="F8:G9"/>
    <mergeCell ref="H8:N8"/>
    <mergeCell ref="T8:T10"/>
    <mergeCell ref="U8:V8"/>
    <mergeCell ref="H9:H10"/>
    <mergeCell ref="I9:I10"/>
    <mergeCell ref="J9:J10"/>
    <mergeCell ref="K9:K10"/>
    <mergeCell ref="L9:N9"/>
    <mergeCell ref="AR8:AR10"/>
    <mergeCell ref="AS8:AT9"/>
    <mergeCell ref="AU8:AW9"/>
    <mergeCell ref="AX8:AX10"/>
    <mergeCell ref="W8:Y8"/>
  </mergeCells>
  <printOptions horizontalCentered="1"/>
  <pageMargins left="0.25" right="0.25" top="0.5" bottom="0.5" header="0.3" footer="0.3"/>
  <pageSetup paperSize="9" scale="32" orientation="landscape" r:id="rId1"/>
  <colBreaks count="1" manualBreakCount="1">
    <brk id="26" max="54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Z61"/>
  <sheetViews>
    <sheetView topLeftCell="N5" zoomScale="69" zoomScaleNormal="69" workbookViewId="0">
      <selection activeCell="P48" sqref="P48:V48"/>
    </sheetView>
  </sheetViews>
  <sheetFormatPr defaultColWidth="32.42578125" defaultRowHeight="15.75"/>
  <cols>
    <col min="1" max="1" width="4.85546875" style="2" customWidth="1"/>
    <col min="2" max="2" width="31.28515625" style="2" bestFit="1" customWidth="1"/>
    <col min="3" max="3" width="32.5703125" style="89" customWidth="1"/>
    <col min="4" max="4" width="48.42578125" style="89" customWidth="1"/>
    <col min="5" max="5" width="17.42578125" style="2" customWidth="1"/>
    <col min="6" max="7" width="18.28515625" style="2" bestFit="1" customWidth="1"/>
    <col min="8" max="8" width="22.140625" style="2" customWidth="1"/>
    <col min="9" max="9" width="18" style="2" customWidth="1"/>
    <col min="10" max="10" width="28.7109375" style="2" bestFit="1" customWidth="1"/>
    <col min="11" max="11" width="32.42578125" style="2" customWidth="1"/>
    <col min="12" max="12" width="25.85546875" style="2" customWidth="1"/>
    <col min="13" max="13" width="73.28515625" style="89" customWidth="1"/>
    <col min="14" max="14" width="18.140625" style="2" customWidth="1"/>
    <col min="15" max="16" width="19.7109375" style="2" customWidth="1"/>
    <col min="17" max="21" width="19.7109375" style="2" hidden="1" customWidth="1"/>
    <col min="22" max="22" width="19.7109375" style="2" customWidth="1"/>
    <col min="23" max="23" width="32.140625" style="2" customWidth="1"/>
    <col min="24" max="25" width="20.140625" style="2" customWidth="1"/>
    <col min="26" max="26" width="18.28515625" style="2" customWidth="1"/>
    <col min="27" max="27" width="10.140625" style="2" bestFit="1" customWidth="1"/>
    <col min="28" max="28" width="18.140625" style="2" bestFit="1" customWidth="1"/>
    <col min="29" max="29" width="22" style="2" bestFit="1" customWidth="1"/>
    <col min="30" max="31" width="14.42578125" style="2" hidden="1" customWidth="1"/>
    <col min="32" max="32" width="16.42578125" style="2" hidden="1" customWidth="1"/>
    <col min="33" max="35" width="17.5703125" style="2" hidden="1" customWidth="1"/>
    <col min="36" max="36" width="14.42578125" style="2" hidden="1" customWidth="1"/>
    <col min="37" max="37" width="17.5703125" style="2" hidden="1" customWidth="1"/>
    <col min="38" max="38" width="15.28515625" style="2" hidden="1" customWidth="1"/>
    <col min="39" max="39" width="16.85546875" style="2" hidden="1" customWidth="1"/>
    <col min="40" max="45" width="15.28515625" style="2" hidden="1" customWidth="1"/>
    <col min="46" max="16384" width="32.42578125" style="2"/>
  </cols>
  <sheetData>
    <row r="1" spans="1:5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52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52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2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52" ht="15.75" customHeight="1">
      <c r="A5" s="2656" t="s">
        <v>2156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  <c r="AB5" s="2656"/>
      <c r="AC5" s="2656"/>
    </row>
    <row r="6" spans="1:52" ht="15.75" customHeight="1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  <c r="N6" s="2657"/>
      <c r="O6" s="397"/>
    </row>
    <row r="7" spans="1:52" ht="15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52" ht="15.75" customHeight="1" thickBot="1">
      <c r="A8" s="2658" t="s">
        <v>3</v>
      </c>
      <c r="B8" s="2661" t="s">
        <v>4</v>
      </c>
      <c r="C8" s="2662"/>
      <c r="D8" s="2662"/>
      <c r="E8" s="2662"/>
      <c r="F8" s="2662"/>
      <c r="G8" s="2663"/>
      <c r="H8" s="2664" t="s">
        <v>5</v>
      </c>
      <c r="I8" s="2665"/>
      <c r="J8" s="2661" t="s">
        <v>6</v>
      </c>
      <c r="K8" s="2662"/>
      <c r="L8" s="2662"/>
      <c r="M8" s="2662"/>
      <c r="N8" s="2662"/>
      <c r="O8" s="2662"/>
      <c r="P8" s="2662"/>
      <c r="Q8" s="2662"/>
      <c r="R8" s="2662"/>
      <c r="S8" s="2662"/>
      <c r="T8" s="2662"/>
      <c r="U8" s="2663"/>
      <c r="V8" s="2671" t="s">
        <v>7</v>
      </c>
      <c r="W8" s="2673" t="s">
        <v>8</v>
      </c>
      <c r="X8" s="2673"/>
      <c r="Y8" s="2668" t="s">
        <v>9</v>
      </c>
      <c r="Z8" s="2669"/>
      <c r="AA8" s="2670"/>
      <c r="AB8" s="4" t="s">
        <v>10</v>
      </c>
      <c r="AC8" s="2674" t="s">
        <v>11</v>
      </c>
      <c r="AD8" s="2696" t="s">
        <v>12</v>
      </c>
      <c r="AE8" s="2697"/>
      <c r="AF8" s="2697"/>
      <c r="AG8" s="2697"/>
      <c r="AH8" s="2697"/>
      <c r="AI8" s="2697"/>
      <c r="AJ8" s="2697"/>
      <c r="AK8" s="2697"/>
      <c r="AL8" s="2677" t="s">
        <v>13</v>
      </c>
      <c r="AM8" s="2678"/>
      <c r="AN8" s="2678"/>
      <c r="AO8" s="2678"/>
      <c r="AP8" s="2678"/>
      <c r="AQ8" s="2678"/>
      <c r="AR8" s="2678"/>
      <c r="AS8" s="2679"/>
      <c r="AT8" s="2690" t="s">
        <v>2571</v>
      </c>
      <c r="AU8" s="2710" t="s">
        <v>2572</v>
      </c>
      <c r="AV8" s="2698"/>
      <c r="AW8" s="2686" t="s">
        <v>2573</v>
      </c>
      <c r="AX8" s="2687"/>
      <c r="AY8" s="2687"/>
      <c r="AZ8" s="2690" t="s">
        <v>2578</v>
      </c>
    </row>
    <row r="9" spans="1:52" ht="15.75" customHeight="1" thickBot="1">
      <c r="A9" s="2659"/>
      <c r="B9" s="2658" t="s">
        <v>48</v>
      </c>
      <c r="C9" s="2671" t="s">
        <v>46</v>
      </c>
      <c r="D9" s="2658" t="s">
        <v>14</v>
      </c>
      <c r="E9" s="2706" t="s">
        <v>15</v>
      </c>
      <c r="F9" s="2721"/>
      <c r="G9" s="2722"/>
      <c r="H9" s="2666"/>
      <c r="I9" s="2667"/>
      <c r="J9" s="2658" t="s">
        <v>16</v>
      </c>
      <c r="K9" s="5"/>
      <c r="L9" s="5"/>
      <c r="M9" s="5"/>
      <c r="N9" s="2706" t="s">
        <v>17</v>
      </c>
      <c r="O9" s="2707"/>
      <c r="P9" s="2708"/>
      <c r="Q9" s="2680" t="s">
        <v>18</v>
      </c>
      <c r="R9" s="2681"/>
      <c r="S9" s="2709"/>
      <c r="T9" s="2680" t="s">
        <v>19</v>
      </c>
      <c r="U9" s="2681"/>
      <c r="V9" s="2682"/>
      <c r="W9" s="2690" t="s">
        <v>20</v>
      </c>
      <c r="X9" s="2674" t="s">
        <v>21</v>
      </c>
      <c r="Y9" s="2713" t="s">
        <v>22</v>
      </c>
      <c r="Z9" s="2698" t="s">
        <v>15</v>
      </c>
      <c r="AA9" s="393" t="s">
        <v>23</v>
      </c>
      <c r="AB9" s="7"/>
      <c r="AC9" s="2675"/>
      <c r="AD9" s="8"/>
      <c r="AE9" s="9"/>
      <c r="AF9" s="9"/>
      <c r="AG9" s="9"/>
      <c r="AH9" s="9"/>
      <c r="AI9" s="9"/>
      <c r="AJ9" s="9"/>
      <c r="AK9" s="9"/>
      <c r="AL9" s="2683" t="s">
        <v>24</v>
      </c>
      <c r="AM9" s="2684"/>
      <c r="AN9" s="2684"/>
      <c r="AO9" s="2685"/>
      <c r="AP9" s="2683" t="s">
        <v>25</v>
      </c>
      <c r="AQ9" s="2684"/>
      <c r="AR9" s="2684"/>
      <c r="AS9" s="2685"/>
      <c r="AT9" s="2691"/>
      <c r="AU9" s="2711"/>
      <c r="AV9" s="2712"/>
      <c r="AW9" s="2688"/>
      <c r="AX9" s="2689"/>
      <c r="AY9" s="2689"/>
      <c r="AZ9" s="2691"/>
    </row>
    <row r="10" spans="1:52" ht="15.75" customHeight="1" thickBot="1">
      <c r="A10" s="2660"/>
      <c r="B10" s="2660"/>
      <c r="C10" s="2672"/>
      <c r="D10" s="2660"/>
      <c r="E10" s="11" t="s">
        <v>30</v>
      </c>
      <c r="F10" s="11" t="s">
        <v>31</v>
      </c>
      <c r="G10" s="11" t="s">
        <v>32</v>
      </c>
      <c r="H10" s="10" t="s">
        <v>26</v>
      </c>
      <c r="I10" s="10" t="s">
        <v>27</v>
      </c>
      <c r="J10" s="2660"/>
      <c r="K10" s="10" t="s">
        <v>49</v>
      </c>
      <c r="L10" s="10" t="s">
        <v>29</v>
      </c>
      <c r="M10" s="10" t="s">
        <v>28</v>
      </c>
      <c r="N10" s="11" t="s">
        <v>30</v>
      </c>
      <c r="O10" s="11" t="s">
        <v>31</v>
      </c>
      <c r="P10" s="12" t="s">
        <v>32</v>
      </c>
      <c r="Q10" s="12" t="s">
        <v>33</v>
      </c>
      <c r="R10" s="12" t="s">
        <v>30</v>
      </c>
      <c r="S10" s="12" t="s">
        <v>31</v>
      </c>
      <c r="T10" s="12" t="s">
        <v>33</v>
      </c>
      <c r="U10" s="13" t="s">
        <v>34</v>
      </c>
      <c r="V10" s="2672"/>
      <c r="W10" s="2692"/>
      <c r="X10" s="2676"/>
      <c r="Y10" s="2714"/>
      <c r="Z10" s="2699"/>
      <c r="AA10" s="394" t="s">
        <v>35</v>
      </c>
      <c r="AB10" s="12" t="s">
        <v>36</v>
      </c>
      <c r="AC10" s="2676"/>
      <c r="AD10" s="2700" t="s">
        <v>37</v>
      </c>
      <c r="AE10" s="2701"/>
      <c r="AF10" s="2701"/>
      <c r="AG10" s="2702"/>
      <c r="AH10" s="2700" t="s">
        <v>38</v>
      </c>
      <c r="AI10" s="2701"/>
      <c r="AJ10" s="2701"/>
      <c r="AK10" s="2701"/>
      <c r="AL10" s="15" t="s">
        <v>39</v>
      </c>
      <c r="AM10" s="15" t="s">
        <v>40</v>
      </c>
      <c r="AN10" s="15" t="s">
        <v>41</v>
      </c>
      <c r="AO10" s="15" t="s">
        <v>42</v>
      </c>
      <c r="AP10" s="15" t="s">
        <v>39</v>
      </c>
      <c r="AQ10" s="15" t="s">
        <v>40</v>
      </c>
      <c r="AR10" s="15" t="s">
        <v>41</v>
      </c>
      <c r="AS10" s="15" t="s">
        <v>42</v>
      </c>
      <c r="AT10" s="2692"/>
      <c r="AU10" s="16" t="s">
        <v>3</v>
      </c>
      <c r="AV10" s="16" t="s">
        <v>2574</v>
      </c>
      <c r="AW10" s="16" t="s">
        <v>2575</v>
      </c>
      <c r="AX10" s="16" t="s">
        <v>2576</v>
      </c>
      <c r="AY10" s="16" t="s">
        <v>2577</v>
      </c>
      <c r="AZ10" s="2692"/>
    </row>
    <row r="11" spans="1:52" ht="15.75" customHeight="1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/>
      <c r="J11" s="10"/>
      <c r="K11" s="10">
        <v>5</v>
      </c>
      <c r="L11" s="10"/>
      <c r="M11" s="10">
        <v>6</v>
      </c>
      <c r="N11" s="10">
        <v>8</v>
      </c>
      <c r="O11" s="10"/>
      <c r="P11" s="16">
        <v>9</v>
      </c>
      <c r="Q11" s="395"/>
      <c r="R11" s="395"/>
      <c r="S11" s="395"/>
      <c r="T11" s="395"/>
      <c r="U11" s="395"/>
      <c r="V11" s="395"/>
      <c r="W11" s="2758">
        <v>10</v>
      </c>
      <c r="X11" s="2759"/>
      <c r="Y11" s="2759"/>
      <c r="Z11" s="2760"/>
      <c r="AA11" s="396"/>
      <c r="AB11" s="16">
        <v>10</v>
      </c>
      <c r="AC11" s="16">
        <v>11</v>
      </c>
      <c r="AD11" s="19" t="s">
        <v>39</v>
      </c>
      <c r="AE11" s="19" t="s">
        <v>40</v>
      </c>
      <c r="AF11" s="19" t="s">
        <v>41</v>
      </c>
      <c r="AG11" s="19" t="s">
        <v>42</v>
      </c>
      <c r="AH11" s="19" t="s">
        <v>39</v>
      </c>
      <c r="AI11" s="19" t="s">
        <v>40</v>
      </c>
      <c r="AJ11" s="19" t="s">
        <v>41</v>
      </c>
      <c r="AK11" s="20" t="s">
        <v>42</v>
      </c>
      <c r="AL11" s="21"/>
      <c r="AM11" s="21"/>
      <c r="AN11" s="21"/>
      <c r="AO11" s="21"/>
      <c r="AP11" s="21"/>
      <c r="AQ11" s="21"/>
      <c r="AR11" s="21"/>
      <c r="AS11" s="21"/>
      <c r="AT11" s="16"/>
      <c r="AU11" s="19"/>
      <c r="AV11" s="19"/>
      <c r="AW11" s="19"/>
      <c r="AX11" s="19"/>
      <c r="AY11" s="19"/>
      <c r="AZ11" s="16"/>
    </row>
    <row r="12" spans="1:52" ht="15.75" customHeight="1">
      <c r="A12" s="95"/>
      <c r="B12" s="95"/>
      <c r="C12" s="95"/>
      <c r="D12" s="95"/>
      <c r="E12" s="95"/>
      <c r="F12" s="95"/>
      <c r="G12" s="95"/>
      <c r="H12" s="95"/>
      <c r="I12" s="95"/>
      <c r="J12" s="93"/>
      <c r="K12" s="5"/>
      <c r="L12" s="5"/>
      <c r="M12" s="5"/>
      <c r="N12" s="96"/>
      <c r="O12" s="96"/>
      <c r="P12" s="97"/>
      <c r="Q12" s="9"/>
      <c r="R12" s="9"/>
      <c r="S12" s="9"/>
      <c r="T12" s="9"/>
      <c r="U12" s="9"/>
      <c r="V12" s="136"/>
      <c r="W12" s="136"/>
      <c r="X12" s="136"/>
      <c r="Y12" s="136"/>
      <c r="Z12" s="136"/>
      <c r="AA12" s="136"/>
      <c r="AB12" s="136"/>
      <c r="AC12" s="136"/>
      <c r="AD12" s="98"/>
      <c r="AE12" s="98"/>
      <c r="AF12" s="98"/>
      <c r="AG12" s="98"/>
      <c r="AH12" s="98"/>
      <c r="AI12" s="98"/>
      <c r="AJ12" s="98"/>
      <c r="AK12" s="99"/>
      <c r="AL12" s="78"/>
      <c r="AM12" s="78"/>
      <c r="AN12" s="78"/>
      <c r="AO12" s="78"/>
      <c r="AP12" s="78"/>
      <c r="AQ12" s="78"/>
      <c r="AR12" s="78"/>
      <c r="AS12" s="78"/>
      <c r="AT12" s="97"/>
      <c r="AU12" s="98"/>
      <c r="AV12" s="98"/>
      <c r="AW12" s="98"/>
      <c r="AX12" s="98"/>
      <c r="AY12" s="98"/>
      <c r="AZ12" s="97"/>
    </row>
    <row r="13" spans="1:52">
      <c r="A13" s="291">
        <v>1</v>
      </c>
      <c r="B13" s="153" t="s">
        <v>764</v>
      </c>
      <c r="C13" s="359" t="s">
        <v>765</v>
      </c>
      <c r="D13" s="25" t="s">
        <v>772</v>
      </c>
      <c r="E13" s="26"/>
      <c r="F13" s="26">
        <v>44500000</v>
      </c>
      <c r="G13" s="26">
        <f>E13+F13</f>
        <v>44500000</v>
      </c>
      <c r="H13" s="26"/>
      <c r="I13" s="26"/>
      <c r="J13" s="126"/>
      <c r="K13" s="27"/>
      <c r="L13" s="27"/>
      <c r="M13" s="130" t="s">
        <v>1814</v>
      </c>
      <c r="N13" s="128"/>
      <c r="O13" s="128">
        <v>44500000</v>
      </c>
      <c r="P13" s="29">
        <v>44500000</v>
      </c>
      <c r="Q13" s="30"/>
      <c r="R13" s="30"/>
      <c r="S13" s="30"/>
      <c r="T13" s="30"/>
      <c r="U13" s="30"/>
      <c r="V13" s="36">
        <f>P13</f>
        <v>44500000</v>
      </c>
      <c r="W13" s="30" t="s">
        <v>1815</v>
      </c>
      <c r="X13" s="31"/>
      <c r="Y13" s="31"/>
      <c r="Z13" s="30">
        <f>V13</f>
        <v>44500000</v>
      </c>
      <c r="AA13" s="30"/>
      <c r="AB13" s="30">
        <f>+G13-P13</f>
        <v>0</v>
      </c>
      <c r="AC13" s="32"/>
      <c r="AD13" s="32"/>
      <c r="AE13" s="32"/>
      <c r="AF13" s="32"/>
      <c r="AG13" s="32"/>
      <c r="AH13" s="32"/>
      <c r="AI13" s="32"/>
      <c r="AJ13" s="32"/>
      <c r="AK13" s="33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spans="1:52">
      <c r="A14" s="291"/>
      <c r="B14" s="153" t="s">
        <v>919</v>
      </c>
      <c r="C14" s="359"/>
      <c r="D14" s="25"/>
      <c r="E14" s="26"/>
      <c r="F14" s="26"/>
      <c r="G14" s="26"/>
      <c r="H14" s="26"/>
      <c r="I14" s="26"/>
      <c r="J14" s="126"/>
      <c r="K14" s="27"/>
      <c r="L14" s="27"/>
      <c r="M14" s="130"/>
      <c r="N14" s="128"/>
      <c r="O14" s="28"/>
      <c r="P14" s="29"/>
      <c r="Q14" s="30"/>
      <c r="R14" s="30"/>
      <c r="S14" s="30"/>
      <c r="T14" s="30"/>
      <c r="U14" s="30"/>
      <c r="V14" s="36"/>
      <c r="W14" s="30"/>
      <c r="X14" s="31"/>
      <c r="Y14" s="31"/>
      <c r="Z14" s="30"/>
      <c r="AA14" s="30"/>
      <c r="AB14" s="30"/>
      <c r="AC14" s="32"/>
      <c r="AD14" s="32"/>
      <c r="AE14" s="32"/>
      <c r="AF14" s="32"/>
      <c r="AG14" s="32"/>
      <c r="AH14" s="32"/>
      <c r="AI14" s="32"/>
      <c r="AJ14" s="32"/>
      <c r="AK14" s="33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spans="1:52" ht="47.25">
      <c r="A15" s="291"/>
      <c r="B15" s="560">
        <v>42453</v>
      </c>
      <c r="C15" s="359" t="s">
        <v>766</v>
      </c>
      <c r="D15" s="25" t="s">
        <v>773</v>
      </c>
      <c r="E15" s="26">
        <v>326700000</v>
      </c>
      <c r="F15" s="26"/>
      <c r="G15" s="26">
        <f>E15+F15</f>
        <v>326700000</v>
      </c>
      <c r="H15" s="559" t="s">
        <v>1241</v>
      </c>
      <c r="I15" s="26"/>
      <c r="J15" s="126" t="s">
        <v>1120</v>
      </c>
      <c r="K15" s="1135" t="s">
        <v>1991</v>
      </c>
      <c r="L15" s="27" t="s">
        <v>387</v>
      </c>
      <c r="M15" s="130" t="s">
        <v>1121</v>
      </c>
      <c r="N15" s="128">
        <v>29055400</v>
      </c>
      <c r="O15" s="28"/>
      <c r="P15" s="29">
        <f>N15+O15</f>
        <v>29055400</v>
      </c>
      <c r="Q15" s="30"/>
      <c r="R15" s="30"/>
      <c r="S15" s="30"/>
      <c r="T15" s="30"/>
      <c r="U15" s="30"/>
      <c r="V15" s="36">
        <f>P15</f>
        <v>29055400</v>
      </c>
      <c r="W15" s="30" t="s">
        <v>1992</v>
      </c>
      <c r="X15" s="31">
        <v>42573</v>
      </c>
      <c r="Y15" s="31">
        <v>42579</v>
      </c>
      <c r="Z15" s="30">
        <f>V15</f>
        <v>29055400</v>
      </c>
      <c r="AA15" s="910">
        <v>1</v>
      </c>
      <c r="AB15" s="30">
        <f>+G15-P15</f>
        <v>297644600</v>
      </c>
      <c r="AC15" s="32"/>
      <c r="AD15" s="32"/>
      <c r="AE15" s="32"/>
      <c r="AF15" s="32"/>
      <c r="AG15" s="32"/>
      <c r="AH15" s="32"/>
      <c r="AI15" s="32"/>
      <c r="AJ15" s="32"/>
      <c r="AK15" s="33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</row>
    <row r="16" spans="1:52" ht="47.25">
      <c r="A16" s="291"/>
      <c r="B16" s="560"/>
      <c r="C16" s="359"/>
      <c r="D16" s="25"/>
      <c r="E16" s="26"/>
      <c r="F16" s="26"/>
      <c r="G16" s="26"/>
      <c r="H16" s="559" t="s">
        <v>2188</v>
      </c>
      <c r="I16" s="558">
        <v>42611</v>
      </c>
      <c r="J16" s="126" t="s">
        <v>2042</v>
      </c>
      <c r="K16" s="1135" t="s">
        <v>2484</v>
      </c>
      <c r="L16" s="27" t="s">
        <v>387</v>
      </c>
      <c r="M16" s="130" t="s">
        <v>2043</v>
      </c>
      <c r="N16" s="128">
        <v>48840000</v>
      </c>
      <c r="O16" s="28"/>
      <c r="P16" s="29">
        <f>N16+O16</f>
        <v>48840000</v>
      </c>
      <c r="Q16" s="30"/>
      <c r="R16" s="30"/>
      <c r="S16" s="30"/>
      <c r="T16" s="30"/>
      <c r="U16" s="30"/>
      <c r="V16" s="36">
        <f>P16</f>
        <v>48840000</v>
      </c>
      <c r="W16" s="30" t="s">
        <v>3060</v>
      </c>
      <c r="X16" s="31">
        <v>42678</v>
      </c>
      <c r="Y16" s="31">
        <v>42684</v>
      </c>
      <c r="Z16" s="30">
        <f>V16</f>
        <v>48840000</v>
      </c>
      <c r="AA16" s="910">
        <v>1</v>
      </c>
      <c r="AB16" s="30">
        <f>+G16-P16</f>
        <v>-48840000</v>
      </c>
      <c r="AC16" s="32"/>
      <c r="AD16" s="32"/>
      <c r="AE16" s="32"/>
      <c r="AF16" s="32"/>
      <c r="AG16" s="32"/>
      <c r="AH16" s="32"/>
      <c r="AI16" s="32"/>
      <c r="AJ16" s="32"/>
      <c r="AK16" s="33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1442">
        <f>AL16</f>
        <v>0</v>
      </c>
      <c r="AX16" s="32"/>
      <c r="AY16" s="32"/>
      <c r="AZ16" s="32"/>
    </row>
    <row r="17" spans="1:52" ht="47.25">
      <c r="A17" s="291"/>
      <c r="B17" s="560"/>
      <c r="C17" s="359"/>
      <c r="D17" s="25"/>
      <c r="E17" s="26"/>
      <c r="F17" s="26"/>
      <c r="G17" s="26"/>
      <c r="H17" s="559" t="s">
        <v>3157</v>
      </c>
      <c r="I17" s="558">
        <v>42698</v>
      </c>
      <c r="J17" s="126" t="s">
        <v>3156</v>
      </c>
      <c r="K17" s="77" t="s">
        <v>3486</v>
      </c>
      <c r="L17" s="77" t="s">
        <v>396</v>
      </c>
      <c r="M17" s="130" t="s">
        <v>3158</v>
      </c>
      <c r="N17" s="128">
        <v>218900000</v>
      </c>
      <c r="O17" s="28"/>
      <c r="P17" s="29">
        <f>N17+O17</f>
        <v>218900000</v>
      </c>
      <c r="Q17" s="30"/>
      <c r="R17" s="30"/>
      <c r="S17" s="30"/>
      <c r="T17" s="30"/>
      <c r="U17" s="30"/>
      <c r="V17" s="36">
        <f>P17</f>
        <v>218900000</v>
      </c>
      <c r="W17" s="30" t="s">
        <v>3547</v>
      </c>
      <c r="X17" s="31">
        <v>42728</v>
      </c>
      <c r="Y17" s="31">
        <v>42734</v>
      </c>
      <c r="Z17" s="30">
        <f>V17</f>
        <v>218900000</v>
      </c>
      <c r="AA17" s="910">
        <v>1</v>
      </c>
      <c r="AB17" s="30">
        <f>+G17-P17</f>
        <v>-218900000</v>
      </c>
      <c r="AC17" s="32"/>
      <c r="AD17" s="32"/>
      <c r="AE17" s="32"/>
      <c r="AF17" s="32"/>
      <c r="AG17" s="32"/>
      <c r="AH17" s="32"/>
      <c r="AI17" s="32"/>
      <c r="AJ17" s="32"/>
      <c r="AK17" s="33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1442"/>
      <c r="AX17" s="32"/>
      <c r="AY17" s="32"/>
      <c r="AZ17" s="32"/>
    </row>
    <row r="18" spans="1:52" ht="31.5">
      <c r="A18" s="291"/>
      <c r="B18" s="153"/>
      <c r="C18" s="359"/>
      <c r="D18" s="25"/>
      <c r="E18" s="26"/>
      <c r="F18" s="26"/>
      <c r="G18" s="26"/>
      <c r="H18" s="559" t="s">
        <v>3272</v>
      </c>
      <c r="I18" s="558">
        <v>42699</v>
      </c>
      <c r="J18" s="126" t="s">
        <v>3234</v>
      </c>
      <c r="K18" s="27" t="s">
        <v>3477</v>
      </c>
      <c r="L18" s="27" t="s">
        <v>786</v>
      </c>
      <c r="M18" s="130" t="s">
        <v>3235</v>
      </c>
      <c r="N18" s="128">
        <v>28074376</v>
      </c>
      <c r="O18" s="28"/>
      <c r="P18" s="172">
        <f>N18+O18</f>
        <v>28074376</v>
      </c>
      <c r="Q18" s="507"/>
      <c r="R18" s="507"/>
      <c r="S18" s="507"/>
      <c r="T18" s="507"/>
      <c r="U18" s="507"/>
      <c r="V18" s="36">
        <f>P18</f>
        <v>28074376</v>
      </c>
      <c r="W18" s="30" t="s">
        <v>3555</v>
      </c>
      <c r="X18" s="31">
        <v>42724</v>
      </c>
      <c r="Y18" s="31">
        <v>42731</v>
      </c>
      <c r="Z18" s="30">
        <f>V18</f>
        <v>28074376</v>
      </c>
      <c r="AA18" s="910">
        <v>1</v>
      </c>
      <c r="AB18" s="30">
        <f>+G18-P18</f>
        <v>-28074376</v>
      </c>
      <c r="AC18" s="32"/>
      <c r="AD18" s="32"/>
      <c r="AE18" s="32"/>
      <c r="AF18" s="32"/>
      <c r="AG18" s="32"/>
      <c r="AH18" s="32"/>
      <c r="AI18" s="32"/>
      <c r="AJ18" s="32"/>
      <c r="AK18" s="33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1442"/>
      <c r="AX18" s="32"/>
      <c r="AY18" s="32"/>
      <c r="AZ18" s="32"/>
    </row>
    <row r="19" spans="1:52">
      <c r="A19" s="291"/>
      <c r="B19" s="560"/>
      <c r="C19" s="359"/>
      <c r="D19" s="25"/>
      <c r="E19" s="26"/>
      <c r="F19" s="26"/>
      <c r="G19" s="26"/>
      <c r="H19" s="559"/>
      <c r="I19" s="26"/>
      <c r="J19" s="126"/>
      <c r="K19" s="1168"/>
      <c r="L19" s="27"/>
      <c r="M19" s="130"/>
      <c r="N19" s="128"/>
      <c r="O19" s="28"/>
      <c r="P19" s="29"/>
      <c r="Q19" s="30"/>
      <c r="R19" s="30"/>
      <c r="S19" s="30"/>
      <c r="T19" s="30"/>
      <c r="U19" s="30"/>
      <c r="V19" s="36"/>
      <c r="W19" s="30"/>
      <c r="X19" s="31"/>
      <c r="Y19" s="31"/>
      <c r="Z19" s="30"/>
      <c r="AA19" s="910"/>
      <c r="AB19" s="30"/>
      <c r="AC19" s="32"/>
      <c r="AD19" s="32"/>
      <c r="AE19" s="32"/>
      <c r="AF19" s="32"/>
      <c r="AG19" s="32"/>
      <c r="AH19" s="32"/>
      <c r="AI19" s="32"/>
      <c r="AJ19" s="32"/>
      <c r="AK19" s="33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</row>
    <row r="20" spans="1:52" s="769" customFormat="1">
      <c r="A20" s="757"/>
      <c r="B20" s="1169"/>
      <c r="C20" s="759" t="str">
        <f>C15</f>
        <v>PRK.2015.WKT-4.12.53222.334</v>
      </c>
      <c r="D20" s="760"/>
      <c r="E20" s="656"/>
      <c r="F20" s="656"/>
      <c r="G20" s="656">
        <f>G15</f>
        <v>326700000</v>
      </c>
      <c r="H20" s="864"/>
      <c r="I20" s="656"/>
      <c r="J20" s="762"/>
      <c r="K20" s="1170"/>
      <c r="L20" s="763"/>
      <c r="M20" s="764"/>
      <c r="N20" s="765">
        <f>SUM(N15:N19)</f>
        <v>324869776</v>
      </c>
      <c r="O20" s="765">
        <f t="shared" ref="O20:V20" si="0">SUM(O15:O19)</f>
        <v>0</v>
      </c>
      <c r="P20" s="765">
        <f t="shared" si="0"/>
        <v>324869776</v>
      </c>
      <c r="Q20" s="765">
        <f t="shared" si="0"/>
        <v>0</v>
      </c>
      <c r="R20" s="765">
        <f t="shared" si="0"/>
        <v>0</v>
      </c>
      <c r="S20" s="765">
        <f t="shared" si="0"/>
        <v>0</v>
      </c>
      <c r="T20" s="765">
        <f t="shared" si="0"/>
        <v>0</v>
      </c>
      <c r="U20" s="765">
        <f t="shared" si="0"/>
        <v>0</v>
      </c>
      <c r="V20" s="765">
        <f t="shared" si="0"/>
        <v>324869776</v>
      </c>
      <c r="W20" s="658"/>
      <c r="X20" s="766"/>
      <c r="Y20" s="766"/>
      <c r="Z20" s="765">
        <f>SUM(Z15:Z19)</f>
        <v>324869776</v>
      </c>
      <c r="AA20" s="1048"/>
      <c r="AB20" s="658">
        <f>+G20-P20</f>
        <v>1830224</v>
      </c>
      <c r="AC20" s="767"/>
      <c r="AD20" s="767"/>
      <c r="AE20" s="767"/>
      <c r="AF20" s="767"/>
      <c r="AG20" s="767"/>
      <c r="AH20" s="767"/>
      <c r="AI20" s="767"/>
      <c r="AJ20" s="767"/>
      <c r="AK20" s="768"/>
      <c r="AL20" s="767"/>
      <c r="AM20" s="767"/>
      <c r="AN20" s="767"/>
      <c r="AO20" s="767"/>
      <c r="AP20" s="767"/>
      <c r="AQ20" s="767"/>
      <c r="AR20" s="767"/>
      <c r="AS20" s="767"/>
      <c r="AT20" s="767"/>
      <c r="AU20" s="767"/>
      <c r="AV20" s="767"/>
      <c r="AW20" s="767"/>
      <c r="AX20" s="767"/>
      <c r="AY20" s="767"/>
      <c r="AZ20" s="767"/>
    </row>
    <row r="21" spans="1:52">
      <c r="A21" s="291"/>
      <c r="B21" s="153"/>
      <c r="C21" s="359"/>
      <c r="D21" s="25"/>
      <c r="E21" s="26"/>
      <c r="F21" s="26"/>
      <c r="G21" s="26"/>
      <c r="H21" s="26"/>
      <c r="I21" s="26"/>
      <c r="J21" s="126"/>
      <c r="K21" s="27"/>
      <c r="L21" s="27"/>
      <c r="M21" s="130"/>
      <c r="N21" s="128"/>
      <c r="O21" s="28"/>
      <c r="P21" s="29"/>
      <c r="Q21" s="30"/>
      <c r="R21" s="30"/>
      <c r="S21" s="30"/>
      <c r="T21" s="30"/>
      <c r="U21" s="30"/>
      <c r="V21" s="36"/>
      <c r="W21" s="30"/>
      <c r="X21" s="31"/>
      <c r="Y21" s="31"/>
      <c r="Z21" s="30"/>
      <c r="AA21" s="30"/>
      <c r="AB21" s="30"/>
      <c r="AC21" s="32"/>
      <c r="AD21" s="32"/>
      <c r="AE21" s="32"/>
      <c r="AF21" s="32"/>
      <c r="AG21" s="32"/>
      <c r="AH21" s="32"/>
      <c r="AI21" s="32"/>
      <c r="AJ21" s="32"/>
      <c r="AK21" s="33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</row>
    <row r="22" spans="1:52" ht="47.25">
      <c r="A22" s="291"/>
      <c r="B22" s="153"/>
      <c r="C22" s="359" t="s">
        <v>767</v>
      </c>
      <c r="D22" s="25" t="s">
        <v>774</v>
      </c>
      <c r="E22" s="26"/>
      <c r="F22" s="26">
        <v>324170000</v>
      </c>
      <c r="G22" s="26">
        <f>E22+F22</f>
        <v>324170000</v>
      </c>
      <c r="H22" s="559" t="s">
        <v>907</v>
      </c>
      <c r="I22" s="558">
        <v>42471</v>
      </c>
      <c r="J22" s="126" t="s">
        <v>834</v>
      </c>
      <c r="K22" s="27" t="s">
        <v>1481</v>
      </c>
      <c r="L22" s="27" t="s">
        <v>786</v>
      </c>
      <c r="M22" s="130" t="s">
        <v>835</v>
      </c>
      <c r="N22" s="128">
        <v>33000000</v>
      </c>
      <c r="O22" s="28"/>
      <c r="P22" s="29">
        <f>N22+O22</f>
        <v>33000000</v>
      </c>
      <c r="Q22" s="30"/>
      <c r="R22" s="30"/>
      <c r="S22" s="30"/>
      <c r="T22" s="30"/>
      <c r="U22" s="30"/>
      <c r="V22" s="36">
        <f>P22</f>
        <v>33000000</v>
      </c>
      <c r="W22" s="30" t="s">
        <v>1804</v>
      </c>
      <c r="X22" s="31">
        <v>42543</v>
      </c>
      <c r="Y22" s="31">
        <v>42549</v>
      </c>
      <c r="Z22" s="30">
        <f>V22</f>
        <v>33000000</v>
      </c>
      <c r="AA22" s="30"/>
      <c r="AB22" s="30">
        <f>+G22-P22</f>
        <v>291170000</v>
      </c>
      <c r="AC22" s="32"/>
      <c r="AD22" s="32"/>
      <c r="AE22" s="32"/>
      <c r="AF22" s="32"/>
      <c r="AG22" s="32"/>
      <c r="AH22" s="32"/>
      <c r="AI22" s="32"/>
      <c r="AJ22" s="32"/>
      <c r="AK22" s="33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</row>
    <row r="23" spans="1:52" ht="47.25">
      <c r="A23" s="291"/>
      <c r="B23" s="153"/>
      <c r="C23" s="359"/>
      <c r="D23" s="25"/>
      <c r="E23" s="26"/>
      <c r="F23" s="26"/>
      <c r="G23" s="26"/>
      <c r="H23" s="559" t="s">
        <v>2704</v>
      </c>
      <c r="I23" s="558">
        <v>42482</v>
      </c>
      <c r="J23" s="126" t="s">
        <v>993</v>
      </c>
      <c r="K23" s="27" t="s">
        <v>1471</v>
      </c>
      <c r="L23" s="27" t="s">
        <v>786</v>
      </c>
      <c r="M23" s="130" t="s">
        <v>994</v>
      </c>
      <c r="N23" s="128">
        <v>120846000</v>
      </c>
      <c r="O23" s="28"/>
      <c r="P23" s="29">
        <f>N23+O23</f>
        <v>120846000</v>
      </c>
      <c r="Q23" s="30"/>
      <c r="R23" s="30"/>
      <c r="S23" s="30"/>
      <c r="T23" s="30"/>
      <c r="U23" s="30"/>
      <c r="V23" s="36">
        <f>P23</f>
        <v>120846000</v>
      </c>
      <c r="W23" s="30" t="s">
        <v>1720</v>
      </c>
      <c r="X23" s="31">
        <v>42542</v>
      </c>
      <c r="Y23" s="31">
        <v>42549</v>
      </c>
      <c r="Z23" s="30">
        <f>V23</f>
        <v>120846000</v>
      </c>
      <c r="AA23" s="30"/>
      <c r="AB23" s="30">
        <f>+G23-P23</f>
        <v>-120846000</v>
      </c>
      <c r="AC23" s="32"/>
      <c r="AD23" s="32"/>
      <c r="AE23" s="32"/>
      <c r="AF23" s="32"/>
      <c r="AG23" s="32"/>
      <c r="AH23" s="32"/>
      <c r="AI23" s="32"/>
      <c r="AJ23" s="32"/>
      <c r="AK23" s="33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</row>
    <row r="24" spans="1:52" s="538" customFormat="1" ht="47.25">
      <c r="A24" s="291"/>
      <c r="B24" s="1681"/>
      <c r="C24" s="1682"/>
      <c r="D24" s="1489"/>
      <c r="E24" s="797"/>
      <c r="F24" s="797"/>
      <c r="G24" s="797"/>
      <c r="H24" s="1683" t="s">
        <v>2703</v>
      </c>
      <c r="I24" s="1684">
        <v>42482</v>
      </c>
      <c r="J24" s="1685" t="s">
        <v>995</v>
      </c>
      <c r="K24" s="27" t="s">
        <v>1472</v>
      </c>
      <c r="L24" s="27" t="s">
        <v>786</v>
      </c>
      <c r="M24" s="130" t="s">
        <v>996</v>
      </c>
      <c r="N24" s="128"/>
      <c r="O24" s="645">
        <v>154000000</v>
      </c>
      <c r="P24" s="620">
        <f>N24+O24</f>
        <v>154000000</v>
      </c>
      <c r="Q24" s="592"/>
      <c r="R24" s="592"/>
      <c r="S24" s="592"/>
      <c r="T24" s="592"/>
      <c r="U24" s="592"/>
      <c r="V24" s="593">
        <f>P24</f>
        <v>154000000</v>
      </c>
      <c r="W24" s="592" t="s">
        <v>2643</v>
      </c>
      <c r="X24" s="1686">
        <v>42642</v>
      </c>
      <c r="Y24" s="1686">
        <v>42648</v>
      </c>
      <c r="Z24" s="592">
        <v>11677820</v>
      </c>
      <c r="AA24" s="1687">
        <f>(Z24/V24)*100%</f>
        <v>7.5829999999999995E-2</v>
      </c>
      <c r="AB24" s="592">
        <f>+G24-P24</f>
        <v>-154000000</v>
      </c>
      <c r="AC24" s="537"/>
      <c r="AD24" s="537"/>
      <c r="AE24" s="537"/>
      <c r="AF24" s="537"/>
      <c r="AG24" s="537"/>
      <c r="AH24" s="537"/>
      <c r="AI24" s="537"/>
      <c r="AJ24" s="537"/>
      <c r="AK24" s="1688"/>
      <c r="AL24" s="537"/>
      <c r="AM24" s="537"/>
      <c r="AN24" s="537"/>
      <c r="AO24" s="537"/>
      <c r="AP24" s="537"/>
      <c r="AQ24" s="537"/>
      <c r="AR24" s="537"/>
      <c r="AS24" s="537"/>
      <c r="AT24" s="1689">
        <f>9000/100000</f>
        <v>0.09</v>
      </c>
      <c r="AU24" s="537"/>
      <c r="AV24" s="537"/>
      <c r="AW24" s="161">
        <f>+AT24*154000000</f>
        <v>13860000</v>
      </c>
      <c r="AX24" s="537"/>
      <c r="AY24" s="161">
        <f>+(35-9)%*154000000</f>
        <v>40040000</v>
      </c>
      <c r="AZ24" s="537"/>
    </row>
    <row r="25" spans="1:52" s="538" customFormat="1">
      <c r="A25" s="291"/>
      <c r="B25" s="1681"/>
      <c r="C25" s="1682"/>
      <c r="D25" s="1489"/>
      <c r="E25" s="797"/>
      <c r="F25" s="797"/>
      <c r="G25" s="797"/>
      <c r="H25" s="1683"/>
      <c r="I25" s="1684"/>
      <c r="J25" s="1685"/>
      <c r="K25" s="27"/>
      <c r="L25" s="27"/>
      <c r="M25" s="130"/>
      <c r="N25" s="128"/>
      <c r="O25" s="645"/>
      <c r="P25" s="620"/>
      <c r="Q25" s="592"/>
      <c r="R25" s="592"/>
      <c r="S25" s="592"/>
      <c r="T25" s="592"/>
      <c r="U25" s="592"/>
      <c r="V25" s="593"/>
      <c r="W25" s="592" t="s">
        <v>3649</v>
      </c>
      <c r="X25" s="1686">
        <v>42728</v>
      </c>
      <c r="Y25" s="1686">
        <v>42732</v>
      </c>
      <c r="Z25" s="592">
        <v>106373894</v>
      </c>
      <c r="AA25" s="1687">
        <f>(Z25/V24)*100%</f>
        <v>0.69073957142857145</v>
      </c>
      <c r="AB25" s="592"/>
      <c r="AC25" s="537"/>
      <c r="AD25" s="537"/>
      <c r="AE25" s="537"/>
      <c r="AF25" s="537"/>
      <c r="AG25" s="537"/>
      <c r="AH25" s="537"/>
      <c r="AI25" s="537"/>
      <c r="AJ25" s="537"/>
      <c r="AK25" s="1688"/>
      <c r="AL25" s="537"/>
      <c r="AM25" s="537"/>
      <c r="AN25" s="537"/>
      <c r="AO25" s="537"/>
      <c r="AP25" s="537"/>
      <c r="AQ25" s="537"/>
      <c r="AR25" s="537"/>
      <c r="AS25" s="537"/>
      <c r="AT25" s="1689"/>
      <c r="AU25" s="537"/>
      <c r="AV25" s="537"/>
      <c r="AW25" s="161"/>
      <c r="AX25" s="537"/>
      <c r="AY25" s="161"/>
      <c r="AZ25" s="537"/>
    </row>
    <row r="26" spans="1:52" s="538" customFormat="1" ht="31.5">
      <c r="A26" s="291"/>
      <c r="B26" s="1681"/>
      <c r="C26" s="1682"/>
      <c r="D26" s="1489"/>
      <c r="E26" s="797"/>
      <c r="F26" s="797"/>
      <c r="G26" s="797"/>
      <c r="H26" s="1683"/>
      <c r="I26" s="1684"/>
      <c r="J26" s="1685" t="s">
        <v>3487</v>
      </c>
      <c r="K26" s="27" t="s">
        <v>3620</v>
      </c>
      <c r="L26" s="27" t="s">
        <v>786</v>
      </c>
      <c r="M26" s="130" t="s">
        <v>3488</v>
      </c>
      <c r="N26" s="128">
        <v>5082000</v>
      </c>
      <c r="O26" s="645"/>
      <c r="P26" s="620">
        <f>N26+O26</f>
        <v>5082000</v>
      </c>
      <c r="Q26" s="592"/>
      <c r="R26" s="592"/>
      <c r="S26" s="592"/>
      <c r="T26" s="592"/>
      <c r="U26" s="592"/>
      <c r="V26" s="593">
        <f>P26</f>
        <v>5082000</v>
      </c>
      <c r="W26" s="592" t="s">
        <v>3616</v>
      </c>
      <c r="X26" s="1686">
        <v>42732</v>
      </c>
      <c r="Y26" s="1686">
        <v>42734</v>
      </c>
      <c r="Z26" s="592">
        <f>V26</f>
        <v>5082000</v>
      </c>
      <c r="AA26" s="1687">
        <f>(Z26/V26)*100%</f>
        <v>1</v>
      </c>
      <c r="AB26" s="592">
        <f>+G26-P26</f>
        <v>-5082000</v>
      </c>
      <c r="AC26" s="537"/>
      <c r="AD26" s="537"/>
      <c r="AE26" s="537"/>
      <c r="AF26" s="537"/>
      <c r="AG26" s="537"/>
      <c r="AH26" s="537"/>
      <c r="AI26" s="537"/>
      <c r="AJ26" s="537"/>
      <c r="AK26" s="1688"/>
      <c r="AL26" s="537"/>
      <c r="AM26" s="537"/>
      <c r="AN26" s="537"/>
      <c r="AO26" s="537"/>
      <c r="AP26" s="537"/>
      <c r="AQ26" s="537"/>
      <c r="AR26" s="537"/>
      <c r="AS26" s="537"/>
      <c r="AT26" s="1689"/>
      <c r="AU26" s="537"/>
      <c r="AV26" s="537"/>
      <c r="AW26" s="161"/>
      <c r="AX26" s="537"/>
      <c r="AY26" s="161"/>
      <c r="AZ26" s="537"/>
    </row>
    <row r="27" spans="1:52" s="769" customFormat="1">
      <c r="A27" s="757"/>
      <c r="B27" s="758"/>
      <c r="C27" s="759"/>
      <c r="D27" s="760"/>
      <c r="E27" s="656"/>
      <c r="F27" s="656"/>
      <c r="G27" s="656">
        <f>G22</f>
        <v>324170000</v>
      </c>
      <c r="H27" s="656"/>
      <c r="I27" s="761"/>
      <c r="J27" s="762"/>
      <c r="K27" s="763"/>
      <c r="L27" s="763"/>
      <c r="M27" s="764"/>
      <c r="N27" s="765">
        <f t="shared" ref="N27:V27" si="1">SUM(N22:N26)</f>
        <v>158928000</v>
      </c>
      <c r="O27" s="765">
        <f t="shared" si="1"/>
        <v>154000000</v>
      </c>
      <c r="P27" s="765">
        <f t="shared" si="1"/>
        <v>312928000</v>
      </c>
      <c r="Q27" s="765">
        <f t="shared" si="1"/>
        <v>0</v>
      </c>
      <c r="R27" s="765">
        <f t="shared" si="1"/>
        <v>0</v>
      </c>
      <c r="S27" s="765">
        <f t="shared" si="1"/>
        <v>0</v>
      </c>
      <c r="T27" s="765">
        <f t="shared" si="1"/>
        <v>0</v>
      </c>
      <c r="U27" s="765">
        <f t="shared" si="1"/>
        <v>0</v>
      </c>
      <c r="V27" s="765">
        <f t="shared" si="1"/>
        <v>312928000</v>
      </c>
      <c r="W27" s="658"/>
      <c r="X27" s="766"/>
      <c r="Y27" s="766"/>
      <c r="Z27" s="765">
        <f>SUM(Z22:Z26)</f>
        <v>276979714</v>
      </c>
      <c r="AA27" s="658"/>
      <c r="AB27" s="658">
        <f>+G27-P27</f>
        <v>11242000</v>
      </c>
      <c r="AC27" s="767"/>
      <c r="AD27" s="767"/>
      <c r="AE27" s="767"/>
      <c r="AF27" s="767"/>
      <c r="AG27" s="767"/>
      <c r="AH27" s="767"/>
      <c r="AI27" s="767"/>
      <c r="AJ27" s="767"/>
      <c r="AK27" s="768"/>
      <c r="AL27" s="767"/>
      <c r="AM27" s="767"/>
      <c r="AN27" s="767"/>
      <c r="AO27" s="767"/>
      <c r="AP27" s="767"/>
      <c r="AQ27" s="767"/>
      <c r="AR27" s="767"/>
      <c r="AS27" s="767"/>
      <c r="AT27" s="767"/>
      <c r="AU27" s="767"/>
      <c r="AV27" s="767"/>
      <c r="AW27" s="767"/>
      <c r="AX27" s="767"/>
      <c r="AY27" s="767"/>
      <c r="AZ27" s="767"/>
    </row>
    <row r="28" spans="1:52">
      <c r="A28" s="291"/>
      <c r="B28" s="153"/>
      <c r="C28" s="359"/>
      <c r="D28" s="25"/>
      <c r="E28" s="26"/>
      <c r="F28" s="26"/>
      <c r="G28" s="26"/>
      <c r="H28" s="26"/>
      <c r="I28" s="558"/>
      <c r="J28" s="126"/>
      <c r="K28" s="27"/>
      <c r="L28" s="27"/>
      <c r="M28" s="130"/>
      <c r="N28" s="128"/>
      <c r="O28" s="645"/>
      <c r="P28" s="29"/>
      <c r="Q28" s="30"/>
      <c r="R28" s="30"/>
      <c r="S28" s="30"/>
      <c r="T28" s="30"/>
      <c r="U28" s="30"/>
      <c r="V28" s="36"/>
      <c r="W28" s="30"/>
      <c r="X28" s="31"/>
      <c r="Y28" s="31"/>
      <c r="Z28" s="30"/>
      <c r="AA28" s="30"/>
      <c r="AB28" s="30"/>
      <c r="AC28" s="32"/>
      <c r="AD28" s="32"/>
      <c r="AE28" s="32"/>
      <c r="AF28" s="32"/>
      <c r="AG28" s="32"/>
      <c r="AH28" s="32"/>
      <c r="AI28" s="32"/>
      <c r="AJ28" s="32"/>
      <c r="AK28" s="33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</row>
    <row r="29" spans="1:52">
      <c r="A29" s="291"/>
      <c r="B29" s="153"/>
      <c r="C29" s="359"/>
      <c r="D29" s="25"/>
      <c r="E29" s="26"/>
      <c r="F29" s="26"/>
      <c r="G29" s="26"/>
      <c r="H29" s="26"/>
      <c r="I29" s="26"/>
      <c r="J29" s="126"/>
      <c r="K29" s="27"/>
      <c r="L29" s="27"/>
      <c r="M29" s="130"/>
      <c r="N29" s="128"/>
      <c r="O29" s="28"/>
      <c r="P29" s="29"/>
      <c r="Q29" s="30"/>
      <c r="R29" s="30"/>
      <c r="S29" s="30"/>
      <c r="T29" s="30"/>
      <c r="U29" s="30"/>
      <c r="V29" s="36"/>
      <c r="W29" s="30"/>
      <c r="X29" s="31"/>
      <c r="Y29" s="31"/>
      <c r="Z29" s="30"/>
      <c r="AA29" s="30"/>
      <c r="AB29" s="30"/>
      <c r="AC29" s="32"/>
      <c r="AD29" s="32"/>
      <c r="AE29" s="32"/>
      <c r="AF29" s="32"/>
      <c r="AG29" s="32"/>
      <c r="AH29" s="32"/>
      <c r="AI29" s="32"/>
      <c r="AJ29" s="32"/>
      <c r="AK29" s="33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</row>
    <row r="30" spans="1:52" ht="31.5">
      <c r="A30" s="291"/>
      <c r="B30" s="153"/>
      <c r="C30" s="359" t="s">
        <v>768</v>
      </c>
      <c r="D30" s="25" t="s">
        <v>775</v>
      </c>
      <c r="E30" s="26">
        <v>186483000</v>
      </c>
      <c r="F30" s="26"/>
      <c r="G30" s="26">
        <f>E30+F30</f>
        <v>186483000</v>
      </c>
      <c r="H30" s="26"/>
      <c r="I30" s="26"/>
      <c r="J30" s="126" t="s">
        <v>2728</v>
      </c>
      <c r="K30" s="27" t="s">
        <v>3418</v>
      </c>
      <c r="L30" s="27" t="s">
        <v>786</v>
      </c>
      <c r="M30" s="130" t="s">
        <v>2731</v>
      </c>
      <c r="N30" s="128">
        <v>9900000</v>
      </c>
      <c r="O30" s="28"/>
      <c r="P30" s="29">
        <f>N30+O30</f>
        <v>9900000</v>
      </c>
      <c r="Q30" s="30"/>
      <c r="R30" s="30"/>
      <c r="S30" s="30"/>
      <c r="T30" s="30"/>
      <c r="U30" s="30"/>
      <c r="V30" s="36">
        <f>P30</f>
        <v>9900000</v>
      </c>
      <c r="W30" s="366" t="s">
        <v>3402</v>
      </c>
      <c r="X30" s="1714">
        <v>42713</v>
      </c>
      <c r="Y30" s="1714">
        <v>42718</v>
      </c>
      <c r="Z30" s="344">
        <f>V30</f>
        <v>9900000</v>
      </c>
      <c r="AA30" s="1715">
        <v>1</v>
      </c>
      <c r="AB30" s="30">
        <f t="shared" ref="AB30:AB35" si="2">+G30-P30</f>
        <v>176583000</v>
      </c>
      <c r="AC30" s="32"/>
      <c r="AD30" s="32"/>
      <c r="AE30" s="32"/>
      <c r="AF30" s="32"/>
      <c r="AG30" s="32"/>
      <c r="AH30" s="32"/>
      <c r="AI30" s="32"/>
      <c r="AJ30" s="32"/>
      <c r="AK30" s="33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</row>
    <row r="31" spans="1:52" ht="31.5">
      <c r="A31" s="291"/>
      <c r="B31" s="153"/>
      <c r="C31" s="359"/>
      <c r="D31" s="25"/>
      <c r="E31" s="26"/>
      <c r="F31" s="26"/>
      <c r="G31" s="26"/>
      <c r="H31" s="26"/>
      <c r="I31" s="26"/>
      <c r="J31" s="126" t="s">
        <v>2729</v>
      </c>
      <c r="K31" s="27" t="s">
        <v>3419</v>
      </c>
      <c r="L31" s="27" t="s">
        <v>786</v>
      </c>
      <c r="M31" s="130" t="s">
        <v>2732</v>
      </c>
      <c r="N31" s="128">
        <v>9900000</v>
      </c>
      <c r="O31" s="28"/>
      <c r="P31" s="29">
        <f>N31+O31</f>
        <v>9900000</v>
      </c>
      <c r="Q31" s="30"/>
      <c r="R31" s="30"/>
      <c r="S31" s="30"/>
      <c r="T31" s="30"/>
      <c r="U31" s="30"/>
      <c r="V31" s="36">
        <f>P31</f>
        <v>9900000</v>
      </c>
      <c r="W31" s="366" t="s">
        <v>3402</v>
      </c>
      <c r="X31" s="1714">
        <v>42713</v>
      </c>
      <c r="Y31" s="1714">
        <v>42718</v>
      </c>
      <c r="Z31" s="344">
        <f>V31</f>
        <v>9900000</v>
      </c>
      <c r="AA31" s="1715">
        <v>1</v>
      </c>
      <c r="AB31" s="30">
        <f t="shared" si="2"/>
        <v>-9900000</v>
      </c>
      <c r="AC31" s="32"/>
      <c r="AD31" s="32"/>
      <c r="AE31" s="32"/>
      <c r="AF31" s="32"/>
      <c r="AG31" s="32"/>
      <c r="AH31" s="32"/>
      <c r="AI31" s="32"/>
      <c r="AJ31" s="32"/>
      <c r="AK31" s="33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</row>
    <row r="32" spans="1:52" ht="31.5">
      <c r="A32" s="291"/>
      <c r="B32" s="153"/>
      <c r="C32" s="359"/>
      <c r="D32" s="25"/>
      <c r="E32" s="26"/>
      <c r="F32" s="26"/>
      <c r="G32" s="26"/>
      <c r="H32" s="26"/>
      <c r="I32" s="26"/>
      <c r="J32" s="126" t="s">
        <v>2730</v>
      </c>
      <c r="K32" s="27" t="s">
        <v>3420</v>
      </c>
      <c r="L32" s="27" t="s">
        <v>786</v>
      </c>
      <c r="M32" s="130" t="s">
        <v>2733</v>
      </c>
      <c r="N32" s="128">
        <v>9900000</v>
      </c>
      <c r="O32" s="28"/>
      <c r="P32" s="29">
        <f>N32+O32</f>
        <v>9900000</v>
      </c>
      <c r="Q32" s="30"/>
      <c r="R32" s="30"/>
      <c r="S32" s="30"/>
      <c r="T32" s="30"/>
      <c r="U32" s="30"/>
      <c r="V32" s="36">
        <f>P32</f>
        <v>9900000</v>
      </c>
      <c r="W32" s="366" t="s">
        <v>3402</v>
      </c>
      <c r="X32" s="1714">
        <v>42713</v>
      </c>
      <c r="Y32" s="1714">
        <v>42718</v>
      </c>
      <c r="Z32" s="344">
        <f>V32</f>
        <v>9900000</v>
      </c>
      <c r="AA32" s="1715">
        <v>1</v>
      </c>
      <c r="AB32" s="30">
        <f t="shared" si="2"/>
        <v>-9900000</v>
      </c>
      <c r="AC32" s="32"/>
      <c r="AD32" s="32"/>
      <c r="AE32" s="32"/>
      <c r="AF32" s="32"/>
      <c r="AG32" s="32"/>
      <c r="AH32" s="32"/>
      <c r="AI32" s="32"/>
      <c r="AJ32" s="32"/>
      <c r="AK32" s="33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</row>
    <row r="33" spans="1:52" ht="47.25">
      <c r="A33" s="291"/>
      <c r="B33" s="153"/>
      <c r="C33" s="359"/>
      <c r="D33" s="25"/>
      <c r="E33" s="26"/>
      <c r="F33" s="26"/>
      <c r="G33" s="26"/>
      <c r="H33" s="559" t="s">
        <v>2763</v>
      </c>
      <c r="I33" s="558">
        <v>42660</v>
      </c>
      <c r="J33" s="126" t="s">
        <v>2746</v>
      </c>
      <c r="K33" s="71" t="s">
        <v>3617</v>
      </c>
      <c r="L33" s="77" t="s">
        <v>3618</v>
      </c>
      <c r="M33" s="130" t="s">
        <v>2740</v>
      </c>
      <c r="N33" s="128">
        <v>93004450</v>
      </c>
      <c r="O33" s="28"/>
      <c r="P33" s="29">
        <f>N33+O33</f>
        <v>93004450</v>
      </c>
      <c r="Q33" s="507"/>
      <c r="R33" s="507"/>
      <c r="S33" s="507"/>
      <c r="T33" s="507"/>
      <c r="U33" s="507"/>
      <c r="V33" s="36">
        <f>P33</f>
        <v>93004450</v>
      </c>
      <c r="W33" s="30" t="s">
        <v>586</v>
      </c>
      <c r="X33" s="31">
        <v>42731</v>
      </c>
      <c r="Y33" s="31">
        <v>42734</v>
      </c>
      <c r="Z33" s="344">
        <f>V33</f>
        <v>93004450</v>
      </c>
      <c r="AA33" s="1715">
        <v>1</v>
      </c>
      <c r="AB33" s="30">
        <f t="shared" si="2"/>
        <v>-93004450</v>
      </c>
      <c r="AC33" s="32"/>
      <c r="AD33" s="32"/>
      <c r="AE33" s="32"/>
      <c r="AF33" s="32"/>
      <c r="AG33" s="32"/>
      <c r="AH33" s="32"/>
      <c r="AI33" s="32"/>
      <c r="AJ33" s="32"/>
      <c r="AK33" s="33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</row>
    <row r="34" spans="1:52" ht="47.25">
      <c r="A34" s="291"/>
      <c r="B34" s="153"/>
      <c r="C34" s="359"/>
      <c r="D34" s="25"/>
      <c r="E34" s="26"/>
      <c r="F34" s="26"/>
      <c r="G34" s="26"/>
      <c r="H34" s="559" t="s">
        <v>2764</v>
      </c>
      <c r="I34" s="558">
        <v>42661</v>
      </c>
      <c r="J34" s="126" t="s">
        <v>2747</v>
      </c>
      <c r="K34" s="71" t="s">
        <v>3619</v>
      </c>
      <c r="L34" s="71" t="s">
        <v>3520</v>
      </c>
      <c r="M34" s="130" t="s">
        <v>2741</v>
      </c>
      <c r="N34" s="128">
        <v>60610000</v>
      </c>
      <c r="O34" s="28"/>
      <c r="P34" s="172">
        <f>N34+O34</f>
        <v>60610000</v>
      </c>
      <c r="Q34" s="507"/>
      <c r="R34" s="507"/>
      <c r="S34" s="507"/>
      <c r="T34" s="507"/>
      <c r="U34" s="507"/>
      <c r="V34" s="36">
        <f>P34</f>
        <v>60610000</v>
      </c>
      <c r="W34" s="30" t="s">
        <v>586</v>
      </c>
      <c r="X34" s="31">
        <v>42731</v>
      </c>
      <c r="Y34" s="31">
        <v>42734</v>
      </c>
      <c r="Z34" s="344">
        <f>V34</f>
        <v>60610000</v>
      </c>
      <c r="AA34" s="1715">
        <v>1</v>
      </c>
      <c r="AB34" s="30">
        <f t="shared" si="2"/>
        <v>-60610000</v>
      </c>
      <c r="AC34" s="32"/>
      <c r="AD34" s="32"/>
      <c r="AE34" s="32"/>
      <c r="AF34" s="32"/>
      <c r="AG34" s="32"/>
      <c r="AH34" s="32"/>
      <c r="AI34" s="32"/>
      <c r="AJ34" s="32"/>
      <c r="AK34" s="33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</row>
    <row r="35" spans="1:52" s="769" customFormat="1">
      <c r="A35" s="757"/>
      <c r="B35" s="758"/>
      <c r="C35" s="759" t="str">
        <f>C30</f>
        <v>PRK.2015.WKT-4.12.53222.336</v>
      </c>
      <c r="D35" s="760"/>
      <c r="E35" s="656"/>
      <c r="F35" s="656"/>
      <c r="G35" s="656">
        <f>G30</f>
        <v>186483000</v>
      </c>
      <c r="H35" s="656"/>
      <c r="I35" s="656"/>
      <c r="J35" s="762"/>
      <c r="K35" s="763"/>
      <c r="L35" s="763"/>
      <c r="M35" s="764"/>
      <c r="N35" s="765">
        <f>SUM(N30:N34)</f>
        <v>183314450</v>
      </c>
      <c r="O35" s="765">
        <f t="shared" ref="O35:U35" si="3">SUM(O30:O33)</f>
        <v>0</v>
      </c>
      <c r="P35" s="765">
        <f>SUM(P30:P34)</f>
        <v>183314450</v>
      </c>
      <c r="Q35" s="765">
        <f t="shared" si="3"/>
        <v>0</v>
      </c>
      <c r="R35" s="765">
        <f t="shared" si="3"/>
        <v>0</v>
      </c>
      <c r="S35" s="765">
        <f t="shared" si="3"/>
        <v>0</v>
      </c>
      <c r="T35" s="765">
        <f t="shared" si="3"/>
        <v>0</v>
      </c>
      <c r="U35" s="765">
        <f t="shared" si="3"/>
        <v>0</v>
      </c>
      <c r="V35" s="765">
        <f>SUM(V30:V34)</f>
        <v>183314450</v>
      </c>
      <c r="W35" s="658"/>
      <c r="X35" s="766"/>
      <c r="Y35" s="766"/>
      <c r="Z35" s="765">
        <f>SUM(Z30:Z34)</f>
        <v>183314450</v>
      </c>
      <c r="AA35" s="658"/>
      <c r="AB35" s="658">
        <f t="shared" si="2"/>
        <v>3168550</v>
      </c>
      <c r="AC35" s="767"/>
      <c r="AD35" s="767"/>
      <c r="AE35" s="767"/>
      <c r="AF35" s="767"/>
      <c r="AG35" s="767"/>
      <c r="AH35" s="767"/>
      <c r="AI35" s="767"/>
      <c r="AJ35" s="767"/>
      <c r="AK35" s="768"/>
      <c r="AL35" s="767"/>
      <c r="AM35" s="767"/>
      <c r="AN35" s="767"/>
      <c r="AO35" s="767"/>
      <c r="AP35" s="767"/>
      <c r="AQ35" s="767"/>
      <c r="AR35" s="767"/>
      <c r="AS35" s="767"/>
      <c r="AT35" s="767"/>
      <c r="AU35" s="767"/>
      <c r="AV35" s="767"/>
      <c r="AW35" s="767"/>
      <c r="AX35" s="767"/>
      <c r="AY35" s="767"/>
      <c r="AZ35" s="767"/>
    </row>
    <row r="36" spans="1:52">
      <c r="A36" s="291"/>
      <c r="B36" s="153"/>
      <c r="C36" s="359"/>
      <c r="D36" s="25"/>
      <c r="E36" s="26"/>
      <c r="F36" s="26"/>
      <c r="G36" s="26"/>
      <c r="H36" s="26"/>
      <c r="I36" s="26"/>
      <c r="J36" s="126"/>
      <c r="K36" s="27"/>
      <c r="L36" s="27"/>
      <c r="M36" s="130"/>
      <c r="N36" s="128"/>
      <c r="O36" s="28"/>
      <c r="P36" s="29"/>
      <c r="Q36" s="30"/>
      <c r="R36" s="30"/>
      <c r="S36" s="30"/>
      <c r="T36" s="30"/>
      <c r="U36" s="30"/>
      <c r="V36" s="36"/>
      <c r="W36" s="30"/>
      <c r="X36" s="31"/>
      <c r="Y36" s="31"/>
      <c r="Z36" s="30"/>
      <c r="AA36" s="30"/>
      <c r="AB36" s="30"/>
      <c r="AC36" s="32"/>
      <c r="AD36" s="32"/>
      <c r="AE36" s="32"/>
      <c r="AF36" s="32"/>
      <c r="AG36" s="32"/>
      <c r="AH36" s="32"/>
      <c r="AI36" s="32"/>
      <c r="AJ36" s="32"/>
      <c r="AK36" s="33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</row>
    <row r="37" spans="1:52" ht="31.5">
      <c r="A37" s="291"/>
      <c r="B37" s="153"/>
      <c r="C37" s="359" t="s">
        <v>769</v>
      </c>
      <c r="D37" s="25" t="s">
        <v>778</v>
      </c>
      <c r="E37" s="26"/>
      <c r="F37" s="26">
        <v>86946200</v>
      </c>
      <c r="G37" s="26">
        <f>E37+F37</f>
        <v>86946200</v>
      </c>
      <c r="H37" s="26"/>
      <c r="I37" s="26"/>
      <c r="J37" s="126"/>
      <c r="K37" s="27" t="s">
        <v>3421</v>
      </c>
      <c r="L37" s="27" t="s">
        <v>3423</v>
      </c>
      <c r="M37" s="405" t="s">
        <v>3422</v>
      </c>
      <c r="N37" s="130"/>
      <c r="O37" s="645">
        <v>32985700</v>
      </c>
      <c r="P37" s="29">
        <f>N37+O37</f>
        <v>32985700</v>
      </c>
      <c r="Q37" s="30"/>
      <c r="R37" s="30"/>
      <c r="S37" s="30"/>
      <c r="T37" s="30"/>
      <c r="U37" s="30"/>
      <c r="V37" s="36">
        <f>P37</f>
        <v>32985700</v>
      </c>
      <c r="W37" s="366" t="s">
        <v>3424</v>
      </c>
      <c r="X37" s="1714">
        <v>42713</v>
      </c>
      <c r="Y37" s="1714">
        <v>42718</v>
      </c>
      <c r="Z37" s="344">
        <f>V37</f>
        <v>32985700</v>
      </c>
      <c r="AA37" s="1715">
        <v>1</v>
      </c>
      <c r="AB37" s="30">
        <f>+G37-P37</f>
        <v>53960500</v>
      </c>
      <c r="AC37" s="32"/>
      <c r="AD37" s="32"/>
      <c r="AE37" s="32"/>
      <c r="AF37" s="32"/>
      <c r="AG37" s="32"/>
      <c r="AH37" s="32"/>
      <c r="AI37" s="32"/>
      <c r="AJ37" s="32"/>
      <c r="AK37" s="33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</row>
    <row r="38" spans="1:52" ht="31.5">
      <c r="A38" s="291"/>
      <c r="B38" s="153"/>
      <c r="C38" s="359"/>
      <c r="D38" s="25"/>
      <c r="E38" s="26"/>
      <c r="F38" s="26"/>
      <c r="G38" s="26"/>
      <c r="H38" s="559" t="s">
        <v>3272</v>
      </c>
      <c r="I38" s="558">
        <v>42699</v>
      </c>
      <c r="J38" s="126" t="s">
        <v>3234</v>
      </c>
      <c r="K38" s="27" t="s">
        <v>3477</v>
      </c>
      <c r="L38" s="27" t="s">
        <v>786</v>
      </c>
      <c r="M38" s="130" t="s">
        <v>3235</v>
      </c>
      <c r="N38" s="128">
        <v>53960500</v>
      </c>
      <c r="O38" s="28"/>
      <c r="P38" s="172">
        <f>N38+O38</f>
        <v>53960500</v>
      </c>
      <c r="Q38" s="507"/>
      <c r="R38" s="507"/>
      <c r="S38" s="507"/>
      <c r="T38" s="507"/>
      <c r="U38" s="507"/>
      <c r="V38" s="36">
        <f>P38</f>
        <v>53960500</v>
      </c>
      <c r="W38" s="30" t="s">
        <v>3555</v>
      </c>
      <c r="X38" s="31">
        <v>42724</v>
      </c>
      <c r="Y38" s="31">
        <v>42731</v>
      </c>
      <c r="Z38" s="30">
        <f>V38</f>
        <v>53960500</v>
      </c>
      <c r="AA38" s="910">
        <v>1</v>
      </c>
      <c r="AB38" s="30">
        <f>+G38-P38</f>
        <v>-53960500</v>
      </c>
      <c r="AC38" s="32"/>
      <c r="AD38" s="32"/>
      <c r="AE38" s="32"/>
      <c r="AF38" s="32"/>
      <c r="AG38" s="32"/>
      <c r="AH38" s="32"/>
      <c r="AI38" s="32"/>
      <c r="AJ38" s="32"/>
      <c r="AK38" s="33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1442"/>
      <c r="AX38" s="32"/>
      <c r="AY38" s="32"/>
      <c r="AZ38" s="32"/>
    </row>
    <row r="39" spans="1:52" s="769" customFormat="1">
      <c r="A39" s="757"/>
      <c r="B39" s="758"/>
      <c r="C39" s="759" t="str">
        <f>C37</f>
        <v>PRK.2015.WKT-4.12.53222.337</v>
      </c>
      <c r="D39" s="760"/>
      <c r="E39" s="656"/>
      <c r="F39" s="656"/>
      <c r="G39" s="656">
        <f>G37</f>
        <v>86946200</v>
      </c>
      <c r="H39" s="864"/>
      <c r="I39" s="761"/>
      <c r="J39" s="762"/>
      <c r="K39" s="763"/>
      <c r="L39" s="763"/>
      <c r="M39" s="764"/>
      <c r="N39" s="765">
        <f>SUM(N37:N38)</f>
        <v>53960500</v>
      </c>
      <c r="O39" s="765">
        <f t="shared" ref="O39:V39" si="4">SUM(O37:O38)</f>
        <v>32985700</v>
      </c>
      <c r="P39" s="765">
        <f t="shared" si="4"/>
        <v>86946200</v>
      </c>
      <c r="Q39" s="765">
        <f t="shared" si="4"/>
        <v>0</v>
      </c>
      <c r="R39" s="765">
        <f t="shared" si="4"/>
        <v>0</v>
      </c>
      <c r="S39" s="765">
        <f t="shared" si="4"/>
        <v>0</v>
      </c>
      <c r="T39" s="765">
        <f t="shared" si="4"/>
        <v>0</v>
      </c>
      <c r="U39" s="765">
        <f t="shared" si="4"/>
        <v>0</v>
      </c>
      <c r="V39" s="765">
        <f t="shared" si="4"/>
        <v>86946200</v>
      </c>
      <c r="W39" s="658"/>
      <c r="X39" s="766"/>
      <c r="Y39" s="766"/>
      <c r="Z39" s="765">
        <f>SUM(Z37:Z38)</f>
        <v>86946200</v>
      </c>
      <c r="AA39" s="658"/>
      <c r="AB39" s="658">
        <f>+G39-P39</f>
        <v>0</v>
      </c>
      <c r="AC39" s="767"/>
      <c r="AD39" s="767"/>
      <c r="AE39" s="767"/>
      <c r="AF39" s="767"/>
      <c r="AG39" s="767"/>
      <c r="AH39" s="767"/>
      <c r="AI39" s="767"/>
      <c r="AJ39" s="767"/>
      <c r="AK39" s="768"/>
      <c r="AL39" s="767"/>
      <c r="AM39" s="767"/>
      <c r="AN39" s="767"/>
      <c r="AO39" s="767"/>
      <c r="AP39" s="767"/>
      <c r="AQ39" s="767"/>
      <c r="AR39" s="767"/>
      <c r="AS39" s="767"/>
      <c r="AT39" s="767"/>
      <c r="AU39" s="767"/>
      <c r="AV39" s="767"/>
      <c r="AW39" s="858"/>
      <c r="AX39" s="767"/>
      <c r="AY39" s="767"/>
      <c r="AZ39" s="767"/>
    </row>
    <row r="40" spans="1:52">
      <c r="A40" s="291"/>
      <c r="B40" s="153"/>
      <c r="C40" s="359"/>
      <c r="D40" s="25"/>
      <c r="E40" s="26"/>
      <c r="F40" s="26"/>
      <c r="G40" s="26"/>
      <c r="H40" s="26"/>
      <c r="I40" s="26"/>
      <c r="J40" s="126"/>
      <c r="K40" s="27"/>
      <c r="L40" s="27"/>
      <c r="M40" s="130"/>
      <c r="N40" s="128"/>
      <c r="O40" s="28"/>
      <c r="P40" s="29"/>
      <c r="Q40" s="30"/>
      <c r="R40" s="30"/>
      <c r="S40" s="30"/>
      <c r="T40" s="30"/>
      <c r="U40" s="30"/>
      <c r="V40" s="36"/>
      <c r="W40" s="30"/>
      <c r="X40" s="31"/>
      <c r="Y40" s="31"/>
      <c r="Z40" s="30"/>
      <c r="AA40" s="30"/>
      <c r="AB40" s="30"/>
      <c r="AC40" s="32"/>
      <c r="AD40" s="32"/>
      <c r="AE40" s="32"/>
      <c r="AF40" s="32"/>
      <c r="AG40" s="32"/>
      <c r="AH40" s="32"/>
      <c r="AI40" s="32"/>
      <c r="AJ40" s="32"/>
      <c r="AK40" s="33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</row>
    <row r="41" spans="1:52" ht="31.5">
      <c r="A41" s="291"/>
      <c r="B41" s="153"/>
      <c r="C41" s="359" t="s">
        <v>770</v>
      </c>
      <c r="D41" s="25" t="s">
        <v>776</v>
      </c>
      <c r="E41" s="26">
        <v>208433500</v>
      </c>
      <c r="F41" s="26"/>
      <c r="G41" s="26">
        <f>E41+F41</f>
        <v>208433500</v>
      </c>
      <c r="H41" s="559" t="s">
        <v>2705</v>
      </c>
      <c r="I41" s="558">
        <v>42482</v>
      </c>
      <c r="J41" s="126" t="s">
        <v>989</v>
      </c>
      <c r="K41" s="27" t="s">
        <v>1719</v>
      </c>
      <c r="L41" s="27" t="s">
        <v>786</v>
      </c>
      <c r="M41" s="130" t="s">
        <v>990</v>
      </c>
      <c r="N41" s="128">
        <v>89905750</v>
      </c>
      <c r="O41" s="28"/>
      <c r="P41" s="29">
        <f t="shared" ref="P41:P47" si="5">N41+O41</f>
        <v>89905750</v>
      </c>
      <c r="Q41" s="30"/>
      <c r="R41" s="30"/>
      <c r="S41" s="30"/>
      <c r="T41" s="30"/>
      <c r="U41" s="30"/>
      <c r="V41" s="36">
        <f t="shared" ref="V41:V47" si="6">P41</f>
        <v>89905750</v>
      </c>
      <c r="W41" s="30" t="s">
        <v>1720</v>
      </c>
      <c r="X41" s="31">
        <v>42542</v>
      </c>
      <c r="Y41" s="31">
        <v>42549</v>
      </c>
      <c r="Z41" s="30">
        <f t="shared" ref="Z41:Z46" si="7">V41</f>
        <v>89905750</v>
      </c>
      <c r="AA41" s="910">
        <v>1</v>
      </c>
      <c r="AB41" s="30">
        <f t="shared" ref="AB41:AB48" si="8">+G41-P41</f>
        <v>118527750</v>
      </c>
      <c r="AC41" s="32"/>
      <c r="AD41" s="32"/>
      <c r="AE41" s="32"/>
      <c r="AF41" s="32"/>
      <c r="AG41" s="32"/>
      <c r="AH41" s="32"/>
      <c r="AI41" s="32"/>
      <c r="AJ41" s="32"/>
      <c r="AK41" s="33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</row>
    <row r="42" spans="1:52" ht="31.5">
      <c r="A42" s="291"/>
      <c r="B42" s="153"/>
      <c r="C42" s="359"/>
      <c r="D42" s="25"/>
      <c r="E42" s="26"/>
      <c r="F42" s="26"/>
      <c r="G42" s="26"/>
      <c r="H42" s="559" t="s">
        <v>2707</v>
      </c>
      <c r="I42" s="558">
        <v>42653</v>
      </c>
      <c r="J42" s="126" t="s">
        <v>2561</v>
      </c>
      <c r="K42" s="27" t="s">
        <v>2833</v>
      </c>
      <c r="L42" s="27" t="s">
        <v>786</v>
      </c>
      <c r="M42" s="130" t="s">
        <v>2562</v>
      </c>
      <c r="N42" s="128">
        <v>26387746</v>
      </c>
      <c r="O42" s="28"/>
      <c r="P42" s="29">
        <f t="shared" si="5"/>
        <v>26387746</v>
      </c>
      <c r="Q42" s="30"/>
      <c r="R42" s="30"/>
      <c r="S42" s="30"/>
      <c r="T42" s="30"/>
      <c r="U42" s="30"/>
      <c r="V42" s="36">
        <f t="shared" si="6"/>
        <v>26387746</v>
      </c>
      <c r="W42" s="30" t="s">
        <v>3206</v>
      </c>
      <c r="X42" s="31">
        <v>42698</v>
      </c>
      <c r="Y42" s="31">
        <v>42704</v>
      </c>
      <c r="Z42" s="30">
        <f t="shared" si="7"/>
        <v>26387746</v>
      </c>
      <c r="AA42" s="910">
        <v>1</v>
      </c>
      <c r="AB42" s="30">
        <f t="shared" si="8"/>
        <v>-26387746</v>
      </c>
      <c r="AC42" s="32"/>
      <c r="AD42" s="32"/>
      <c r="AE42" s="32"/>
      <c r="AF42" s="32"/>
      <c r="AG42" s="32"/>
      <c r="AH42" s="32"/>
      <c r="AI42" s="32"/>
      <c r="AJ42" s="32"/>
      <c r="AK42" s="33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1442">
        <f>V42</f>
        <v>26387746</v>
      </c>
      <c r="AX42" s="32"/>
      <c r="AY42" s="32"/>
      <c r="AZ42" s="32"/>
    </row>
    <row r="43" spans="1:52" ht="31.5">
      <c r="A43" s="291"/>
      <c r="B43" s="153"/>
      <c r="C43" s="359"/>
      <c r="D43" s="25"/>
      <c r="E43" s="26"/>
      <c r="F43" s="26"/>
      <c r="G43" s="26"/>
      <c r="H43" s="559" t="s">
        <v>2726</v>
      </c>
      <c r="I43" s="558">
        <v>42657</v>
      </c>
      <c r="J43" s="126" t="s">
        <v>2727</v>
      </c>
      <c r="K43" s="27" t="s">
        <v>2832</v>
      </c>
      <c r="L43" s="27" t="s">
        <v>786</v>
      </c>
      <c r="M43" s="130" t="s">
        <v>990</v>
      </c>
      <c r="N43" s="128">
        <v>50534880</v>
      </c>
      <c r="O43" s="28"/>
      <c r="P43" s="29">
        <f t="shared" si="5"/>
        <v>50534880</v>
      </c>
      <c r="Q43" s="507"/>
      <c r="R43" s="507"/>
      <c r="S43" s="507"/>
      <c r="T43" s="507"/>
      <c r="U43" s="507"/>
      <c r="V43" s="36">
        <f t="shared" si="6"/>
        <v>50534880</v>
      </c>
      <c r="W43" s="30" t="s">
        <v>3206</v>
      </c>
      <c r="X43" s="31">
        <v>42698</v>
      </c>
      <c r="Y43" s="31">
        <v>42704</v>
      </c>
      <c r="Z43" s="30">
        <f t="shared" si="7"/>
        <v>50534880</v>
      </c>
      <c r="AA43" s="910">
        <v>1</v>
      </c>
      <c r="AB43" s="30">
        <f t="shared" si="8"/>
        <v>-50534880</v>
      </c>
      <c r="AC43" s="32"/>
      <c r="AD43" s="32"/>
      <c r="AE43" s="32"/>
      <c r="AF43" s="32"/>
      <c r="AG43" s="32"/>
      <c r="AH43" s="32"/>
      <c r="AI43" s="32"/>
      <c r="AJ43" s="32"/>
      <c r="AK43" s="33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1442"/>
      <c r="AX43" s="32"/>
      <c r="AY43" s="32"/>
      <c r="AZ43" s="32"/>
    </row>
    <row r="44" spans="1:52" ht="31.5">
      <c r="A44" s="291"/>
      <c r="B44" s="153"/>
      <c r="C44" s="359"/>
      <c r="D44" s="25"/>
      <c r="E44" s="26"/>
      <c r="F44" s="26"/>
      <c r="G44" s="26"/>
      <c r="H44" s="559"/>
      <c r="I44" s="558"/>
      <c r="J44" s="126" t="s">
        <v>2941</v>
      </c>
      <c r="K44" s="27"/>
      <c r="L44" s="27" t="s">
        <v>2788</v>
      </c>
      <c r="M44" s="130" t="s">
        <v>2945</v>
      </c>
      <c r="N44" s="128">
        <v>3740000</v>
      </c>
      <c r="O44" s="28"/>
      <c r="P44" s="29">
        <f t="shared" si="5"/>
        <v>3740000</v>
      </c>
      <c r="Q44" s="507"/>
      <c r="R44" s="507"/>
      <c r="S44" s="507"/>
      <c r="T44" s="507"/>
      <c r="U44" s="507"/>
      <c r="V44" s="36">
        <f t="shared" si="6"/>
        <v>3740000</v>
      </c>
      <c r="W44" s="30" t="s">
        <v>3112</v>
      </c>
      <c r="X44" s="31">
        <v>42685</v>
      </c>
      <c r="Y44" s="31">
        <v>42691</v>
      </c>
      <c r="Z44" s="30">
        <f t="shared" si="7"/>
        <v>3740000</v>
      </c>
      <c r="AA44" s="910">
        <v>1</v>
      </c>
      <c r="AB44" s="30">
        <f t="shared" si="8"/>
        <v>-3740000</v>
      </c>
      <c r="AC44" s="32"/>
      <c r="AD44" s="32"/>
      <c r="AE44" s="32"/>
      <c r="AF44" s="32"/>
      <c r="AG44" s="32"/>
      <c r="AH44" s="32"/>
      <c r="AI44" s="32"/>
      <c r="AJ44" s="32"/>
      <c r="AK44" s="33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1442"/>
      <c r="AX44" s="32"/>
      <c r="AY44" s="32"/>
      <c r="AZ44" s="32"/>
    </row>
    <row r="45" spans="1:52" ht="31.5">
      <c r="A45" s="291"/>
      <c r="B45" s="153"/>
      <c r="C45" s="359"/>
      <c r="D45" s="25"/>
      <c r="E45" s="26"/>
      <c r="F45" s="26"/>
      <c r="G45" s="26"/>
      <c r="H45" s="559"/>
      <c r="I45" s="558"/>
      <c r="J45" s="126" t="s">
        <v>3020</v>
      </c>
      <c r="K45" s="77" t="s">
        <v>3259</v>
      </c>
      <c r="L45" s="27" t="s">
        <v>786</v>
      </c>
      <c r="M45" s="130" t="s">
        <v>3021</v>
      </c>
      <c r="N45" s="128">
        <v>8800000</v>
      </c>
      <c r="O45" s="28"/>
      <c r="P45" s="172">
        <f t="shared" si="5"/>
        <v>8800000</v>
      </c>
      <c r="Q45" s="507"/>
      <c r="R45" s="507"/>
      <c r="S45" s="507"/>
      <c r="T45" s="507"/>
      <c r="U45" s="507"/>
      <c r="V45" s="36">
        <f t="shared" si="6"/>
        <v>8800000</v>
      </c>
      <c r="W45" s="30" t="s">
        <v>3443</v>
      </c>
      <c r="X45" s="31">
        <v>42717</v>
      </c>
      <c r="Y45" s="31">
        <v>42720</v>
      </c>
      <c r="Z45" s="30">
        <f t="shared" si="7"/>
        <v>8800000</v>
      </c>
      <c r="AA45" s="910">
        <v>1</v>
      </c>
      <c r="AB45" s="30">
        <f t="shared" si="8"/>
        <v>-8800000</v>
      </c>
      <c r="AC45" s="32"/>
      <c r="AD45" s="32"/>
      <c r="AE45" s="32"/>
      <c r="AF45" s="32"/>
      <c r="AG45" s="32"/>
      <c r="AH45" s="32"/>
      <c r="AI45" s="32"/>
      <c r="AJ45" s="32"/>
      <c r="AK45" s="33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1442"/>
      <c r="AX45" s="32"/>
      <c r="AY45" s="32"/>
      <c r="AZ45" s="32"/>
    </row>
    <row r="46" spans="1:52" ht="31.5">
      <c r="A46" s="291"/>
      <c r="B46" s="153"/>
      <c r="C46" s="359"/>
      <c r="D46" s="25"/>
      <c r="E46" s="26"/>
      <c r="F46" s="26"/>
      <c r="G46" s="26"/>
      <c r="H46" s="559"/>
      <c r="I46" s="558"/>
      <c r="J46" s="126" t="s">
        <v>3022</v>
      </c>
      <c r="K46" s="77" t="s">
        <v>3260</v>
      </c>
      <c r="L46" s="27" t="s">
        <v>786</v>
      </c>
      <c r="M46" s="130" t="s">
        <v>3023</v>
      </c>
      <c r="N46" s="128">
        <v>8800000</v>
      </c>
      <c r="O46" s="28"/>
      <c r="P46" s="172">
        <f t="shared" si="5"/>
        <v>8800000</v>
      </c>
      <c r="Q46" s="507"/>
      <c r="R46" s="507"/>
      <c r="S46" s="507"/>
      <c r="T46" s="507"/>
      <c r="U46" s="507"/>
      <c r="V46" s="36">
        <f t="shared" si="6"/>
        <v>8800000</v>
      </c>
      <c r="W46" s="30" t="s">
        <v>3443</v>
      </c>
      <c r="X46" s="31">
        <v>42717</v>
      </c>
      <c r="Y46" s="31">
        <v>42720</v>
      </c>
      <c r="Z46" s="30">
        <f t="shared" si="7"/>
        <v>8800000</v>
      </c>
      <c r="AA46" s="910">
        <v>1</v>
      </c>
      <c r="AB46" s="30">
        <f t="shared" si="8"/>
        <v>-8800000</v>
      </c>
      <c r="AC46" s="32"/>
      <c r="AD46" s="32"/>
      <c r="AE46" s="32"/>
      <c r="AF46" s="32"/>
      <c r="AG46" s="32"/>
      <c r="AH46" s="32"/>
      <c r="AI46" s="32"/>
      <c r="AJ46" s="32"/>
      <c r="AK46" s="33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1442"/>
      <c r="AX46" s="32"/>
      <c r="AY46" s="32"/>
      <c r="AZ46" s="32"/>
    </row>
    <row r="47" spans="1:52" ht="31.5">
      <c r="A47" s="291"/>
      <c r="B47" s="153"/>
      <c r="C47" s="359"/>
      <c r="D47" s="25"/>
      <c r="E47" s="26"/>
      <c r="F47" s="26"/>
      <c r="G47" s="26"/>
      <c r="H47" s="559" t="s">
        <v>3272</v>
      </c>
      <c r="I47" s="558">
        <v>42699</v>
      </c>
      <c r="J47" s="126" t="s">
        <v>3234</v>
      </c>
      <c r="K47" s="27" t="s">
        <v>3477</v>
      </c>
      <c r="L47" s="27" t="s">
        <v>786</v>
      </c>
      <c r="M47" s="130" t="s">
        <v>3235</v>
      </c>
      <c r="N47" s="128">
        <v>20265124</v>
      </c>
      <c r="O47" s="28"/>
      <c r="P47" s="172">
        <f t="shared" si="5"/>
        <v>20265124</v>
      </c>
      <c r="Q47" s="507"/>
      <c r="R47" s="507"/>
      <c r="S47" s="507"/>
      <c r="T47" s="507"/>
      <c r="U47" s="507"/>
      <c r="V47" s="36">
        <f t="shared" si="6"/>
        <v>20265124</v>
      </c>
      <c r="W47" s="30" t="s">
        <v>3555</v>
      </c>
      <c r="X47" s="31">
        <v>42724</v>
      </c>
      <c r="Y47" s="31">
        <v>42731</v>
      </c>
      <c r="Z47" s="30">
        <f>V47</f>
        <v>20265124</v>
      </c>
      <c r="AA47" s="910">
        <v>1</v>
      </c>
      <c r="AB47" s="30">
        <f t="shared" si="8"/>
        <v>-20265124</v>
      </c>
      <c r="AC47" s="32"/>
      <c r="AD47" s="32"/>
      <c r="AE47" s="32"/>
      <c r="AF47" s="32"/>
      <c r="AG47" s="32"/>
      <c r="AH47" s="32"/>
      <c r="AI47" s="32"/>
      <c r="AJ47" s="32"/>
      <c r="AK47" s="33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1442"/>
      <c r="AX47" s="32"/>
      <c r="AY47" s="32"/>
      <c r="AZ47" s="32"/>
    </row>
    <row r="48" spans="1:52" s="769" customFormat="1">
      <c r="A48" s="757"/>
      <c r="B48" s="758"/>
      <c r="C48" s="759" t="str">
        <f>C41</f>
        <v>PRK.2015.WKT-4.12.53222.338</v>
      </c>
      <c r="D48" s="760"/>
      <c r="E48" s="656"/>
      <c r="F48" s="656"/>
      <c r="G48" s="656">
        <f>G41</f>
        <v>208433500</v>
      </c>
      <c r="H48" s="864"/>
      <c r="I48" s="761"/>
      <c r="J48" s="762"/>
      <c r="K48" s="763"/>
      <c r="L48" s="763"/>
      <c r="M48" s="764"/>
      <c r="N48" s="765">
        <f>SUM(N41:N47)</f>
        <v>208433500</v>
      </c>
      <c r="O48" s="765">
        <f>SUM(O41:O43)</f>
        <v>0</v>
      </c>
      <c r="P48" s="765">
        <f>SUM(P41:P47)</f>
        <v>208433500</v>
      </c>
      <c r="Q48" s="765">
        <f t="shared" ref="Q48:V48" si="9">SUM(Q41:Q47)</f>
        <v>0</v>
      </c>
      <c r="R48" s="765">
        <f t="shared" si="9"/>
        <v>0</v>
      </c>
      <c r="S48" s="765">
        <f t="shared" si="9"/>
        <v>0</v>
      </c>
      <c r="T48" s="765">
        <f t="shared" si="9"/>
        <v>0</v>
      </c>
      <c r="U48" s="765">
        <f t="shared" si="9"/>
        <v>0</v>
      </c>
      <c r="V48" s="765">
        <f t="shared" si="9"/>
        <v>208433500</v>
      </c>
      <c r="W48" s="658"/>
      <c r="X48" s="766"/>
      <c r="Y48" s="766"/>
      <c r="Z48" s="765">
        <f>SUM(Z41:Z47)</f>
        <v>208433500</v>
      </c>
      <c r="AA48" s="658"/>
      <c r="AB48" s="658">
        <f t="shared" si="8"/>
        <v>0</v>
      </c>
      <c r="AC48" s="767"/>
      <c r="AD48" s="767"/>
      <c r="AE48" s="767"/>
      <c r="AF48" s="767"/>
      <c r="AG48" s="767"/>
      <c r="AH48" s="767"/>
      <c r="AI48" s="767"/>
      <c r="AJ48" s="767"/>
      <c r="AK48" s="768"/>
      <c r="AL48" s="767"/>
      <c r="AM48" s="767"/>
      <c r="AN48" s="767"/>
      <c r="AO48" s="767"/>
      <c r="AP48" s="767"/>
      <c r="AQ48" s="767"/>
      <c r="AR48" s="767"/>
      <c r="AS48" s="767"/>
      <c r="AT48" s="32"/>
      <c r="AU48" s="32"/>
      <c r="AV48" s="32"/>
      <c r="AW48" s="32"/>
      <c r="AX48" s="32"/>
      <c r="AY48" s="32"/>
      <c r="AZ48" s="32"/>
    </row>
    <row r="49" spans="1:52">
      <c r="A49" s="291"/>
      <c r="B49" s="153"/>
      <c r="C49" s="359"/>
      <c r="D49" s="25"/>
      <c r="E49" s="26"/>
      <c r="F49" s="26"/>
      <c r="G49" s="26"/>
      <c r="H49" s="26"/>
      <c r="I49" s="26"/>
      <c r="J49" s="126"/>
      <c r="K49" s="27"/>
      <c r="L49" s="27"/>
      <c r="M49" s="130"/>
      <c r="N49" s="128"/>
      <c r="O49" s="28"/>
      <c r="P49" s="29"/>
      <c r="Q49" s="30"/>
      <c r="R49" s="30"/>
      <c r="S49" s="30"/>
      <c r="T49" s="30"/>
      <c r="U49" s="30"/>
      <c r="V49" s="36"/>
      <c r="W49" s="30"/>
      <c r="X49" s="31"/>
      <c r="Y49" s="31"/>
      <c r="Z49" s="30"/>
      <c r="AA49" s="30"/>
      <c r="AB49" s="30"/>
      <c r="AC49" s="32"/>
      <c r="AD49" s="32"/>
      <c r="AE49" s="32"/>
      <c r="AF49" s="32"/>
      <c r="AG49" s="32"/>
      <c r="AH49" s="32"/>
      <c r="AI49" s="32"/>
      <c r="AJ49" s="32"/>
      <c r="AK49" s="3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</row>
    <row r="50" spans="1:52" ht="31.5">
      <c r="A50" s="291"/>
      <c r="B50" s="153"/>
      <c r="C50" s="359" t="s">
        <v>771</v>
      </c>
      <c r="D50" s="25" t="s">
        <v>777</v>
      </c>
      <c r="E50" s="26">
        <v>156180000</v>
      </c>
      <c r="F50" s="26"/>
      <c r="G50" s="26">
        <f>E50+F50</f>
        <v>156180000</v>
      </c>
      <c r="H50" s="559" t="s">
        <v>2706</v>
      </c>
      <c r="I50" s="558">
        <v>42482</v>
      </c>
      <c r="J50" s="126" t="s">
        <v>991</v>
      </c>
      <c r="K50" s="27" t="s">
        <v>1473</v>
      </c>
      <c r="L50" s="27" t="s">
        <v>786</v>
      </c>
      <c r="M50" s="130" t="s">
        <v>992</v>
      </c>
      <c r="N50" s="128">
        <v>136125000</v>
      </c>
      <c r="O50" s="28"/>
      <c r="P50" s="29">
        <f>N50+O50</f>
        <v>136125000</v>
      </c>
      <c r="Q50" s="30"/>
      <c r="R50" s="30"/>
      <c r="S50" s="30"/>
      <c r="T50" s="30"/>
      <c r="U50" s="30"/>
      <c r="V50" s="36">
        <f>P50</f>
        <v>136125000</v>
      </c>
      <c r="W50" s="30" t="s">
        <v>1720</v>
      </c>
      <c r="X50" s="31">
        <v>42542</v>
      </c>
      <c r="Y50" s="31">
        <v>42549</v>
      </c>
      <c r="Z50" s="30">
        <f>V50</f>
        <v>136125000</v>
      </c>
      <c r="AA50" s="910">
        <v>1</v>
      </c>
      <c r="AB50" s="30">
        <f>+G50-P50</f>
        <v>20055000</v>
      </c>
      <c r="AC50" s="32"/>
      <c r="AD50" s="32"/>
      <c r="AE50" s="32"/>
      <c r="AF50" s="32"/>
      <c r="AG50" s="32"/>
      <c r="AH50" s="32"/>
      <c r="AI50" s="32"/>
      <c r="AJ50" s="32"/>
      <c r="AK50" s="3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</row>
    <row r="51" spans="1:52" ht="31.5">
      <c r="A51" s="291"/>
      <c r="B51" s="153"/>
      <c r="C51" s="359"/>
      <c r="D51" s="25"/>
      <c r="E51" s="26"/>
      <c r="F51" s="26"/>
      <c r="G51" s="26"/>
      <c r="H51" s="559"/>
      <c r="I51" s="558"/>
      <c r="J51" s="126" t="s">
        <v>3482</v>
      </c>
      <c r="K51" s="27"/>
      <c r="L51" s="27"/>
      <c r="M51" s="130" t="s">
        <v>3483</v>
      </c>
      <c r="N51" s="128">
        <v>9809213</v>
      </c>
      <c r="O51" s="28"/>
      <c r="P51" s="29">
        <f>N51+O51</f>
        <v>9809213</v>
      </c>
      <c r="Q51" s="30"/>
      <c r="R51" s="30"/>
      <c r="S51" s="30"/>
      <c r="T51" s="30"/>
      <c r="U51" s="30"/>
      <c r="V51" s="36">
        <f>P51</f>
        <v>9809213</v>
      </c>
      <c r="W51" s="30" t="s">
        <v>3542</v>
      </c>
      <c r="X51" s="31">
        <v>42724</v>
      </c>
      <c r="Y51" s="31">
        <v>42731</v>
      </c>
      <c r="Z51" s="30">
        <f>V51</f>
        <v>9809213</v>
      </c>
      <c r="AA51" s="910">
        <v>1</v>
      </c>
      <c r="AB51" s="30">
        <f>+G51-P51</f>
        <v>-9809213</v>
      </c>
      <c r="AC51" s="32"/>
      <c r="AD51" s="32"/>
      <c r="AE51" s="32"/>
      <c r="AF51" s="32"/>
      <c r="AG51" s="32"/>
      <c r="AH51" s="32"/>
      <c r="AI51" s="32"/>
      <c r="AJ51" s="32"/>
      <c r="AK51" s="33"/>
      <c r="AL51" s="32"/>
      <c r="AM51" s="32"/>
      <c r="AN51" s="32"/>
      <c r="AO51" s="32"/>
      <c r="AP51" s="32"/>
      <c r="AQ51" s="32"/>
      <c r="AR51" s="32"/>
      <c r="AS51" s="32"/>
      <c r="AT51" s="78"/>
      <c r="AU51" s="78"/>
      <c r="AV51" s="78"/>
      <c r="AW51" s="78"/>
      <c r="AX51" s="78"/>
      <c r="AY51" s="78"/>
      <c r="AZ51" s="78"/>
    </row>
    <row r="52" spans="1:52" ht="31.5">
      <c r="A52" s="291"/>
      <c r="B52" s="153"/>
      <c r="C52" s="359"/>
      <c r="D52" s="25"/>
      <c r="E52" s="26"/>
      <c r="F52" s="26"/>
      <c r="G52" s="26"/>
      <c r="H52" s="559"/>
      <c r="I52" s="558"/>
      <c r="J52" s="126" t="s">
        <v>3484</v>
      </c>
      <c r="K52" s="27"/>
      <c r="L52" s="27"/>
      <c r="M52" s="130" t="s">
        <v>3485</v>
      </c>
      <c r="N52" s="128">
        <v>9963067</v>
      </c>
      <c r="O52" s="28"/>
      <c r="P52" s="29">
        <f>N52+O52</f>
        <v>9963067</v>
      </c>
      <c r="Q52" s="30"/>
      <c r="R52" s="30"/>
      <c r="S52" s="30"/>
      <c r="T52" s="30"/>
      <c r="U52" s="30"/>
      <c r="V52" s="36">
        <f>P52</f>
        <v>9963067</v>
      </c>
      <c r="W52" s="30" t="s">
        <v>3546</v>
      </c>
      <c r="X52" s="31">
        <v>42728</v>
      </c>
      <c r="Y52" s="31">
        <v>42732</v>
      </c>
      <c r="Z52" s="30">
        <f>V52</f>
        <v>9963067</v>
      </c>
      <c r="AA52" s="910">
        <v>1</v>
      </c>
      <c r="AB52" s="30">
        <f>+G52-P52</f>
        <v>-9963067</v>
      </c>
      <c r="AC52" s="32"/>
      <c r="AD52" s="32"/>
      <c r="AE52" s="32"/>
      <c r="AF52" s="32"/>
      <c r="AG52" s="32"/>
      <c r="AH52" s="32"/>
      <c r="AI52" s="32"/>
      <c r="AJ52" s="32"/>
      <c r="AK52" s="33"/>
      <c r="AL52" s="32"/>
      <c r="AM52" s="32"/>
      <c r="AN52" s="32"/>
      <c r="AO52" s="32"/>
      <c r="AP52" s="32"/>
      <c r="AQ52" s="32"/>
      <c r="AR52" s="32"/>
      <c r="AS52" s="32"/>
      <c r="AT52" s="78"/>
      <c r="AU52" s="78"/>
      <c r="AV52" s="78"/>
      <c r="AW52" s="78"/>
      <c r="AX52" s="78"/>
      <c r="AY52" s="78"/>
      <c r="AZ52" s="78"/>
    </row>
    <row r="53" spans="1:52">
      <c r="A53" s="291"/>
      <c r="B53" s="153"/>
      <c r="C53" s="359"/>
      <c r="D53" s="25"/>
      <c r="E53" s="26"/>
      <c r="F53" s="26"/>
      <c r="G53" s="26"/>
      <c r="H53" s="559"/>
      <c r="I53" s="558"/>
      <c r="J53" s="126"/>
      <c r="K53" s="27"/>
      <c r="L53" s="27"/>
      <c r="M53" s="130"/>
      <c r="N53" s="128"/>
      <c r="O53" s="28"/>
      <c r="P53" s="29"/>
      <c r="Q53" s="30"/>
      <c r="R53" s="30"/>
      <c r="S53" s="30"/>
      <c r="T53" s="30"/>
      <c r="U53" s="30"/>
      <c r="V53" s="36"/>
      <c r="W53" s="30"/>
      <c r="X53" s="31"/>
      <c r="Y53" s="31"/>
      <c r="Z53" s="30"/>
      <c r="AA53" s="30"/>
      <c r="AB53" s="507"/>
      <c r="AC53" s="32"/>
      <c r="AD53" s="32"/>
      <c r="AE53" s="32"/>
      <c r="AF53" s="32"/>
      <c r="AG53" s="32"/>
      <c r="AH53" s="32"/>
      <c r="AI53" s="32"/>
      <c r="AJ53" s="32"/>
      <c r="AK53" s="33"/>
      <c r="AL53" s="32"/>
      <c r="AM53" s="32"/>
      <c r="AN53" s="32"/>
      <c r="AO53" s="32"/>
      <c r="AP53" s="32"/>
      <c r="AQ53" s="32"/>
      <c r="AR53" s="32"/>
      <c r="AS53" s="32"/>
      <c r="AT53" s="78"/>
      <c r="AU53" s="78"/>
      <c r="AV53" s="78"/>
      <c r="AW53" s="78"/>
      <c r="AX53" s="78"/>
      <c r="AY53" s="78"/>
      <c r="AZ53" s="78"/>
    </row>
    <row r="54" spans="1:52" s="1000" customFormat="1">
      <c r="A54" s="1003"/>
      <c r="B54" s="758"/>
      <c r="C54" s="759" t="str">
        <f>C50</f>
        <v>PRK.2015.WKT-4.12.53222.339</v>
      </c>
      <c r="D54" s="760"/>
      <c r="E54" s="656"/>
      <c r="F54" s="656"/>
      <c r="G54" s="656">
        <f>G50</f>
        <v>156180000</v>
      </c>
      <c r="H54" s="864"/>
      <c r="I54" s="761"/>
      <c r="J54" s="762"/>
      <c r="K54" s="763"/>
      <c r="L54" s="763"/>
      <c r="M54" s="764"/>
      <c r="N54" s="765">
        <f>SUM(N50:N53)</f>
        <v>155897280</v>
      </c>
      <c r="O54" s="765">
        <f t="shared" ref="O54:V54" si="10">SUM(O50:O53)</f>
        <v>0</v>
      </c>
      <c r="P54" s="765">
        <f t="shared" si="10"/>
        <v>155897280</v>
      </c>
      <c r="Q54" s="765">
        <f t="shared" si="10"/>
        <v>0</v>
      </c>
      <c r="R54" s="765">
        <f t="shared" si="10"/>
        <v>0</v>
      </c>
      <c r="S54" s="765">
        <f t="shared" si="10"/>
        <v>0</v>
      </c>
      <c r="T54" s="765">
        <f t="shared" si="10"/>
        <v>0</v>
      </c>
      <c r="U54" s="765">
        <f t="shared" si="10"/>
        <v>0</v>
      </c>
      <c r="V54" s="765">
        <f t="shared" si="10"/>
        <v>155897280</v>
      </c>
      <c r="W54" s="658"/>
      <c r="X54" s="766"/>
      <c r="Y54" s="766"/>
      <c r="Z54" s="765">
        <f>SUM(Z50:Z53)</f>
        <v>155897280</v>
      </c>
      <c r="AA54" s="658"/>
      <c r="AB54" s="765">
        <f>SUM(AB50:AB53)</f>
        <v>282720</v>
      </c>
      <c r="AC54" s="1014"/>
      <c r="AD54" s="1014"/>
      <c r="AE54" s="1014"/>
      <c r="AF54" s="1014"/>
      <c r="AG54" s="1014"/>
      <c r="AH54" s="1014"/>
      <c r="AI54" s="1014"/>
      <c r="AJ54" s="1014"/>
      <c r="AK54" s="1465"/>
      <c r="AL54" s="1014"/>
      <c r="AM54" s="1014"/>
      <c r="AN54" s="1014"/>
      <c r="AO54" s="1014"/>
      <c r="AP54" s="1014"/>
      <c r="AQ54" s="1014"/>
      <c r="AR54" s="1014"/>
      <c r="AS54" s="1014"/>
      <c r="AT54" s="1286"/>
      <c r="AU54" s="1286"/>
      <c r="AV54" s="1286"/>
      <c r="AW54" s="1286"/>
      <c r="AX54" s="1286"/>
      <c r="AY54" s="1286"/>
      <c r="AZ54" s="1286"/>
    </row>
    <row r="55" spans="1:52" ht="15.75" customHeight="1" thickBot="1">
      <c r="A55" s="22"/>
      <c r="B55" s="23"/>
      <c r="C55" s="24"/>
      <c r="D55" s="25"/>
      <c r="E55" s="26"/>
      <c r="F55" s="26"/>
      <c r="G55" s="26"/>
      <c r="H55" s="26"/>
      <c r="I55" s="26"/>
      <c r="J55" s="126"/>
      <c r="K55" s="34"/>
      <c r="L55" s="34"/>
      <c r="M55" s="131"/>
      <c r="N55" s="35"/>
      <c r="O55" s="35"/>
      <c r="P55" s="29"/>
      <c r="Q55" s="36"/>
      <c r="R55" s="36"/>
      <c r="S55" s="36"/>
      <c r="T55" s="36"/>
      <c r="U55" s="36"/>
      <c r="V55" s="36"/>
      <c r="W55" s="36"/>
      <c r="X55" s="37"/>
      <c r="Y55" s="37"/>
      <c r="Z55" s="36"/>
      <c r="AA55" s="36"/>
      <c r="AB55" s="507">
        <f>+G55-P55</f>
        <v>0</v>
      </c>
      <c r="AC55" s="38"/>
      <c r="AD55" s="38"/>
      <c r="AE55" s="38"/>
      <c r="AF55" s="38"/>
      <c r="AG55" s="38"/>
      <c r="AH55" s="38"/>
      <c r="AI55" s="38"/>
      <c r="AJ55" s="38"/>
      <c r="AK55" s="39"/>
      <c r="AL55" s="38"/>
      <c r="AM55" s="38"/>
      <c r="AN55" s="38"/>
      <c r="AO55" s="38"/>
      <c r="AP55" s="38"/>
      <c r="AQ55" s="38"/>
      <c r="AR55" s="38"/>
      <c r="AS55" s="38"/>
      <c r="AT55" s="84"/>
      <c r="AU55" s="85"/>
      <c r="AV55" s="85"/>
      <c r="AW55" s="85"/>
      <c r="AX55" s="85"/>
      <c r="AY55" s="85"/>
      <c r="AZ55" s="84"/>
    </row>
    <row r="56" spans="1:52" s="55" customFormat="1" ht="15.75" customHeight="1" thickBot="1">
      <c r="A56" s="2703" t="str">
        <f>B13</f>
        <v>001.TUL/AO/BRU/2016/M</v>
      </c>
      <c r="B56" s="2704"/>
      <c r="C56" s="2704"/>
      <c r="D56" s="2705"/>
      <c r="E56" s="68">
        <f>E13+E15+E27+E30+E37+E41+E50</f>
        <v>877796500</v>
      </c>
      <c r="F56" s="68">
        <f>F13+F15+F27+F30+F37+F41+F50</f>
        <v>131446200</v>
      </c>
      <c r="G56" s="68">
        <f>G13+G15+G27+G30+G37+G41+G50</f>
        <v>1333412700</v>
      </c>
      <c r="H56" s="65"/>
      <c r="I56" s="65"/>
      <c r="J56" s="65"/>
      <c r="K56" s="66"/>
      <c r="L56" s="66"/>
      <c r="M56" s="66"/>
      <c r="N56" s="68">
        <f t="shared" ref="N56:V56" si="11">N13+N20+N27+N35+N39+N48+N54</f>
        <v>1085403506</v>
      </c>
      <c r="O56" s="68">
        <f t="shared" si="11"/>
        <v>231485700</v>
      </c>
      <c r="P56" s="68">
        <f t="shared" si="11"/>
        <v>1316889206</v>
      </c>
      <c r="Q56" s="68">
        <f t="shared" si="11"/>
        <v>0</v>
      </c>
      <c r="R56" s="68">
        <f t="shared" si="11"/>
        <v>0</v>
      </c>
      <c r="S56" s="68">
        <f t="shared" si="11"/>
        <v>0</v>
      </c>
      <c r="T56" s="68">
        <f t="shared" si="11"/>
        <v>0</v>
      </c>
      <c r="U56" s="68">
        <f t="shared" si="11"/>
        <v>0</v>
      </c>
      <c r="V56" s="68">
        <f t="shared" si="11"/>
        <v>1316889206</v>
      </c>
      <c r="W56" s="69"/>
      <c r="X56" s="70"/>
      <c r="Y56" s="70"/>
      <c r="Z56" s="68">
        <f>Z13+Z20+Z27+Z35+Z39+Z48+Z54</f>
        <v>1280940920</v>
      </c>
      <c r="AA56" s="65"/>
      <c r="AB56" s="68">
        <f>AB13+AB20+AB27+AB35+AB39+AB48+AB54</f>
        <v>16523494</v>
      </c>
      <c r="AC56" s="76"/>
      <c r="AD56" s="75"/>
      <c r="AE56" s="100"/>
      <c r="AF56" s="100"/>
      <c r="AG56" s="74"/>
      <c r="AH56" s="74"/>
      <c r="AI56" s="74"/>
      <c r="AJ56" s="74"/>
      <c r="AK56" s="64"/>
      <c r="AL56" s="101" t="e">
        <f>SUM(#REF!)</f>
        <v>#REF!</v>
      </c>
      <c r="AM56" s="101" t="e">
        <f>SUM(#REF!)</f>
        <v>#REF!</v>
      </c>
      <c r="AN56" s="101" t="e">
        <f>SUM(#REF!)</f>
        <v>#REF!</v>
      </c>
      <c r="AO56" s="101" t="e">
        <f>SUM(#REF!)</f>
        <v>#REF!</v>
      </c>
      <c r="AP56" s="101" t="e">
        <f>SUM(#REF!)</f>
        <v>#REF!</v>
      </c>
      <c r="AQ56" s="101" t="e">
        <f>SUM(#REF!)</f>
        <v>#REF!</v>
      </c>
      <c r="AR56" s="101" t="e">
        <f>SUM(#REF!)</f>
        <v>#REF!</v>
      </c>
      <c r="AS56" s="102" t="e">
        <f>SUM(#REF!)</f>
        <v>#REF!</v>
      </c>
      <c r="AU56" s="56"/>
    </row>
    <row r="57" spans="1:52" ht="15.75" customHeight="1" thickBot="1">
      <c r="A57" s="2735" t="s">
        <v>44</v>
      </c>
      <c r="B57" s="2736"/>
      <c r="C57" s="2736"/>
      <c r="D57" s="2737"/>
      <c r="E57" s="84">
        <f>E56</f>
        <v>877796500</v>
      </c>
      <c r="F57" s="84">
        <f>F56</f>
        <v>131446200</v>
      </c>
      <c r="G57" s="84">
        <f>G56</f>
        <v>1333412700</v>
      </c>
      <c r="H57" s="84"/>
      <c r="I57" s="84"/>
      <c r="J57" s="84"/>
      <c r="K57" s="84"/>
      <c r="L57" s="84"/>
      <c r="M57" s="84"/>
      <c r="N57" s="84">
        <f>N56</f>
        <v>1085403506</v>
      </c>
      <c r="O57" s="84">
        <f>O56</f>
        <v>231485700</v>
      </c>
      <c r="P57" s="84">
        <f>P56</f>
        <v>1316889206</v>
      </c>
      <c r="Q57" s="84" t="e">
        <f>Q56+#REF!</f>
        <v>#REF!</v>
      </c>
      <c r="R57" s="84" t="e">
        <f>R56+#REF!</f>
        <v>#REF!</v>
      </c>
      <c r="S57" s="84" t="e">
        <f>S56+#REF!</f>
        <v>#REF!</v>
      </c>
      <c r="T57" s="84" t="e">
        <f>T56+#REF!</f>
        <v>#REF!</v>
      </c>
      <c r="U57" s="84" t="e">
        <f>U56+#REF!</f>
        <v>#REF!</v>
      </c>
      <c r="V57" s="84">
        <f>V56</f>
        <v>1316889206</v>
      </c>
      <c r="W57" s="84"/>
      <c r="X57" s="84"/>
      <c r="Y57" s="84"/>
      <c r="Z57" s="84">
        <f>Z56</f>
        <v>1280940920</v>
      </c>
      <c r="AA57" s="84"/>
      <c r="AB57" s="84">
        <f>AB56</f>
        <v>16523494</v>
      </c>
      <c r="AC57" s="84"/>
      <c r="AD57" s="85"/>
      <c r="AE57" s="85"/>
      <c r="AF57" s="85"/>
      <c r="AG57" s="85"/>
      <c r="AH57" s="85"/>
      <c r="AI57" s="85"/>
      <c r="AJ57" s="85"/>
      <c r="AK57" s="86"/>
      <c r="AL57" s="84" t="e">
        <f>#REF!+#REF!+#REF!+#REF!</f>
        <v>#REF!</v>
      </c>
      <c r="AM57" s="84" t="e">
        <f>#REF!+#REF!+#REF!+#REF!</f>
        <v>#REF!</v>
      </c>
      <c r="AN57" s="84" t="e">
        <f>#REF!+#REF!+#REF!+#REF!</f>
        <v>#REF!</v>
      </c>
      <c r="AO57" s="84" t="e">
        <f>#REF!+#REF!+#REF!+#REF!</f>
        <v>#REF!</v>
      </c>
      <c r="AP57" s="84" t="e">
        <f>#REF!+#REF!+#REF!+#REF!</f>
        <v>#REF!</v>
      </c>
      <c r="AQ57" s="84" t="e">
        <f>#REF!+#REF!+#REF!+#REF!</f>
        <v>#REF!</v>
      </c>
      <c r="AR57" s="84" t="e">
        <f>#REF!+#REF!+#REF!+#REF!</f>
        <v>#REF!</v>
      </c>
      <c r="AS57" s="87" t="e">
        <f>#REF!+#REF!+#REF!+#REF!</f>
        <v>#REF!</v>
      </c>
    </row>
    <row r="58" spans="1:52" ht="15.75" customHeight="1">
      <c r="B58" s="88"/>
      <c r="N58" s="88"/>
      <c r="O58" s="88"/>
      <c r="P58" s="90"/>
      <c r="Q58" s="90"/>
      <c r="R58" s="90"/>
      <c r="S58" s="90"/>
      <c r="T58" s="90"/>
      <c r="U58" s="90"/>
      <c r="V58" s="90"/>
      <c r="X58" s="91"/>
      <c r="Y58" s="91"/>
      <c r="Z58" s="79"/>
      <c r="AA58" s="79"/>
      <c r="AB58" s="79"/>
    </row>
    <row r="59" spans="1:52">
      <c r="B59" s="88"/>
      <c r="E59" s="79"/>
      <c r="F59" s="79"/>
      <c r="G59" s="79"/>
      <c r="H59" s="79"/>
      <c r="I59" s="79"/>
      <c r="J59" s="79"/>
      <c r="N59" s="88"/>
      <c r="O59" s="88"/>
      <c r="P59" s="79">
        <f>P57-V57</f>
        <v>0</v>
      </c>
      <c r="AB59" s="79"/>
      <c r="AC59" s="88"/>
    </row>
    <row r="60" spans="1:52">
      <c r="P60" s="79"/>
      <c r="Q60" s="79"/>
      <c r="R60" s="79"/>
      <c r="S60" s="79"/>
      <c r="T60" s="79"/>
      <c r="U60" s="79"/>
      <c r="V60" s="79"/>
      <c r="AB60" s="79"/>
    </row>
    <row r="61" spans="1:52">
      <c r="M61" s="92"/>
    </row>
  </sheetData>
  <mergeCells count="35">
    <mergeCell ref="A5:AC5"/>
    <mergeCell ref="A6:N6"/>
    <mergeCell ref="A8:A10"/>
    <mergeCell ref="B8:G8"/>
    <mergeCell ref="H8:I9"/>
    <mergeCell ref="V8:V10"/>
    <mergeCell ref="N9:P9"/>
    <mergeCell ref="A57:D57"/>
    <mergeCell ref="W9:W10"/>
    <mergeCell ref="X9:X10"/>
    <mergeCell ref="Y9:Y10"/>
    <mergeCell ref="J8:U8"/>
    <mergeCell ref="Y8:AA8"/>
    <mergeCell ref="W11:Z11"/>
    <mergeCell ref="J9:J10"/>
    <mergeCell ref="D9:D10"/>
    <mergeCell ref="C9:C10"/>
    <mergeCell ref="Z9:Z10"/>
    <mergeCell ref="T9:U9"/>
    <mergeCell ref="AT8:AT10"/>
    <mergeCell ref="AU8:AV9"/>
    <mergeCell ref="AW8:AY9"/>
    <mergeCell ref="AZ8:AZ10"/>
    <mergeCell ref="A56:D56"/>
    <mergeCell ref="W8:X8"/>
    <mergeCell ref="E9:G9"/>
    <mergeCell ref="AL8:AS8"/>
    <mergeCell ref="B9:B10"/>
    <mergeCell ref="Q9:S9"/>
    <mergeCell ref="AP9:AS9"/>
    <mergeCell ref="AD10:AG10"/>
    <mergeCell ref="AH10:AK10"/>
    <mergeCell ref="AC8:AC10"/>
    <mergeCell ref="AD8:AK8"/>
    <mergeCell ref="AL9:AO9"/>
  </mergeCells>
  <pageMargins left="0.7" right="0.7" top="0.75" bottom="0.75" header="0.3" footer="0.3"/>
  <pageSetup scale="4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AU38"/>
  <sheetViews>
    <sheetView topLeftCell="A8" zoomScale="80" zoomScaleNormal="80" workbookViewId="0">
      <selection activeCell="X30" sqref="X30"/>
    </sheetView>
  </sheetViews>
  <sheetFormatPr defaultRowHeight="15.75"/>
  <cols>
    <col min="1" max="1" width="4.85546875" style="2" customWidth="1"/>
    <col min="2" max="2" width="31.28515625" style="2" bestFit="1" customWidth="1"/>
    <col min="3" max="3" width="32.5703125" style="89" customWidth="1"/>
    <col min="4" max="4" width="48.42578125" style="89" customWidth="1"/>
    <col min="5" max="5" width="17.42578125" style="2" customWidth="1"/>
    <col min="6" max="7" width="18.28515625" style="2" bestFit="1" customWidth="1"/>
    <col min="8" max="8" width="22.140625" style="2" hidden="1" customWidth="1"/>
    <col min="9" max="9" width="18" style="2" hidden="1" customWidth="1"/>
    <col min="10" max="10" width="28.7109375" style="2" hidden="1" customWidth="1"/>
    <col min="11" max="11" width="32.28515625" style="2" hidden="1" customWidth="1"/>
    <col min="12" max="12" width="25.85546875" style="2" hidden="1" customWidth="1"/>
    <col min="13" max="13" width="73.28515625" style="89" hidden="1" customWidth="1"/>
    <col min="14" max="14" width="18.140625" style="2" customWidth="1"/>
    <col min="15" max="16" width="19.7109375" style="2" customWidth="1"/>
    <col min="17" max="21" width="19.7109375" style="2" hidden="1" customWidth="1"/>
    <col min="22" max="22" width="19.7109375" style="2" customWidth="1"/>
    <col min="23" max="23" width="32.140625" style="2" customWidth="1"/>
    <col min="24" max="25" width="20.140625" style="2" customWidth="1"/>
    <col min="26" max="26" width="18.28515625" style="2" customWidth="1"/>
    <col min="27" max="27" width="10.140625" style="2" bestFit="1" customWidth="1"/>
    <col min="28" max="28" width="18.140625" style="2" bestFit="1" customWidth="1"/>
    <col min="29" max="29" width="22" style="2" bestFit="1" customWidth="1"/>
    <col min="30" max="31" width="14.42578125" style="2" hidden="1" customWidth="1"/>
    <col min="32" max="32" width="16.42578125" style="2" hidden="1" customWidth="1"/>
    <col min="33" max="35" width="17.5703125" style="2" hidden="1" customWidth="1"/>
    <col min="36" max="36" width="14.42578125" style="2" hidden="1" customWidth="1"/>
    <col min="37" max="37" width="17.5703125" style="2" hidden="1" customWidth="1"/>
    <col min="38" max="38" width="15.28515625" style="2" hidden="1" customWidth="1"/>
    <col min="39" max="39" width="16.85546875" style="2" hidden="1" customWidth="1"/>
    <col min="40" max="45" width="15.28515625" style="2" hidden="1" customWidth="1"/>
    <col min="46" max="16384" width="9.140625" style="2"/>
  </cols>
  <sheetData>
    <row r="1" spans="1:45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5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5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45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45" ht="15.75" customHeight="1">
      <c r="A5" s="2656" t="s">
        <v>748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  <c r="AB5" s="2656"/>
      <c r="AC5" s="2656"/>
    </row>
    <row r="6" spans="1:45" ht="15.75" customHeight="1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  <c r="N6" s="2657"/>
      <c r="O6" s="397"/>
    </row>
    <row r="7" spans="1:45" ht="15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45" ht="15.75" customHeight="1" thickBot="1">
      <c r="A8" s="2658" t="s">
        <v>3</v>
      </c>
      <c r="B8" s="2661" t="s">
        <v>4</v>
      </c>
      <c r="C8" s="2662"/>
      <c r="D8" s="2662"/>
      <c r="E8" s="2662"/>
      <c r="F8" s="2662"/>
      <c r="G8" s="2663"/>
      <c r="H8" s="2664" t="s">
        <v>5</v>
      </c>
      <c r="I8" s="2665"/>
      <c r="J8" s="2661" t="s">
        <v>6</v>
      </c>
      <c r="K8" s="2662"/>
      <c r="L8" s="2662"/>
      <c r="M8" s="2662"/>
      <c r="N8" s="2662"/>
      <c r="O8" s="2662"/>
      <c r="P8" s="2662"/>
      <c r="Q8" s="2662"/>
      <c r="R8" s="2662"/>
      <c r="S8" s="2662"/>
      <c r="T8" s="2662"/>
      <c r="U8" s="2663"/>
      <c r="V8" s="2671" t="s">
        <v>7</v>
      </c>
      <c r="W8" s="2673" t="s">
        <v>8</v>
      </c>
      <c r="X8" s="2673"/>
      <c r="Y8" s="2668" t="s">
        <v>9</v>
      </c>
      <c r="Z8" s="2669"/>
      <c r="AA8" s="2670"/>
      <c r="AB8" s="4" t="s">
        <v>10</v>
      </c>
      <c r="AC8" s="2674" t="s">
        <v>11</v>
      </c>
      <c r="AD8" s="2696" t="s">
        <v>12</v>
      </c>
      <c r="AE8" s="2697"/>
      <c r="AF8" s="2697"/>
      <c r="AG8" s="2697"/>
      <c r="AH8" s="2697"/>
      <c r="AI8" s="2697"/>
      <c r="AJ8" s="2697"/>
      <c r="AK8" s="2697"/>
      <c r="AL8" s="2677" t="s">
        <v>13</v>
      </c>
      <c r="AM8" s="2678"/>
      <c r="AN8" s="2678"/>
      <c r="AO8" s="2678"/>
      <c r="AP8" s="2678"/>
      <c r="AQ8" s="2678"/>
      <c r="AR8" s="2678"/>
      <c r="AS8" s="2679"/>
    </row>
    <row r="9" spans="1:45" ht="15.75" customHeight="1" thickBot="1">
      <c r="A9" s="2659"/>
      <c r="B9" s="2658" t="s">
        <v>48</v>
      </c>
      <c r="C9" s="2671" t="s">
        <v>46</v>
      </c>
      <c r="D9" s="2658" t="s">
        <v>14</v>
      </c>
      <c r="E9" s="2706" t="s">
        <v>15</v>
      </c>
      <c r="F9" s="2721"/>
      <c r="G9" s="2722"/>
      <c r="H9" s="2666"/>
      <c r="I9" s="2667"/>
      <c r="J9" s="2658" t="s">
        <v>16</v>
      </c>
      <c r="K9" s="5"/>
      <c r="L9" s="5"/>
      <c r="M9" s="5"/>
      <c r="N9" s="2706" t="s">
        <v>17</v>
      </c>
      <c r="O9" s="2707"/>
      <c r="P9" s="2708"/>
      <c r="Q9" s="2680" t="s">
        <v>18</v>
      </c>
      <c r="R9" s="2681"/>
      <c r="S9" s="2709"/>
      <c r="T9" s="2680" t="s">
        <v>19</v>
      </c>
      <c r="U9" s="2681"/>
      <c r="V9" s="2682"/>
      <c r="W9" s="2690" t="s">
        <v>20</v>
      </c>
      <c r="X9" s="2674" t="s">
        <v>21</v>
      </c>
      <c r="Y9" s="2713" t="s">
        <v>22</v>
      </c>
      <c r="Z9" s="2698" t="s">
        <v>15</v>
      </c>
      <c r="AA9" s="393" t="s">
        <v>23</v>
      </c>
      <c r="AB9" s="7"/>
      <c r="AC9" s="2675"/>
      <c r="AD9" s="8"/>
      <c r="AE9" s="9"/>
      <c r="AF9" s="9"/>
      <c r="AG9" s="9"/>
      <c r="AH9" s="9"/>
      <c r="AI9" s="9"/>
      <c r="AJ9" s="9"/>
      <c r="AK9" s="9"/>
      <c r="AL9" s="2683" t="s">
        <v>24</v>
      </c>
      <c r="AM9" s="2684"/>
      <c r="AN9" s="2684"/>
      <c r="AO9" s="2685"/>
      <c r="AP9" s="2683" t="s">
        <v>25</v>
      </c>
      <c r="AQ9" s="2684"/>
      <c r="AR9" s="2684"/>
      <c r="AS9" s="2685"/>
    </row>
    <row r="10" spans="1:45" ht="15.75" customHeight="1" thickBot="1">
      <c r="A10" s="2660"/>
      <c r="B10" s="2660"/>
      <c r="C10" s="2672"/>
      <c r="D10" s="2660"/>
      <c r="E10" s="11" t="s">
        <v>30</v>
      </c>
      <c r="F10" s="11" t="s">
        <v>31</v>
      </c>
      <c r="G10" s="11" t="s">
        <v>32</v>
      </c>
      <c r="H10" s="10" t="s">
        <v>26</v>
      </c>
      <c r="I10" s="10" t="s">
        <v>27</v>
      </c>
      <c r="J10" s="2660"/>
      <c r="K10" s="10" t="s">
        <v>49</v>
      </c>
      <c r="L10" s="10" t="s">
        <v>29</v>
      </c>
      <c r="M10" s="10" t="s">
        <v>28</v>
      </c>
      <c r="N10" s="11" t="s">
        <v>30</v>
      </c>
      <c r="O10" s="11" t="s">
        <v>31</v>
      </c>
      <c r="P10" s="12" t="s">
        <v>32</v>
      </c>
      <c r="Q10" s="12" t="s">
        <v>33</v>
      </c>
      <c r="R10" s="12" t="s">
        <v>30</v>
      </c>
      <c r="S10" s="12" t="s">
        <v>31</v>
      </c>
      <c r="T10" s="12" t="s">
        <v>33</v>
      </c>
      <c r="U10" s="13" t="s">
        <v>34</v>
      </c>
      <c r="V10" s="2672"/>
      <c r="W10" s="2692"/>
      <c r="X10" s="2676"/>
      <c r="Y10" s="2714"/>
      <c r="Z10" s="2699"/>
      <c r="AA10" s="394" t="s">
        <v>35</v>
      </c>
      <c r="AB10" s="12" t="s">
        <v>36</v>
      </c>
      <c r="AC10" s="2676"/>
      <c r="AD10" s="2700" t="s">
        <v>37</v>
      </c>
      <c r="AE10" s="2701"/>
      <c r="AF10" s="2701"/>
      <c r="AG10" s="2702"/>
      <c r="AH10" s="2700" t="s">
        <v>38</v>
      </c>
      <c r="AI10" s="2701"/>
      <c r="AJ10" s="2701"/>
      <c r="AK10" s="2701"/>
      <c r="AL10" s="15" t="s">
        <v>39</v>
      </c>
      <c r="AM10" s="15" t="s">
        <v>40</v>
      </c>
      <c r="AN10" s="15" t="s">
        <v>41</v>
      </c>
      <c r="AO10" s="15" t="s">
        <v>42</v>
      </c>
      <c r="AP10" s="15" t="s">
        <v>39</v>
      </c>
      <c r="AQ10" s="15" t="s">
        <v>40</v>
      </c>
      <c r="AR10" s="15" t="s">
        <v>41</v>
      </c>
      <c r="AS10" s="15" t="s">
        <v>42</v>
      </c>
    </row>
    <row r="11" spans="1:45" ht="15.75" customHeight="1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/>
      <c r="J11" s="10"/>
      <c r="K11" s="10">
        <v>5</v>
      </c>
      <c r="L11" s="10"/>
      <c r="M11" s="10">
        <v>6</v>
      </c>
      <c r="N11" s="10">
        <v>8</v>
      </c>
      <c r="O11" s="10"/>
      <c r="P11" s="16">
        <v>9</v>
      </c>
      <c r="Q11" s="395"/>
      <c r="R11" s="395"/>
      <c r="S11" s="395"/>
      <c r="T11" s="395"/>
      <c r="U11" s="395"/>
      <c r="V11" s="395"/>
      <c r="W11" s="2758">
        <v>10</v>
      </c>
      <c r="X11" s="2759"/>
      <c r="Y11" s="2759"/>
      <c r="Z11" s="2760"/>
      <c r="AA11" s="396"/>
      <c r="AB11" s="16">
        <v>10</v>
      </c>
      <c r="AC11" s="16">
        <v>11</v>
      </c>
      <c r="AD11" s="19" t="s">
        <v>39</v>
      </c>
      <c r="AE11" s="19" t="s">
        <v>40</v>
      </c>
      <c r="AF11" s="19" t="s">
        <v>41</v>
      </c>
      <c r="AG11" s="19" t="s">
        <v>42</v>
      </c>
      <c r="AH11" s="19" t="s">
        <v>39</v>
      </c>
      <c r="AI11" s="19" t="s">
        <v>40</v>
      </c>
      <c r="AJ11" s="19" t="s">
        <v>41</v>
      </c>
      <c r="AK11" s="20" t="s">
        <v>42</v>
      </c>
      <c r="AL11" s="21"/>
      <c r="AM11" s="21"/>
      <c r="AN11" s="21"/>
      <c r="AO11" s="21"/>
      <c r="AP11" s="21"/>
      <c r="AQ11" s="21"/>
      <c r="AR11" s="21"/>
      <c r="AS11" s="21"/>
    </row>
    <row r="12" spans="1:45" ht="15.75" customHeight="1">
      <c r="A12" s="95"/>
      <c r="B12" s="95"/>
      <c r="C12" s="95"/>
      <c r="D12" s="95"/>
      <c r="E12" s="95"/>
      <c r="F12" s="95"/>
      <c r="G12" s="95"/>
      <c r="H12" s="95"/>
      <c r="I12" s="95"/>
      <c r="J12" s="93"/>
      <c r="K12" s="5"/>
      <c r="L12" s="5"/>
      <c r="M12" s="5"/>
      <c r="N12" s="641"/>
      <c r="O12" s="641"/>
      <c r="P12" s="642"/>
      <c r="Q12" s="643"/>
      <c r="R12" s="643"/>
      <c r="S12" s="643"/>
      <c r="T12" s="643"/>
      <c r="U12" s="643"/>
      <c r="V12" s="644"/>
      <c r="W12" s="136"/>
      <c r="X12" s="136"/>
      <c r="Y12" s="136"/>
      <c r="Z12" s="136"/>
      <c r="AA12" s="97"/>
      <c r="AB12" s="97"/>
      <c r="AC12" s="7"/>
      <c r="AD12" s="98"/>
      <c r="AE12" s="98"/>
      <c r="AF12" s="98"/>
      <c r="AG12" s="98"/>
      <c r="AH12" s="98"/>
      <c r="AI12" s="98"/>
      <c r="AJ12" s="98"/>
      <c r="AK12" s="99"/>
      <c r="AL12" s="78"/>
      <c r="AM12" s="78"/>
      <c r="AN12" s="78"/>
      <c r="AO12" s="78"/>
      <c r="AP12" s="78"/>
      <c r="AQ12" s="78"/>
      <c r="AR12" s="78"/>
      <c r="AS12" s="78"/>
    </row>
    <row r="13" spans="1:45">
      <c r="A13" s="291">
        <v>1</v>
      </c>
      <c r="B13" s="153" t="s">
        <v>749</v>
      </c>
      <c r="C13" s="24"/>
      <c r="D13" s="25" t="s">
        <v>750</v>
      </c>
      <c r="E13" s="26">
        <v>20000000</v>
      </c>
      <c r="F13" s="26"/>
      <c r="G13" s="26">
        <f>E13+F13</f>
        <v>20000000</v>
      </c>
      <c r="H13" s="26"/>
      <c r="I13" s="26"/>
      <c r="J13" s="126"/>
      <c r="K13" s="27"/>
      <c r="L13" s="27"/>
      <c r="M13" s="130"/>
      <c r="N13" s="645"/>
      <c r="O13" s="645"/>
      <c r="P13" s="646"/>
      <c r="Q13" s="647"/>
      <c r="R13" s="647"/>
      <c r="S13" s="647"/>
      <c r="T13" s="647"/>
      <c r="U13" s="647"/>
      <c r="V13" s="648"/>
      <c r="W13" s="30"/>
      <c r="X13" s="31"/>
      <c r="Y13" s="31"/>
      <c r="Z13" s="30"/>
      <c r="AA13" s="49"/>
      <c r="AB13" s="36">
        <f>+G13-P13</f>
        <v>20000000</v>
      </c>
      <c r="AC13" s="38"/>
      <c r="AD13" s="32"/>
      <c r="AE13" s="32"/>
      <c r="AF13" s="32"/>
      <c r="AG13" s="32"/>
      <c r="AH13" s="32"/>
      <c r="AI13" s="32"/>
      <c r="AJ13" s="32"/>
      <c r="AK13" s="33"/>
      <c r="AL13" s="32"/>
      <c r="AM13" s="32"/>
      <c r="AN13" s="32"/>
      <c r="AO13" s="32"/>
      <c r="AP13" s="32"/>
      <c r="AQ13" s="32"/>
      <c r="AR13" s="32"/>
      <c r="AS13" s="32"/>
    </row>
    <row r="14" spans="1:45">
      <c r="A14" s="291"/>
      <c r="B14" s="153" t="s">
        <v>922</v>
      </c>
      <c r="C14" s="24"/>
      <c r="D14" s="25" t="s">
        <v>751</v>
      </c>
      <c r="E14" s="26"/>
      <c r="F14" s="26"/>
      <c r="G14" s="26">
        <f t="shared" ref="G14:G25" si="0">E14+F14</f>
        <v>0</v>
      </c>
      <c r="H14" s="26"/>
      <c r="I14" s="26"/>
      <c r="J14" s="126"/>
      <c r="K14" s="27"/>
      <c r="L14" s="27"/>
      <c r="M14" s="130"/>
      <c r="N14" s="645"/>
      <c r="O14" s="645"/>
      <c r="P14" s="646"/>
      <c r="Q14" s="647"/>
      <c r="R14" s="647"/>
      <c r="S14" s="647"/>
      <c r="T14" s="647"/>
      <c r="U14" s="647"/>
      <c r="V14" s="648"/>
      <c r="W14" s="30"/>
      <c r="X14" s="31"/>
      <c r="Y14" s="31"/>
      <c r="Z14" s="30"/>
      <c r="AA14" s="30"/>
      <c r="AB14" s="30">
        <f t="shared" ref="AB14:AB27" si="1">+G14-P14</f>
        <v>0</v>
      </c>
      <c r="AC14" s="32"/>
      <c r="AD14" s="32"/>
      <c r="AE14" s="32"/>
      <c r="AF14" s="32"/>
      <c r="AG14" s="32"/>
      <c r="AH14" s="32"/>
      <c r="AI14" s="32"/>
      <c r="AJ14" s="32"/>
      <c r="AK14" s="33"/>
      <c r="AL14" s="32"/>
      <c r="AM14" s="32"/>
      <c r="AN14" s="32"/>
      <c r="AO14" s="32"/>
      <c r="AP14" s="32"/>
      <c r="AQ14" s="32"/>
      <c r="AR14" s="32"/>
      <c r="AS14" s="32"/>
    </row>
    <row r="15" spans="1:45">
      <c r="A15" s="291"/>
      <c r="B15" s="560">
        <v>42453</v>
      </c>
      <c r="C15" s="24"/>
      <c r="D15" s="25" t="s">
        <v>752</v>
      </c>
      <c r="E15" s="26"/>
      <c r="F15" s="26">
        <v>1515430537</v>
      </c>
      <c r="G15" s="26">
        <f t="shared" si="0"/>
        <v>1515430537</v>
      </c>
      <c r="H15" s="26"/>
      <c r="I15" s="26"/>
      <c r="J15" s="126"/>
      <c r="K15" s="27"/>
      <c r="L15" s="27"/>
      <c r="M15" s="130"/>
      <c r="N15" s="645"/>
      <c r="O15" s="1513">
        <v>2133756561</v>
      </c>
      <c r="P15" s="646">
        <f>N15+O15</f>
        <v>2133756561</v>
      </c>
      <c r="Q15" s="647"/>
      <c r="R15" s="647"/>
      <c r="S15" s="647"/>
      <c r="T15" s="647"/>
      <c r="U15" s="647"/>
      <c r="V15" s="648">
        <f>P15</f>
        <v>2133756561</v>
      </c>
      <c r="W15" s="30" t="s">
        <v>3213</v>
      </c>
      <c r="X15" s="31"/>
      <c r="Y15" s="31"/>
      <c r="Z15" s="30"/>
      <c r="AA15" s="30"/>
      <c r="AB15" s="30">
        <f t="shared" si="1"/>
        <v>-618326024</v>
      </c>
      <c r="AC15" s="32"/>
      <c r="AD15" s="32"/>
      <c r="AE15" s="32"/>
      <c r="AF15" s="32"/>
      <c r="AG15" s="32"/>
      <c r="AH15" s="32"/>
      <c r="AI15" s="32"/>
      <c r="AJ15" s="32"/>
      <c r="AK15" s="33"/>
      <c r="AL15" s="32"/>
      <c r="AM15" s="32"/>
      <c r="AN15" s="32"/>
      <c r="AO15" s="32"/>
      <c r="AP15" s="32"/>
      <c r="AQ15" s="32"/>
      <c r="AR15" s="32"/>
      <c r="AS15" s="32"/>
    </row>
    <row r="16" spans="1:45">
      <c r="A16" s="291"/>
      <c r="B16" s="153"/>
      <c r="C16" s="24"/>
      <c r="D16" s="25" t="s">
        <v>753</v>
      </c>
      <c r="E16" s="26"/>
      <c r="F16" s="26"/>
      <c r="G16" s="26">
        <f t="shared" si="0"/>
        <v>0</v>
      </c>
      <c r="H16" s="26"/>
      <c r="I16" s="26"/>
      <c r="J16" s="126"/>
      <c r="K16" s="27"/>
      <c r="L16" s="27"/>
      <c r="M16" s="130"/>
      <c r="N16" s="645"/>
      <c r="O16" s="645"/>
      <c r="P16" s="646"/>
      <c r="Q16" s="647"/>
      <c r="R16" s="647"/>
      <c r="S16" s="647"/>
      <c r="T16" s="647"/>
      <c r="U16" s="647"/>
      <c r="V16" s="648"/>
      <c r="W16" s="30"/>
      <c r="X16" s="31"/>
      <c r="Y16" s="31"/>
      <c r="Z16" s="30"/>
      <c r="AA16" s="30"/>
      <c r="AB16" s="30">
        <f t="shared" si="1"/>
        <v>0</v>
      </c>
      <c r="AC16" s="32"/>
      <c r="AD16" s="32"/>
      <c r="AE16" s="32"/>
      <c r="AF16" s="32"/>
      <c r="AG16" s="32"/>
      <c r="AH16" s="32"/>
      <c r="AI16" s="32"/>
      <c r="AJ16" s="32"/>
      <c r="AK16" s="33"/>
      <c r="AL16" s="32"/>
      <c r="AM16" s="32"/>
      <c r="AN16" s="32"/>
      <c r="AO16" s="32"/>
      <c r="AP16" s="32"/>
      <c r="AQ16" s="32"/>
      <c r="AR16" s="32"/>
      <c r="AS16" s="32"/>
    </row>
    <row r="17" spans="1:47">
      <c r="A17" s="291"/>
      <c r="B17" s="153"/>
      <c r="C17" s="24"/>
      <c r="D17" s="25" t="s">
        <v>754</v>
      </c>
      <c r="E17" s="26">
        <v>850530168</v>
      </c>
      <c r="F17" s="26"/>
      <c r="G17" s="26">
        <f t="shared" si="0"/>
        <v>850530168</v>
      </c>
      <c r="H17" s="26"/>
      <c r="I17" s="26"/>
      <c r="J17" s="126"/>
      <c r="K17" s="27"/>
      <c r="L17" s="27"/>
      <c r="M17" s="130"/>
      <c r="N17" s="645"/>
      <c r="O17" s="1512">
        <v>1216398164</v>
      </c>
      <c r="P17" s="646">
        <f>N17+O17</f>
        <v>1216398164</v>
      </c>
      <c r="Q17" s="647"/>
      <c r="R17" s="647"/>
      <c r="S17" s="647"/>
      <c r="T17" s="647"/>
      <c r="U17" s="647"/>
      <c r="V17" s="648">
        <f t="shared" ref="V17:V25" si="2">P17</f>
        <v>1216398164</v>
      </c>
      <c r="W17" s="30" t="s">
        <v>3213</v>
      </c>
      <c r="X17" s="31"/>
      <c r="Y17" s="31"/>
      <c r="Z17" s="30"/>
      <c r="AA17" s="30"/>
      <c r="AB17" s="30">
        <f t="shared" si="1"/>
        <v>-365867996</v>
      </c>
      <c r="AC17" s="32"/>
      <c r="AD17" s="32"/>
      <c r="AE17" s="32"/>
      <c r="AF17" s="32"/>
      <c r="AG17" s="32"/>
      <c r="AH17" s="32"/>
      <c r="AI17" s="32"/>
      <c r="AJ17" s="32"/>
      <c r="AK17" s="33"/>
      <c r="AL17" s="32"/>
      <c r="AM17" s="32"/>
      <c r="AN17" s="32"/>
      <c r="AO17" s="32"/>
      <c r="AP17" s="32"/>
      <c r="AQ17" s="32"/>
      <c r="AR17" s="32"/>
      <c r="AS17" s="32"/>
    </row>
    <row r="18" spans="1:47">
      <c r="A18" s="291"/>
      <c r="B18" s="153"/>
      <c r="C18" s="24"/>
      <c r="D18" s="25" t="s">
        <v>755</v>
      </c>
      <c r="E18" s="26"/>
      <c r="F18" s="26">
        <v>325659962</v>
      </c>
      <c r="G18" s="26">
        <f t="shared" si="0"/>
        <v>325659962</v>
      </c>
      <c r="H18" s="26"/>
      <c r="I18" s="26"/>
      <c r="J18" s="126"/>
      <c r="K18" s="27"/>
      <c r="L18" s="27"/>
      <c r="M18" s="130"/>
      <c r="N18" s="645"/>
      <c r="O18" s="1512">
        <v>262738140</v>
      </c>
      <c r="P18" s="646">
        <f>N18+O18</f>
        <v>262738140</v>
      </c>
      <c r="Q18" s="647"/>
      <c r="R18" s="647"/>
      <c r="S18" s="647"/>
      <c r="T18" s="647"/>
      <c r="U18" s="647"/>
      <c r="V18" s="648">
        <f t="shared" si="2"/>
        <v>262738140</v>
      </c>
      <c r="W18" s="30" t="s">
        <v>3213</v>
      </c>
      <c r="X18" s="31"/>
      <c r="Y18" s="31"/>
      <c r="Z18" s="30"/>
      <c r="AA18" s="30"/>
      <c r="AB18" s="30">
        <f t="shared" si="1"/>
        <v>62921822</v>
      </c>
      <c r="AC18" s="32"/>
      <c r="AD18" s="32"/>
      <c r="AE18" s="32"/>
      <c r="AF18" s="32"/>
      <c r="AG18" s="32"/>
      <c r="AH18" s="32"/>
      <c r="AI18" s="32"/>
      <c r="AJ18" s="32"/>
      <c r="AK18" s="33"/>
      <c r="AL18" s="32"/>
      <c r="AM18" s="32"/>
      <c r="AN18" s="32"/>
      <c r="AO18" s="32"/>
      <c r="AP18" s="32"/>
      <c r="AQ18" s="32"/>
      <c r="AR18" s="32"/>
      <c r="AS18" s="32"/>
    </row>
    <row r="19" spans="1:47">
      <c r="A19" s="291"/>
      <c r="B19" s="153"/>
      <c r="C19" s="24"/>
      <c r="D19" s="25" t="s">
        <v>756</v>
      </c>
      <c r="E19" s="26">
        <v>632780984</v>
      </c>
      <c r="F19" s="26"/>
      <c r="G19" s="26">
        <f t="shared" si="0"/>
        <v>632780984</v>
      </c>
      <c r="H19" s="26"/>
      <c r="I19" s="26"/>
      <c r="J19" s="126"/>
      <c r="K19" s="445"/>
      <c r="L19" s="428"/>
      <c r="M19" s="427"/>
      <c r="N19" s="645"/>
      <c r="O19" s="1512">
        <v>489411191</v>
      </c>
      <c r="P19" s="649">
        <f>N19+O19</f>
        <v>489411191</v>
      </c>
      <c r="Q19" s="647"/>
      <c r="R19" s="647"/>
      <c r="S19" s="647"/>
      <c r="T19" s="647"/>
      <c r="U19" s="647"/>
      <c r="V19" s="648">
        <f t="shared" si="2"/>
        <v>489411191</v>
      </c>
      <c r="W19" s="30" t="s">
        <v>3213</v>
      </c>
      <c r="X19" s="31"/>
      <c r="Y19" s="31"/>
      <c r="Z19" s="30"/>
      <c r="AA19" s="30"/>
      <c r="AB19" s="446">
        <f t="shared" si="1"/>
        <v>143369793</v>
      </c>
      <c r="AC19" s="32"/>
      <c r="AD19" s="32"/>
      <c r="AE19" s="32"/>
      <c r="AF19" s="32"/>
      <c r="AG19" s="32"/>
      <c r="AH19" s="32"/>
      <c r="AI19" s="32"/>
      <c r="AJ19" s="32"/>
      <c r="AK19" s="33"/>
      <c r="AL19" s="32"/>
      <c r="AM19" s="32"/>
      <c r="AN19" s="32"/>
      <c r="AO19" s="32"/>
      <c r="AP19" s="32"/>
      <c r="AQ19" s="32"/>
      <c r="AR19" s="32"/>
      <c r="AS19" s="32"/>
    </row>
    <row r="20" spans="1:47" ht="15.75" customHeight="1">
      <c r="A20" s="22"/>
      <c r="B20" s="23"/>
      <c r="C20" s="24"/>
      <c r="D20" s="25" t="s">
        <v>757</v>
      </c>
      <c r="E20" s="26"/>
      <c r="F20" s="26">
        <v>50000000</v>
      </c>
      <c r="G20" s="26">
        <f t="shared" si="0"/>
        <v>50000000</v>
      </c>
      <c r="H20" s="26"/>
      <c r="I20" s="26"/>
      <c r="J20" s="126"/>
      <c r="K20" s="34"/>
      <c r="L20" s="34"/>
      <c r="M20" s="131"/>
      <c r="N20" s="557"/>
      <c r="O20" s="557">
        <v>46135000</v>
      </c>
      <c r="P20" s="649">
        <f>N20+O20</f>
        <v>46135000</v>
      </c>
      <c r="Q20" s="648"/>
      <c r="R20" s="648"/>
      <c r="S20" s="648"/>
      <c r="T20" s="648"/>
      <c r="U20" s="648"/>
      <c r="V20" s="648">
        <f t="shared" si="2"/>
        <v>46135000</v>
      </c>
      <c r="W20" s="30" t="s">
        <v>3213</v>
      </c>
      <c r="X20" s="37"/>
      <c r="Y20" s="37"/>
      <c r="Z20" s="36"/>
      <c r="AA20" s="36"/>
      <c r="AB20" s="30">
        <f t="shared" si="1"/>
        <v>3865000</v>
      </c>
      <c r="AC20" s="38"/>
      <c r="AD20" s="38"/>
      <c r="AE20" s="38"/>
      <c r="AF20" s="38"/>
      <c r="AG20" s="38"/>
      <c r="AH20" s="38"/>
      <c r="AI20" s="38"/>
      <c r="AJ20" s="38"/>
      <c r="AK20" s="39"/>
      <c r="AL20" s="38"/>
      <c r="AM20" s="38"/>
      <c r="AN20" s="38"/>
      <c r="AO20" s="38"/>
      <c r="AP20" s="38"/>
      <c r="AQ20" s="38"/>
      <c r="AR20" s="38"/>
      <c r="AS20" s="38"/>
      <c r="AU20" s="40"/>
    </row>
    <row r="21" spans="1:47">
      <c r="A21" s="22"/>
      <c r="B21" s="41"/>
      <c r="C21" s="42"/>
      <c r="D21" s="132" t="s">
        <v>758</v>
      </c>
      <c r="E21" s="26">
        <v>310450718</v>
      </c>
      <c r="F21" s="26"/>
      <c r="G21" s="26">
        <f t="shared" si="0"/>
        <v>310450718</v>
      </c>
      <c r="H21" s="26"/>
      <c r="I21" s="26"/>
      <c r="J21" s="170"/>
      <c r="K21" s="1098"/>
      <c r="L21" s="171"/>
      <c r="M21" s="403"/>
      <c r="N21" s="640"/>
      <c r="O21" s="1509">
        <v>284466710</v>
      </c>
      <c r="P21" s="649">
        <f t="shared" ref="P21:P26" si="3">N21+O21</f>
        <v>284466710</v>
      </c>
      <c r="Q21" s="648"/>
      <c r="R21" s="648"/>
      <c r="S21" s="648"/>
      <c r="T21" s="648"/>
      <c r="U21" s="648"/>
      <c r="V21" s="648">
        <f t="shared" si="2"/>
        <v>284466710</v>
      </c>
      <c r="W21" s="30" t="s">
        <v>3213</v>
      </c>
      <c r="X21" s="37"/>
      <c r="Y21" s="37"/>
      <c r="Z21" s="36"/>
      <c r="AA21" s="36"/>
      <c r="AB21" s="30">
        <f t="shared" si="1"/>
        <v>25984008</v>
      </c>
      <c r="AC21" s="47"/>
      <c r="AD21" s="38"/>
      <c r="AE21" s="38"/>
      <c r="AF21" s="48"/>
      <c r="AG21" s="48"/>
      <c r="AH21" s="49" t="e">
        <f>P21-#REF!</f>
        <v>#REF!</v>
      </c>
      <c r="AI21" s="38"/>
      <c r="AJ21" s="38"/>
      <c r="AK21" s="39"/>
      <c r="AL21" s="38"/>
      <c r="AM21" s="38"/>
      <c r="AN21" s="38"/>
      <c r="AO21" s="38"/>
      <c r="AP21" s="38"/>
      <c r="AQ21" s="38"/>
      <c r="AR21" s="38"/>
      <c r="AS21" s="38"/>
      <c r="AU21" s="40"/>
    </row>
    <row r="22" spans="1:47">
      <c r="A22" s="22"/>
      <c r="B22" s="166"/>
      <c r="C22" s="167"/>
      <c r="D22" s="403" t="s">
        <v>759</v>
      </c>
      <c r="E22" s="169">
        <v>237573051</v>
      </c>
      <c r="F22" s="169"/>
      <c r="G22" s="26">
        <f t="shared" si="0"/>
        <v>237573051</v>
      </c>
      <c r="H22" s="170"/>
      <c r="I22" s="26"/>
      <c r="J22" s="170"/>
      <c r="K22" s="1098"/>
      <c r="L22" s="171"/>
      <c r="M22" s="403"/>
      <c r="N22" s="640"/>
      <c r="O22" s="1509">
        <v>180805497</v>
      </c>
      <c r="P22" s="649">
        <f t="shared" si="3"/>
        <v>180805497</v>
      </c>
      <c r="Q22" s="650"/>
      <c r="R22" s="650"/>
      <c r="S22" s="650"/>
      <c r="T22" s="650"/>
      <c r="U22" s="650"/>
      <c r="V22" s="648">
        <f t="shared" si="2"/>
        <v>180805497</v>
      </c>
      <c r="W22" s="30" t="s">
        <v>3213</v>
      </c>
      <c r="X22" s="37"/>
      <c r="Y22" s="37"/>
      <c r="Z22" s="172"/>
      <c r="AA22" s="36"/>
      <c r="AB22" s="30">
        <f t="shared" si="1"/>
        <v>56767554</v>
      </c>
      <c r="AC22" s="639"/>
      <c r="AD22" s="175"/>
      <c r="AE22" s="175"/>
      <c r="AF22" s="176"/>
      <c r="AG22" s="176"/>
      <c r="AH22" s="177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175"/>
      <c r="AU22" s="40"/>
    </row>
    <row r="23" spans="1:47" ht="15.75" customHeight="1">
      <c r="A23" s="22"/>
      <c r="B23" s="166"/>
      <c r="C23" s="167"/>
      <c r="D23" s="403" t="s">
        <v>760</v>
      </c>
      <c r="E23" s="169"/>
      <c r="F23" s="169">
        <v>93057717</v>
      </c>
      <c r="G23" s="26">
        <f t="shared" si="0"/>
        <v>93057717</v>
      </c>
      <c r="H23" s="170"/>
      <c r="I23" s="26"/>
      <c r="J23" s="170"/>
      <c r="K23" s="171"/>
      <c r="L23" s="171"/>
      <c r="M23" s="403"/>
      <c r="N23" s="640"/>
      <c r="O23" s="1509">
        <v>33830582</v>
      </c>
      <c r="P23" s="649">
        <f t="shared" si="3"/>
        <v>33830582</v>
      </c>
      <c r="Q23" s="650"/>
      <c r="R23" s="650"/>
      <c r="S23" s="650"/>
      <c r="T23" s="650"/>
      <c r="U23" s="650"/>
      <c r="V23" s="648">
        <f t="shared" si="2"/>
        <v>33830582</v>
      </c>
      <c r="W23" s="30" t="s">
        <v>3213</v>
      </c>
      <c r="X23" s="37"/>
      <c r="Y23" s="37"/>
      <c r="Z23" s="172"/>
      <c r="AA23" s="36"/>
      <c r="AB23" s="30">
        <f t="shared" si="1"/>
        <v>59227135</v>
      </c>
      <c r="AC23" s="639"/>
      <c r="AD23" s="175"/>
      <c r="AE23" s="175"/>
      <c r="AF23" s="176"/>
      <c r="AG23" s="176"/>
      <c r="AH23" s="177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U23" s="40"/>
    </row>
    <row r="24" spans="1:47" ht="15.75" customHeight="1">
      <c r="A24" s="22"/>
      <c r="B24" s="166"/>
      <c r="C24" s="167"/>
      <c r="D24" s="403" t="s">
        <v>761</v>
      </c>
      <c r="E24" s="169"/>
      <c r="F24" s="169">
        <v>82236610</v>
      </c>
      <c r="G24" s="26">
        <f t="shared" si="0"/>
        <v>82236610</v>
      </c>
      <c r="H24" s="170"/>
      <c r="I24" s="26"/>
      <c r="J24" s="170"/>
      <c r="K24" s="171"/>
      <c r="L24" s="171"/>
      <c r="M24" s="403"/>
      <c r="N24" s="640"/>
      <c r="O24" s="1509">
        <v>81427600</v>
      </c>
      <c r="P24" s="649">
        <f t="shared" si="3"/>
        <v>81427600</v>
      </c>
      <c r="Q24" s="650"/>
      <c r="R24" s="650"/>
      <c r="S24" s="650"/>
      <c r="T24" s="650"/>
      <c r="U24" s="650"/>
      <c r="V24" s="648">
        <f t="shared" si="2"/>
        <v>81427600</v>
      </c>
      <c r="W24" s="30" t="s">
        <v>3213</v>
      </c>
      <c r="X24" s="37"/>
      <c r="Y24" s="37"/>
      <c r="Z24" s="172"/>
      <c r="AA24" s="36"/>
      <c r="AB24" s="30">
        <f t="shared" si="1"/>
        <v>809010</v>
      </c>
      <c r="AC24" s="639"/>
      <c r="AD24" s="175"/>
      <c r="AE24" s="175"/>
      <c r="AF24" s="176"/>
      <c r="AG24" s="176"/>
      <c r="AH24" s="177"/>
      <c r="AI24" s="175"/>
      <c r="AJ24" s="175"/>
      <c r="AK24" s="175"/>
      <c r="AL24" s="175"/>
      <c r="AM24" s="175"/>
      <c r="AN24" s="175"/>
      <c r="AO24" s="175"/>
      <c r="AP24" s="175"/>
      <c r="AQ24" s="175"/>
      <c r="AR24" s="175"/>
      <c r="AS24" s="175"/>
      <c r="AU24" s="40"/>
    </row>
    <row r="25" spans="1:47" ht="15.75" customHeight="1">
      <c r="A25" s="22"/>
      <c r="B25" s="166"/>
      <c r="C25" s="167"/>
      <c r="D25" s="403" t="s">
        <v>762</v>
      </c>
      <c r="E25" s="169"/>
      <c r="F25" s="169">
        <v>75134098</v>
      </c>
      <c r="G25" s="26">
        <f t="shared" si="0"/>
        <v>75134098</v>
      </c>
      <c r="H25" s="170"/>
      <c r="I25" s="26"/>
      <c r="J25" s="170"/>
      <c r="K25" s="171"/>
      <c r="L25" s="171"/>
      <c r="M25" s="403"/>
      <c r="N25" s="640"/>
      <c r="O25" s="1509">
        <v>50435000</v>
      </c>
      <c r="P25" s="649">
        <f t="shared" si="3"/>
        <v>50435000</v>
      </c>
      <c r="Q25" s="650"/>
      <c r="R25" s="650"/>
      <c r="S25" s="650"/>
      <c r="T25" s="650"/>
      <c r="U25" s="650"/>
      <c r="V25" s="648">
        <f t="shared" si="2"/>
        <v>50435000</v>
      </c>
      <c r="W25" s="30" t="s">
        <v>3213</v>
      </c>
      <c r="X25" s="37"/>
      <c r="Y25" s="37"/>
      <c r="Z25" s="172"/>
      <c r="AA25" s="36"/>
      <c r="AB25" s="30">
        <f t="shared" si="1"/>
        <v>24699098</v>
      </c>
      <c r="AC25" s="47"/>
      <c r="AD25" s="175"/>
      <c r="AE25" s="175"/>
      <c r="AF25" s="176"/>
      <c r="AG25" s="176"/>
      <c r="AH25" s="177"/>
      <c r="AI25" s="175"/>
      <c r="AJ25" s="175"/>
      <c r="AK25" s="175"/>
      <c r="AL25" s="175"/>
      <c r="AM25" s="175"/>
      <c r="AN25" s="175"/>
      <c r="AO25" s="175"/>
      <c r="AP25" s="175"/>
      <c r="AQ25" s="175"/>
      <c r="AR25" s="175"/>
      <c r="AS25" s="175"/>
      <c r="AU25" s="40"/>
    </row>
    <row r="26" spans="1:47" s="683" customFormat="1" ht="15.75" customHeight="1" thickBot="1">
      <c r="A26" s="661"/>
      <c r="B26" s="662"/>
      <c r="C26" s="663"/>
      <c r="D26" s="664" t="s">
        <v>763</v>
      </c>
      <c r="E26" s="665"/>
      <c r="F26" s="665"/>
      <c r="G26" s="666">
        <f>E26+F26</f>
        <v>0</v>
      </c>
      <c r="H26" s="667"/>
      <c r="I26" s="667"/>
      <c r="J26" s="668"/>
      <c r="K26" s="669"/>
      <c r="L26" s="669"/>
      <c r="M26" s="670"/>
      <c r="N26" s="671"/>
      <c r="O26" s="671"/>
      <c r="P26" s="672">
        <f t="shared" si="3"/>
        <v>0</v>
      </c>
      <c r="Q26" s="673"/>
      <c r="R26" s="673"/>
      <c r="S26" s="673"/>
      <c r="T26" s="673"/>
      <c r="U26" s="673"/>
      <c r="V26" s="674">
        <f>+P26</f>
        <v>0</v>
      </c>
      <c r="W26" s="30"/>
      <c r="X26" s="676"/>
      <c r="Y26" s="677"/>
      <c r="Z26" s="511"/>
      <c r="AA26" s="675"/>
      <c r="AB26" s="678">
        <f t="shared" si="1"/>
        <v>0</v>
      </c>
      <c r="AC26" s="679"/>
      <c r="AD26" s="680"/>
      <c r="AE26" s="681"/>
      <c r="AF26" s="681"/>
      <c r="AG26" s="681"/>
      <c r="AH26" s="681"/>
      <c r="AI26" s="681"/>
      <c r="AJ26" s="681"/>
      <c r="AK26" s="681"/>
      <c r="AL26" s="681"/>
      <c r="AM26" s="681"/>
      <c r="AN26" s="681"/>
      <c r="AO26" s="681"/>
      <c r="AP26" s="681"/>
      <c r="AQ26" s="681"/>
      <c r="AR26" s="681"/>
      <c r="AS26" s="682"/>
    </row>
    <row r="27" spans="1:47" s="55" customFormat="1" ht="15.75" customHeight="1" thickBot="1">
      <c r="A27" s="2703" t="str">
        <f>B13</f>
        <v>001.ADM/AO/BRU/2016/M</v>
      </c>
      <c r="B27" s="2704"/>
      <c r="C27" s="2704"/>
      <c r="D27" s="2705"/>
      <c r="E27" s="651">
        <f>SUM(E13:E26)</f>
        <v>2051334921</v>
      </c>
      <c r="F27" s="651">
        <f>SUM(F13:F26)</f>
        <v>2141518924</v>
      </c>
      <c r="G27" s="651">
        <f>SUM(G13:G26)</f>
        <v>4192853845</v>
      </c>
      <c r="H27" s="65"/>
      <c r="I27" s="65"/>
      <c r="J27" s="65"/>
      <c r="K27" s="66"/>
      <c r="L27" s="66"/>
      <c r="M27" s="66"/>
      <c r="N27" s="651">
        <f>SUM(N13:N26)</f>
        <v>0</v>
      </c>
      <c r="O27" s="651">
        <f t="shared" ref="O27:V27" si="4">SUM(O13:O26)</f>
        <v>4779404445</v>
      </c>
      <c r="P27" s="651">
        <f t="shared" si="4"/>
        <v>4779404445</v>
      </c>
      <c r="Q27" s="651">
        <f t="shared" si="4"/>
        <v>0</v>
      </c>
      <c r="R27" s="651">
        <f t="shared" si="4"/>
        <v>0</v>
      </c>
      <c r="S27" s="651">
        <f t="shared" si="4"/>
        <v>0</v>
      </c>
      <c r="T27" s="651">
        <f t="shared" si="4"/>
        <v>0</v>
      </c>
      <c r="U27" s="651">
        <f t="shared" si="4"/>
        <v>0</v>
      </c>
      <c r="V27" s="651">
        <f t="shared" si="4"/>
        <v>4779404445</v>
      </c>
      <c r="W27" s="69"/>
      <c r="X27" s="70"/>
      <c r="Y27" s="70"/>
      <c r="Z27" s="68">
        <f>SUM(Z26:Z26)</f>
        <v>0</v>
      </c>
      <c r="AA27" s="65"/>
      <c r="AB27" s="660">
        <f t="shared" si="1"/>
        <v>-586550600</v>
      </c>
      <c r="AC27" s="76"/>
      <c r="AD27" s="75"/>
      <c r="AE27" s="100"/>
      <c r="AF27" s="100"/>
      <c r="AG27" s="74"/>
      <c r="AH27" s="74"/>
      <c r="AI27" s="74"/>
      <c r="AJ27" s="74"/>
      <c r="AK27" s="64"/>
      <c r="AL27" s="101" t="e">
        <f>SUM(#REF!)</f>
        <v>#REF!</v>
      </c>
      <c r="AM27" s="101">
        <f t="shared" ref="AM27:AS27" si="5">SUM(AM26:AM26)</f>
        <v>0</v>
      </c>
      <c r="AN27" s="101">
        <f t="shared" si="5"/>
        <v>0</v>
      </c>
      <c r="AO27" s="101">
        <f t="shared" si="5"/>
        <v>0</v>
      </c>
      <c r="AP27" s="101">
        <f t="shared" si="5"/>
        <v>0</v>
      </c>
      <c r="AQ27" s="101">
        <f t="shared" si="5"/>
        <v>0</v>
      </c>
      <c r="AR27" s="101">
        <f t="shared" si="5"/>
        <v>0</v>
      </c>
      <c r="AS27" s="102">
        <f t="shared" si="5"/>
        <v>0</v>
      </c>
      <c r="AU27" s="56"/>
    </row>
    <row r="28" spans="1:47" ht="15.75" customHeight="1">
      <c r="A28" s="95"/>
      <c r="B28" s="95"/>
      <c r="C28" s="95"/>
      <c r="D28" s="95"/>
      <c r="E28" s="95"/>
      <c r="F28" s="95"/>
      <c r="G28" s="95"/>
      <c r="H28" s="95"/>
      <c r="I28" s="95"/>
      <c r="J28" s="93"/>
      <c r="K28" s="5"/>
      <c r="L28" s="5"/>
      <c r="M28" s="5"/>
      <c r="N28" s="641"/>
      <c r="O28" s="641"/>
      <c r="P28" s="642"/>
      <c r="Q28" s="643"/>
      <c r="R28" s="643"/>
      <c r="S28" s="643"/>
      <c r="T28" s="643"/>
      <c r="U28" s="643"/>
      <c r="V28" s="644"/>
      <c r="W28" s="1245"/>
      <c r="X28" s="1245"/>
      <c r="Y28" s="1245"/>
      <c r="Z28" s="1245"/>
      <c r="AA28" s="97"/>
      <c r="AB28" s="97"/>
      <c r="AC28" s="7"/>
      <c r="AD28" s="98"/>
      <c r="AE28" s="98"/>
      <c r="AF28" s="98"/>
      <c r="AG28" s="98"/>
      <c r="AH28" s="98"/>
      <c r="AI28" s="98"/>
      <c r="AJ28" s="98"/>
      <c r="AK28" s="99"/>
      <c r="AL28" s="78"/>
      <c r="AM28" s="78"/>
      <c r="AN28" s="78"/>
      <c r="AO28" s="78"/>
      <c r="AP28" s="78"/>
      <c r="AQ28" s="78"/>
      <c r="AR28" s="78"/>
      <c r="AS28" s="78"/>
    </row>
    <row r="29" spans="1:47">
      <c r="A29" s="291">
        <v>2</v>
      </c>
      <c r="B29" s="153" t="s">
        <v>2407</v>
      </c>
      <c r="C29" s="24"/>
      <c r="D29" s="25" t="s">
        <v>2409</v>
      </c>
      <c r="E29" s="26">
        <v>0</v>
      </c>
      <c r="F29" s="26">
        <v>63250000</v>
      </c>
      <c r="G29" s="26">
        <f>E29+F29</f>
        <v>63250000</v>
      </c>
      <c r="H29" s="26"/>
      <c r="I29" s="26"/>
      <c r="J29" s="126"/>
      <c r="K29" s="27"/>
      <c r="L29" s="27"/>
      <c r="M29" s="130"/>
      <c r="N29" s="645"/>
      <c r="O29" s="645">
        <v>10000000</v>
      </c>
      <c r="P29" s="649">
        <f>N29+O29</f>
        <v>10000000</v>
      </c>
      <c r="Q29" s="650"/>
      <c r="R29" s="650"/>
      <c r="S29" s="650"/>
      <c r="T29" s="650"/>
      <c r="U29" s="650"/>
      <c r="V29" s="648">
        <f>P29</f>
        <v>10000000</v>
      </c>
      <c r="W29" s="30" t="s">
        <v>3213</v>
      </c>
      <c r="X29" s="31"/>
      <c r="Y29" s="31"/>
      <c r="Z29" s="30"/>
      <c r="AA29" s="49"/>
      <c r="AB29" s="36">
        <f>+G29-P29</f>
        <v>53250000</v>
      </c>
      <c r="AC29" s="38"/>
      <c r="AD29" s="32"/>
      <c r="AE29" s="32"/>
      <c r="AF29" s="32"/>
      <c r="AG29" s="32"/>
      <c r="AH29" s="32"/>
      <c r="AI29" s="32"/>
      <c r="AJ29" s="32"/>
      <c r="AK29" s="33"/>
      <c r="AL29" s="32"/>
      <c r="AM29" s="32"/>
      <c r="AN29" s="32"/>
      <c r="AO29" s="32"/>
      <c r="AP29" s="32"/>
      <c r="AQ29" s="32"/>
      <c r="AR29" s="32"/>
      <c r="AS29" s="32"/>
    </row>
    <row r="30" spans="1:47">
      <c r="A30" s="291"/>
      <c r="B30" s="153" t="s">
        <v>2408</v>
      </c>
      <c r="C30" s="24"/>
      <c r="D30" s="25" t="s">
        <v>2410</v>
      </c>
      <c r="E30" s="26"/>
      <c r="F30" s="26">
        <v>94800000</v>
      </c>
      <c r="G30" s="26">
        <f>E30+F30</f>
        <v>94800000</v>
      </c>
      <c r="H30" s="26"/>
      <c r="I30" s="26"/>
      <c r="J30" s="126"/>
      <c r="K30" s="27"/>
      <c r="L30" s="27"/>
      <c r="M30" s="130"/>
      <c r="N30" s="645"/>
      <c r="O30" s="645">
        <v>57541826</v>
      </c>
      <c r="P30" s="649">
        <f>N30+O30</f>
        <v>57541826</v>
      </c>
      <c r="Q30" s="650"/>
      <c r="R30" s="650"/>
      <c r="S30" s="650"/>
      <c r="T30" s="650"/>
      <c r="U30" s="650"/>
      <c r="V30" s="648">
        <f>P30</f>
        <v>57541826</v>
      </c>
      <c r="W30" s="30" t="s">
        <v>3213</v>
      </c>
      <c r="X30" s="31"/>
      <c r="Y30" s="31"/>
      <c r="Z30" s="30"/>
      <c r="AA30" s="30"/>
      <c r="AB30" s="30">
        <f>+G30-P30</f>
        <v>37258174</v>
      </c>
      <c r="AC30" s="32"/>
      <c r="AD30" s="32"/>
      <c r="AE30" s="32"/>
      <c r="AF30" s="32"/>
      <c r="AG30" s="32"/>
      <c r="AH30" s="32"/>
      <c r="AI30" s="32"/>
      <c r="AJ30" s="32"/>
      <c r="AK30" s="33"/>
      <c r="AL30" s="32"/>
      <c r="AM30" s="32"/>
      <c r="AN30" s="32"/>
      <c r="AO30" s="32"/>
      <c r="AP30" s="32"/>
      <c r="AQ30" s="32"/>
      <c r="AR30" s="32"/>
      <c r="AS30" s="32"/>
    </row>
    <row r="31" spans="1:47">
      <c r="A31" s="291"/>
      <c r="B31" s="560">
        <v>42621</v>
      </c>
      <c r="C31" s="24"/>
      <c r="D31" s="25" t="s">
        <v>2411</v>
      </c>
      <c r="E31" s="26"/>
      <c r="F31" s="26">
        <v>192500000</v>
      </c>
      <c r="G31" s="26">
        <f>E31+F31</f>
        <v>192500000</v>
      </c>
      <c r="H31" s="26"/>
      <c r="I31" s="26"/>
      <c r="J31" s="126"/>
      <c r="K31" s="27"/>
      <c r="L31" s="27"/>
      <c r="M31" s="130"/>
      <c r="N31" s="645"/>
      <c r="O31" s="645">
        <v>156410000</v>
      </c>
      <c r="P31" s="649">
        <f>N31+O31</f>
        <v>156410000</v>
      </c>
      <c r="Q31" s="650"/>
      <c r="R31" s="650"/>
      <c r="S31" s="650"/>
      <c r="T31" s="650"/>
      <c r="U31" s="650"/>
      <c r="V31" s="648">
        <f>P31</f>
        <v>156410000</v>
      </c>
      <c r="W31" s="30" t="s">
        <v>3213</v>
      </c>
      <c r="X31" s="31"/>
      <c r="Y31" s="31"/>
      <c r="Z31" s="30"/>
      <c r="AA31" s="30"/>
      <c r="AB31" s="30">
        <f>+G31-P31</f>
        <v>36090000</v>
      </c>
      <c r="AC31" s="32"/>
      <c r="AD31" s="32"/>
      <c r="AE31" s="32"/>
      <c r="AF31" s="32"/>
      <c r="AG31" s="32"/>
      <c r="AH31" s="32"/>
      <c r="AI31" s="32"/>
      <c r="AJ31" s="32"/>
      <c r="AK31" s="33"/>
      <c r="AL31" s="32"/>
      <c r="AM31" s="32"/>
      <c r="AN31" s="32"/>
      <c r="AO31" s="32"/>
      <c r="AP31" s="32"/>
      <c r="AQ31" s="32"/>
      <c r="AR31" s="32"/>
      <c r="AS31" s="32"/>
    </row>
    <row r="32" spans="1:47" s="683" customFormat="1" ht="15.75" customHeight="1" thickBot="1">
      <c r="A32" s="661"/>
      <c r="B32" s="662"/>
      <c r="C32" s="663"/>
      <c r="D32" s="664"/>
      <c r="E32" s="665"/>
      <c r="F32" s="665"/>
      <c r="G32" s="666"/>
      <c r="H32" s="667"/>
      <c r="I32" s="667"/>
      <c r="J32" s="668"/>
      <c r="K32" s="669"/>
      <c r="L32" s="669"/>
      <c r="M32" s="670"/>
      <c r="N32" s="671"/>
      <c r="O32" s="671"/>
      <c r="P32" s="672"/>
      <c r="Q32" s="673"/>
      <c r="R32" s="673"/>
      <c r="S32" s="673"/>
      <c r="T32" s="673"/>
      <c r="U32" s="673"/>
      <c r="V32" s="674"/>
      <c r="W32" s="30"/>
      <c r="X32" s="676"/>
      <c r="Y32" s="677"/>
      <c r="Z32" s="511"/>
      <c r="AA32" s="675"/>
      <c r="AB32" s="678">
        <f>+G32-P32</f>
        <v>0</v>
      </c>
      <c r="AC32" s="679"/>
      <c r="AD32" s="680"/>
      <c r="AE32" s="681"/>
      <c r="AF32" s="681"/>
      <c r="AG32" s="681"/>
      <c r="AH32" s="681"/>
      <c r="AI32" s="681"/>
      <c r="AJ32" s="681"/>
      <c r="AK32" s="681"/>
      <c r="AL32" s="681"/>
      <c r="AM32" s="681"/>
      <c r="AN32" s="681"/>
      <c r="AO32" s="681"/>
      <c r="AP32" s="681"/>
      <c r="AQ32" s="681"/>
      <c r="AR32" s="681"/>
      <c r="AS32" s="682"/>
    </row>
    <row r="33" spans="1:47" s="55" customFormat="1" ht="15.75" customHeight="1" thickBot="1">
      <c r="A33" s="2703" t="str">
        <f>B29</f>
        <v>001.ADM-NG/AO-R/BRU/2016</v>
      </c>
      <c r="B33" s="2704"/>
      <c r="C33" s="2704"/>
      <c r="D33" s="2705"/>
      <c r="E33" s="651">
        <f>SUM(E29:E32)</f>
        <v>0</v>
      </c>
      <c r="F33" s="651">
        <f>SUM(F29:F32)</f>
        <v>350550000</v>
      </c>
      <c r="G33" s="651">
        <f>SUM(G29:G32)</f>
        <v>350550000</v>
      </c>
      <c r="H33" s="65"/>
      <c r="I33" s="65"/>
      <c r="J33" s="65"/>
      <c r="K33" s="66"/>
      <c r="L33" s="66"/>
      <c r="M33" s="66"/>
      <c r="N33" s="651">
        <f t="shared" ref="N33:V33" si="6">SUM(N29:N32)</f>
        <v>0</v>
      </c>
      <c r="O33" s="651">
        <f t="shared" si="6"/>
        <v>223951826</v>
      </c>
      <c r="P33" s="651">
        <f t="shared" si="6"/>
        <v>223951826</v>
      </c>
      <c r="Q33" s="651">
        <f t="shared" si="6"/>
        <v>0</v>
      </c>
      <c r="R33" s="651">
        <f t="shared" si="6"/>
        <v>0</v>
      </c>
      <c r="S33" s="651">
        <f t="shared" si="6"/>
        <v>0</v>
      </c>
      <c r="T33" s="651">
        <f t="shared" si="6"/>
        <v>0</v>
      </c>
      <c r="U33" s="651">
        <f t="shared" si="6"/>
        <v>0</v>
      </c>
      <c r="V33" s="651">
        <f t="shared" si="6"/>
        <v>223951826</v>
      </c>
      <c r="W33" s="69"/>
      <c r="X33" s="70"/>
      <c r="Y33" s="70"/>
      <c r="Z33" s="68">
        <f>SUM(Z32:Z32)</f>
        <v>0</v>
      </c>
      <c r="AA33" s="65"/>
      <c r="AB33" s="660">
        <f>+G33-P33</f>
        <v>126598174</v>
      </c>
      <c r="AC33" s="76"/>
      <c r="AD33" s="75"/>
      <c r="AE33" s="100"/>
      <c r="AF33" s="100"/>
      <c r="AG33" s="74"/>
      <c r="AH33" s="74"/>
      <c r="AI33" s="74"/>
      <c r="AJ33" s="74"/>
      <c r="AK33" s="64"/>
      <c r="AL33" s="101" t="e">
        <f>SUM(#REF!)</f>
        <v>#REF!</v>
      </c>
      <c r="AM33" s="101">
        <f t="shared" ref="AM33:AS33" si="7">SUM(AM32:AM32)</f>
        <v>0</v>
      </c>
      <c r="AN33" s="101">
        <f t="shared" si="7"/>
        <v>0</v>
      </c>
      <c r="AO33" s="101">
        <f t="shared" si="7"/>
        <v>0</v>
      </c>
      <c r="AP33" s="101">
        <f t="shared" si="7"/>
        <v>0</v>
      </c>
      <c r="AQ33" s="101">
        <f t="shared" si="7"/>
        <v>0</v>
      </c>
      <c r="AR33" s="101">
        <f t="shared" si="7"/>
        <v>0</v>
      </c>
      <c r="AS33" s="102">
        <f t="shared" si="7"/>
        <v>0</v>
      </c>
      <c r="AU33" s="56"/>
    </row>
    <row r="34" spans="1:47" ht="15.75" customHeight="1" thickBot="1">
      <c r="A34" s="2735" t="s">
        <v>44</v>
      </c>
      <c r="B34" s="2736"/>
      <c r="C34" s="2736"/>
      <c r="D34" s="2737"/>
      <c r="E34" s="84">
        <f>E27+E33</f>
        <v>2051334921</v>
      </c>
      <c r="F34" s="84">
        <f>F27+F33</f>
        <v>2492068924</v>
      </c>
      <c r="G34" s="84">
        <f>G27+G33</f>
        <v>4543403845</v>
      </c>
      <c r="H34" s="84"/>
      <c r="I34" s="84"/>
      <c r="J34" s="84"/>
      <c r="K34" s="84"/>
      <c r="L34" s="84"/>
      <c r="M34" s="84"/>
      <c r="N34" s="84">
        <f t="shared" ref="N34:V34" si="8">N27+N33</f>
        <v>0</v>
      </c>
      <c r="O34" s="84">
        <f t="shared" si="8"/>
        <v>5003356271</v>
      </c>
      <c r="P34" s="84">
        <f t="shared" si="8"/>
        <v>5003356271</v>
      </c>
      <c r="Q34" s="84">
        <f t="shared" si="8"/>
        <v>0</v>
      </c>
      <c r="R34" s="84">
        <f t="shared" si="8"/>
        <v>0</v>
      </c>
      <c r="S34" s="84">
        <f t="shared" si="8"/>
        <v>0</v>
      </c>
      <c r="T34" s="84">
        <f t="shared" si="8"/>
        <v>0</v>
      </c>
      <c r="U34" s="84">
        <f t="shared" si="8"/>
        <v>0</v>
      </c>
      <c r="V34" s="84">
        <f t="shared" si="8"/>
        <v>5003356271</v>
      </c>
      <c r="W34" s="84"/>
      <c r="X34" s="84"/>
      <c r="Y34" s="84"/>
      <c r="Z34" s="84">
        <f>Z27+Z33</f>
        <v>0</v>
      </c>
      <c r="AA34" s="84"/>
      <c r="AB34" s="84">
        <f>AB27+AB33</f>
        <v>-459952426</v>
      </c>
      <c r="AC34" s="84"/>
      <c r="AD34" s="85"/>
      <c r="AE34" s="85"/>
      <c r="AF34" s="85"/>
      <c r="AG34" s="85"/>
      <c r="AH34" s="85"/>
      <c r="AI34" s="85"/>
      <c r="AJ34" s="85"/>
      <c r="AK34" s="86"/>
      <c r="AL34" s="84" t="e">
        <f>#REF!+#REF!+#REF!+#REF!</f>
        <v>#REF!</v>
      </c>
      <c r="AM34" s="84" t="e">
        <f>#REF!+#REF!+#REF!+#REF!</f>
        <v>#REF!</v>
      </c>
      <c r="AN34" s="84" t="e">
        <f>#REF!+#REF!+#REF!+#REF!</f>
        <v>#REF!</v>
      </c>
      <c r="AO34" s="84" t="e">
        <f>#REF!+#REF!+#REF!+#REF!</f>
        <v>#REF!</v>
      </c>
      <c r="AP34" s="84" t="e">
        <f>#REF!+#REF!+#REF!+#REF!</f>
        <v>#REF!</v>
      </c>
      <c r="AQ34" s="84" t="e">
        <f>#REF!+#REF!+#REF!+#REF!</f>
        <v>#REF!</v>
      </c>
      <c r="AR34" s="84" t="e">
        <f>#REF!+#REF!+#REF!+#REF!</f>
        <v>#REF!</v>
      </c>
      <c r="AS34" s="87" t="e">
        <f>#REF!+#REF!+#REF!+#REF!</f>
        <v>#REF!</v>
      </c>
    </row>
    <row r="35" spans="1:47" ht="15.75" customHeight="1">
      <c r="B35" s="88"/>
      <c r="N35" s="88"/>
      <c r="O35" s="88"/>
      <c r="P35" s="90"/>
      <c r="Q35" s="90"/>
      <c r="R35" s="90"/>
      <c r="S35" s="90"/>
      <c r="T35" s="90"/>
      <c r="U35" s="90"/>
      <c r="V35" s="90"/>
      <c r="X35" s="91"/>
      <c r="Y35" s="91"/>
      <c r="Z35" s="79"/>
      <c r="AA35" s="79"/>
      <c r="AB35" s="79"/>
    </row>
    <row r="36" spans="1:47">
      <c r="B36" s="88"/>
      <c r="E36" s="79"/>
      <c r="F36" s="79"/>
      <c r="G36" s="79"/>
      <c r="H36" s="79"/>
      <c r="I36" s="79"/>
      <c r="J36" s="79"/>
      <c r="N36" s="88"/>
      <c r="O36" s="88"/>
      <c r="AB36" s="79"/>
      <c r="AC36" s="88"/>
    </row>
    <row r="37" spans="1:47">
      <c r="P37" s="79"/>
      <c r="Q37" s="79"/>
      <c r="R37" s="79"/>
      <c r="S37" s="79"/>
      <c r="T37" s="79"/>
      <c r="U37" s="79"/>
      <c r="V37" s="79"/>
      <c r="Z37" s="1044">
        <f>AB31-22800000-18630000</f>
        <v>-5340000</v>
      </c>
      <c r="AB37" s="79"/>
    </row>
    <row r="38" spans="1:47">
      <c r="M38" s="92"/>
    </row>
  </sheetData>
  <mergeCells count="32">
    <mergeCell ref="A5:AC5"/>
    <mergeCell ref="A6:N6"/>
    <mergeCell ref="A8:A10"/>
    <mergeCell ref="B8:G8"/>
    <mergeCell ref="H8:I9"/>
    <mergeCell ref="V8:V10"/>
    <mergeCell ref="A34:D34"/>
    <mergeCell ref="W9:W10"/>
    <mergeCell ref="X9:X10"/>
    <mergeCell ref="Y9:Y10"/>
    <mergeCell ref="J8:U8"/>
    <mergeCell ref="W11:Z11"/>
    <mergeCell ref="J9:J10"/>
    <mergeCell ref="D9:D10"/>
    <mergeCell ref="C9:C10"/>
    <mergeCell ref="B9:B10"/>
    <mergeCell ref="Q9:S9"/>
    <mergeCell ref="N9:P9"/>
    <mergeCell ref="Z9:Z10"/>
    <mergeCell ref="T9:U9"/>
    <mergeCell ref="Y8:AA8"/>
    <mergeCell ref="A33:D33"/>
    <mergeCell ref="A27:D27"/>
    <mergeCell ref="W8:X8"/>
    <mergeCell ref="E9:G9"/>
    <mergeCell ref="AL8:AS8"/>
    <mergeCell ref="AP9:AS9"/>
    <mergeCell ref="AD10:AG10"/>
    <mergeCell ref="AH10:AK10"/>
    <mergeCell ref="AC8:AC10"/>
    <mergeCell ref="AD8:AK8"/>
    <mergeCell ref="AL9:AO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AU18"/>
  <sheetViews>
    <sheetView view="pageBreakPreview" topLeftCell="P1" zoomScale="80" zoomScaleNormal="50" zoomScaleSheetLayoutView="80" workbookViewId="0">
      <selection activeCell="Z19" sqref="Z19"/>
    </sheetView>
  </sheetViews>
  <sheetFormatPr defaultColWidth="32.42578125" defaultRowHeight="15"/>
  <cols>
    <col min="1" max="1" width="4.85546875" customWidth="1"/>
    <col min="2" max="2" width="31.28515625" bestFit="1" customWidth="1"/>
    <col min="3" max="3" width="32.5703125" customWidth="1"/>
    <col min="4" max="4" width="48.42578125" customWidth="1"/>
    <col min="5" max="5" width="17.42578125" customWidth="1"/>
    <col min="6" max="7" width="18.28515625" bestFit="1" customWidth="1"/>
    <col min="8" max="8" width="22.140625" customWidth="1"/>
    <col min="9" max="9" width="18" customWidth="1"/>
    <col min="10" max="10" width="28.7109375" bestFit="1" customWidth="1"/>
    <col min="11" max="11" width="32.42578125" customWidth="1"/>
    <col min="12" max="12" width="25.85546875" customWidth="1"/>
    <col min="13" max="13" width="73.28515625" customWidth="1"/>
    <col min="14" max="14" width="18.140625" customWidth="1"/>
    <col min="15" max="16" width="19.7109375" customWidth="1"/>
    <col min="17" max="21" width="0" hidden="1" customWidth="1"/>
    <col min="22" max="22" width="19.7109375" customWidth="1"/>
    <col min="23" max="23" width="32.140625" customWidth="1"/>
    <col min="24" max="25" width="20.140625" customWidth="1"/>
    <col min="26" max="26" width="18.28515625" customWidth="1"/>
    <col min="27" max="27" width="10.140625" bestFit="1" customWidth="1"/>
    <col min="28" max="28" width="18.140625" bestFit="1" customWidth="1"/>
    <col min="29" max="29" width="22" bestFit="1" customWidth="1"/>
    <col min="30" max="45" width="0" hidden="1" customWidth="1"/>
  </cols>
  <sheetData>
    <row r="1" spans="1:47" s="2" customFormat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7" s="2" customFormat="1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7" s="2" customFormat="1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47" s="2" customFormat="1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47" s="2" customFormat="1" ht="15.75" customHeight="1">
      <c r="A5" s="2656" t="s">
        <v>2157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  <c r="AB5" s="2656"/>
      <c r="AC5" s="2656"/>
    </row>
    <row r="6" spans="1:47" s="2" customFormat="1" ht="15.75" customHeight="1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  <c r="N6" s="2657"/>
      <c r="O6" s="1205"/>
    </row>
    <row r="7" spans="1:47" s="2" customFormat="1" ht="15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47" s="2" customFormat="1" ht="15.75" customHeight="1" thickBot="1">
      <c r="A8" s="2658" t="s">
        <v>3</v>
      </c>
      <c r="B8" s="2661" t="s">
        <v>4</v>
      </c>
      <c r="C8" s="2662"/>
      <c r="D8" s="2662"/>
      <c r="E8" s="2662"/>
      <c r="F8" s="2662"/>
      <c r="G8" s="2663"/>
      <c r="H8" s="2664" t="s">
        <v>5</v>
      </c>
      <c r="I8" s="2665"/>
      <c r="J8" s="2661" t="s">
        <v>6</v>
      </c>
      <c r="K8" s="2662"/>
      <c r="L8" s="2662"/>
      <c r="M8" s="2662"/>
      <c r="N8" s="2662"/>
      <c r="O8" s="2662"/>
      <c r="P8" s="2662"/>
      <c r="Q8" s="2662"/>
      <c r="R8" s="2662"/>
      <c r="S8" s="2662"/>
      <c r="T8" s="2662"/>
      <c r="U8" s="2663"/>
      <c r="V8" s="2671" t="s">
        <v>7</v>
      </c>
      <c r="W8" s="2673" t="s">
        <v>8</v>
      </c>
      <c r="X8" s="2673"/>
      <c r="Y8" s="2668" t="s">
        <v>9</v>
      </c>
      <c r="Z8" s="2669"/>
      <c r="AA8" s="2670"/>
      <c r="AB8" s="4" t="s">
        <v>10</v>
      </c>
      <c r="AC8" s="2674" t="s">
        <v>11</v>
      </c>
      <c r="AD8" s="2696" t="s">
        <v>12</v>
      </c>
      <c r="AE8" s="2697"/>
      <c r="AF8" s="2697"/>
      <c r="AG8" s="2697"/>
      <c r="AH8" s="2697"/>
      <c r="AI8" s="2697"/>
      <c r="AJ8" s="2697"/>
      <c r="AK8" s="2697"/>
      <c r="AL8" s="2677" t="s">
        <v>13</v>
      </c>
      <c r="AM8" s="2678"/>
      <c r="AN8" s="2678"/>
      <c r="AO8" s="2678"/>
      <c r="AP8" s="2678"/>
      <c r="AQ8" s="2678"/>
      <c r="AR8" s="2678"/>
      <c r="AS8" s="2679"/>
    </row>
    <row r="9" spans="1:47" s="2" customFormat="1" ht="15.75" customHeight="1" thickBot="1">
      <c r="A9" s="2659"/>
      <c r="B9" s="2658" t="s">
        <v>48</v>
      </c>
      <c r="C9" s="2671" t="s">
        <v>46</v>
      </c>
      <c r="D9" s="2658" t="s">
        <v>14</v>
      </c>
      <c r="E9" s="2706" t="s">
        <v>15</v>
      </c>
      <c r="F9" s="2721"/>
      <c r="G9" s="2722"/>
      <c r="H9" s="2666"/>
      <c r="I9" s="2667"/>
      <c r="J9" s="2658" t="s">
        <v>16</v>
      </c>
      <c r="K9" s="5"/>
      <c r="L9" s="5"/>
      <c r="M9" s="5"/>
      <c r="N9" s="2706" t="s">
        <v>17</v>
      </c>
      <c r="O9" s="2707"/>
      <c r="P9" s="2708"/>
      <c r="Q9" s="2680" t="s">
        <v>18</v>
      </c>
      <c r="R9" s="2681"/>
      <c r="S9" s="2709"/>
      <c r="T9" s="2680" t="s">
        <v>19</v>
      </c>
      <c r="U9" s="2681"/>
      <c r="V9" s="2682"/>
      <c r="W9" s="2690" t="s">
        <v>20</v>
      </c>
      <c r="X9" s="2674" t="s">
        <v>21</v>
      </c>
      <c r="Y9" s="2713" t="s">
        <v>22</v>
      </c>
      <c r="Z9" s="2698" t="s">
        <v>15</v>
      </c>
      <c r="AA9" s="1203" t="s">
        <v>23</v>
      </c>
      <c r="AB9" s="7"/>
      <c r="AC9" s="2675"/>
      <c r="AD9" s="8"/>
      <c r="AE9" s="9"/>
      <c r="AF9" s="9"/>
      <c r="AG9" s="9"/>
      <c r="AH9" s="9"/>
      <c r="AI9" s="9"/>
      <c r="AJ9" s="9"/>
      <c r="AK9" s="9"/>
      <c r="AL9" s="2683" t="s">
        <v>24</v>
      </c>
      <c r="AM9" s="2684"/>
      <c r="AN9" s="2684"/>
      <c r="AO9" s="2685"/>
      <c r="AP9" s="2683" t="s">
        <v>25</v>
      </c>
      <c r="AQ9" s="2684"/>
      <c r="AR9" s="2684"/>
      <c r="AS9" s="2685"/>
    </row>
    <row r="10" spans="1:47" s="2" customFormat="1" ht="15.75" customHeight="1" thickBot="1">
      <c r="A10" s="2660"/>
      <c r="B10" s="2660"/>
      <c r="C10" s="2672"/>
      <c r="D10" s="2660"/>
      <c r="E10" s="11" t="s">
        <v>30</v>
      </c>
      <c r="F10" s="11" t="s">
        <v>31</v>
      </c>
      <c r="G10" s="11" t="s">
        <v>32</v>
      </c>
      <c r="H10" s="10" t="s">
        <v>26</v>
      </c>
      <c r="I10" s="10" t="s">
        <v>27</v>
      </c>
      <c r="J10" s="2660"/>
      <c r="K10" s="10" t="s">
        <v>49</v>
      </c>
      <c r="L10" s="10" t="s">
        <v>29</v>
      </c>
      <c r="M10" s="10" t="s">
        <v>28</v>
      </c>
      <c r="N10" s="11" t="s">
        <v>30</v>
      </c>
      <c r="O10" s="11" t="s">
        <v>31</v>
      </c>
      <c r="P10" s="12" t="s">
        <v>32</v>
      </c>
      <c r="Q10" s="12" t="s">
        <v>33</v>
      </c>
      <c r="R10" s="12" t="s">
        <v>30</v>
      </c>
      <c r="S10" s="12" t="s">
        <v>31</v>
      </c>
      <c r="T10" s="12" t="s">
        <v>33</v>
      </c>
      <c r="U10" s="13" t="s">
        <v>34</v>
      </c>
      <c r="V10" s="2672"/>
      <c r="W10" s="2692"/>
      <c r="X10" s="2676"/>
      <c r="Y10" s="2714"/>
      <c r="Z10" s="2699"/>
      <c r="AA10" s="1204" t="s">
        <v>35</v>
      </c>
      <c r="AB10" s="12" t="s">
        <v>36</v>
      </c>
      <c r="AC10" s="2676"/>
      <c r="AD10" s="2700" t="s">
        <v>37</v>
      </c>
      <c r="AE10" s="2701"/>
      <c r="AF10" s="2701"/>
      <c r="AG10" s="2702"/>
      <c r="AH10" s="2700" t="s">
        <v>38</v>
      </c>
      <c r="AI10" s="2701"/>
      <c r="AJ10" s="2701"/>
      <c r="AK10" s="2701"/>
      <c r="AL10" s="15" t="s">
        <v>39</v>
      </c>
      <c r="AM10" s="15" t="s">
        <v>40</v>
      </c>
      <c r="AN10" s="15" t="s">
        <v>41</v>
      </c>
      <c r="AO10" s="15" t="s">
        <v>42</v>
      </c>
      <c r="AP10" s="15" t="s">
        <v>39</v>
      </c>
      <c r="AQ10" s="15" t="s">
        <v>40</v>
      </c>
      <c r="AR10" s="15" t="s">
        <v>41</v>
      </c>
      <c r="AS10" s="15" t="s">
        <v>42</v>
      </c>
    </row>
    <row r="11" spans="1:47" s="2" customFormat="1" ht="15.75" customHeight="1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/>
      <c r="J11" s="10"/>
      <c r="K11" s="10">
        <v>5</v>
      </c>
      <c r="L11" s="10"/>
      <c r="M11" s="10">
        <v>6</v>
      </c>
      <c r="N11" s="10">
        <v>8</v>
      </c>
      <c r="O11" s="10"/>
      <c r="P11" s="16">
        <v>9</v>
      </c>
      <c r="Q11" s="1201"/>
      <c r="R11" s="1201"/>
      <c r="S11" s="1201"/>
      <c r="T11" s="1201"/>
      <c r="U11" s="1201"/>
      <c r="V11" s="1201"/>
      <c r="W11" s="2758">
        <v>10</v>
      </c>
      <c r="X11" s="2759"/>
      <c r="Y11" s="2759"/>
      <c r="Z11" s="2760"/>
      <c r="AA11" s="1202"/>
      <c r="AB11" s="16">
        <v>10</v>
      </c>
      <c r="AC11" s="16">
        <v>11</v>
      </c>
      <c r="AD11" s="19" t="s">
        <v>39</v>
      </c>
      <c r="AE11" s="19" t="s">
        <v>40</v>
      </c>
      <c r="AF11" s="19" t="s">
        <v>41</v>
      </c>
      <c r="AG11" s="19" t="s">
        <v>42</v>
      </c>
      <c r="AH11" s="19" t="s">
        <v>39</v>
      </c>
      <c r="AI11" s="19" t="s">
        <v>40</v>
      </c>
      <c r="AJ11" s="19" t="s">
        <v>41</v>
      </c>
      <c r="AK11" s="20" t="s">
        <v>42</v>
      </c>
      <c r="AL11" s="21"/>
      <c r="AM11" s="21"/>
      <c r="AN11" s="21"/>
      <c r="AO11" s="21"/>
      <c r="AP11" s="21"/>
      <c r="AQ11" s="21"/>
      <c r="AR11" s="21"/>
      <c r="AS11" s="21"/>
    </row>
    <row r="12" spans="1:47" s="2" customFormat="1" ht="15.75" customHeight="1">
      <c r="A12" s="95"/>
      <c r="B12" s="95"/>
      <c r="C12" s="95"/>
      <c r="D12" s="95"/>
      <c r="E12" s="95"/>
      <c r="F12" s="95"/>
      <c r="G12" s="95"/>
      <c r="H12" s="95"/>
      <c r="I12" s="95"/>
      <c r="J12" s="93"/>
      <c r="K12" s="5"/>
      <c r="L12" s="5"/>
      <c r="M12" s="5"/>
      <c r="N12" s="96"/>
      <c r="O12" s="96"/>
      <c r="P12" s="97"/>
      <c r="Q12" s="9"/>
      <c r="R12" s="9"/>
      <c r="S12" s="9"/>
      <c r="T12" s="9"/>
      <c r="U12" s="9"/>
      <c r="V12" s="1206"/>
      <c r="W12" s="1206"/>
      <c r="X12" s="1206"/>
      <c r="Y12" s="1206"/>
      <c r="Z12" s="1206"/>
      <c r="AA12" s="1206"/>
      <c r="AB12" s="1206"/>
      <c r="AC12" s="1206"/>
      <c r="AD12" s="98"/>
      <c r="AE12" s="98"/>
      <c r="AF12" s="98"/>
      <c r="AG12" s="98"/>
      <c r="AH12" s="98"/>
      <c r="AI12" s="98"/>
      <c r="AJ12" s="98"/>
      <c r="AK12" s="99"/>
      <c r="AL12" s="78"/>
      <c r="AM12" s="78"/>
      <c r="AN12" s="78"/>
      <c r="AO12" s="78"/>
      <c r="AP12" s="78"/>
      <c r="AQ12" s="78"/>
      <c r="AR12" s="78"/>
      <c r="AS12" s="78"/>
    </row>
    <row r="13" spans="1:47" s="2" customFormat="1" ht="15.75" customHeight="1">
      <c r="A13" s="95"/>
      <c r="B13" s="95"/>
      <c r="C13" s="95"/>
      <c r="D13" s="95"/>
      <c r="E13" s="95"/>
      <c r="F13" s="95"/>
      <c r="G13" s="95"/>
      <c r="H13" s="95"/>
      <c r="I13" s="95"/>
      <c r="J13" s="93"/>
      <c r="K13" s="95"/>
      <c r="L13" s="95"/>
      <c r="M13" s="95"/>
      <c r="N13" s="96"/>
      <c r="O13" s="96"/>
      <c r="P13" s="97"/>
      <c r="Q13" s="9"/>
      <c r="R13" s="9"/>
      <c r="S13" s="9"/>
      <c r="T13" s="9"/>
      <c r="U13" s="9"/>
      <c r="V13" s="1215"/>
      <c r="W13" s="1215"/>
      <c r="X13" s="1215"/>
      <c r="Y13" s="1215"/>
      <c r="Z13" s="1215"/>
      <c r="AA13" s="1215"/>
      <c r="AB13" s="1215"/>
      <c r="AC13" s="1215"/>
      <c r="AD13" s="98"/>
      <c r="AE13" s="98"/>
      <c r="AF13" s="98"/>
      <c r="AG13" s="98"/>
      <c r="AH13" s="98"/>
      <c r="AI13" s="98"/>
      <c r="AJ13" s="98"/>
      <c r="AK13" s="99"/>
      <c r="AL13" s="78"/>
      <c r="AM13" s="78"/>
      <c r="AN13" s="78"/>
      <c r="AO13" s="78"/>
      <c r="AP13" s="78"/>
      <c r="AQ13" s="78"/>
      <c r="AR13" s="78"/>
      <c r="AS13" s="78"/>
    </row>
    <row r="14" spans="1:47" s="2" customFormat="1" ht="47.25">
      <c r="A14" s="291">
        <v>1</v>
      </c>
      <c r="B14" s="153" t="s">
        <v>2158</v>
      </c>
      <c r="C14" s="359" t="s">
        <v>2159</v>
      </c>
      <c r="D14" s="25" t="s">
        <v>2160</v>
      </c>
      <c r="E14" s="26"/>
      <c r="F14" s="26">
        <v>61128320</v>
      </c>
      <c r="G14" s="26">
        <f>E14+F14</f>
        <v>61128320</v>
      </c>
      <c r="H14" s="559" t="s">
        <v>2551</v>
      </c>
      <c r="I14" s="558">
        <v>42641</v>
      </c>
      <c r="J14" s="126" t="s">
        <v>2462</v>
      </c>
      <c r="K14" s="559" t="s">
        <v>2820</v>
      </c>
      <c r="L14" s="27" t="s">
        <v>387</v>
      </c>
      <c r="M14" s="130" t="s">
        <v>2463</v>
      </c>
      <c r="N14" s="128">
        <v>53900000</v>
      </c>
      <c r="O14" s="128"/>
      <c r="P14" s="29">
        <f>+N14+O14</f>
        <v>53900000</v>
      </c>
      <c r="Q14" s="30"/>
      <c r="R14" s="30"/>
      <c r="S14" s="30"/>
      <c r="T14" s="30"/>
      <c r="U14" s="30"/>
      <c r="V14" s="36">
        <f>P14</f>
        <v>53900000</v>
      </c>
      <c r="W14" s="30" t="s">
        <v>3060</v>
      </c>
      <c r="X14" s="31">
        <v>42678</v>
      </c>
      <c r="Y14" s="31">
        <v>42684</v>
      </c>
      <c r="Z14" s="30">
        <f>V14</f>
        <v>53900000</v>
      </c>
      <c r="AA14" s="910">
        <v>1</v>
      </c>
      <c r="AB14" s="30">
        <f>+G14-P14</f>
        <v>7228320</v>
      </c>
      <c r="AC14" s="32"/>
      <c r="AD14" s="32"/>
      <c r="AE14" s="32"/>
      <c r="AF14" s="32"/>
      <c r="AG14" s="32"/>
      <c r="AH14" s="32"/>
      <c r="AI14" s="32"/>
      <c r="AJ14" s="32"/>
      <c r="AK14" s="33"/>
      <c r="AL14" s="32"/>
      <c r="AM14" s="32"/>
      <c r="AN14" s="32"/>
      <c r="AO14" s="32"/>
      <c r="AP14" s="32"/>
      <c r="AQ14" s="32"/>
      <c r="AR14" s="32"/>
      <c r="AS14" s="32"/>
    </row>
    <row r="15" spans="1:47" s="2" customFormat="1" ht="16.5" thickBot="1">
      <c r="A15" s="1642"/>
      <c r="B15" s="1643"/>
      <c r="C15" s="1644"/>
      <c r="D15" s="1645"/>
      <c r="E15" s="1646"/>
      <c r="F15" s="1646"/>
      <c r="G15" s="1646"/>
      <c r="H15" s="1647"/>
      <c r="I15" s="1113"/>
      <c r="J15" s="126" t="s">
        <v>3096</v>
      </c>
      <c r="K15" s="1647"/>
      <c r="L15" s="1648"/>
      <c r="M15" s="130" t="s">
        <v>3097</v>
      </c>
      <c r="N15" s="1649">
        <v>7150000</v>
      </c>
      <c r="O15" s="1649"/>
      <c r="P15" s="29">
        <f>+N15+O15</f>
        <v>7150000</v>
      </c>
      <c r="Q15" s="296"/>
      <c r="R15" s="296"/>
      <c r="S15" s="296"/>
      <c r="T15" s="296"/>
      <c r="U15" s="296"/>
      <c r="V15" s="36">
        <f>P15</f>
        <v>7150000</v>
      </c>
      <c r="W15" s="296" t="s">
        <v>3402</v>
      </c>
      <c r="X15" s="1650">
        <v>42713</v>
      </c>
      <c r="Y15" s="1650">
        <v>42718</v>
      </c>
      <c r="Z15" s="30">
        <f>V15</f>
        <v>7150000</v>
      </c>
      <c r="AA15" s="910">
        <v>1</v>
      </c>
      <c r="AB15" s="30">
        <f>+G15-P15</f>
        <v>-7150000</v>
      </c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</row>
    <row r="16" spans="1:47" s="55" customFormat="1" ht="15.75" customHeight="1" thickBot="1">
      <c r="A16" s="2703" t="str">
        <f>B14</f>
        <v>001.TI/AO/BRU/2016/M</v>
      </c>
      <c r="B16" s="2704"/>
      <c r="C16" s="2704"/>
      <c r="D16" s="2705"/>
      <c r="E16" s="651">
        <f>SUM(E14:E15)</f>
        <v>0</v>
      </c>
      <c r="F16" s="651">
        <f>SUM(F14:F15)</f>
        <v>61128320</v>
      </c>
      <c r="G16" s="651">
        <f>SUM(G14:G15)</f>
        <v>61128320</v>
      </c>
      <c r="H16" s="65"/>
      <c r="I16" s="65"/>
      <c r="J16" s="65"/>
      <c r="K16" s="66"/>
      <c r="L16" s="66"/>
      <c r="M16" s="66"/>
      <c r="N16" s="651">
        <f>SUM(N14:N15)</f>
        <v>61050000</v>
      </c>
      <c r="O16" s="651">
        <f t="shared" ref="O16:V16" si="0">SUM(O14:O15)</f>
        <v>0</v>
      </c>
      <c r="P16" s="651">
        <f t="shared" si="0"/>
        <v>61050000</v>
      </c>
      <c r="Q16" s="651">
        <f t="shared" si="0"/>
        <v>0</v>
      </c>
      <c r="R16" s="651">
        <f t="shared" si="0"/>
        <v>0</v>
      </c>
      <c r="S16" s="651">
        <f t="shared" si="0"/>
        <v>0</v>
      </c>
      <c r="T16" s="651">
        <f t="shared" si="0"/>
        <v>0</v>
      </c>
      <c r="U16" s="651">
        <f t="shared" si="0"/>
        <v>0</v>
      </c>
      <c r="V16" s="651">
        <f t="shared" si="0"/>
        <v>61050000</v>
      </c>
      <c r="W16" s="69"/>
      <c r="X16" s="70"/>
      <c r="Y16" s="70"/>
      <c r="Z16" s="651">
        <f>SUM(Z14:Z15)</f>
        <v>61050000</v>
      </c>
      <c r="AA16" s="65"/>
      <c r="AB16" s="660">
        <f>+G16-P16</f>
        <v>78320</v>
      </c>
      <c r="AC16" s="76"/>
      <c r="AD16" s="75"/>
      <c r="AE16" s="100"/>
      <c r="AF16" s="100"/>
      <c r="AG16" s="74"/>
      <c r="AH16" s="74"/>
      <c r="AI16" s="74"/>
      <c r="AJ16" s="74"/>
      <c r="AK16" s="64"/>
      <c r="AL16" s="101" t="e">
        <f>SUM(#REF!)</f>
        <v>#REF!</v>
      </c>
      <c r="AM16" s="101">
        <f t="shared" ref="AM16:AS16" si="1">SUM(AM15:AM15)</f>
        <v>0</v>
      </c>
      <c r="AN16" s="101">
        <f t="shared" si="1"/>
        <v>0</v>
      </c>
      <c r="AO16" s="101">
        <f t="shared" si="1"/>
        <v>0</v>
      </c>
      <c r="AP16" s="101">
        <f t="shared" si="1"/>
        <v>0</v>
      </c>
      <c r="AQ16" s="101">
        <f t="shared" si="1"/>
        <v>0</v>
      </c>
      <c r="AR16" s="101">
        <f t="shared" si="1"/>
        <v>0</v>
      </c>
      <c r="AS16" s="102">
        <f t="shared" si="1"/>
        <v>0</v>
      </c>
      <c r="AU16" s="56"/>
    </row>
    <row r="18" spans="26:26">
      <c r="Z18" s="1626">
        <f>Z16</f>
        <v>61050000</v>
      </c>
    </row>
  </sheetData>
  <mergeCells count="30">
    <mergeCell ref="A16:D16"/>
    <mergeCell ref="B9:B10"/>
    <mergeCell ref="C9:C10"/>
    <mergeCell ref="D9:D10"/>
    <mergeCell ref="E9:G9"/>
    <mergeCell ref="W11:Z11"/>
    <mergeCell ref="W9:W10"/>
    <mergeCell ref="X9:X10"/>
    <mergeCell ref="Y9:Y10"/>
    <mergeCell ref="Z9:Z10"/>
    <mergeCell ref="AP9:AS9"/>
    <mergeCell ref="AD10:AG10"/>
    <mergeCell ref="AH10:AK10"/>
    <mergeCell ref="AD8:AK8"/>
    <mergeCell ref="AL8:AS8"/>
    <mergeCell ref="AL9:AO9"/>
    <mergeCell ref="N9:P9"/>
    <mergeCell ref="Q9:S9"/>
    <mergeCell ref="T9:U9"/>
    <mergeCell ref="A5:AC5"/>
    <mergeCell ref="A6:N6"/>
    <mergeCell ref="A8:A10"/>
    <mergeCell ref="B8:G8"/>
    <mergeCell ref="H8:I9"/>
    <mergeCell ref="J8:U8"/>
    <mergeCell ref="V8:V10"/>
    <mergeCell ref="AC8:AC10"/>
    <mergeCell ref="W8:X8"/>
    <mergeCell ref="Y8:AA8"/>
    <mergeCell ref="J9:J10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AS17"/>
  <sheetViews>
    <sheetView view="pageBreakPreview" topLeftCell="N1" zoomScale="70" zoomScaleNormal="50" zoomScaleSheetLayoutView="70" workbookViewId="0">
      <selection activeCell="AA15" sqref="AA15"/>
    </sheetView>
  </sheetViews>
  <sheetFormatPr defaultColWidth="32.42578125" defaultRowHeight="15"/>
  <cols>
    <col min="1" max="1" width="4.85546875" customWidth="1"/>
    <col min="2" max="2" width="31.28515625" bestFit="1" customWidth="1"/>
    <col min="3" max="3" width="32.5703125" customWidth="1"/>
    <col min="4" max="4" width="48.42578125" customWidth="1"/>
    <col min="5" max="5" width="17.42578125" customWidth="1"/>
    <col min="6" max="7" width="18.28515625" bestFit="1" customWidth="1"/>
    <col min="8" max="8" width="22.140625" customWidth="1"/>
    <col min="9" max="9" width="18" customWidth="1"/>
    <col min="10" max="10" width="28.7109375" bestFit="1" customWidth="1"/>
    <col min="11" max="11" width="32.42578125" customWidth="1"/>
    <col min="12" max="12" width="25.85546875" customWidth="1"/>
    <col min="13" max="13" width="73.28515625" customWidth="1"/>
    <col min="14" max="14" width="18.140625" customWidth="1"/>
    <col min="15" max="16" width="19.7109375" customWidth="1"/>
    <col min="17" max="21" width="0" hidden="1" customWidth="1"/>
    <col min="22" max="22" width="19.7109375" customWidth="1"/>
    <col min="23" max="23" width="32.140625" customWidth="1"/>
    <col min="24" max="25" width="20.140625" customWidth="1"/>
    <col min="26" max="26" width="18.28515625" customWidth="1"/>
    <col min="27" max="27" width="10.140625" bestFit="1" customWidth="1"/>
    <col min="28" max="28" width="18.140625" bestFit="1" customWidth="1"/>
    <col min="29" max="29" width="22" bestFit="1" customWidth="1"/>
    <col min="30" max="45" width="0" hidden="1" customWidth="1"/>
  </cols>
  <sheetData>
    <row r="1" spans="1:45" s="2" customFormat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5" s="2" customFormat="1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5" s="2" customFormat="1" ht="15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45" s="2" customFormat="1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45" s="2" customFormat="1" ht="15.75" customHeight="1">
      <c r="A5" s="2656" t="s">
        <v>3085</v>
      </c>
      <c r="B5" s="2656"/>
      <c r="C5" s="2656"/>
      <c r="D5" s="2656"/>
      <c r="E5" s="2656"/>
      <c r="F5" s="2656"/>
      <c r="G5" s="2656"/>
      <c r="H5" s="2656"/>
      <c r="I5" s="2656"/>
      <c r="J5" s="2656"/>
      <c r="K5" s="2656"/>
      <c r="L5" s="2656"/>
      <c r="M5" s="2656"/>
      <c r="N5" s="2656"/>
      <c r="O5" s="2656"/>
      <c r="P5" s="2656"/>
      <c r="Q5" s="2656"/>
      <c r="R5" s="2656"/>
      <c r="S5" s="2656"/>
      <c r="T5" s="2656"/>
      <c r="U5" s="2656"/>
      <c r="V5" s="2656"/>
      <c r="W5" s="2656"/>
      <c r="X5" s="2656"/>
      <c r="Y5" s="2656"/>
      <c r="Z5" s="2656"/>
      <c r="AA5" s="2656"/>
      <c r="AB5" s="2656"/>
      <c r="AC5" s="2656"/>
    </row>
    <row r="6" spans="1:45" s="2" customFormat="1" ht="15.75" customHeight="1">
      <c r="A6" s="2657"/>
      <c r="B6" s="2657"/>
      <c r="C6" s="2657"/>
      <c r="D6" s="2657"/>
      <c r="E6" s="2657"/>
      <c r="F6" s="2657"/>
      <c r="G6" s="2657"/>
      <c r="H6" s="2657"/>
      <c r="I6" s="2657"/>
      <c r="J6" s="2657"/>
      <c r="K6" s="2657"/>
      <c r="L6" s="2657"/>
      <c r="M6" s="2657"/>
      <c r="N6" s="2657"/>
      <c r="O6" s="1631"/>
    </row>
    <row r="7" spans="1:45" s="2" customFormat="1" ht="15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45" s="2" customFormat="1" ht="15.75" customHeight="1" thickBot="1">
      <c r="A8" s="2658" t="s">
        <v>3</v>
      </c>
      <c r="B8" s="2661" t="s">
        <v>4</v>
      </c>
      <c r="C8" s="2662"/>
      <c r="D8" s="2662"/>
      <c r="E8" s="2662"/>
      <c r="F8" s="2662"/>
      <c r="G8" s="2663"/>
      <c r="H8" s="2664" t="s">
        <v>5</v>
      </c>
      <c r="I8" s="2665"/>
      <c r="J8" s="2661" t="s">
        <v>6</v>
      </c>
      <c r="K8" s="2662"/>
      <c r="L8" s="2662"/>
      <c r="M8" s="2662"/>
      <c r="N8" s="2662"/>
      <c r="O8" s="2662"/>
      <c r="P8" s="2662"/>
      <c r="Q8" s="2662"/>
      <c r="R8" s="2662"/>
      <c r="S8" s="2662"/>
      <c r="T8" s="2662"/>
      <c r="U8" s="2663"/>
      <c r="V8" s="2671" t="s">
        <v>7</v>
      </c>
      <c r="W8" s="2673" t="s">
        <v>8</v>
      </c>
      <c r="X8" s="2673"/>
      <c r="Y8" s="2668" t="s">
        <v>9</v>
      </c>
      <c r="Z8" s="2669"/>
      <c r="AA8" s="2670"/>
      <c r="AB8" s="4" t="s">
        <v>10</v>
      </c>
      <c r="AC8" s="2674" t="s">
        <v>11</v>
      </c>
      <c r="AD8" s="2696" t="s">
        <v>12</v>
      </c>
      <c r="AE8" s="2697"/>
      <c r="AF8" s="2697"/>
      <c r="AG8" s="2697"/>
      <c r="AH8" s="2697"/>
      <c r="AI8" s="2697"/>
      <c r="AJ8" s="2697"/>
      <c r="AK8" s="2697"/>
      <c r="AL8" s="2677" t="s">
        <v>13</v>
      </c>
      <c r="AM8" s="2678"/>
      <c r="AN8" s="2678"/>
      <c r="AO8" s="2678"/>
      <c r="AP8" s="2678"/>
      <c r="AQ8" s="2678"/>
      <c r="AR8" s="2678"/>
      <c r="AS8" s="2679"/>
    </row>
    <row r="9" spans="1:45" s="2" customFormat="1" ht="15.75" customHeight="1" thickBot="1">
      <c r="A9" s="2659"/>
      <c r="B9" s="2658" t="s">
        <v>48</v>
      </c>
      <c r="C9" s="2671" t="s">
        <v>46</v>
      </c>
      <c r="D9" s="2658" t="s">
        <v>14</v>
      </c>
      <c r="E9" s="2706" t="s">
        <v>15</v>
      </c>
      <c r="F9" s="2721"/>
      <c r="G9" s="2722"/>
      <c r="H9" s="2666"/>
      <c r="I9" s="2667"/>
      <c r="J9" s="2658" t="s">
        <v>16</v>
      </c>
      <c r="K9" s="5"/>
      <c r="L9" s="5"/>
      <c r="M9" s="5"/>
      <c r="N9" s="2706" t="s">
        <v>17</v>
      </c>
      <c r="O9" s="2707"/>
      <c r="P9" s="2708"/>
      <c r="Q9" s="2680" t="s">
        <v>18</v>
      </c>
      <c r="R9" s="2681"/>
      <c r="S9" s="2709"/>
      <c r="T9" s="2680" t="s">
        <v>19</v>
      </c>
      <c r="U9" s="2681"/>
      <c r="V9" s="2682"/>
      <c r="W9" s="2690" t="s">
        <v>20</v>
      </c>
      <c r="X9" s="2674" t="s">
        <v>21</v>
      </c>
      <c r="Y9" s="2713" t="s">
        <v>22</v>
      </c>
      <c r="Z9" s="2698" t="s">
        <v>15</v>
      </c>
      <c r="AA9" s="1628" t="s">
        <v>23</v>
      </c>
      <c r="AB9" s="7"/>
      <c r="AC9" s="2675"/>
      <c r="AD9" s="8"/>
      <c r="AE9" s="9"/>
      <c r="AF9" s="9"/>
      <c r="AG9" s="9"/>
      <c r="AH9" s="9"/>
      <c r="AI9" s="9"/>
      <c r="AJ9" s="9"/>
      <c r="AK9" s="9"/>
      <c r="AL9" s="2683" t="s">
        <v>24</v>
      </c>
      <c r="AM9" s="2684"/>
      <c r="AN9" s="2684"/>
      <c r="AO9" s="2685"/>
      <c r="AP9" s="2683" t="s">
        <v>25</v>
      </c>
      <c r="AQ9" s="2684"/>
      <c r="AR9" s="2684"/>
      <c r="AS9" s="2685"/>
    </row>
    <row r="10" spans="1:45" s="2" customFormat="1" ht="15.75" customHeight="1" thickBot="1">
      <c r="A10" s="2660"/>
      <c r="B10" s="2660"/>
      <c r="C10" s="2672"/>
      <c r="D10" s="2660"/>
      <c r="E10" s="11" t="s">
        <v>30</v>
      </c>
      <c r="F10" s="11" t="s">
        <v>31</v>
      </c>
      <c r="G10" s="11" t="s">
        <v>32</v>
      </c>
      <c r="H10" s="10" t="s">
        <v>26</v>
      </c>
      <c r="I10" s="10" t="s">
        <v>27</v>
      </c>
      <c r="J10" s="2660"/>
      <c r="K10" s="10" t="s">
        <v>49</v>
      </c>
      <c r="L10" s="10" t="s">
        <v>29</v>
      </c>
      <c r="M10" s="10" t="s">
        <v>28</v>
      </c>
      <c r="N10" s="11" t="s">
        <v>30</v>
      </c>
      <c r="O10" s="11" t="s">
        <v>31</v>
      </c>
      <c r="P10" s="12" t="s">
        <v>32</v>
      </c>
      <c r="Q10" s="12" t="s">
        <v>33</v>
      </c>
      <c r="R10" s="12" t="s">
        <v>30</v>
      </c>
      <c r="S10" s="12" t="s">
        <v>31</v>
      </c>
      <c r="T10" s="12" t="s">
        <v>33</v>
      </c>
      <c r="U10" s="13" t="s">
        <v>34</v>
      </c>
      <c r="V10" s="2672"/>
      <c r="W10" s="2692"/>
      <c r="X10" s="2676"/>
      <c r="Y10" s="2714"/>
      <c r="Z10" s="2699"/>
      <c r="AA10" s="1630" t="s">
        <v>35</v>
      </c>
      <c r="AB10" s="12" t="s">
        <v>36</v>
      </c>
      <c r="AC10" s="2676"/>
      <c r="AD10" s="2700" t="s">
        <v>37</v>
      </c>
      <c r="AE10" s="2701"/>
      <c r="AF10" s="2701"/>
      <c r="AG10" s="2702"/>
      <c r="AH10" s="2700" t="s">
        <v>38</v>
      </c>
      <c r="AI10" s="2701"/>
      <c r="AJ10" s="2701"/>
      <c r="AK10" s="2701"/>
      <c r="AL10" s="15" t="s">
        <v>39</v>
      </c>
      <c r="AM10" s="15" t="s">
        <v>40</v>
      </c>
      <c r="AN10" s="15" t="s">
        <v>41</v>
      </c>
      <c r="AO10" s="15" t="s">
        <v>42</v>
      </c>
      <c r="AP10" s="15" t="s">
        <v>39</v>
      </c>
      <c r="AQ10" s="15" t="s">
        <v>40</v>
      </c>
      <c r="AR10" s="15" t="s">
        <v>41</v>
      </c>
      <c r="AS10" s="15" t="s">
        <v>42</v>
      </c>
    </row>
    <row r="11" spans="1:45" s="2" customFormat="1" ht="15.75" customHeight="1" thickBot="1">
      <c r="A11" s="10">
        <v>1</v>
      </c>
      <c r="B11" s="10">
        <v>2</v>
      </c>
      <c r="C11" s="10">
        <v>2</v>
      </c>
      <c r="D11" s="10">
        <v>3</v>
      </c>
      <c r="E11" s="10">
        <v>4</v>
      </c>
      <c r="F11" s="10"/>
      <c r="G11" s="10"/>
      <c r="H11" s="10"/>
      <c r="I11" s="10"/>
      <c r="J11" s="10"/>
      <c r="K11" s="10">
        <v>5</v>
      </c>
      <c r="L11" s="10"/>
      <c r="M11" s="10">
        <v>6</v>
      </c>
      <c r="N11" s="10">
        <v>8</v>
      </c>
      <c r="O11" s="10"/>
      <c r="P11" s="16">
        <v>9</v>
      </c>
      <c r="Q11" s="1632"/>
      <c r="R11" s="1632"/>
      <c r="S11" s="1632"/>
      <c r="T11" s="1632"/>
      <c r="U11" s="1632"/>
      <c r="V11" s="1632"/>
      <c r="W11" s="2758">
        <v>10</v>
      </c>
      <c r="X11" s="2759"/>
      <c r="Y11" s="2759"/>
      <c r="Z11" s="2760"/>
      <c r="AA11" s="1633"/>
      <c r="AB11" s="16">
        <v>10</v>
      </c>
      <c r="AC11" s="16">
        <v>11</v>
      </c>
      <c r="AD11" s="19" t="s">
        <v>39</v>
      </c>
      <c r="AE11" s="19" t="s">
        <v>40</v>
      </c>
      <c r="AF11" s="19" t="s">
        <v>41</v>
      </c>
      <c r="AG11" s="19" t="s">
        <v>42</v>
      </c>
      <c r="AH11" s="19" t="s">
        <v>39</v>
      </c>
      <c r="AI11" s="19" t="s">
        <v>40</v>
      </c>
      <c r="AJ11" s="19" t="s">
        <v>41</v>
      </c>
      <c r="AK11" s="20" t="s">
        <v>42</v>
      </c>
      <c r="AL11" s="21"/>
      <c r="AM11" s="21"/>
      <c r="AN11" s="21"/>
      <c r="AO11" s="21"/>
      <c r="AP11" s="21"/>
      <c r="AQ11" s="21"/>
      <c r="AR11" s="21"/>
      <c r="AS11" s="21"/>
    </row>
    <row r="12" spans="1:45" s="2" customFormat="1" ht="15.75" customHeight="1">
      <c r="A12" s="95"/>
      <c r="B12" s="95"/>
      <c r="C12" s="95"/>
      <c r="D12" s="95"/>
      <c r="E12" s="95"/>
      <c r="F12" s="95"/>
      <c r="G12" s="95"/>
      <c r="H12" s="95"/>
      <c r="I12" s="95"/>
      <c r="J12" s="93"/>
      <c r="K12" s="5"/>
      <c r="L12" s="5"/>
      <c r="M12" s="5"/>
      <c r="N12" s="96"/>
      <c r="O12" s="96"/>
      <c r="P12" s="97"/>
      <c r="Q12" s="9"/>
      <c r="R12" s="9"/>
      <c r="S12" s="9"/>
      <c r="T12" s="9"/>
      <c r="U12" s="9"/>
      <c r="V12" s="1635"/>
      <c r="W12" s="1635"/>
      <c r="X12" s="1635"/>
      <c r="Y12" s="1635"/>
      <c r="Z12" s="1635"/>
      <c r="AA12" s="1635"/>
      <c r="AB12" s="1635"/>
      <c r="AC12" s="1635"/>
      <c r="AD12" s="98"/>
      <c r="AE12" s="98"/>
      <c r="AF12" s="98"/>
      <c r="AG12" s="98"/>
      <c r="AH12" s="98"/>
      <c r="AI12" s="98"/>
      <c r="AJ12" s="98"/>
      <c r="AK12" s="99"/>
      <c r="AL12" s="78"/>
      <c r="AM12" s="78"/>
      <c r="AN12" s="78"/>
      <c r="AO12" s="78"/>
      <c r="AP12" s="78"/>
      <c r="AQ12" s="78"/>
      <c r="AR12" s="78"/>
      <c r="AS12" s="78"/>
    </row>
    <row r="13" spans="1:45" s="2" customFormat="1" ht="15.75" customHeight="1">
      <c r="A13" s="95"/>
      <c r="B13" s="95"/>
      <c r="C13" s="95"/>
      <c r="D13" s="95"/>
      <c r="E13" s="95"/>
      <c r="F13" s="95"/>
      <c r="G13" s="95"/>
      <c r="H13" s="95"/>
      <c r="I13" s="95"/>
      <c r="J13" s="93"/>
      <c r="K13" s="95"/>
      <c r="L13" s="95"/>
      <c r="M13" s="95"/>
      <c r="N13" s="96"/>
      <c r="O13" s="96"/>
      <c r="P13" s="97"/>
      <c r="Q13" s="9"/>
      <c r="R13" s="9"/>
      <c r="S13" s="9"/>
      <c r="T13" s="9"/>
      <c r="U13" s="9"/>
      <c r="V13" s="1215"/>
      <c r="W13" s="1215"/>
      <c r="X13" s="1215"/>
      <c r="Y13" s="1215"/>
      <c r="Z13" s="1215"/>
      <c r="AA13" s="1215"/>
      <c r="AB13" s="1215"/>
      <c r="AC13" s="1215"/>
      <c r="AD13" s="98"/>
      <c r="AE13" s="98"/>
      <c r="AF13" s="98"/>
      <c r="AG13" s="98"/>
      <c r="AH13" s="98"/>
      <c r="AI13" s="98"/>
      <c r="AJ13" s="98"/>
      <c r="AK13" s="99"/>
      <c r="AL13" s="78"/>
      <c r="AM13" s="78"/>
      <c r="AN13" s="78"/>
      <c r="AO13" s="78"/>
      <c r="AP13" s="78"/>
      <c r="AQ13" s="78"/>
      <c r="AR13" s="78"/>
      <c r="AS13" s="78"/>
    </row>
    <row r="14" spans="1:45" s="2" customFormat="1" ht="31.5">
      <c r="A14" s="291">
        <v>1</v>
      </c>
      <c r="B14" s="1640" t="s">
        <v>3081</v>
      </c>
      <c r="C14" s="359"/>
      <c r="D14" s="25" t="s">
        <v>3082</v>
      </c>
      <c r="E14" s="26"/>
      <c r="F14" s="26">
        <v>931191000</v>
      </c>
      <c r="G14" s="26">
        <f>E14+F14</f>
        <v>931191000</v>
      </c>
      <c r="H14" s="559"/>
      <c r="I14" s="558"/>
      <c r="J14" s="126" t="s">
        <v>3083</v>
      </c>
      <c r="K14" s="559" t="s">
        <v>3088</v>
      </c>
      <c r="L14" s="27" t="s">
        <v>3089</v>
      </c>
      <c r="M14" s="130" t="s">
        <v>3084</v>
      </c>
      <c r="N14" s="128"/>
      <c r="O14" s="128">
        <f>897450671+10000000</f>
        <v>907450671</v>
      </c>
      <c r="P14" s="29">
        <f>+N14+O14</f>
        <v>907450671</v>
      </c>
      <c r="Q14" s="30"/>
      <c r="R14" s="30"/>
      <c r="S14" s="30"/>
      <c r="T14" s="30"/>
      <c r="U14" s="30"/>
      <c r="V14" s="36">
        <f>P14</f>
        <v>907450671</v>
      </c>
      <c r="W14" s="30" t="s">
        <v>3507</v>
      </c>
      <c r="X14" s="31">
        <v>42720</v>
      </c>
      <c r="Y14" s="31">
        <v>42731</v>
      </c>
      <c r="Z14" s="30">
        <f>V14</f>
        <v>907450671</v>
      </c>
      <c r="AA14" s="910">
        <v>1</v>
      </c>
      <c r="AB14" s="30">
        <f>+G14-P14</f>
        <v>23740329</v>
      </c>
      <c r="AC14" s="32"/>
      <c r="AD14" s="32"/>
      <c r="AE14" s="32"/>
      <c r="AF14" s="32"/>
      <c r="AG14" s="32"/>
      <c r="AH14" s="32"/>
      <c r="AI14" s="32"/>
      <c r="AJ14" s="32"/>
      <c r="AK14" s="33"/>
      <c r="AL14" s="32"/>
      <c r="AM14" s="32"/>
      <c r="AN14" s="32"/>
      <c r="AO14" s="32"/>
      <c r="AP14" s="32"/>
      <c r="AQ14" s="32"/>
      <c r="AR14" s="32"/>
      <c r="AS14" s="32"/>
    </row>
    <row r="17" spans="26:26">
      <c r="Z17" s="1626">
        <f>Z14</f>
        <v>907450671</v>
      </c>
    </row>
  </sheetData>
  <mergeCells count="29">
    <mergeCell ref="E9:G9"/>
    <mergeCell ref="J9:J10"/>
    <mergeCell ref="W11:Z11"/>
    <mergeCell ref="W9:W10"/>
    <mergeCell ref="X9:X10"/>
    <mergeCell ref="Y9:Y10"/>
    <mergeCell ref="Z9:Z10"/>
    <mergeCell ref="AP9:AS9"/>
    <mergeCell ref="AD10:AG10"/>
    <mergeCell ref="AH10:AK10"/>
    <mergeCell ref="AD8:AK8"/>
    <mergeCell ref="AL8:AS8"/>
    <mergeCell ref="AL9:AO9"/>
    <mergeCell ref="N9:P9"/>
    <mergeCell ref="Q9:S9"/>
    <mergeCell ref="T9:U9"/>
    <mergeCell ref="A5:AC5"/>
    <mergeCell ref="A6:N6"/>
    <mergeCell ref="A8:A10"/>
    <mergeCell ref="B8:G8"/>
    <mergeCell ref="H8:I9"/>
    <mergeCell ref="J8:U8"/>
    <mergeCell ref="V8:V10"/>
    <mergeCell ref="W8:X8"/>
    <mergeCell ref="Y8:AA8"/>
    <mergeCell ref="AC8:AC10"/>
    <mergeCell ref="B9:B10"/>
    <mergeCell ref="C9:C10"/>
    <mergeCell ref="D9:D10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5"/>
  <cols>
    <col min="3" max="3" width="12.5703125" bestFit="1" customWidth="1"/>
  </cols>
  <sheetData>
    <row r="1" spans="1:3">
      <c r="A1" t="s">
        <v>2878</v>
      </c>
    </row>
    <row r="2" spans="1:3">
      <c r="A2" t="s">
        <v>1122</v>
      </c>
      <c r="C2" s="1503">
        <v>931191000</v>
      </c>
    </row>
    <row r="3" spans="1:3">
      <c r="A3" t="s">
        <v>871</v>
      </c>
      <c r="C3" s="1503">
        <v>893117088</v>
      </c>
    </row>
    <row r="4" spans="1:3">
      <c r="C4" s="1504">
        <f>C2-C3</f>
        <v>38073912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REKAP SKKI</vt:lpstr>
      <vt:lpstr>REKAP SKKO HAR </vt:lpstr>
      <vt:lpstr>SKKI DIST</vt:lpstr>
      <vt:lpstr>SKKO DIST</vt:lpstr>
      <vt:lpstr>SKKO KIT</vt:lpstr>
      <vt:lpstr>SKKO KIT HAR</vt:lpstr>
      <vt:lpstr>SKKO TU</vt:lpstr>
      <vt:lpstr>UTANG USAHA TUL </vt:lpstr>
      <vt:lpstr>SKKO TUL</vt:lpstr>
      <vt:lpstr>SKKO ADM</vt:lpstr>
      <vt:lpstr>SKKO TI</vt:lpstr>
      <vt:lpstr>SKKI GD. KRAYAN</vt:lpstr>
      <vt:lpstr>Sheet1</vt:lpstr>
      <vt:lpstr>'REKAP SKKI'!Print_Area</vt:lpstr>
      <vt:lpstr>'SKKI DIST'!Print_Area</vt:lpstr>
      <vt:lpstr>'SKKI GD. KRAYAN'!Print_Area</vt:lpstr>
      <vt:lpstr>'SKKO DIST'!Print_Area</vt:lpstr>
      <vt:lpstr>'SKKO KIT'!Print_Area</vt:lpstr>
      <vt:lpstr>'SKKO TI'!Print_Area</vt:lpstr>
      <vt:lpstr>'UTANG USAHA TUL '!Print_Area</vt:lpstr>
      <vt:lpstr>'SKKI DIST'!Print_Titles</vt:lpstr>
      <vt:lpstr>'SKKO DIST'!Print_Titles</vt:lpstr>
      <vt:lpstr>'UTANG USAHA TUL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Tesianawati</dc:creator>
  <cp:lastModifiedBy>ADMIN DIS</cp:lastModifiedBy>
  <cp:lastPrinted>2016-12-01T07:13:44Z</cp:lastPrinted>
  <dcterms:created xsi:type="dcterms:W3CDTF">2016-02-23T01:45:38Z</dcterms:created>
  <dcterms:modified xsi:type="dcterms:W3CDTF">2017-01-25T02:20:57Z</dcterms:modified>
</cp:coreProperties>
</file>