
<file path=[Content_Types].xml><?xml version="1.0" encoding="utf-8"?>
<Types xmlns="http://schemas.openxmlformats.org/package/2006/content-types">
  <Override PartName="/xl/externalLinks/externalLink7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96.xml" ContentType="application/vnd.openxmlformats-officedocument.spreadsheetml.externalLink+xml"/>
  <Override PartName="/xl/styles.xml" ContentType="application/vnd.openxmlformats-officedocument.spreadsheetml.styles+xml"/>
  <Override PartName="/xl/externalLinks/externalLink27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92.xml" ContentType="application/vnd.openxmlformats-officedocument.spreadsheetml.externalLink+xml"/>
  <Default Extension="xml" ContentType="application/xml"/>
  <Override PartName="/xl/externalLinks/externalLink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70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xl/externalLinks/externalLink99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97.xml" ContentType="application/vnd.openxmlformats-officedocument.spreadsheetml.externalLink+xml"/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102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40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externalLinks/externalLink89.xml" ContentType="application/vnd.openxmlformats-officedocument.spreadsheetml.externalLink+xml"/>
  <Override PartName="/docProps/core.xml" ContentType="application/vnd.openxmlformats-package.core-properties+xml"/>
  <Override PartName="/xl/externalLinks/externalLink69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94.xml" ContentType="application/vnd.openxmlformats-officedocument.spreadsheetml.externalLink+xml"/>
  <Override PartName="/xl/theme/theme1.xml" ContentType="application/vnd.openxmlformats-officedocument.theme+xml"/>
  <Override PartName="/xl/externalLinks/externalLink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103.xml" ContentType="application/vnd.openxmlformats-officedocument.spreadsheetml.externalLink+xml"/>
  <Default Extension="rels" ContentType="application/vnd.openxmlformats-package.relationships+xml"/>
  <Override PartName="/xl/externalLinks/externalLink25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90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300" windowWidth="20115" windowHeight="8010"/>
  </bookViews>
  <sheets>
    <sheet name="Lokasi Pekerjaan WKTKU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</externalReferences>
  <definedNames>
    <definedName name="____________SLA2009" localSheetId="0" hidden="1">{#N/A,#N/A,FALSE,"M.32"}</definedName>
    <definedName name="____________SLA2009" hidden="1">{#N/A,#N/A,FALSE,"M.32"}</definedName>
    <definedName name="____________TH1" localSheetId="0" hidden="1">{#N/A,#N/A,FALSE,"M.34"}</definedName>
    <definedName name="____________TH1" hidden="1">{#N/A,#N/A,FALSE,"M.34"}</definedName>
    <definedName name="____________th2" localSheetId="0" hidden="1">{#N/A,#N/A,FALSE,"M.42"}</definedName>
    <definedName name="____________th2" hidden="1">{#N/A,#N/A,FALSE,"M.42"}</definedName>
    <definedName name="___________SLA2009" localSheetId="0" hidden="1">{#N/A,#N/A,FALSE,"M.32"}</definedName>
    <definedName name="___________SLA2009" hidden="1">{#N/A,#N/A,FALSE,"M.32"}</definedName>
    <definedName name="___________TH1" localSheetId="0" hidden="1">{#N/A,#N/A,FALSE,"M.34"}</definedName>
    <definedName name="___________TH1" hidden="1">{#N/A,#N/A,FALSE,"M.34"}</definedName>
    <definedName name="___________th2" localSheetId="0" hidden="1">{#N/A,#N/A,FALSE,"M.42"}</definedName>
    <definedName name="___________th2" hidden="1">{#N/A,#N/A,FALSE,"M.42"}</definedName>
    <definedName name="__________SLA2009" localSheetId="0" hidden="1">{#N/A,#N/A,FALSE,"M.32"}</definedName>
    <definedName name="__________SLA2009" hidden="1">{#N/A,#N/A,FALSE,"M.32"}</definedName>
    <definedName name="__________TH1" localSheetId="0" hidden="1">{#N/A,#N/A,FALSE,"M.34"}</definedName>
    <definedName name="__________TH1" hidden="1">{#N/A,#N/A,FALSE,"M.34"}</definedName>
    <definedName name="__________th2" localSheetId="0" hidden="1">{#N/A,#N/A,FALSE,"M.42"}</definedName>
    <definedName name="__________th2" hidden="1">{#N/A,#N/A,FALSE,"M.42"}</definedName>
    <definedName name="_________SLA2009" localSheetId="0" hidden="1">{#N/A,#N/A,FALSE,"M.32"}</definedName>
    <definedName name="_________SLA2009" hidden="1">{#N/A,#N/A,FALSE,"M.32"}</definedName>
    <definedName name="_________TH1" localSheetId="0" hidden="1">{#N/A,#N/A,FALSE,"M.34"}</definedName>
    <definedName name="_________TH1" hidden="1">{#N/A,#N/A,FALSE,"M.34"}</definedName>
    <definedName name="_________th2" localSheetId="0" hidden="1">{#N/A,#N/A,FALSE,"M.42"}</definedName>
    <definedName name="_________th2" hidden="1">{#N/A,#N/A,FALSE,"M.42"}</definedName>
    <definedName name="________SLA2009" localSheetId="0" hidden="1">{#N/A,#N/A,FALSE,"M.32"}</definedName>
    <definedName name="________SLA2009" hidden="1">{#N/A,#N/A,FALSE,"M.32"}</definedName>
    <definedName name="________TH1" localSheetId="0" hidden="1">{#N/A,#N/A,FALSE,"M.34"}</definedName>
    <definedName name="________TH1" hidden="1">{#N/A,#N/A,FALSE,"M.34"}</definedName>
    <definedName name="________th2" localSheetId="0" hidden="1">{#N/A,#N/A,FALSE,"M.42"}</definedName>
    <definedName name="________th2" hidden="1">{#N/A,#N/A,FALSE,"M.42"}</definedName>
    <definedName name="_______SLA2009" localSheetId="0" hidden="1">{#N/A,#N/A,FALSE,"M.32"}</definedName>
    <definedName name="_______SLA2009" hidden="1">{#N/A,#N/A,FALSE,"M.32"}</definedName>
    <definedName name="_______TH1" localSheetId="0" hidden="1">{#N/A,#N/A,FALSE,"M.34"}</definedName>
    <definedName name="_______TH1" hidden="1">{#N/A,#N/A,FALSE,"M.34"}</definedName>
    <definedName name="_______th2" localSheetId="0" hidden="1">{#N/A,#N/A,FALSE,"M.42"}</definedName>
    <definedName name="_______th2" hidden="1">{#N/A,#N/A,FALSE,"M.42"}</definedName>
    <definedName name="______SLA2009" localSheetId="0" hidden="1">{#N/A,#N/A,FALSE,"M.32"}</definedName>
    <definedName name="______SLA2009" hidden="1">{#N/A,#N/A,FALSE,"M.32"}</definedName>
    <definedName name="______TH1" localSheetId="0" hidden="1">{#N/A,#N/A,FALSE,"M.34"}</definedName>
    <definedName name="______TH1" hidden="1">{#N/A,#N/A,FALSE,"M.34"}</definedName>
    <definedName name="______th2" localSheetId="0" hidden="1">{#N/A,#N/A,FALSE,"M.42"}</definedName>
    <definedName name="______th2" hidden="1">{#N/A,#N/A,FALSE,"M.42"}</definedName>
    <definedName name="____SLA2009" localSheetId="0" hidden="1">{#N/A,#N/A,FALSE,"M.32"}</definedName>
    <definedName name="____SLA2009" hidden="1">{#N/A,#N/A,FALSE,"M.32"}</definedName>
    <definedName name="____TH1" localSheetId="0" hidden="1">{#N/A,#N/A,FALSE,"M.34"}</definedName>
    <definedName name="____TH1" hidden="1">{#N/A,#N/A,FALSE,"M.34"}</definedName>
    <definedName name="____th2" localSheetId="0" hidden="1">{#N/A,#N/A,FALSE,"M.42"}</definedName>
    <definedName name="____th2" hidden="1">{#N/A,#N/A,FALSE,"M.42"}</definedName>
    <definedName name="___SLA2009" localSheetId="0" hidden="1">{#N/A,#N/A,FALSE,"M.32"}</definedName>
    <definedName name="___SLA2009" hidden="1">{#N/A,#N/A,FALSE,"M.32"}</definedName>
    <definedName name="___TH1" localSheetId="0" hidden="1">{#N/A,#N/A,FALSE,"M.34"}</definedName>
    <definedName name="___TH1" hidden="1">{#N/A,#N/A,FALSE,"M.34"}</definedName>
    <definedName name="___th2" localSheetId="0" hidden="1">{#N/A,#N/A,FALSE,"M.42"}</definedName>
    <definedName name="___th2" hidden="1">{#N/A,#N/A,FALSE,"M.42"}</definedName>
    <definedName name="__123Graph_A" hidden="1">'[1]THN-6'!$D$137:$I$137</definedName>
    <definedName name="__123Graph_B" hidden="1">'[2]THN-7'!#REF!</definedName>
    <definedName name="__123Graph_D" hidden="1">[3]PkRp!#REF!</definedName>
    <definedName name="__123Graph_X" hidden="1">'[1]THN-6'!$D$122:$I$122</definedName>
    <definedName name="__ERR1" localSheetId="0" hidden="1">{#N/A,#N/A,FALSE,"M.42"}</definedName>
    <definedName name="__ERR1" hidden="1">{#N/A,#N/A,FALSE,"M.42"}</definedName>
    <definedName name="__SLA2009" localSheetId="0" hidden="1">{#N/A,#N/A,FALSE,"M.32"}</definedName>
    <definedName name="__SLA2009" hidden="1">{#N/A,#N/A,FALSE,"M.32"}</definedName>
    <definedName name="__TH1" localSheetId="0" hidden="1">{#N/A,#N/A,FALSE,"M.34"}</definedName>
    <definedName name="__TH1" hidden="1">{#N/A,#N/A,FALSE,"M.34"}</definedName>
    <definedName name="__th2" localSheetId="0" hidden="1">{#N/A,#N/A,FALSE,"M.42"}</definedName>
    <definedName name="__th2" hidden="1">{#N/A,#N/A,FALSE,"M.42"}</definedName>
    <definedName name="_ERR1" localSheetId="0" hidden="1">{#N/A,#N/A,FALSE,"M.42"}</definedName>
    <definedName name="_ERR1" hidden="1">{#N/A,#N/A,FALSE,"M.42"}</definedName>
    <definedName name="_Fill" hidden="1">#REF!</definedName>
    <definedName name="_Key1" hidden="1">[4]L_23!#REF!</definedName>
    <definedName name="_Key2" hidden="1">#REF!</definedName>
    <definedName name="_Order1" hidden="1">0</definedName>
    <definedName name="_Order2" hidden="1">255</definedName>
    <definedName name="_Parse_Out" hidden="1">#REF!</definedName>
    <definedName name="_SLA2009" localSheetId="0" hidden="1">{#N/A,#N/A,FALSE,"M.32"}</definedName>
    <definedName name="_SLA2009" hidden="1">{#N/A,#N/A,FALSE,"M.32"}</definedName>
    <definedName name="_Sort" hidden="1">#REF!</definedName>
    <definedName name="_TH1" localSheetId="0" hidden="1">{#N/A,#N/A,FALSE,"M.34"}</definedName>
    <definedName name="_TH1" hidden="1">{#N/A,#N/A,FALSE,"M.34"}</definedName>
    <definedName name="_th2" localSheetId="0" hidden="1">{#N/A,#N/A,FALSE,"M.42"}</definedName>
    <definedName name="_th2" hidden="1">{#N/A,#N/A,FALSE,"M.42"}</definedName>
    <definedName name="aku" localSheetId="0" hidden="1">{#N/A,#N/A,FALSE,"M.43"}</definedName>
    <definedName name="aku" hidden="1">{#N/A,#N/A,FALSE,"M.43"}</definedName>
    <definedName name="asal" localSheetId="0" hidden="1">{#N/A,#N/A,FALSE,"M.31"}</definedName>
    <definedName name="asal" hidden="1">{#N/A,#N/A,FALSE,"M.31"}</definedName>
    <definedName name="BBB" localSheetId="0" hidden="1">{#N/A,#N/A,FALSE,"M.32"}</definedName>
    <definedName name="BBB" hidden="1">{#N/A,#N/A,FALSE,"M.32"}</definedName>
    <definedName name="Biak" localSheetId="0" hidden="1">{#N/A,#N/A,FALSE,"M.31"}</definedName>
    <definedName name="Biak" hidden="1">{#N/A,#N/A,FALSE,"M.31"}</definedName>
    <definedName name="bima3" localSheetId="0" hidden="1">{#N/A,#N/A,FALSE,"M.02"}</definedName>
    <definedName name="bima3" hidden="1">{#N/A,#N/A,FALSE,"M.02"}</definedName>
    <definedName name="bjm" localSheetId="0" hidden="1">{#N/A,#N/A,FALSE,"M.02"}</definedName>
    <definedName name="bjm" hidden="1">{#N/A,#N/A,FALSE,"M.02"}</definedName>
    <definedName name="Cab_APJ_3" localSheetId="0" hidden="1">{#N/A,#N/A,FALSE,"M.41"}</definedName>
    <definedName name="Cab_APJ_3" hidden="1">{#N/A,#N/A,FALSE,"M.41"}</definedName>
    <definedName name="Cab_APJ4" localSheetId="0" hidden="1">{#N/A,#N/A,FALSE,"M.41"}</definedName>
    <definedName name="Cab_APJ4" hidden="1">{#N/A,#N/A,FALSE,"M.41"}</definedName>
    <definedName name="CAB_BRB1" localSheetId="0" hidden="1">{#N/A,#N/A,FALSE,"M.41"}</definedName>
    <definedName name="CAB_BRB1" hidden="1">{#N/A,#N/A,FALSE,"M.41"}</definedName>
    <definedName name="cancel" localSheetId="0" hidden="1">{#N/A,#N/A,FALSE,"M.01"}</definedName>
    <definedName name="cancel" hidden="1">{#N/A,#N/A,FALSE,"M.01"}</definedName>
    <definedName name="CBJM" localSheetId="0" hidden="1">{#N/A,#N/A,FALSE,"M.01";#N/A,#N/A,FALSE,"M.01"}</definedName>
    <definedName name="CBJM" hidden="1">{#N/A,#N/A,FALSE,"M.01";#N/A,#N/A,FALSE,"M.01"}</definedName>
    <definedName name="CBRB" localSheetId="0" hidden="1">{#N/A,#N/A,FALSE,"M.02"}</definedName>
    <definedName name="CBRB" hidden="1">{#N/A,#N/A,FALSE,"M.02"}</definedName>
    <definedName name="CKTB" localSheetId="0" hidden="1">{#N/A,#N/A,FALSE,"M.31"}</definedName>
    <definedName name="CKTB" hidden="1">{#N/A,#N/A,FALSE,"M.31"}</definedName>
    <definedName name="coba" localSheetId="0" hidden="1">{#N/A,#N/A,FALSE,"M.41"}</definedName>
    <definedName name="coba" hidden="1">{#N/A,#N/A,FALSE,"M.41"}</definedName>
    <definedName name="D" localSheetId="0" hidden="1">{#N/A,#N/A,FALSE,"M.33"}</definedName>
    <definedName name="D" hidden="1">{#N/A,#N/A,FALSE,"M.33"}</definedName>
    <definedName name="DD" localSheetId="0" hidden="1">{#N/A,#N/A,FALSE,"M.34"}</definedName>
    <definedName name="DD" hidden="1">{#N/A,#N/A,FALSE,"M.34"}</definedName>
    <definedName name="ddd" localSheetId="0" hidden="1">{#N/A,#N/A,FALSE,"M.01";#N/A,#N/A,FALSE,"M.01"}</definedName>
    <definedName name="ddd" hidden="1">{#N/A,#N/A,FALSE,"M.01";#N/A,#N/A,FALSE,"M.01"}</definedName>
    <definedName name="dddd" hidden="1">[5]PkRp!#REF!</definedName>
    <definedName name="de" localSheetId="0" hidden="1">{#N/A,#N/A,FALSE,"M.34"}</definedName>
    <definedName name="de" hidden="1">{#N/A,#N/A,FALSE,"M.34"}</definedName>
    <definedName name="dfssfdhn" localSheetId="0" hidden="1">{#N/A,#N/A,FALSE,"M.42"}</definedName>
    <definedName name="dfssfdhn" hidden="1">{#N/A,#N/A,FALSE,"M.42"}</definedName>
    <definedName name="dgx" localSheetId="0" hidden="1">{#N/A,#N/A,FALSE,"M.41"}</definedName>
    <definedName name="dgx" hidden="1">{#N/A,#N/A,FALSE,"M.41"}</definedName>
    <definedName name="dyah" localSheetId="0" hidden="1">{#N/A,#N/A,FALSE,"M.31"}</definedName>
    <definedName name="dyah" hidden="1">{#N/A,#N/A,FALSE,"M.31"}</definedName>
    <definedName name="E" localSheetId="0" hidden="1">{#N/A,#N/A,FALSE,"M.34"}</definedName>
    <definedName name="E" hidden="1">{#N/A,#N/A,FALSE,"M.34"}</definedName>
    <definedName name="ESTIMASIKINERJA2004" localSheetId="0" hidden="1">{#N/A,#N/A,FALSE,"M.31"}</definedName>
    <definedName name="ESTIMASIKINERJA2004" hidden="1">{#N/A,#N/A,FALSE,"M.31"}</definedName>
    <definedName name="F" localSheetId="0" hidden="1">{#N/A,#N/A,FALSE,"M.41"}</definedName>
    <definedName name="F" hidden="1">{#N/A,#N/A,FALSE,"M.41"}</definedName>
    <definedName name="FFF" localSheetId="0" hidden="1">{#N/A,#N/A,FALSE,"M.31"}</definedName>
    <definedName name="FFF" hidden="1">{#N/A,#N/A,FALSE,"M.31"}</definedName>
    <definedName name="FITTING2" hidden="1">#REF!</definedName>
    <definedName name="indi" localSheetId="0" hidden="1">{#N/A,#N/A,FALSE,"M.02"}</definedName>
    <definedName name="indi" hidden="1">{#N/A,#N/A,FALSE,"M.02"}</definedName>
    <definedName name="jawa" localSheetId="0" hidden="1">{#N/A,#N/A,FALSE,"M.41"}</definedName>
    <definedName name="jawa" hidden="1">{#N/A,#N/A,FALSE,"M.41"}</definedName>
    <definedName name="jawabali" localSheetId="0" hidden="1">{#N/A,#N/A,FALSE,"M.31"}</definedName>
    <definedName name="jawabali" hidden="1">{#N/A,#N/A,FALSE,"M.31"}</definedName>
    <definedName name="jh" localSheetId="0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jh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jj" localSheetId="0" hidden="1">{#N/A,#N/A,FALSE,"M.01"}</definedName>
    <definedName name="jj" hidden="1">{#N/A,#N/A,FALSE,"M.01"}</definedName>
    <definedName name="kinerja" localSheetId="0" hidden="1">{#N/A,#N/A,FALSE,"M.32"}</definedName>
    <definedName name="kinerja" hidden="1">{#N/A,#N/A,FALSE,"M.32"}</definedName>
    <definedName name="kinerja_1" localSheetId="0" hidden="1">{#N/A,#N/A,FALSE,"M.42"}</definedName>
    <definedName name="kinerja_1" hidden="1">{#N/A,#N/A,FALSE,"M.42"}</definedName>
    <definedName name="KINERJA2004ESTIMASI" localSheetId="0" hidden="1">{#N/A,#N/A,FALSE,"M.02"}</definedName>
    <definedName name="KINERJA2004ESTIMASI" hidden="1">{#N/A,#N/A,FALSE,"M.02"}</definedName>
    <definedName name="kkk" localSheetId="0" hidden="1">{#N/A,#N/A,FALSE,"M.32"}</definedName>
    <definedName name="kkk" hidden="1">{#N/A,#N/A,FALSE,"M.32"}</definedName>
    <definedName name="kkkkk" localSheetId="0" hidden="1">{#N/A,#N/A,FALSE,"M.33"}</definedName>
    <definedName name="kkkkk" hidden="1">{#N/A,#N/A,FALSE,"M.33"}</definedName>
    <definedName name="lll" localSheetId="0" hidden="1">{#N/A,#N/A,FALSE,"M.42"}</definedName>
    <definedName name="lll" hidden="1">{#N/A,#N/A,FALSE,"M.42"}</definedName>
    <definedName name="lllll" localSheetId="0" hidden="1">{#N/A,#N/A,FALSE,"M.42"}</definedName>
    <definedName name="lllll" hidden="1">{#N/A,#N/A,FALSE,"M.42"}</definedName>
    <definedName name="marwan" localSheetId="0" hidden="1">{#N/A,#N/A,FALSE,"M.02"}</definedName>
    <definedName name="marwan" hidden="1">{#N/A,#N/A,FALSE,"M.02"}</definedName>
    <definedName name="mau" localSheetId="0" hidden="1">{#N/A,#N/A,FALSE,"M.31"}</definedName>
    <definedName name="mau" hidden="1">{#N/A,#N/A,FALSE,"M.31"}</definedName>
    <definedName name="mbo" localSheetId="0" hidden="1">{#N/A,#N/A,FALSE,"M.34"}</definedName>
    <definedName name="mbo" hidden="1">{#N/A,#N/A,FALSE,"M.34"}</definedName>
    <definedName name="mmc" localSheetId="0" hidden="1">{#N/A,#N/A,FALSE,"M.42"}</definedName>
    <definedName name="mmc" hidden="1">{#N/A,#N/A,FALSE,"M.42"}</definedName>
    <definedName name="mmd" localSheetId="0" hidden="1">{#N/A,#N/A,FALSE,"M.32"}</definedName>
    <definedName name="mmd" hidden="1">{#N/A,#N/A,FALSE,"M.32"}</definedName>
    <definedName name="nad" localSheetId="0" hidden="1">{#N/A,#N/A,FALSE,"M.41"}</definedName>
    <definedName name="nad" hidden="1">{#N/A,#N/A,FALSE,"M.41"}</definedName>
    <definedName name="ni" localSheetId="0" hidden="1">{#N/A,#N/A,FALSE,"M.42"}</definedName>
    <definedName name="ni" hidden="1">{#N/A,#N/A,FALSE,"M.42"}</definedName>
    <definedName name="nnm" localSheetId="0" hidden="1">{#N/A,#N/A,FALSE,"M.43"}</definedName>
    <definedName name="nnm" hidden="1">{#N/A,#N/A,FALSE,"M.43"}</definedName>
    <definedName name="nnnm" localSheetId="0" hidden="1">{#N/A,#N/A,FALSE,"M.42"}</definedName>
    <definedName name="nnnm" hidden="1">{#N/A,#N/A,FALSE,"M.42"}</definedName>
    <definedName name="opgw" localSheetId="0" hidden="1">{#N/A,#N/A,FALSE,"M.31"}</definedName>
    <definedName name="opgw" hidden="1">{#N/A,#N/A,FALSE,"M.31"}</definedName>
    <definedName name="_xlnm.Print_Area" localSheetId="0">'Lokasi Pekerjaan WKTKU'!$N$1:$CF$99</definedName>
    <definedName name="_xlnm.Print_Titles" localSheetId="0">'Lokasi Pekerjaan WKTKU'!$1:$6</definedName>
    <definedName name="pur" localSheetId="0" hidden="1">{#N/A,#N/A,FALSE,"M.34"}</definedName>
    <definedName name="pur" hidden="1">{#N/A,#N/A,FALSE,"M.34"}</definedName>
    <definedName name="qqq" localSheetId="0" hidden="1">{#N/A,#N/A,FALSE,"M.42"}</definedName>
    <definedName name="qqq" hidden="1">{#N/A,#N/A,FALSE,"M.42"}</definedName>
    <definedName name="qwee" hidden="1">[5]PkRp!#REF!</definedName>
    <definedName name="RMS" localSheetId="0" hidden="1">{#N/A,#N/A,FALSE,"M.42"}</definedName>
    <definedName name="RMS" hidden="1">{#N/A,#N/A,FALSE,"M.42"}</definedName>
    <definedName name="ropa" localSheetId="0" hidden="1">{#N/A,#N/A,FALSE,"M.34"}</definedName>
    <definedName name="ropa" hidden="1">{#N/A,#N/A,FALSE,"M.34"}</definedName>
    <definedName name="sgi" localSheetId="0" hidden="1">{#N/A,#N/A,FALSE,"M.01"}</definedName>
    <definedName name="sgi" hidden="1">{#N/A,#N/A,FALSE,"M.01"}</definedName>
    <definedName name="sss" localSheetId="0" hidden="1">{#N/A,#N/A,FALSE,"M.41"}</definedName>
    <definedName name="sss" hidden="1">{#N/A,#N/A,FALSE,"M.41"}</definedName>
    <definedName name="sssssssssssss" localSheetId="0" hidden="1">{#N/A,#N/A,FALSE,"M.34"}</definedName>
    <definedName name="sssssssssssss" hidden="1">{#N/A,#N/A,FALSE,"M.34"}</definedName>
    <definedName name="ssssssssssssssssssssss" localSheetId="0" hidden="1">{"Rep678",#N/A,FALSE,"Jawa";"Rep678",#N/A,FALSE,"Batam";"Rep678",#N/A,FALSE,"I";"Rep678",#N/A,FALSE,"II";"Rep678",#N/A,FALSE,"III";"Rep678",#N/A,FALSE,"IV";"Rep678",#N/A,FALSE,"V";"Rep678",#N/A,FALSE,"VI";"Rep678",#N/A,FALSE,"VII";"Rep678",#N/A,FALSE,"VIII";"Rep678",#N/A,FALSE,"IX";"Rep678",#N/A,FALSE,"X";"Rep678",#N/A,FALSE,"XI"}</definedName>
    <definedName name="ssssssssssssssssssssss" hidden="1">{"Rep678",#N/A,FALSE,"Jawa";"Rep678",#N/A,FALSE,"Batam";"Rep678",#N/A,FALSE,"I";"Rep678",#N/A,FALSE,"II";"Rep678",#N/A,FALSE,"III";"Rep678",#N/A,FALSE,"IV";"Rep678",#N/A,FALSE,"V";"Rep678",#N/A,FALSE,"VI";"Rep678",#N/A,FALSE,"VII";"Rep678",#N/A,FALSE,"VIII";"Rep678",#N/A,FALSE,"IX";"Rep678",#N/A,FALSE,"X";"Rep678",#N/A,FALSE,"XI"}</definedName>
    <definedName name="v" localSheetId="0" hidden="1">{#N/A,#N/A,FALSE,"M.34"}</definedName>
    <definedName name="v" hidden="1">{#N/A,#N/A,FALSE,"M.34"}</definedName>
    <definedName name="WIL" localSheetId="0" hidden="1">{#N/A,#N/A,FALSE,"M.01";#N/A,#N/A,FALSE,"M.01"}</definedName>
    <definedName name="WIL" hidden="1">{#N/A,#N/A,FALSE,"M.01";#N/A,#N/A,FALSE,"M.01"}</definedName>
    <definedName name="wrn.M.01" localSheetId="0" hidden="1">{#N/A,#N/A,FALSE,"M.01"}</definedName>
    <definedName name="wrn.M.01" hidden="1">{#N/A,#N/A,FALSE,"M.01"}</definedName>
    <definedName name="wrn.M.01." localSheetId="0" hidden="1">{#N/A,#N/A,FALSE,"M.01"}</definedName>
    <definedName name="wrn.M.01." hidden="1">{#N/A,#N/A,FALSE,"M.01"}</definedName>
    <definedName name="wrn.M.01D." localSheetId="0" hidden="1">{#N/A,#N/A,FALSE,"M.01";#N/A,#N/A,FALSE,"M.01"}</definedName>
    <definedName name="wrn.M.01D." hidden="1">{#N/A,#N/A,FALSE,"M.01";#N/A,#N/A,FALSE,"M.01"}</definedName>
    <definedName name="wrn.M.02" localSheetId="0" hidden="1">{#N/A,#N/A,FALSE,"M.01"}</definedName>
    <definedName name="wrn.M.02" hidden="1">{#N/A,#N/A,FALSE,"M.01"}</definedName>
    <definedName name="wrn.M.02." localSheetId="0" hidden="1">{#N/A,#N/A,FALSE,"M.02"}</definedName>
    <definedName name="wrn.M.02." hidden="1">{#N/A,#N/A,FALSE,"M.02"}</definedName>
    <definedName name="wrn.M.07." localSheetId="0" hidden="1">{#N/A,#N/A,FALSE,"M.01"}</definedName>
    <definedName name="wrn.M.07." hidden="1">{#N/A,#N/A,FALSE,"M.01"}</definedName>
    <definedName name="wrn.M.31." localSheetId="0" hidden="1">{#N/A,#N/A,FALSE,"M.31"}</definedName>
    <definedName name="wrn.M.31." hidden="1">{#N/A,#N/A,FALSE,"M.31"}</definedName>
    <definedName name="wrn.M.32" localSheetId="0" hidden="1">{#N/A,#N/A,FALSE,"M.31"}</definedName>
    <definedName name="wrn.M.32" hidden="1">{#N/A,#N/A,FALSE,"M.31"}</definedName>
    <definedName name="wrn.M.32." localSheetId="0" hidden="1">{#N/A,#N/A,FALSE,"M.32"}</definedName>
    <definedName name="wrn.M.32." hidden="1">{#N/A,#N/A,FALSE,"M.32"}</definedName>
    <definedName name="wrn.M.32.1" localSheetId="0" hidden="1">{#N/A,#N/A,FALSE,"M.32"}</definedName>
    <definedName name="wrn.M.32.1" hidden="1">{#N/A,#N/A,FALSE,"M.32"}</definedName>
    <definedName name="wrn.M.33" localSheetId="0" hidden="1">{#N/A,#N/A,FALSE,"M.33"}</definedName>
    <definedName name="wrn.M.33" hidden="1">{#N/A,#N/A,FALSE,"M.33"}</definedName>
    <definedName name="wrn.M.33." localSheetId="0" hidden="1">{#N/A,#N/A,FALSE,"M.33"}</definedName>
    <definedName name="wrn.M.33." hidden="1">{#N/A,#N/A,FALSE,"M.33"}</definedName>
    <definedName name="wrn.M.333" localSheetId="0" hidden="1">{#N/A,#N/A,FALSE,"M.32"}</definedName>
    <definedName name="wrn.M.333" hidden="1">{#N/A,#N/A,FALSE,"M.32"}</definedName>
    <definedName name="wrn.M.34." localSheetId="0" hidden="1">{#N/A,#N/A,FALSE,"M.34"}</definedName>
    <definedName name="wrn.M.34." hidden="1">{#N/A,#N/A,FALSE,"M.34"}</definedName>
    <definedName name="wrn.M.34.1" localSheetId="0" hidden="1">{#N/A,#N/A,FALSE,"M.34"}</definedName>
    <definedName name="wrn.M.34.1" hidden="1">{#N/A,#N/A,FALSE,"M.34"}</definedName>
    <definedName name="wrn.m.35." localSheetId="0" hidden="1">{#N/A,#N/A,FALSE,"M.34"}</definedName>
    <definedName name="wrn.m.35." hidden="1">{#N/A,#N/A,FALSE,"M.34"}</definedName>
    <definedName name="wrn.M.4." localSheetId="0" hidden="1">{#N/A,#N/A,FALSE,"M.42"}</definedName>
    <definedName name="wrn.M.4." hidden="1">{#N/A,#N/A,FALSE,"M.42"}</definedName>
    <definedName name="wrn.M.41." localSheetId="0" hidden="1">{#N/A,#N/A,FALSE,"M.41"}</definedName>
    <definedName name="wrn.M.41." hidden="1">{#N/A,#N/A,FALSE,"M.41"}</definedName>
    <definedName name="wrn.M.42" localSheetId="0" hidden="1">{#N/A,#N/A,FALSE,"M.41"}</definedName>
    <definedName name="wrn.M.42" hidden="1">{#N/A,#N/A,FALSE,"M.41"}</definedName>
    <definedName name="wrn.M.42." localSheetId="0" hidden="1">{#N/A,#N/A,FALSE,"M.42"}</definedName>
    <definedName name="wrn.M.42." hidden="1">{#N/A,#N/A,FALSE,"M.42"}</definedName>
    <definedName name="wrn.M.43." localSheetId="0" hidden="1">{#N/A,#N/A,FALSE,"M.43"}</definedName>
    <definedName name="wrn.M.43." hidden="1">{#N/A,#N/A,FALSE,"M.43"}</definedName>
    <definedName name="wrn.n.99" localSheetId="0" hidden="1">{#N/A,#N/A,FALSE,"M.43"}</definedName>
    <definedName name="wrn.n.99" hidden="1">{#N/A,#N/A,FALSE,"M.43"}</definedName>
    <definedName name="wrn.rep" localSheetId="0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wrn.rep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wrn.REP67." localSheetId="0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wrn.REP67.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wrn.REP678." localSheetId="0" hidden="1">{"Rep678",#N/A,FALSE,"Jawa";"Rep678",#N/A,FALSE,"Batam";"Rep678",#N/A,FALSE,"I";"Rep678",#N/A,FALSE,"II";"Rep678",#N/A,FALSE,"III";"Rep678",#N/A,FALSE,"IV";"Rep678",#N/A,FALSE,"V";"Rep678",#N/A,FALSE,"VI";"Rep678",#N/A,FALSE,"VII";"Rep678",#N/A,FALSE,"VIII";"Rep678",#N/A,FALSE,"IX";"Rep678",#N/A,FALSE,"X";"Rep678",#N/A,FALSE,"XI"}</definedName>
    <definedName name="wrn.REP678." hidden="1">{"Rep678",#N/A,FALSE,"Jawa";"Rep678",#N/A,FALSE,"Batam";"Rep678",#N/A,FALSE,"I";"Rep678",#N/A,FALSE,"II";"Rep678",#N/A,FALSE,"III";"Rep678",#N/A,FALSE,"IV";"Rep678",#N/A,FALSE,"V";"Rep678",#N/A,FALSE,"VI";"Rep678",#N/A,FALSE,"VII";"Rep678",#N/A,FALSE,"VIII";"Rep678",#N/A,FALSE,"IX";"Rep678",#N/A,FALSE,"X";"Rep678",#N/A,FALSE,"XI"}</definedName>
    <definedName name="x" localSheetId="0" hidden="1">{#N/A,#N/A,FALSE,"M.42"}</definedName>
    <definedName name="x" hidden="1">{#N/A,#N/A,FALSE,"M.42"}</definedName>
  </definedNames>
  <calcPr calcId="124519"/>
</workbook>
</file>

<file path=xl/calcChain.xml><?xml version="1.0" encoding="utf-8"?>
<calcChain xmlns="http://schemas.openxmlformats.org/spreadsheetml/2006/main">
  <c r="CA59" i="1"/>
  <c r="BZ59"/>
  <c r="BY59"/>
  <c r="BX59"/>
  <c r="BW59"/>
  <c r="BU59"/>
  <c r="BT59"/>
  <c r="BR59"/>
  <c r="BM59"/>
  <c r="Y59"/>
  <c r="X59"/>
  <c r="W59"/>
  <c r="CA48" l="1"/>
  <c r="BZ48"/>
  <c r="BY48"/>
  <c r="BX48"/>
  <c r="BW48"/>
  <c r="BU48"/>
  <c r="BT48"/>
  <c r="BS48"/>
  <c r="BM48"/>
  <c r="Y48"/>
  <c r="X48"/>
  <c r="W48"/>
  <c r="CA67" l="1"/>
  <c r="BZ67"/>
  <c r="BY67"/>
  <c r="BX67"/>
  <c r="BW67"/>
  <c r="BU67"/>
  <c r="BT67"/>
  <c r="BR67"/>
  <c r="BL67"/>
  <c r="Y67"/>
  <c r="X67"/>
  <c r="W67"/>
  <c r="CA66" l="1"/>
  <c r="BZ66"/>
  <c r="BY66"/>
  <c r="BX66"/>
  <c r="BW66"/>
  <c r="BU66"/>
  <c r="BT66"/>
  <c r="BR66"/>
  <c r="BM66"/>
  <c r="X66"/>
  <c r="Y66"/>
  <c r="W66"/>
  <c r="CA88" l="1"/>
  <c r="BZ88"/>
  <c r="BY88"/>
  <c r="BX88"/>
  <c r="BW88"/>
  <c r="BU88"/>
  <c r="BT88"/>
  <c r="BR88"/>
  <c r="BL88"/>
  <c r="X88"/>
  <c r="W88"/>
  <c r="CA87" l="1"/>
  <c r="BZ87"/>
  <c r="BY87"/>
  <c r="BX87"/>
  <c r="BW87"/>
  <c r="BU87"/>
  <c r="BT87"/>
  <c r="BR87"/>
  <c r="BL87"/>
  <c r="X87"/>
  <c r="W87"/>
  <c r="BY80" l="1"/>
  <c r="BY78"/>
  <c r="BY77"/>
  <c r="BY76"/>
  <c r="BY75"/>
  <c r="BY72"/>
  <c r="BX80"/>
  <c r="BX78"/>
  <c r="BX76"/>
  <c r="BX77"/>
  <c r="BX75"/>
  <c r="BX72"/>
  <c r="AB78"/>
  <c r="AA80"/>
  <c r="AA78"/>
  <c r="BU74"/>
  <c r="BU78"/>
  <c r="BU76"/>
  <c r="BU75"/>
  <c r="BU72"/>
  <c r="BM80"/>
  <c r="BM78"/>
  <c r="BM77"/>
  <c r="BM76"/>
  <c r="BM75"/>
  <c r="W78"/>
  <c r="W75"/>
  <c r="W72"/>
  <c r="Y80"/>
  <c r="Y78"/>
  <c r="Y77"/>
  <c r="Y76"/>
  <c r="Y75"/>
  <c r="BT82"/>
  <c r="BS82"/>
  <c r="BT86"/>
  <c r="BT85"/>
  <c r="BT84"/>
  <c r="BT83"/>
  <c r="BS86"/>
  <c r="BS85"/>
  <c r="BS84"/>
  <c r="BS83"/>
  <c r="BT80"/>
  <c r="BT79"/>
  <c r="BT78"/>
  <c r="BT77"/>
  <c r="BS80"/>
  <c r="BS79"/>
  <c r="BS78"/>
  <c r="BS77"/>
  <c r="BT76"/>
  <c r="BS76"/>
  <c r="BT75"/>
  <c r="BS75"/>
  <c r="BT74"/>
  <c r="BS74"/>
  <c r="BT73"/>
  <c r="BS73"/>
  <c r="BT72"/>
  <c r="BS72"/>
  <c r="BM72"/>
  <c r="Y72" l="1"/>
  <c r="CA71" l="1"/>
  <c r="BZ71"/>
  <c r="BY71"/>
  <c r="BT71"/>
  <c r="BR71"/>
  <c r="BX71"/>
  <c r="BW71"/>
  <c r="BU71"/>
  <c r="BM71"/>
  <c r="Y71"/>
  <c r="X71"/>
  <c r="W71"/>
  <c r="CA70" l="1"/>
  <c r="BZ70"/>
  <c r="BY70"/>
  <c r="BX70"/>
  <c r="BW70"/>
  <c r="BU70"/>
  <c r="BT70"/>
  <c r="BR70"/>
  <c r="BM70"/>
  <c r="Y70"/>
  <c r="X70"/>
  <c r="CA69" l="1"/>
  <c r="BZ69"/>
  <c r="BY69"/>
  <c r="BX69"/>
  <c r="BW69"/>
  <c r="BU69"/>
  <c r="BT69"/>
  <c r="BR69"/>
  <c r="BM69"/>
  <c r="Y69"/>
  <c r="X69"/>
  <c r="CA68" l="1"/>
  <c r="BZ68"/>
  <c r="BY68"/>
  <c r="BX68"/>
  <c r="BW68"/>
  <c r="BU68"/>
  <c r="BT68"/>
  <c r="BR68"/>
  <c r="BM68"/>
  <c r="Y68"/>
  <c r="X68"/>
  <c r="CA57" l="1"/>
  <c r="BZ57"/>
  <c r="BY57"/>
  <c r="BX57"/>
  <c r="BW57"/>
  <c r="BU57"/>
  <c r="BT57"/>
  <c r="BR57"/>
  <c r="BM57"/>
  <c r="Y57"/>
  <c r="X57"/>
  <c r="W57"/>
  <c r="CA56" l="1"/>
  <c r="BZ56"/>
  <c r="BY56"/>
  <c r="BX56"/>
  <c r="BW56"/>
  <c r="BU56"/>
  <c r="BT56"/>
  <c r="BR56"/>
  <c r="BM56"/>
  <c r="Y56"/>
  <c r="X56"/>
  <c r="CA49" l="1"/>
  <c r="BZ49"/>
  <c r="BY49"/>
  <c r="BW49"/>
  <c r="BU49"/>
  <c r="BT49"/>
  <c r="BS49"/>
  <c r="BM49"/>
  <c r="Y49"/>
  <c r="W49"/>
  <c r="CA55" l="1"/>
  <c r="BZ55"/>
  <c r="BY55"/>
  <c r="BX55"/>
  <c r="BW55"/>
  <c r="BU55"/>
  <c r="BT55"/>
  <c r="BS55"/>
  <c r="BM55"/>
  <c r="Y55"/>
  <c r="X55"/>
  <c r="CA54" l="1"/>
  <c r="BZ54"/>
  <c r="BY54"/>
  <c r="BX54"/>
  <c r="BW54"/>
  <c r="BU54"/>
  <c r="BT54"/>
  <c r="BR54"/>
  <c r="BL54"/>
  <c r="Y54"/>
  <c r="X54"/>
  <c r="W54"/>
  <c r="CA53" l="1"/>
  <c r="BZ53"/>
  <c r="BY53"/>
  <c r="BX53"/>
  <c r="BW53"/>
  <c r="BU53"/>
  <c r="BT53"/>
  <c r="BS53"/>
  <c r="BM53"/>
  <c r="Y53"/>
  <c r="X53"/>
  <c r="W53"/>
  <c r="CA52" l="1"/>
  <c r="BZ52"/>
  <c r="BY52"/>
  <c r="BX52"/>
  <c r="BW52"/>
  <c r="BU52"/>
  <c r="BT52"/>
  <c r="BS52"/>
  <c r="BM52"/>
  <c r="Y52"/>
  <c r="X52"/>
  <c r="CA51" l="1"/>
  <c r="BZ51"/>
  <c r="BY51"/>
  <c r="BX51"/>
  <c r="BW51"/>
  <c r="BU51"/>
  <c r="BT51"/>
  <c r="BS51"/>
  <c r="BM51"/>
  <c r="Y51"/>
  <c r="X51"/>
  <c r="CA50" l="1"/>
  <c r="BZ50"/>
  <c r="BY50"/>
  <c r="BX50"/>
  <c r="BW50"/>
  <c r="BU50"/>
  <c r="BT50"/>
  <c r="BS50"/>
  <c r="BM50"/>
  <c r="Y50"/>
  <c r="X50"/>
  <c r="AM89" l="1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BE89"/>
  <c r="BF89"/>
  <c r="BG89"/>
  <c r="BH89"/>
  <c r="BI89"/>
  <c r="BJ89"/>
  <c r="BK89"/>
  <c r="BN89"/>
  <c r="BO89"/>
  <c r="BP89"/>
  <c r="BQ89"/>
  <c r="BT89"/>
  <c r="BU89"/>
  <c r="BV89"/>
  <c r="CB89"/>
  <c r="CC89"/>
  <c r="CD89"/>
  <c r="CE89"/>
  <c r="CA47"/>
  <c r="BZ47"/>
  <c r="BY47"/>
  <c r="BX47"/>
  <c r="BW47"/>
  <c r="BU47"/>
  <c r="BT47"/>
  <c r="BR47"/>
  <c r="BL47"/>
  <c r="Y47"/>
  <c r="X47"/>
  <c r="W47"/>
  <c r="CA46" l="1"/>
  <c r="BZ46"/>
  <c r="BY46"/>
  <c r="BX46"/>
  <c r="BW46"/>
  <c r="BU46"/>
  <c r="BT46"/>
  <c r="BR46"/>
  <c r="BL46"/>
  <c r="Y46"/>
  <c r="X46"/>
  <c r="CA45" l="1"/>
  <c r="BZ45"/>
  <c r="BY45"/>
  <c r="BX45"/>
  <c r="BW45"/>
  <c r="BU45"/>
  <c r="BT45"/>
  <c r="BR45"/>
  <c r="BL45"/>
  <c r="Y45"/>
  <c r="X45"/>
  <c r="CA44" l="1"/>
  <c r="BZ44"/>
  <c r="BY44"/>
  <c r="BX44"/>
  <c r="BW44"/>
  <c r="BU44"/>
  <c r="BT44"/>
  <c r="BR44"/>
  <c r="BL44"/>
  <c r="AK44"/>
  <c r="AJ44"/>
  <c r="AI44"/>
  <c r="Y44"/>
  <c r="X44"/>
  <c r="Y43" l="1"/>
  <c r="X43"/>
  <c r="W43"/>
  <c r="CA43"/>
  <c r="BZ43"/>
  <c r="BY43"/>
  <c r="BX43"/>
  <c r="BW43"/>
  <c r="BU43"/>
  <c r="BT43"/>
  <c r="BR43"/>
  <c r="BM43"/>
  <c r="BU41" l="1"/>
  <c r="AJ41"/>
  <c r="X41"/>
  <c r="BU40" l="1"/>
  <c r="AJ40"/>
  <c r="X40"/>
  <c r="BU39" l="1"/>
  <c r="AL41"/>
  <c r="AL40"/>
  <c r="AJ39"/>
  <c r="AL39" s="1"/>
  <c r="X39"/>
  <c r="U89" l="1"/>
  <c r="BU35" l="1"/>
  <c r="X35"/>
  <c r="BU38"/>
  <c r="BU37"/>
  <c r="BU36"/>
  <c r="X38"/>
  <c r="X37"/>
  <c r="X36"/>
  <c r="BY34"/>
  <c r="CA34"/>
  <c r="BZ34"/>
  <c r="BW34"/>
  <c r="BU34"/>
  <c r="BT34"/>
  <c r="BS34"/>
  <c r="AD34"/>
  <c r="X34"/>
  <c r="AK34"/>
  <c r="BU33"/>
  <c r="X33"/>
  <c r="BU32"/>
  <c r="BU31"/>
  <c r="BU30"/>
  <c r="X30"/>
  <c r="BU29"/>
  <c r="X29"/>
  <c r="BU28"/>
  <c r="BU27"/>
  <c r="BU26"/>
  <c r="BU25"/>
  <c r="X28"/>
  <c r="X27"/>
  <c r="X26"/>
  <c r="X25"/>
  <c r="W27"/>
  <c r="W26"/>
  <c r="BU24"/>
  <c r="X24"/>
  <c r="BU23"/>
  <c r="X23"/>
  <c r="BU22" l="1"/>
  <c r="BU21"/>
  <c r="BU20"/>
  <c r="X21"/>
  <c r="BU18" l="1"/>
  <c r="X18"/>
  <c r="W18"/>
  <c r="BU17" l="1"/>
  <c r="BU16" l="1"/>
  <c r="X16"/>
  <c r="W16"/>
  <c r="BU15"/>
  <c r="W15"/>
  <c r="BU19"/>
  <c r="CA42" l="1"/>
  <c r="BZ42"/>
  <c r="BY42"/>
  <c r="BX42"/>
  <c r="BW42"/>
  <c r="BU42"/>
  <c r="BT42"/>
  <c r="BR42"/>
  <c r="BL42"/>
  <c r="X42"/>
  <c r="W42"/>
  <c r="CA14" l="1"/>
  <c r="BZ14"/>
  <c r="BY14"/>
  <c r="BX14"/>
  <c r="BW14"/>
  <c r="BU14"/>
  <c r="BT14"/>
  <c r="BS14"/>
  <c r="BM14"/>
  <c r="Y14"/>
  <c r="W14"/>
  <c r="CA13"/>
  <c r="BZ13"/>
  <c r="BY13"/>
  <c r="BX13"/>
  <c r="BW13"/>
  <c r="BU13"/>
  <c r="BT13"/>
  <c r="BR13"/>
  <c r="BM13"/>
  <c r="Y13"/>
  <c r="X13"/>
  <c r="CA12" l="1"/>
  <c r="BZ12"/>
  <c r="BY12"/>
  <c r="BX12"/>
  <c r="BW12"/>
  <c r="BU12"/>
  <c r="BT12"/>
  <c r="BS12"/>
  <c r="BS89" s="1"/>
  <c r="BM12"/>
  <c r="BM89" s="1"/>
  <c r="Y12"/>
  <c r="W12"/>
  <c r="CA11"/>
  <c r="BZ11"/>
  <c r="BY11"/>
  <c r="BW11"/>
  <c r="BU11"/>
  <c r="BT11"/>
  <c r="BR11"/>
  <c r="Y11"/>
  <c r="X11"/>
  <c r="W11"/>
  <c r="CA10" l="1"/>
  <c r="BZ10"/>
  <c r="BY10"/>
  <c r="BX10"/>
  <c r="BW10"/>
  <c r="BU10"/>
  <c r="BT10"/>
  <c r="BR10"/>
  <c r="BL10"/>
  <c r="Y10"/>
  <c r="X10"/>
  <c r="W10"/>
  <c r="CA9" l="1"/>
  <c r="BZ9"/>
  <c r="BY9"/>
  <c r="BX9"/>
  <c r="BW9"/>
  <c r="BU9"/>
  <c r="BT9"/>
  <c r="BR9"/>
  <c r="BL9"/>
  <c r="Y9"/>
  <c r="X9"/>
  <c r="W9"/>
  <c r="CA8" l="1"/>
  <c r="CA89" s="1"/>
  <c r="BZ8"/>
  <c r="BZ89" s="1"/>
  <c r="BY8"/>
  <c r="BY89" s="1"/>
  <c r="BX8"/>
  <c r="BX89" s="1"/>
  <c r="BW8"/>
  <c r="BW89" s="1"/>
  <c r="BU8"/>
  <c r="BT8"/>
  <c r="BR8"/>
  <c r="BR89" s="1"/>
  <c r="BL8" l="1"/>
  <c r="BL89" s="1"/>
  <c r="Y8"/>
  <c r="X8"/>
  <c r="AK55" l="1"/>
  <c r="AJ55"/>
  <c r="AI55"/>
  <c r="AK54" l="1"/>
  <c r="AJ54"/>
  <c r="AI54"/>
  <c r="AK53" l="1"/>
  <c r="AJ53"/>
  <c r="AI53"/>
  <c r="AK52" l="1"/>
  <c r="AJ52"/>
  <c r="AI52"/>
  <c r="AK51" l="1"/>
  <c r="AJ51"/>
  <c r="AI51"/>
  <c r="AK46" l="1"/>
  <c r="AJ46"/>
  <c r="AI46"/>
  <c r="AK50" l="1"/>
  <c r="AJ50"/>
  <c r="AI50"/>
  <c r="AK47" l="1"/>
  <c r="AJ47"/>
  <c r="AI47"/>
  <c r="AK45" l="1"/>
  <c r="AJ45"/>
  <c r="AI45"/>
  <c r="AK70" l="1"/>
  <c r="AJ70"/>
  <c r="AI70"/>
  <c r="AK71" l="1"/>
  <c r="AJ71"/>
  <c r="AI71"/>
  <c r="AJ15" l="1"/>
  <c r="AK14"/>
  <c r="AJ14"/>
  <c r="AI14"/>
  <c r="AK13"/>
  <c r="AJ13"/>
  <c r="AI13"/>
  <c r="AK12" l="1"/>
  <c r="AJ12"/>
  <c r="AI12"/>
  <c r="AK11"/>
  <c r="AJ11"/>
  <c r="AK10" l="1"/>
  <c r="AJ10"/>
  <c r="AI10"/>
  <c r="AK8" l="1"/>
  <c r="AK9"/>
  <c r="AJ9"/>
  <c r="AI9"/>
  <c r="AI8" l="1"/>
  <c r="AL8" s="1"/>
  <c r="AK69" l="1"/>
  <c r="AJ69"/>
  <c r="AI69"/>
  <c r="AG69"/>
  <c r="AH69"/>
  <c r="AA69"/>
  <c r="AL69" l="1"/>
  <c r="AL70"/>
  <c r="AG70"/>
  <c r="AH70"/>
  <c r="AA70"/>
  <c r="AG71" l="1"/>
  <c r="AH71"/>
  <c r="AA71"/>
  <c r="AL71" l="1"/>
  <c r="AG13"/>
  <c r="AH13"/>
  <c r="AA13"/>
  <c r="AL13" l="1"/>
  <c r="AH11"/>
  <c r="AG11"/>
  <c r="AL11" l="1"/>
  <c r="AG9"/>
  <c r="AH9"/>
  <c r="AA9"/>
  <c r="AL9" l="1"/>
  <c r="AJ23"/>
  <c r="AL23" s="1"/>
  <c r="AJ17" l="1"/>
  <c r="AL17" s="1"/>
  <c r="AJ18" l="1"/>
  <c r="AL18" s="1"/>
  <c r="AJ19" l="1"/>
  <c r="AL19" s="1"/>
  <c r="AK66" l="1"/>
  <c r="AJ66"/>
  <c r="AI66"/>
  <c r="AH66"/>
  <c r="AG66"/>
  <c r="AA66"/>
  <c r="AL66" l="1"/>
  <c r="AK67"/>
  <c r="AJ67"/>
  <c r="AI67"/>
  <c r="AH67"/>
  <c r="AG67"/>
  <c r="AA67"/>
  <c r="AL67" l="1"/>
  <c r="AK57"/>
  <c r="AJ57"/>
  <c r="AI57"/>
  <c r="AA57"/>
  <c r="AG54" l="1"/>
  <c r="AH54"/>
  <c r="AA54"/>
  <c r="AL54" l="1"/>
  <c r="AG46"/>
  <c r="AH46"/>
  <c r="AA46"/>
  <c r="AL46" l="1"/>
  <c r="AA47" l="1"/>
  <c r="AA44" l="1"/>
  <c r="AL44" l="1"/>
  <c r="AL47"/>
  <c r="AH47"/>
  <c r="AG47"/>
  <c r="AH44"/>
  <c r="AH45"/>
  <c r="AG44"/>
  <c r="AG45"/>
  <c r="AA45"/>
  <c r="AL45" l="1"/>
  <c r="AK88"/>
  <c r="AJ88"/>
  <c r="AI88"/>
  <c r="AH88"/>
  <c r="AG88"/>
  <c r="AA88"/>
  <c r="AK87"/>
  <c r="AJ87"/>
  <c r="AI87"/>
  <c r="AH87"/>
  <c r="AH68"/>
  <c r="AG87"/>
  <c r="AA87"/>
  <c r="AL88" l="1"/>
  <c r="AL87"/>
  <c r="AK43"/>
  <c r="AJ43"/>
  <c r="AI43"/>
  <c r="AH43"/>
  <c r="AG43"/>
  <c r="AA43"/>
  <c r="AL43" l="1"/>
  <c r="AH86"/>
  <c r="AH85"/>
  <c r="AH84"/>
  <c r="AH83"/>
  <c r="AH82"/>
  <c r="AH81"/>
  <c r="AH80"/>
  <c r="AH79"/>
  <c r="AH77"/>
  <c r="AH76"/>
  <c r="AH75"/>
  <c r="AH74"/>
  <c r="AH73"/>
  <c r="AH72"/>
  <c r="AG86"/>
  <c r="AG85"/>
  <c r="AG84"/>
  <c r="AG83"/>
  <c r="AG82"/>
  <c r="AG81"/>
  <c r="AG80"/>
  <c r="AG79"/>
  <c r="AG77"/>
  <c r="AG76"/>
  <c r="AG75"/>
  <c r="AG74"/>
  <c r="AG73"/>
  <c r="AG72"/>
  <c r="AK72"/>
  <c r="AJ72"/>
  <c r="AI72"/>
  <c r="AA77"/>
  <c r="AA76"/>
  <c r="AA75"/>
  <c r="AA73"/>
  <c r="AA72"/>
  <c r="AL72" l="1"/>
  <c r="AK68"/>
  <c r="AJ68"/>
  <c r="AI68"/>
  <c r="AG68"/>
  <c r="AA68"/>
  <c r="AL68" l="1"/>
  <c r="AK59"/>
  <c r="AJ59"/>
  <c r="AI59"/>
  <c r="AH59"/>
  <c r="AG59"/>
  <c r="AA59"/>
  <c r="AL59" l="1"/>
  <c r="AJ58" l="1"/>
  <c r="AI58"/>
  <c r="AG57"/>
  <c r="AH57"/>
  <c r="AG58"/>
  <c r="AH58"/>
  <c r="AA58"/>
  <c r="AK58" l="1"/>
  <c r="AL58" s="1"/>
  <c r="AL57" l="1"/>
  <c r="AK56" l="1"/>
  <c r="AJ56"/>
  <c r="AI56"/>
  <c r="AG56"/>
  <c r="AH56"/>
  <c r="AA56"/>
  <c r="AL56" l="1"/>
  <c r="AA55"/>
  <c r="AA53"/>
  <c r="AA52"/>
  <c r="AA51"/>
  <c r="AA50"/>
  <c r="AA49"/>
  <c r="AA48"/>
  <c r="AA42"/>
  <c r="AA14"/>
  <c r="AA12"/>
  <c r="AA10"/>
  <c r="AA8"/>
  <c r="AG55" l="1"/>
  <c r="AH55"/>
  <c r="AL55" l="1"/>
  <c r="AG53" l="1"/>
  <c r="AH53"/>
  <c r="AL53" l="1"/>
  <c r="AG52"/>
  <c r="AH52"/>
  <c r="AL52" l="1"/>
  <c r="AG51"/>
  <c r="AH51"/>
  <c r="AL51" l="1"/>
  <c r="AG50"/>
  <c r="AH50"/>
  <c r="AK49" l="1"/>
  <c r="AJ49"/>
  <c r="AI49"/>
  <c r="AH49"/>
  <c r="AG49"/>
  <c r="AL49" l="1"/>
  <c r="AK48"/>
  <c r="AJ48"/>
  <c r="AI48"/>
  <c r="AG48"/>
  <c r="AG42"/>
  <c r="AG35"/>
  <c r="AG34"/>
  <c r="AG33"/>
  <c r="AH48"/>
  <c r="AH42"/>
  <c r="AH35"/>
  <c r="AH34"/>
  <c r="AH33"/>
  <c r="AL48" l="1"/>
  <c r="AK42"/>
  <c r="AJ42"/>
  <c r="AI42"/>
  <c r="AJ36" l="1"/>
  <c r="AL36" s="1"/>
  <c r="AJ35"/>
  <c r="AL35" s="1"/>
  <c r="AJ34"/>
  <c r="AL34" s="1"/>
  <c r="AL42"/>
  <c r="AL50"/>
  <c r="AJ33"/>
  <c r="AL33" s="1"/>
  <c r="AJ30" l="1"/>
  <c r="AL30" s="1"/>
  <c r="AJ29"/>
  <c r="AL29" s="1"/>
  <c r="AJ25"/>
  <c r="AL25" s="1"/>
  <c r="AJ24"/>
  <c r="AL24" s="1"/>
  <c r="AJ16"/>
  <c r="AL16" s="1"/>
  <c r="AL15"/>
  <c r="AH12"/>
  <c r="AH14"/>
  <c r="AH15"/>
  <c r="AH16"/>
  <c r="AH24"/>
  <c r="AH29"/>
  <c r="AG15"/>
  <c r="AG16"/>
  <c r="AG24"/>
  <c r="AG29"/>
  <c r="AG12"/>
  <c r="AG14"/>
  <c r="AH10"/>
  <c r="AG10"/>
  <c r="AF89"/>
  <c r="AH8"/>
  <c r="AG8"/>
  <c r="AL10" l="1"/>
  <c r="AL14"/>
  <c r="AL12"/>
  <c r="AJ7"/>
  <c r="AI7"/>
  <c r="AK7" l="1"/>
  <c r="AK89" s="1"/>
  <c r="AJ89"/>
  <c r="AI89"/>
  <c r="AL7" l="1"/>
  <c r="AL89" s="1"/>
  <c r="AE89"/>
  <c r="AD89"/>
  <c r="AC89"/>
  <c r="AB89"/>
  <c r="P89"/>
  <c r="L89"/>
  <c r="I89"/>
  <c r="E89"/>
  <c r="AG89"/>
  <c r="BB30"/>
  <c r="BB29"/>
  <c r="BB27"/>
  <c r="BB16"/>
  <c r="BB12"/>
  <c r="BB10"/>
  <c r="BB8"/>
  <c r="AH89"/>
  <c r="AA89"/>
  <c r="AM7"/>
</calcChain>
</file>

<file path=xl/comments1.xml><?xml version="1.0" encoding="utf-8"?>
<comments xmlns="http://schemas.openxmlformats.org/spreadsheetml/2006/main">
  <authors>
    <author>D I S T R I B U S I</author>
    <author>ADMIN DIS</author>
  </authors>
  <commentList>
    <comment ref="BI6" authorId="0">
      <text>
        <r>
          <rPr>
            <b/>
            <sz val="8"/>
            <color indexed="81"/>
            <rFont val="Tahoma"/>
            <family val="2"/>
          </rPr>
          <t>D I S T R I B U S I:</t>
        </r>
        <r>
          <rPr>
            <sz val="8"/>
            <color indexed="81"/>
            <rFont val="Tahoma"/>
            <family val="2"/>
          </rPr>
          <t xml:space="preserve">
U trafo</t>
        </r>
      </text>
    </comment>
    <comment ref="X8" authorId="1">
      <text>
        <r>
          <rPr>
            <b/>
            <sz val="14"/>
            <color indexed="81"/>
            <rFont val="Tahoma"/>
            <family val="2"/>
          </rPr>
          <t>kontramas,drugschoor dan JTR</t>
        </r>
      </text>
    </comment>
    <comment ref="W10" authorId="1">
      <text>
        <r>
          <rPr>
            <b/>
            <sz val="12"/>
            <color indexed="81"/>
            <rFont val="Tahoma"/>
            <family val="2"/>
          </rPr>
          <t>ADMIN DIS:</t>
        </r>
        <r>
          <rPr>
            <sz val="12"/>
            <color indexed="81"/>
            <rFont val="Tahoma"/>
            <family val="2"/>
          </rPr>
          <t xml:space="preserve">
u/ Kontramas &amp; Drug Schoo</t>
        </r>
        <r>
          <rPr>
            <sz val="9"/>
            <color indexed="81"/>
            <rFont val="Tahoma"/>
            <family val="2"/>
          </rPr>
          <t>r</t>
        </r>
      </text>
    </comment>
    <comment ref="W14" authorId="1">
      <text>
        <r>
          <rPr>
            <b/>
            <sz val="9"/>
            <color indexed="81"/>
            <rFont val="Tahoma"/>
            <family val="2"/>
          </rPr>
          <t>ADMIN DIS: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5" authorId="1">
      <text>
        <r>
          <rPr>
            <b/>
            <sz val="14"/>
            <color indexed="81"/>
            <rFont val="Tahoma"/>
            <family val="2"/>
          </rPr>
          <t>tambah 1 tiang 7 mtr utk drucschoor</t>
        </r>
      </text>
    </comment>
    <comment ref="W42" authorId="1">
      <text>
        <r>
          <rPr>
            <b/>
            <sz val="14"/>
            <color indexed="81"/>
            <rFont val="Tahoma"/>
            <family val="2"/>
          </rPr>
          <t>ADMIN
ganti tiang beton dari tiang besi</t>
        </r>
      </text>
    </comment>
    <comment ref="X42" authorId="1">
      <text>
        <r>
          <rPr>
            <b/>
            <sz val="9"/>
            <color indexed="81"/>
            <rFont val="Tahoma"/>
            <family val="2"/>
          </rPr>
          <t>ADMIN DIS: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ganti tiang besi ke tiang beton</t>
        </r>
      </text>
    </comment>
  </commentList>
</comments>
</file>

<file path=xl/sharedStrings.xml><?xml version="1.0" encoding="utf-8"?>
<sst xmlns="http://schemas.openxmlformats.org/spreadsheetml/2006/main" count="431" uniqueCount="279">
  <si>
    <t>LOKASI  PEKERJAAN  LISTRIK PERDESAAN</t>
  </si>
  <si>
    <t>Provinsi: Kalimantan Timur</t>
  </si>
  <si>
    <t>No</t>
  </si>
  <si>
    <t>PRK Wilayah</t>
  </si>
  <si>
    <t>Uraian Kegiatan</t>
  </si>
  <si>
    <t>Total</t>
  </si>
  <si>
    <t>Kabupaten</t>
  </si>
  <si>
    <t>Kecamatan</t>
  </si>
  <si>
    <t>Nama Desa</t>
  </si>
  <si>
    <t>Volume Pembangunan</t>
  </si>
  <si>
    <t>Total RAB (Rp.)</t>
  </si>
  <si>
    <t>RENCANA 2017</t>
  </si>
  <si>
    <t>TRAFO DISTRIBUSI</t>
  </si>
  <si>
    <t>KABEL</t>
  </si>
  <si>
    <t>TIANG</t>
  </si>
  <si>
    <t>Isolator</t>
  </si>
  <si>
    <t>Cut Out</t>
  </si>
  <si>
    <t>Lightning Arrester</t>
  </si>
  <si>
    <t>JTM (kms)</t>
  </si>
  <si>
    <t>JTR (kms)</t>
  </si>
  <si>
    <t>50 kva</t>
  </si>
  <si>
    <t>100 kva</t>
  </si>
  <si>
    <t>160 kva</t>
  </si>
  <si>
    <t>GARDU (KVA)</t>
  </si>
  <si>
    <t>GARDU (Unit)</t>
  </si>
  <si>
    <t>JTM</t>
  </si>
  <si>
    <t>JTR</t>
  </si>
  <si>
    <t>GARDU</t>
  </si>
  <si>
    <t>PRK YG TELAH DILELANG</t>
  </si>
  <si>
    <t>NILAI LELANG JASA DAN ACCESORIS</t>
  </si>
  <si>
    <t>160 KVA</t>
  </si>
  <si>
    <t>100 KVA</t>
  </si>
  <si>
    <t>50 KVA</t>
  </si>
  <si>
    <t>KET</t>
  </si>
  <si>
    <t>Kabel LVTC 3x70+50 mm²</t>
  </si>
  <si>
    <t>Kawat AAACS 150 mm²</t>
  </si>
  <si>
    <t>- 13 M 350 daN</t>
  </si>
  <si>
    <t>- 11 M 350 daN</t>
  </si>
  <si>
    <t>- 11 M 200 daN</t>
  </si>
  <si>
    <t>- 9 M 200 daN</t>
  </si>
  <si>
    <t>NILAI TOTAL RUPIAH</t>
  </si>
  <si>
    <t>Tumpu (20 kV) Lengkap</t>
  </si>
  <si>
    <t>Tarik (20 kV) Lengkap 150-240</t>
  </si>
  <si>
    <t>Cut Out 24 KV 100 A</t>
  </si>
  <si>
    <t xml:space="preserve"> 24 kV 5A </t>
  </si>
  <si>
    <t xml:space="preserve"> Pembangunan Jaringan &amp; Gardu Distribusi</t>
  </si>
  <si>
    <t>PRK.2016.WKT.2.5.1</t>
  </si>
  <si>
    <t>Pembangunan Jaringan &amp; Gardu Distribusi Desa Rantau Hempang Kecamatan Muara Kamam, Kabupaten Kutai Kertanegara</t>
  </si>
  <si>
    <t xml:space="preserve"> Pekerjaan Pemasangan SUTM,SUTR dan</t>
  </si>
  <si>
    <t>Semua ukuran tiang untuk setiap PRK telah dimintakan ke pabrikan unit tingga menunggu realisasi pemasangan dari vendor</t>
  </si>
  <si>
    <t xml:space="preserve"> Desa Rantau Hampang Kecamatan Muara</t>
  </si>
  <si>
    <t xml:space="preserve"> Gardu di Rayon Ilir</t>
  </si>
  <si>
    <t xml:space="preserve">LOKASI : JL. BINA CIPTA,JL. CONVERSE, JL. BATU-BATU, JL. KIHAJAR DEWANTORO,JL.SALIKI DAN JL JAWI-JAWI,JL, JL. TANJUNG LAONG RT 14 DESA JEMBAYAN </t>
  </si>
  <si>
    <t>Desa Rantau Hempang</t>
  </si>
  <si>
    <t>PRK.2016.WKT.2.5.2</t>
  </si>
  <si>
    <t xml:space="preserve"> Desa Loa Kumbar Kecamatan Sungai</t>
  </si>
  <si>
    <t>Desa Leka</t>
  </si>
  <si>
    <t>PRK.2016.WKT.2.5.3</t>
  </si>
  <si>
    <t xml:space="preserve"> Desa Lebak Cilong, Desa Gunung Kelambu</t>
  </si>
  <si>
    <t>Desa Prian Kec Muarawis</t>
  </si>
  <si>
    <t xml:space="preserve"> Kota Bangun, Kabupaten Kutai Kertanegara</t>
  </si>
  <si>
    <t>PRK.2016.WKT.2.5.4</t>
  </si>
  <si>
    <t>Pembangunan Jaringan &amp; Gardu Distribusi Desa Pinang Seribu, Desa Berambai, Desa Labu Siam, Desa Teluk Kedondong, Kab. Samarinda</t>
  </si>
  <si>
    <t>Desa Resak Kec. Bongan</t>
  </si>
  <si>
    <t xml:space="preserve"> Desa Pinang Seribu, Desa Berambai, Desa</t>
  </si>
  <si>
    <t>Desa Morotai Kec Tj Issui</t>
  </si>
  <si>
    <t xml:space="preserve"> Labu Siam,Desa Teluk Kedondong, Kab.</t>
  </si>
  <si>
    <t xml:space="preserve"> Samarinda</t>
  </si>
  <si>
    <t>PRK.2016.WKT.2.5.5</t>
  </si>
  <si>
    <t>Pembangunan Jaringan &amp; Gardu Distribusi Desa Penoon, Desa Long Mahli, Desa Modang, Kecamatan Kembang Janggut, Kab. Kukar</t>
  </si>
  <si>
    <t>Proses lelang jasa dan accessories telah dikirim kepejabat pelelangan</t>
  </si>
  <si>
    <t xml:space="preserve"> Desa Penoon, Desa Long Mahli Desa</t>
  </si>
  <si>
    <t xml:space="preserve"> Modang, Kecamatan Kembang Janggut</t>
  </si>
  <si>
    <t>PRK.2016.WKT.2.5.6</t>
  </si>
  <si>
    <t>Pembangunan Jaringan &amp; Gardu Distribusi Desa tersebar Samarinda Seberang</t>
  </si>
  <si>
    <t xml:space="preserve"> Pemasangan SUTM,SUTR dan Trafo</t>
  </si>
  <si>
    <t>PRK.2016.WKT.2.5.7</t>
  </si>
  <si>
    <t xml:space="preserve"> Desa Camp Baru Muara Tawe, Kec. Jempang</t>
  </si>
  <si>
    <t>Pembangunan Jaringan &amp; Gardu Distribusi Desa Sebulu Lama, Kec. Sebulu, Kab. Kutai Kartanegara</t>
  </si>
  <si>
    <t xml:space="preserve">LOKASI : JL. PERJUANGAN, JL SUNGAI KAPIH, JL SULTAN ALIMUDIN, JL. PEMUDA III BLOK C RT 11, JL GERILYA GG RUKUN MAKMUR, JL. SEJATI GANG RAMBAI, GG KEOANDUAN GN LINGAI, GANG ITITK GUNUNG LINGAI </t>
  </si>
  <si>
    <t>PRK.2016.WKT.2.5.9</t>
  </si>
  <si>
    <t>Pembangunan Jaringan &amp; Gardu Distribusi Desa Margasari Samarinda Seberang</t>
  </si>
  <si>
    <t>PLN AREA BERAU</t>
  </si>
  <si>
    <t>JUMLAH</t>
  </si>
  <si>
    <t>Desa</t>
  </si>
  <si>
    <t>Balikpapan, 07 Maret 2016</t>
  </si>
  <si>
    <t xml:space="preserve">PLH. MANAJER </t>
  </si>
  <si>
    <t>BERAU</t>
  </si>
  <si>
    <t>RENCANA USULAN PELAYANAN PLN
DI KECAMATAN KELAY</t>
  </si>
  <si>
    <t>KELAY</t>
  </si>
  <si>
    <t>RENCANA USULAN PELAYANAN PLN
DI PULAU MARATUA</t>
  </si>
  <si>
    <t>MARATUA</t>
  </si>
  <si>
    <t>200 kva</t>
  </si>
  <si>
    <t>TANJUNG REDEB</t>
  </si>
  <si>
    <t>SAMBALIUNG</t>
  </si>
  <si>
    <t>GUNUNG TABUR</t>
  </si>
  <si>
    <t>RENCANA PENAMBAHAN SUTR
Kamp. Paribau gg. Padaidi</t>
  </si>
  <si>
    <t>RENCANA PENAMBAHAN SUTR TERSEBAR</t>
  </si>
  <si>
    <t>JL BANGUN TRANS</t>
  </si>
  <si>
    <t>JL. CUT NYAK DIEN GANG KARET</t>
  </si>
  <si>
    <t>JL. CUT NYAK DIEN GANG SIMPATI</t>
  </si>
  <si>
    <t>JL. SIDUUNG</t>
  </si>
  <si>
    <t>JL. RADEN AYOEB GUNUNG TABUR</t>
  </si>
  <si>
    <t>JL. ALBINA UJUNG</t>
  </si>
  <si>
    <t>JL. ARMED</t>
  </si>
  <si>
    <t xml:space="preserve">JL. SUKAN </t>
  </si>
  <si>
    <t>PENAMBAHAN SUTR LOKASI ULD DERAWAN</t>
  </si>
  <si>
    <t>DERAWAN</t>
  </si>
  <si>
    <t>PENAMBAHAN JARINGAN TR JL. POROS MERANCANG (JAGUNG - JAGUNG)</t>
  </si>
  <si>
    <t>PENAMBAHAN JARINGAN SUTR JL. SIRANUDDIN TEMBUSAN JL. PANGERAN DIULU</t>
  </si>
  <si>
    <t>PENAMBAHAN SUTR LOKASI TERSEBAR</t>
  </si>
  <si>
    <t>JL. SAMBURAKAT UJUNG</t>
  </si>
  <si>
    <t>JL. GANG MUTIARA GUNTA</t>
  </si>
  <si>
    <t>JL. SIRANUDDIN</t>
  </si>
  <si>
    <t>MERASA</t>
  </si>
  <si>
    <t>RENCANA RELOKASI PLTD DAN USULAN JARINGAN ULD MERASA</t>
  </si>
  <si>
    <t>USULAN PERLUASAN JARINGAN DISTRIBUSI DESA BELAYAN ARI</t>
  </si>
  <si>
    <t>KTT</t>
  </si>
  <si>
    <t>MALINAU</t>
  </si>
  <si>
    <t>RENCANA PERLUASAN SUTM, SUTR  DAN 
TRAFO DESA SESUA RT. 5</t>
  </si>
  <si>
    <t>MENTARANG</t>
  </si>
  <si>
    <t>SESUA</t>
  </si>
  <si>
    <t>RENCANA PERLUASAN SUTM, SUTR DAN 
TRAFO DESA MALINAU HILIR 
JL. TANI RT 6 - SWADAYA</t>
  </si>
  <si>
    <t xml:space="preserve"> RENCANA PERLUASAN SUTM, SUTR DAN TRAFO DESA MALINAU KOTA
SIMPANG MANGGRIS ARAH JALAN HAULING</t>
  </si>
  <si>
    <t>RENCANA PERLUASAN SUTM, SUTR
 DAN TRAFO DESA PUNAN BENGALUN JL. MANGKUASAR</t>
  </si>
  <si>
    <t>RENCANA PERLUASAN SUTM, SUTR DAN TRAFO DESA SEMENGGOL GANG ARGUMA</t>
  </si>
  <si>
    <t>RENCANA PERLUASAN SUTM, SUTR DAN TRAFO DESA KELAPIS JL. PELABUHAN</t>
  </si>
  <si>
    <t>KELAPIS</t>
  </si>
  <si>
    <t>RENCANA PERLUASAN SUTM, SUTR DAN TRAFO DESA KUALA LAPANG JL. GRAHA PEMUDA</t>
  </si>
  <si>
    <t>KUALA LAPANG JL GRAHA</t>
  </si>
  <si>
    <t>RENCANA PERLUASAN SUTM, 
SUTR DAN TRAFO DESA LUBAK MANIS  
JL.SEMENGARIS 2</t>
  </si>
  <si>
    <t>LUBAK MANIS</t>
  </si>
  <si>
    <t>RENCANA USULAN PELAYANAN PLN DI DESA 
TEPIAN KECAMATAN SEMBAKUNG</t>
  </si>
  <si>
    <t>NUNUKAN</t>
  </si>
  <si>
    <t>SEMBAKUNG</t>
  </si>
  <si>
    <t>RENCANA USULAN PELAYANAN PLN DI DESA 
KAMPUN BARU (TOHGHAP) SEI MENGGARIS</t>
  </si>
  <si>
    <t>SEI MENGGARIS</t>
  </si>
  <si>
    <t>KP BARU (TONGHAP)</t>
  </si>
  <si>
    <t>RENCANA PERLUASAN JARINGAN
TANJUNG MENTRI</t>
  </si>
  <si>
    <t>TANJUNG MENTRI</t>
  </si>
  <si>
    <t>USULAN PERLUASAN JARINGAN PLN DI 7 DESA 
TULIN ONSOI KABUPATEN NUNUKAN</t>
  </si>
  <si>
    <t>TULIN ONSOI</t>
  </si>
  <si>
    <t>TEMBALANG</t>
  </si>
  <si>
    <t>SALANG</t>
  </si>
  <si>
    <t>NAPUTI</t>
  </si>
  <si>
    <t>TINAMPAK 1</t>
  </si>
  <si>
    <t>TINAMPAK 2</t>
  </si>
  <si>
    <t>TAU BARU</t>
  </si>
  <si>
    <t>BALATIKON</t>
  </si>
  <si>
    <t>RENCANA USULAN PELAYANAN PLN DI POS 
PAMTAS DAN DESA SEKAYUDANTAKA</t>
  </si>
  <si>
    <t>DESA SEKADUYANTAKA</t>
  </si>
  <si>
    <t>Jl. Selimau PKMT</t>
  </si>
  <si>
    <t>JL. Sabanar Baru - Sabanar Lama</t>
  </si>
  <si>
    <t>Jl. Tengkapak</t>
  </si>
  <si>
    <t>Jl. Semangka</t>
  </si>
  <si>
    <t>Jl. Rawa Payau</t>
  </si>
  <si>
    <t>Jl. Diponegoro</t>
  </si>
  <si>
    <t>Desa Long Sam ULD Long Beluah</t>
  </si>
  <si>
    <t>Desa Tenggiling Sekatak</t>
  </si>
  <si>
    <t>Desa Long Bia ULD Long Peso</t>
  </si>
  <si>
    <t>Jl. Jelarai</t>
  </si>
  <si>
    <t>Jl. Lebong/KP. Tanjung Palas</t>
  </si>
  <si>
    <t>Ds. Kelubir/KP. Pimping</t>
  </si>
  <si>
    <t>Ds. Mara Hilir/ULD Mara</t>
  </si>
  <si>
    <t>Ds. Pimping/KP. Pimping</t>
  </si>
  <si>
    <t>PENAMBAHAN SUTM, GARDU, SUTR LOKASI TERSEBAR</t>
  </si>
  <si>
    <t xml:space="preserve">BULUNGAN </t>
  </si>
  <si>
    <t>RENCANA PERLUASAN JARINGAN RIAN-RAYO</t>
  </si>
  <si>
    <t>SAPARI DAN RIAN RAYO</t>
  </si>
  <si>
    <t>PENAMBAHAN JARINGAN SUTR BELAKANG SMA GUNUNG TABUR</t>
  </si>
  <si>
    <t>RENCANA PENAMBAHAN DAN REKONDUKTOR SUTR JL. SAMBALIUNG</t>
  </si>
  <si>
    <t>RENCANA PENAMBAHAN JTM, GARDU, SUTR 
 JL. GARUDA SAMBALIUNG</t>
  </si>
  <si>
    <t>RENCANA PERLUASAN JARINGAN KAMPUNG AMPEN MEDAN</t>
  </si>
  <si>
    <t>PMN/ APLN PT PLN (PERSERO) TAHUN ANGGARAN 2017</t>
  </si>
  <si>
    <t>PERLUASAN JARINGAN DESA BERIAN BARU, 
TANGPAYE, PA KIDANG, TJG. KARYA, PADAT
 KARYA DAN LEMBUDUD</t>
  </si>
  <si>
    <t>KRAYAN</t>
  </si>
  <si>
    <t>RENCANA PERLUASAN DESA BERIAN BARU, 
TANGPAYEH, PA KIDANG, TJG. KARYA, PADAT KARYA, DAN LEMBUDUD</t>
  </si>
  <si>
    <t>RENCANA PERLUASAN SUTM, SUTR DAN TRAFO DESA MALINAU KOTA JL. BARU RT 15</t>
  </si>
  <si>
    <t>DESA MALINAU KOTA JL. BARU RT 15</t>
  </si>
  <si>
    <t>RENCANA PERLUASAN SUTR DESA RESPEN TUBU - JL. POLTEK</t>
  </si>
  <si>
    <t>DESA RESPEN TUBU JL. POLTEK</t>
  </si>
  <si>
    <t>RENCANA PERLUASAN SUTM, SUTR DAN TRAFO DESA SEMPAYANG J. POROS SESUA</t>
  </si>
  <si>
    <t>DESA SEMPAYANG JL. POROS SESUA</t>
  </si>
  <si>
    <t>RENCANA PERLUASAN JARINGAN PAMTAS BAMBANGAN</t>
  </si>
  <si>
    <t>SEBATIK</t>
  </si>
  <si>
    <t>RENCANA PERLUASAN JARINGAN PAMTAS BUKIT KERAMAT + KMP.TEBOL</t>
  </si>
  <si>
    <t>RENCANA PENAMBAHAN SUTR SUKAN</t>
  </si>
  <si>
    <t>RENCANA PENAMBAHAN SUTR UNIT TANJUNG BATU</t>
  </si>
  <si>
    <t>RENCANA PERLUASAN JARINGAN SUTR UNIT GUNUNG SARI</t>
  </si>
  <si>
    <t>RENCANA PENAMBAHAN  SUTR UNIT MERANCANG</t>
  </si>
  <si>
    <t>MERANCANG</t>
  </si>
  <si>
    <t>RENCANA PERLUASAN DAN PENAMBAHAN JARINGAN SUTR RINDING, SULTAN AGUNG, TASUK</t>
  </si>
  <si>
    <t>GANG BANBAM RINDING</t>
  </si>
  <si>
    <t>JL. SULTAN AGUNG</t>
  </si>
  <si>
    <t>JL. TASUK</t>
  </si>
  <si>
    <t>SIDO BANGEN, LONG BELIU, LESAN DAYAK</t>
  </si>
  <si>
    <t>USULAN PEMBANGUNAN JARINGAN TM, TR DAN GARDU DI DESA PILANJAU/MANTARITIP  KEC. SAMBALIUNG</t>
  </si>
  <si>
    <t>MANGKAJANG-MANTARITIP</t>
  </si>
  <si>
    <t>PILANJAU TERUSAN</t>
  </si>
  <si>
    <t>USULAN PEMBANGUNAN PERLUASAN JARINGAN TR DAN GARDU DI DESA SUARAN KEC. SAMBALIUNG</t>
  </si>
  <si>
    <t>SUARAN</t>
  </si>
  <si>
    <t>DESA SUARAN, SMP 41</t>
  </si>
  <si>
    <t>USULAN PEMBANGUNAN JARINGAN TM, TR DAN GARDU DI JL. MURJANI 3 S.D JL. PEMBANGUNAN  
KOTA TANJUNG REDEB</t>
  </si>
  <si>
    <t>JL MURJANI S/D J.L PEMBANGUNAN</t>
  </si>
  <si>
    <t>USULAN PEMBANGUNAN JARINGAN TM, TR 
DAN GARDU DI DESA PEJALIN KAMPUNG PENISIR KEC. TANJUNG PALAS</t>
  </si>
  <si>
    <t>TJ PALAS</t>
  </si>
  <si>
    <t>PEJALIN</t>
  </si>
  <si>
    <t>USULAN PEMBANGUNAN JARINGAN TM, TR DAN GARDU DI JALAN POROS DESA SALIM BATU
KEC. TANJUNG PALAS TENGAH</t>
  </si>
  <si>
    <t>TJ PALAS TENGAH</t>
  </si>
  <si>
    <t>DESA SALIM BATU</t>
  </si>
  <si>
    <t>USULAN PEMBANGUNAN JARINGAN TM, TR DAN GARDU DI PERLUASAN JL SABANAR LAMA-SABANAR BARU DESA SABANAR LAMA KEC. TANJUNG SELOR TIMUR</t>
  </si>
  <si>
    <t>TJ SELOR TIMUR</t>
  </si>
  <si>
    <t>DESA SABANAR</t>
  </si>
  <si>
    <t>DESA PAYUNG2, DESA BOHE SILIAN , DESA TELUK HARAPAN</t>
  </si>
  <si>
    <t>DESA AMPEN MEDAN</t>
  </si>
  <si>
    <t>KEC.MERANCANG</t>
  </si>
  <si>
    <t>KEC.SAMBALIUNG JL.GARUDA</t>
  </si>
  <si>
    <t>KEC.GUNUNG TABUR DESA PARIBAU</t>
  </si>
  <si>
    <t xml:space="preserve">KEC.TANJUNG BATU </t>
  </si>
  <si>
    <t>DESA MERANCANG ULU &amp; MERANCANG JAYA</t>
  </si>
  <si>
    <t>KEC.TANJUNG BATU  DESA P.DERAWAN</t>
  </si>
  <si>
    <t>MALINAU HILIR</t>
  </si>
  <si>
    <t>DESA MALINAU HILIR</t>
  </si>
  <si>
    <t>MALINAU KOTA</t>
  </si>
  <si>
    <t>DESA MALINAU KOTA</t>
  </si>
  <si>
    <t>DESA PUNAN BENGALUN</t>
  </si>
  <si>
    <t xml:space="preserve">MALINAU </t>
  </si>
  <si>
    <t>DESA SEMENGGOL GG.ARGUMA</t>
  </si>
  <si>
    <t>DESA MERASA</t>
  </si>
  <si>
    <t xml:space="preserve">KEC.GUNUNG TABUR </t>
  </si>
  <si>
    <t xml:space="preserve"> DESA BELAYAN ARI</t>
  </si>
  <si>
    <t>DESA BERIAN BARU, 
TANGPAYE, PA KIDANG, TJG. KARYA, PADAT
 KARYA DAN LEMBUDUD</t>
  </si>
  <si>
    <t>DESA BERIAN BARU, 
TANGPAYEH, PA KIDANG, TJG. KARYA, PADAT KARYA, DAN LEMBUDUD</t>
  </si>
  <si>
    <t>DESA TEPIAN</t>
  </si>
  <si>
    <t>KEC.SEBATIK</t>
  </si>
  <si>
    <t>TERSEBAR</t>
  </si>
  <si>
    <t>Menyetujui,</t>
  </si>
  <si>
    <t>ASMAN PERENCANAAN</t>
  </si>
  <si>
    <t>DICKY IRMAN BACHTIAR</t>
  </si>
  <si>
    <t>Pengusul,</t>
  </si>
  <si>
    <t>Spv.Perencanaan Sistem</t>
  </si>
  <si>
    <t>MARTIN PONGSONGGO</t>
  </si>
  <si>
    <t>-</t>
  </si>
  <si>
    <t>TIANG BETON</t>
  </si>
  <si>
    <t>A3CS 70</t>
  </si>
  <si>
    <t>A3CS 150</t>
  </si>
  <si>
    <t>A3CS 240</t>
  </si>
  <si>
    <t>MVTC 150</t>
  </si>
  <si>
    <t>SKTM (150 MM)</t>
  </si>
  <si>
    <t>SKTM (240 MM)</t>
  </si>
  <si>
    <t>NYY 120 MM</t>
  </si>
  <si>
    <t>NYY 70 MM</t>
  </si>
  <si>
    <t>TC 3X70+1X50 MM</t>
  </si>
  <si>
    <t>Conductor / Cable</t>
  </si>
  <si>
    <t>LV BOARD</t>
  </si>
  <si>
    <t>SUSPENSION</t>
  </si>
  <si>
    <t>PIN</t>
  </si>
  <si>
    <t>CUT OUT</t>
  </si>
  <si>
    <t>ARRESTER</t>
  </si>
  <si>
    <t>CUBICLE</t>
  </si>
  <si>
    <t>LBS</t>
  </si>
  <si>
    <t>1 PNT 2 JUR/250 A 2 JURUSAN</t>
  </si>
  <si>
    <t>2 PNT 4 JUR/400 A 4 JURUSAN</t>
  </si>
  <si>
    <t>INCOMING</t>
  </si>
  <si>
    <t>OUTGOING</t>
  </si>
  <si>
    <t>COUPLING</t>
  </si>
  <si>
    <t>NYY 150 MM</t>
  </si>
  <si>
    <t>TRAFO</t>
  </si>
  <si>
    <r>
      <t xml:space="preserve">SUKAN  </t>
    </r>
    <r>
      <rPr>
        <b/>
        <i/>
        <sz val="16"/>
        <color theme="1"/>
        <rFont val="Calibri"/>
        <family val="2"/>
        <scheme val="minor"/>
      </rPr>
      <t>(hanya cable JTR)</t>
    </r>
  </si>
  <si>
    <r>
      <t xml:space="preserve">KEC.SAMBALIUNG </t>
    </r>
    <r>
      <rPr>
        <b/>
        <i/>
        <sz val="16"/>
        <color theme="1"/>
        <rFont val="Calibri"/>
        <family val="2"/>
        <scheme val="minor"/>
      </rPr>
      <t>(hanya JTR)</t>
    </r>
  </si>
  <si>
    <t>RENCANA PENAMBAHAN SUTR  PRAPATAN</t>
  </si>
  <si>
    <t>KEC.SEGAH DESA GUNUNG SARI  (hanya cable JTR)</t>
  </si>
  <si>
    <t>PENAMBAHAN JARINGAN SUTR JL. PARIBAU DEPAN BENGKEL</t>
  </si>
  <si>
    <t>PENAMBAHAN JARINGAN SUTR SKUADRON</t>
  </si>
  <si>
    <t>PENAMBAHAN JARINGAN SUTR SIDUUNG UJUNG</t>
  </si>
  <si>
    <t>JL.KALIMARAU</t>
  </si>
  <si>
    <t>JL. SIDUUNG UJUNG</t>
  </si>
  <si>
    <t>POTENSI CALON  PELANGGAN</t>
  </si>
  <si>
    <t>Jl. Datuk Iqro' ULD Salimbatu</t>
  </si>
</sst>
</file>

<file path=xl/styles.xml><?xml version="1.0" encoding="utf-8"?>
<styleSheet xmlns="http://schemas.openxmlformats.org/spreadsheetml/2006/main">
  <numFmts count="47">
    <numFmt numFmtId="5" formatCode="&quot;$&quot;#,##0_);\(&quot;$&quot;#,##0\)"/>
    <numFmt numFmtId="7" formatCode="&quot;$&quot;#,##0.00_);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."/>
    <numFmt numFmtId="166" formatCode="0_);\(0\)"/>
    <numFmt numFmtId="167" formatCode="0.0_);\(0.0\)"/>
    <numFmt numFmtId="168" formatCode="0.00_);\(0.00\)"/>
    <numFmt numFmtId="169" formatCode="&quot;Rp&quot;\.#,##0_);\(&quot;Rp&quot;\.#,##0\)"/>
    <numFmt numFmtId="170" formatCode="#,##0;\-#,##0;&quot;-&quot;"/>
    <numFmt numFmtId="171" formatCode="mmmm\-yy"/>
    <numFmt numFmtId="172" formatCode="&quot;Rp&quot;#,##0;[Red]\-&quot;Rp&quot;#,##0"/>
    <numFmt numFmtId="173" formatCode="mmm\.yy"/>
    <numFmt numFmtId="174" formatCode="d\.m\.yy\ h:mm"/>
    <numFmt numFmtId="175" formatCode="0&quot;  &quot;"/>
    <numFmt numFmtId="176" formatCode="&quot;Rp&quot;#,##0;\-&quot;Rp&quot;#,##0"/>
    <numFmt numFmtId="177" formatCode="_-* #,##0_-;\-* #,##0_-;_-* &quot;-&quot;_-;_-@_-"/>
    <numFmt numFmtId="178" formatCode="\(0%\)"/>
    <numFmt numFmtId="179" formatCode="_-* #,##0.00_-;\-* #,##0.00_-;_-* &quot;-&quot;??_-;_-@_-"/>
    <numFmt numFmtId="180" formatCode="#,##0.00;[Red]#,##0.00"/>
    <numFmt numFmtId="181" formatCode="#,##0.00000_);\(#,##0.00000\)"/>
    <numFmt numFmtId="182" formatCode="_-&quot;Rp&quot;* #,##0_-;\-&quot;Rp&quot;* #,##0_-;_-&quot;Rp&quot;* &quot;-&quot;_-;_-@_-"/>
    <numFmt numFmtId="183" formatCode="_-&quot;Rp&quot;* #,##0.00_-;\-&quot;Rp&quot;* #,##0.00_-;_-&quot;Rp&quot;* &quot;-&quot;??_-;_-@_-"/>
    <numFmt numFmtId="184" formatCode="\$#,##0\ ;\(\$#,##0\)"/>
    <numFmt numFmtId="185" formatCode="#,##0_);[Red]\(#,##0\);;@"/>
    <numFmt numFmtId="186" formatCode="_-* #,##0.00&quot;€&quot;_-;\-* #,##0.00&quot;€&quot;_-;_-* &quot;-&quot;??&quot;€&quot;_-;_-@_-"/>
    <numFmt numFmtId="187" formatCode="0.000%"/>
    <numFmt numFmtId="188" formatCode="#,##0.0_);\(#,##0.0\)"/>
    <numFmt numFmtId="189" formatCode="#,##0\ &quot;F&quot;;[Red]\-#,##0\ &quot;F&quot;"/>
    <numFmt numFmtId="190" formatCode="#,##0.00\ &quot;F&quot;;[Red]\-#,##0.00\ &quot;F&quot;"/>
    <numFmt numFmtId="191" formatCode="&quot;VND&quot;#,##0_);[Red]\(&quot;VND&quot;#,##0\)"/>
    <numFmt numFmtId="192" formatCode="[$-409]d\-mmm\-yy;@"/>
    <numFmt numFmtId="193" formatCode="0.0"/>
    <numFmt numFmtId="194" formatCode="mm/dd/yy"/>
    <numFmt numFmtId="195" formatCode="#,##0.0"/>
    <numFmt numFmtId="196" formatCode="0.00&quot;  &quot;"/>
    <numFmt numFmtId="197" formatCode="_-&quot;$&quot;\ * #,##0_-;\-&quot;$&quot;\ * #,##0_-;_-&quot;$&quot;\ * &quot;-&quot;_-;_-@_-"/>
    <numFmt numFmtId="198" formatCode="&quot;｣ &quot;#,##0.00_);[Red]\(&quot;｣ &quot;#,##0.00\)"/>
    <numFmt numFmtId="199" formatCode="&quot;\&quot;#,##0;[Red]&quot;\&quot;&quot;\&quot;\-#,##0"/>
    <numFmt numFmtId="200" formatCode="&quot;\&quot;#,##0.00;[Red]&quot;\&quot;&quot;\&quot;&quot;\&quot;&quot;\&quot;&quot;\&quot;&quot;\&quot;\-#,##0.00"/>
    <numFmt numFmtId="201" formatCode="&quot;\&quot;#,##0.00;[Red]&quot;\&quot;\-#,##0.00"/>
    <numFmt numFmtId="202" formatCode="&quot;\&quot;#,##0;[Red]&quot;\&quot;\-#,##0"/>
    <numFmt numFmtId="203" formatCode="_-* #,##0.00\ _F_-;\-* #,##0.00\ _F_-;_-* &quot;-&quot;??\ _F_-;_-@_-"/>
    <numFmt numFmtId="204" formatCode="_-* #,##0_-;&quot;¥&quot;\-* #,##0_-;_-* &quot;-&quot;_-;_-@_-"/>
    <numFmt numFmtId="205" formatCode="_-* #,##0.000_-;\-* #,##0.000_-;_-* &quot;-&quot;??_-;_-@_-"/>
  </numFmts>
  <fonts count="16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Arial"/>
      <family val="2"/>
    </font>
    <font>
      <sz val="10"/>
      <name val="Arial"/>
      <family val="2"/>
    </font>
    <font>
      <sz val="12"/>
      <name val="Helv"/>
    </font>
    <font>
      <sz val="10"/>
      <name val="Calibri"/>
      <family val="2"/>
    </font>
    <font>
      <sz val="11"/>
      <name val="Arial"/>
      <family val="2"/>
    </font>
    <font>
      <b/>
      <sz val="10"/>
      <name val="Calibri"/>
      <family val="2"/>
    </font>
    <font>
      <sz val="8"/>
      <color theme="1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"/>
      <color indexed="16"/>
      <name val="Courier"/>
      <family val="3"/>
    </font>
    <font>
      <sz val="10"/>
      <name val="Helv"/>
    </font>
    <font>
      <sz val="12"/>
      <name val="¹ÙÅÁÃ¼"/>
      <charset val="129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</font>
    <font>
      <sz val="11"/>
      <color indexed="9"/>
      <name val="Calibri"/>
      <family val="2"/>
      <charset val="1"/>
    </font>
    <font>
      <sz val="11"/>
      <color theme="0"/>
      <name val="Calibri"/>
      <family val="2"/>
      <charset val="1"/>
      <scheme val="minor"/>
    </font>
    <font>
      <b/>
      <u/>
      <sz val="18"/>
      <color indexed="9"/>
      <name val="Tahoma"/>
      <family val="2"/>
    </font>
    <font>
      <sz val="10"/>
      <name val="Tahoma"/>
      <family val="2"/>
    </font>
    <font>
      <sz val="12"/>
      <name val="¹UAAA¼"/>
      <family val="3"/>
    </font>
    <font>
      <sz val="8"/>
      <name val="Times New Roman"/>
      <family val="1"/>
    </font>
    <font>
      <sz val="12"/>
      <name val="¹UAAA¼"/>
      <family val="3"/>
      <charset val="255"/>
    </font>
    <font>
      <sz val="11"/>
      <color indexed="20"/>
      <name val="Calibri"/>
      <family val="2"/>
    </font>
    <font>
      <sz val="11"/>
      <color indexed="20"/>
      <name val="Calibri"/>
      <family val="2"/>
      <charset val="1"/>
    </font>
    <font>
      <sz val="11"/>
      <color indexed="16"/>
      <name val="Calibri"/>
      <family val="2"/>
    </font>
    <font>
      <sz val="11"/>
      <color rgb="FF9C0006"/>
      <name val="Calibri"/>
      <family val="2"/>
      <charset val="1"/>
      <scheme val="minor"/>
    </font>
    <font>
      <sz val="11"/>
      <color indexed="17"/>
      <name val="Calibri"/>
      <family val="2"/>
      <charset val="1"/>
    </font>
    <font>
      <sz val="10"/>
      <color indexed="8"/>
      <name val="Arial"/>
      <family val="2"/>
    </font>
    <font>
      <sz val="10"/>
      <name val="Times"/>
      <family val="1"/>
    </font>
    <font>
      <b/>
      <sz val="11"/>
      <color indexed="52"/>
      <name val="Calibri"/>
      <family val="2"/>
    </font>
    <font>
      <b/>
      <sz val="11"/>
      <color indexed="52"/>
      <name val="Calibri"/>
      <family val="2"/>
      <charset val="1"/>
    </font>
    <font>
      <b/>
      <sz val="11"/>
      <color indexed="53"/>
      <name val="Calibri"/>
      <family val="2"/>
    </font>
    <font>
      <b/>
      <sz val="11"/>
      <color rgb="FFFA7D00"/>
      <name val="Calibri"/>
      <family val="2"/>
      <charset val="1"/>
      <scheme val="minor"/>
    </font>
    <font>
      <b/>
      <sz val="11"/>
      <color indexed="9"/>
      <name val="Calibri"/>
      <family val="2"/>
      <charset val="1"/>
    </font>
    <font>
      <sz val="7"/>
      <name val="Times New Roman"/>
      <family val="1"/>
    </font>
    <font>
      <b/>
      <sz val="11"/>
      <color indexed="9"/>
      <name val="Calibri"/>
      <family val="2"/>
    </font>
    <font>
      <b/>
      <sz val="11"/>
      <color theme="0"/>
      <name val="Calibri"/>
      <family val="2"/>
      <charset val="1"/>
      <scheme val="minor"/>
    </font>
    <font>
      <sz val="12"/>
      <name val="Times"/>
    </font>
    <font>
      <sz val="10"/>
      <color theme="1"/>
      <name val="Calibri"/>
      <family val="2"/>
      <charset val="1"/>
      <scheme val="minor"/>
    </font>
    <font>
      <sz val="10"/>
      <name val="Trebuchet MS"/>
      <family val="2"/>
    </font>
    <font>
      <sz val="12"/>
      <name val="Times New Roman"/>
      <family val="1"/>
    </font>
    <font>
      <sz val="10"/>
      <name val="Book Antiqua"/>
      <family val="1"/>
    </font>
    <font>
      <sz val="9"/>
      <name val="Arial"/>
      <family val="2"/>
    </font>
    <font>
      <sz val="10"/>
      <color indexed="8"/>
      <name val="Arial"/>
      <family val="2"/>
      <charset val="1"/>
    </font>
    <font>
      <sz val="10"/>
      <name val="MS Serif"/>
      <family val="1"/>
    </font>
    <font>
      <sz val="10"/>
      <name val="Courier"/>
      <family val="3"/>
    </font>
    <font>
      <sz val="13"/>
      <name val="Times New Roman"/>
      <family val="1"/>
    </font>
    <font>
      <sz val="14"/>
      <name val="Helv"/>
    </font>
    <font>
      <sz val="10"/>
      <name val="Century Gothic"/>
      <family val="2"/>
    </font>
    <font>
      <b/>
      <sz val="11"/>
      <color indexed="8"/>
      <name val="Calibri"/>
      <family val="2"/>
      <charset val="1"/>
    </font>
    <font>
      <b/>
      <sz val="11"/>
      <color indexed="8"/>
      <name val="Calibri"/>
      <family val="2"/>
    </font>
    <font>
      <sz val="24"/>
      <color indexed="13"/>
      <name val="SWISS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i/>
      <sz val="11"/>
      <color indexed="23"/>
      <name val="Calibri"/>
      <family val="2"/>
      <charset val="1"/>
    </font>
    <font>
      <i/>
      <sz val="11"/>
      <color rgb="FF7F7F7F"/>
      <name val="Calibri"/>
      <family val="2"/>
      <charset val="1"/>
      <scheme val="minor"/>
    </font>
    <font>
      <b/>
      <sz val="16"/>
      <name val="DUTCH"/>
    </font>
    <font>
      <sz val="11"/>
      <color indexed="17"/>
      <name val="Calibri"/>
      <family val="2"/>
    </font>
    <font>
      <sz val="11"/>
      <color rgb="FF006100"/>
      <name val="Calibri"/>
      <family val="2"/>
      <charset val="1"/>
      <scheme val="minor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5"/>
      <color indexed="56"/>
      <name val="Calibri"/>
      <family val="2"/>
      <charset val="1"/>
    </font>
    <font>
      <b/>
      <sz val="15"/>
      <color indexed="8"/>
      <name val="Calibri"/>
      <family val="2"/>
      <charset val="1"/>
    </font>
    <font>
      <b/>
      <sz val="18"/>
      <name val="Arial"/>
      <family val="2"/>
    </font>
    <font>
      <b/>
      <sz val="15"/>
      <color indexed="62"/>
      <name val="Calibri"/>
      <family val="2"/>
    </font>
    <font>
      <b/>
      <sz val="15"/>
      <color theme="3"/>
      <name val="Calibri"/>
      <family val="2"/>
      <charset val="1"/>
      <scheme val="minor"/>
    </font>
    <font>
      <b/>
      <sz val="13"/>
      <color indexed="56"/>
      <name val="Calibri"/>
      <family val="2"/>
    </font>
    <font>
      <b/>
      <sz val="13"/>
      <color indexed="56"/>
      <name val="Calibri"/>
      <family val="2"/>
      <charset val="1"/>
    </font>
    <font>
      <b/>
      <sz val="13"/>
      <color indexed="8"/>
      <name val="Calibri"/>
      <family val="2"/>
      <charset val="1"/>
    </font>
    <font>
      <b/>
      <sz val="13"/>
      <color indexed="62"/>
      <name val="Calibri"/>
      <family val="2"/>
    </font>
    <font>
      <b/>
      <sz val="13"/>
      <color theme="3"/>
      <name val="Calibri"/>
      <family val="2"/>
      <charset val="1"/>
      <scheme val="minor"/>
    </font>
    <font>
      <b/>
      <sz val="11"/>
      <color indexed="56"/>
      <name val="Calibri"/>
      <family val="2"/>
    </font>
    <font>
      <b/>
      <sz val="11"/>
      <color indexed="56"/>
      <name val="Calibri"/>
      <family val="2"/>
      <charset val="1"/>
    </font>
    <font>
      <b/>
      <sz val="11"/>
      <color indexed="62"/>
      <name val="Calibri"/>
      <family val="2"/>
    </font>
    <font>
      <b/>
      <sz val="11"/>
      <color theme="3"/>
      <name val="Calibri"/>
      <family val="2"/>
      <charset val="1"/>
      <scheme val="minor"/>
    </font>
    <font>
      <b/>
      <sz val="1"/>
      <color indexed="16"/>
      <name val="Courier"/>
      <family val="3"/>
    </font>
    <font>
      <u/>
      <sz val="11"/>
      <color theme="10"/>
      <name val="Calibri"/>
      <family val="2"/>
      <charset val="1"/>
    </font>
    <font>
      <u/>
      <sz val="10"/>
      <color theme="10"/>
      <name val="Arial"/>
      <family val="2"/>
    </font>
    <font>
      <u/>
      <sz val="7"/>
      <color theme="10"/>
      <name val="Arial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62"/>
      <name val="Calibri"/>
      <family val="2"/>
      <charset val="1"/>
    </font>
    <font>
      <sz val="11"/>
      <color rgb="FF3F3F76"/>
      <name val="Calibri"/>
      <family val="2"/>
      <charset val="1"/>
      <scheme val="minor"/>
    </font>
    <font>
      <b/>
      <sz val="18"/>
      <color indexed="62"/>
      <name val="Cambria"/>
      <family val="2"/>
      <charset val="1"/>
    </font>
    <font>
      <b/>
      <sz val="11"/>
      <color indexed="63"/>
      <name val="Calibri"/>
      <family val="2"/>
      <charset val="1"/>
    </font>
    <font>
      <b/>
      <sz val="14"/>
      <name val="Helv"/>
    </font>
    <font>
      <u/>
      <sz val="10"/>
      <color indexed="36"/>
      <name val="Arial"/>
      <family val="2"/>
    </font>
    <font>
      <u/>
      <sz val="9"/>
      <color indexed="12"/>
      <name val="Arial"/>
      <family val="2"/>
    </font>
    <font>
      <sz val="11"/>
      <color indexed="52"/>
      <name val="Calibri"/>
      <family val="2"/>
    </font>
    <font>
      <sz val="11"/>
      <color indexed="52"/>
      <name val="Calibri"/>
      <family val="2"/>
      <charset val="1"/>
    </font>
    <font>
      <sz val="11"/>
      <color indexed="53"/>
      <name val="Calibri"/>
      <family val="2"/>
    </font>
    <font>
      <sz val="11"/>
      <color rgb="FFFA7D00"/>
      <name val="Calibri"/>
      <family val="2"/>
      <charset val="1"/>
      <scheme val="minor"/>
    </font>
    <font>
      <sz val="12"/>
      <color indexed="9"/>
      <name val="Helv"/>
    </font>
    <font>
      <sz val="10"/>
      <name val="MS Sans Serif"/>
      <family val="2"/>
    </font>
    <font>
      <sz val="11"/>
      <color indexed="60"/>
      <name val="Calibri"/>
      <family val="2"/>
      <charset val="1"/>
    </font>
    <font>
      <sz val="11"/>
      <color indexed="60"/>
      <name val="Calibri"/>
      <family val="2"/>
    </font>
    <font>
      <sz val="11"/>
      <color rgb="FF9C6500"/>
      <name val="Calibri"/>
      <family val="2"/>
      <charset val="1"/>
      <scheme val="minor"/>
    </font>
    <font>
      <sz val="7"/>
      <name val="Small Fonts"/>
      <family val="2"/>
    </font>
    <font>
      <sz val="10"/>
      <name val="VNtimes new roman"/>
      <family val="2"/>
    </font>
    <font>
      <sz val="12"/>
      <name val="Courier"/>
      <family val="3"/>
    </font>
    <font>
      <sz val="10"/>
      <color theme="1"/>
      <name val="Arial"/>
      <family val="2"/>
      <charset val="1"/>
    </font>
    <font>
      <sz val="10"/>
      <name val="Bookman Old Style"/>
      <family val="1"/>
    </font>
    <font>
      <sz val="12"/>
      <name val="Arial"/>
      <family val="2"/>
    </font>
    <font>
      <b/>
      <sz val="11"/>
      <color indexed="63"/>
      <name val="Calibri"/>
      <family val="2"/>
    </font>
    <font>
      <b/>
      <sz val="11"/>
      <color rgb="FF3F3F3F"/>
      <name val="Calibri"/>
      <family val="2"/>
      <charset val="1"/>
      <scheme val="minor"/>
    </font>
    <font>
      <b/>
      <sz val="10"/>
      <name val="Courier New"/>
      <family val="3"/>
    </font>
    <font>
      <sz val="10"/>
      <name val="Tms Rmn"/>
    </font>
    <font>
      <sz val="8"/>
      <name val="Helv"/>
    </font>
    <font>
      <b/>
      <i/>
      <sz val="8"/>
      <name val="Arial"/>
      <family val="2"/>
    </font>
    <font>
      <sz val="12"/>
      <name val="Univers (WN)"/>
      <family val="2"/>
    </font>
    <font>
      <b/>
      <sz val="18"/>
      <color indexed="56"/>
      <name val="Cambria"/>
      <family val="2"/>
      <charset val="1"/>
    </font>
    <font>
      <b/>
      <sz val="18"/>
      <color indexed="62"/>
      <name val="Cambria"/>
      <family val="2"/>
    </font>
    <font>
      <sz val="10"/>
      <name val="Times New Roman"/>
      <family val="1"/>
    </font>
    <font>
      <b/>
      <sz val="12"/>
      <name val="MS Sans Serif"/>
      <family val="2"/>
    </font>
    <font>
      <sz val="12"/>
      <name val="MS Sans Serif"/>
      <family val="2"/>
    </font>
    <font>
      <b/>
      <sz val="9"/>
      <name val="Arial"/>
      <family val="2"/>
    </font>
    <font>
      <b/>
      <sz val="8"/>
      <color indexed="8"/>
      <name val="Helv"/>
    </font>
    <font>
      <b/>
      <sz val="15"/>
      <color indexed="62"/>
      <name val="Calibri"/>
      <family val="2"/>
      <charset val="1"/>
    </font>
    <font>
      <b/>
      <sz val="13"/>
      <color indexed="62"/>
      <name val="Calibri"/>
      <family val="2"/>
      <charset val="1"/>
    </font>
    <font>
      <b/>
      <sz val="11"/>
      <color indexed="62"/>
      <name val="Calibri"/>
      <family val="2"/>
      <charset val="1"/>
    </font>
    <font>
      <sz val="11"/>
      <color indexed="10"/>
      <name val="Calibri"/>
      <family val="2"/>
      <charset val="1"/>
    </font>
    <font>
      <sz val="24"/>
      <color indexed="13"/>
      <name val="Helv"/>
    </font>
    <font>
      <sz val="10"/>
      <color indexed="13"/>
      <name val="Helv"/>
    </font>
    <font>
      <b/>
      <sz val="18"/>
      <color indexed="56"/>
      <name val="Cambria"/>
      <family val="2"/>
    </font>
    <font>
      <b/>
      <sz val="18"/>
      <color indexed="8"/>
      <name val="Cambria"/>
      <family val="2"/>
      <charset val="1"/>
    </font>
    <font>
      <b/>
      <sz val="18"/>
      <color theme="3"/>
      <name val="Cambria"/>
      <family val="2"/>
      <charset val="1"/>
      <scheme val="major"/>
    </font>
    <font>
      <b/>
      <sz val="12"/>
      <name val="Helv"/>
    </font>
    <font>
      <sz val="10"/>
      <name val="Helv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  <charset val="1"/>
      <scheme val="minor"/>
    </font>
    <font>
      <sz val="12"/>
      <name val="Helv"/>
      <family val="2"/>
    </font>
    <font>
      <sz val="14"/>
      <name val="뼻뮝"/>
      <family val="3"/>
      <charset val="255"/>
    </font>
    <font>
      <sz val="12"/>
      <name val="뼻뮝"/>
      <family val="1"/>
      <charset val="255"/>
    </font>
    <font>
      <sz val="12"/>
      <name val="바탕체"/>
      <family val="1"/>
      <charset val="255"/>
    </font>
    <font>
      <sz val="10"/>
      <name val="굴림체"/>
      <family val="3"/>
      <charset val="255"/>
    </font>
    <font>
      <sz val="12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20"/>
      <color theme="1"/>
      <name val="Arial"/>
      <family val="2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22"/>
      <color indexed="8"/>
      <name val="Arial Narrow"/>
      <family val="2"/>
    </font>
    <font>
      <sz val="22"/>
      <name val="Arial Narrow"/>
      <family val="2"/>
    </font>
    <font>
      <sz val="22"/>
      <color indexed="8"/>
      <name val="Arial Narrow"/>
      <family val="2"/>
    </font>
    <font>
      <b/>
      <u/>
      <sz val="22"/>
      <color indexed="8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1"/>
      <name val="Tahoma"/>
      <family val="2"/>
    </font>
    <font>
      <sz val="14"/>
      <color indexed="81"/>
      <name val="Tahoma"/>
      <family val="2"/>
    </font>
    <font>
      <b/>
      <sz val="14"/>
      <color indexed="81"/>
      <name val="Tahoma"/>
      <family val="2"/>
    </font>
    <font>
      <b/>
      <sz val="12"/>
      <color indexed="81"/>
      <name val="Tahoma"/>
      <family val="2"/>
    </font>
    <font>
      <b/>
      <i/>
      <sz val="16"/>
      <color theme="1"/>
      <name val="Calibri"/>
      <family val="2"/>
      <scheme val="minor"/>
    </font>
  </fonts>
  <fills count="10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9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2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30"/>
        <bgColor indexed="30"/>
      </patternFill>
    </fill>
    <fill>
      <patternFill patternType="solid">
        <fgColor indexed="62"/>
      </patternFill>
    </fill>
    <fill>
      <patternFill patternType="solid">
        <fgColor indexed="62"/>
        <bgColor indexed="62"/>
      </patternFill>
    </fill>
    <fill>
      <patternFill patternType="solid">
        <fgColor indexed="54"/>
        <bgColor indexed="54"/>
      </patternFill>
    </fill>
    <fill>
      <patternFill patternType="solid">
        <fgColor indexed="45"/>
        <bgColor indexed="45"/>
      </patternFill>
    </fill>
    <fill>
      <patternFill patternType="solid">
        <fgColor indexed="26"/>
        <bgColor indexed="26"/>
      </patternFill>
    </fill>
    <fill>
      <patternFill patternType="solid">
        <fgColor indexed="29"/>
        <bgColor indexed="29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10"/>
        <bgColor indexed="10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11"/>
        <bgColor indexed="11"/>
      </patternFill>
    </fill>
    <fill>
      <patternFill patternType="solid">
        <fgColor indexed="57"/>
      </patternFill>
    </fill>
    <fill>
      <patternFill patternType="solid">
        <fgColor indexed="57"/>
        <bgColor indexed="57"/>
      </patternFill>
    </fill>
    <fill>
      <patternFill patternType="solid">
        <fgColor indexed="46"/>
        <bgColor indexed="46"/>
      </patternFill>
    </fill>
    <fill>
      <patternFill patternType="solid">
        <fgColor indexed="36"/>
        <bgColor indexed="36"/>
      </patternFill>
    </fill>
    <fill>
      <patternFill patternType="solid">
        <fgColor indexed="23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2"/>
        <bgColor indexed="52"/>
      </patternFill>
    </fill>
    <fill>
      <patternFill patternType="solid">
        <fgColor indexed="53"/>
      </patternFill>
    </fill>
    <fill>
      <patternFill patternType="solid">
        <fgColor indexed="53"/>
        <bgColor indexed="53"/>
      </patternFill>
    </fill>
    <fill>
      <patternFill patternType="solid">
        <fgColor indexed="63"/>
      </patternFill>
    </fill>
    <fill>
      <patternFill patternType="solid">
        <fgColor indexed="54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4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10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lightUp">
        <fgColor indexed="9"/>
        <bgColor indexed="22"/>
      </patternFill>
    </fill>
    <fill>
      <patternFill patternType="solid">
        <fgColor indexed="12"/>
        <bgColor indexed="12"/>
      </patternFill>
    </fill>
    <fill>
      <patternFill patternType="solid">
        <fgColor indexed="13"/>
        <bgColor indexed="13"/>
      </patternFill>
    </fill>
    <fill>
      <patternFill patternType="solid">
        <fgColor indexed="22"/>
        <bgColor indexed="64"/>
      </patternFill>
    </fill>
    <fill>
      <patternFill patternType="gray125">
        <fgColor indexed="8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3"/>
      </patternFill>
    </fill>
    <fill>
      <patternFill patternType="solid">
        <fgColor indexed="12"/>
      </patternFill>
    </fill>
    <fill>
      <patternFill patternType="solid">
        <fgColor indexed="43"/>
        <bgColor indexed="43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9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5963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7" fillId="0" borderId="0"/>
    <xf numFmtId="0" fontId="10" fillId="0" borderId="0">
      <alignment vertical="center"/>
    </xf>
    <xf numFmtId="0" fontId="7" fillId="0" borderId="0"/>
    <xf numFmtId="165" fontId="19" fillId="0" borderId="0">
      <protection locked="0"/>
    </xf>
    <xf numFmtId="165" fontId="19" fillId="0" borderId="0">
      <protection locked="0"/>
    </xf>
    <xf numFmtId="165" fontId="19" fillId="0" borderId="0">
      <protection locked="0"/>
    </xf>
    <xf numFmtId="165" fontId="19" fillId="0" borderId="0">
      <protection locked="0"/>
    </xf>
    <xf numFmtId="165" fontId="19" fillId="0" borderId="0">
      <protection locked="0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1" fillId="0" borderId="0" applyFont="0" applyFill="0" applyBorder="0" applyAlignment="0" applyProtection="0"/>
    <xf numFmtId="0" fontId="22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2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2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22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2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2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2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2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2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2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2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2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1" fillId="14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23" fillId="39" borderId="0" applyNumberFormat="0" applyBorder="0" applyAlignment="0" applyProtection="0"/>
    <xf numFmtId="0" fontId="22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2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2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2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2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2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2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2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2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39" borderId="0" applyNumberFormat="0" applyBorder="0" applyAlignment="0" applyProtection="0"/>
    <xf numFmtId="0" fontId="22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22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2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2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2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2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2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2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2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39" borderId="0" applyNumberFormat="0" applyBorder="0" applyAlignment="0" applyProtection="0"/>
    <xf numFmtId="0" fontId="22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22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2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2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2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22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2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2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2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2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2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2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2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2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" fillId="30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23" fillId="44" borderId="0" applyNumberFormat="0" applyBorder="0" applyAlignment="0" applyProtection="0"/>
    <xf numFmtId="0" fontId="22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2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2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2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2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2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2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39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39" borderId="0" applyNumberFormat="0" applyBorder="0" applyAlignment="0" applyProtection="0"/>
    <xf numFmtId="0" fontId="23" fillId="43" borderId="0" applyNumberFormat="0" applyBorder="0" applyAlignment="0" applyProtection="0"/>
    <xf numFmtId="0" fontId="23" fillId="45" borderId="0" applyNumberFormat="0" applyBorder="0" applyAlignment="0" applyProtection="0"/>
    <xf numFmtId="0" fontId="22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2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39" borderId="0" applyNumberFormat="0" applyBorder="0" applyAlignment="0" applyProtection="0"/>
    <xf numFmtId="0" fontId="22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22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2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2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2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2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2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2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2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2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39" borderId="0" applyNumberFormat="0" applyBorder="0" applyAlignment="0" applyProtection="0"/>
    <xf numFmtId="0" fontId="22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22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2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2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2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2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2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2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2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2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22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22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2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2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2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2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2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2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2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4" borderId="0" applyNumberFormat="0" applyBorder="0" applyAlignment="0" applyProtection="0"/>
    <xf numFmtId="0" fontId="22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22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2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2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50" borderId="0" applyNumberFormat="0" applyBorder="0" applyAlignment="0" applyProtection="0"/>
    <xf numFmtId="0" fontId="22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22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2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2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2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2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2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2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2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2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44" borderId="0" applyNumberFormat="0" applyBorder="0" applyAlignment="0" applyProtection="0"/>
    <xf numFmtId="0" fontId="22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22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2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2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2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2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2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2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44" borderId="0" applyNumberFormat="0" applyBorder="0" applyAlignment="0" applyProtection="0"/>
    <xf numFmtId="0" fontId="23" fillId="48" borderId="0" applyNumberFormat="0" applyBorder="0" applyAlignment="0" applyProtection="0"/>
    <xf numFmtId="0" fontId="23" fillId="52" borderId="0" applyNumberFormat="0" applyBorder="0" applyAlignment="0" applyProtection="0"/>
    <xf numFmtId="0" fontId="23" fillId="44" borderId="0" applyNumberFormat="0" applyBorder="0" applyAlignment="0" applyProtection="0"/>
    <xf numFmtId="0" fontId="23" fillId="47" borderId="0" applyNumberFormat="0" applyBorder="0" applyAlignment="0" applyProtection="0"/>
    <xf numFmtId="0" fontId="23" fillId="45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39" borderId="0" applyNumberFormat="0" applyBorder="0" applyAlignment="0" applyProtection="0"/>
    <xf numFmtId="0" fontId="24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3" fillId="16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5" fillId="44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4" borderId="0" applyNumberFormat="0" applyBorder="0" applyAlignment="0" applyProtection="0"/>
    <xf numFmtId="0" fontId="24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44" borderId="0" applyNumberFormat="0" applyBorder="0" applyAlignment="0" applyProtection="0"/>
    <xf numFmtId="0" fontId="24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0" borderId="0" applyNumberFormat="0" applyBorder="0" applyAlignment="0" applyProtection="0"/>
    <xf numFmtId="0" fontId="24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6" borderId="0" applyNumberFormat="0" applyBorder="0" applyAlignment="0" applyProtection="0"/>
    <xf numFmtId="0" fontId="24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3" fillId="32" borderId="0" applyNumberFormat="0" applyBorder="0" applyAlignment="0" applyProtection="0"/>
    <xf numFmtId="0" fontId="24" fillId="56" borderId="0" applyNumberFormat="0" applyBorder="0" applyAlignment="0" applyProtection="0"/>
    <xf numFmtId="0" fontId="24" fillId="56" borderId="0" applyNumberFormat="0" applyBorder="0" applyAlignment="0" applyProtection="0"/>
    <xf numFmtId="0" fontId="24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5" fillId="50" borderId="0" applyNumberFormat="0" applyBorder="0" applyAlignment="0" applyProtection="0"/>
    <xf numFmtId="0" fontId="24" fillId="56" borderId="0" applyNumberFormat="0" applyBorder="0" applyAlignment="0" applyProtection="0"/>
    <xf numFmtId="0" fontId="24" fillId="56" borderId="0" applyNumberFormat="0" applyBorder="0" applyAlignment="0" applyProtection="0"/>
    <xf numFmtId="0" fontId="24" fillId="56" borderId="0" applyNumberFormat="0" applyBorder="0" applyAlignment="0" applyProtection="0"/>
    <xf numFmtId="0" fontId="24" fillId="56" borderId="0" applyNumberFormat="0" applyBorder="0" applyAlignment="0" applyProtection="0"/>
    <xf numFmtId="0" fontId="24" fillId="56" borderId="0" applyNumberFormat="0" applyBorder="0" applyAlignment="0" applyProtection="0"/>
    <xf numFmtId="0" fontId="24" fillId="56" borderId="0" applyNumberFormat="0" applyBorder="0" applyAlignment="0" applyProtection="0"/>
    <xf numFmtId="0" fontId="24" fillId="56" borderId="0" applyNumberFormat="0" applyBorder="0" applyAlignment="0" applyProtection="0"/>
    <xf numFmtId="0" fontId="25" fillId="55" borderId="0" applyNumberFormat="0" applyBorder="0" applyAlignment="0" applyProtection="0"/>
    <xf numFmtId="0" fontId="25" fillId="48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55" borderId="0" applyNumberFormat="0" applyBorder="0" applyAlignment="0" applyProtection="0"/>
    <xf numFmtId="0" fontId="25" fillId="45" borderId="0" applyNumberFormat="0" applyBorder="0" applyAlignment="0" applyProtection="0"/>
    <xf numFmtId="0" fontId="27" fillId="57" borderId="0" applyNumberFormat="0" applyBorder="0" applyAlignment="0">
      <alignment horizontal="center"/>
    </xf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9" borderId="0" applyNumberFormat="0" applyBorder="0" applyAlignment="0" applyProtection="0"/>
    <xf numFmtId="0" fontId="23" fillId="59" borderId="0" applyNumberFormat="0" applyBorder="0" applyAlignment="0" applyProtection="0"/>
    <xf numFmtId="0" fontId="23" fillId="59" borderId="0" applyNumberFormat="0" applyBorder="0" applyAlignment="0" applyProtection="0"/>
    <xf numFmtId="0" fontId="23" fillId="59" borderId="0" applyNumberFormat="0" applyBorder="0" applyAlignment="0" applyProtection="0"/>
    <xf numFmtId="0" fontId="23" fillId="59" borderId="0" applyNumberFormat="0" applyBorder="0" applyAlignment="0" applyProtection="0"/>
    <xf numFmtId="0" fontId="23" fillId="59" borderId="0" applyNumberFormat="0" applyBorder="0" applyAlignment="0" applyProtection="0"/>
    <xf numFmtId="0" fontId="23" fillId="59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3" fillId="59" borderId="0" applyNumberFormat="0" applyBorder="0" applyAlignment="0" applyProtection="0"/>
    <xf numFmtId="0" fontId="23" fillId="59" borderId="0" applyNumberFormat="0" applyBorder="0" applyAlignment="0" applyProtection="0"/>
    <xf numFmtId="0" fontId="23" fillId="59" borderId="0" applyNumberFormat="0" applyBorder="0" applyAlignment="0" applyProtection="0"/>
    <xf numFmtId="0" fontId="23" fillId="59" borderId="0" applyNumberFormat="0" applyBorder="0" applyAlignment="0" applyProtection="0"/>
    <xf numFmtId="0" fontId="25" fillId="60" borderId="0" applyNumberFormat="0" applyBorder="0" applyAlignment="0" applyProtection="0"/>
    <xf numFmtId="0" fontId="24" fillId="59" borderId="0" applyNumberFormat="0" applyBorder="0" applyAlignment="0" applyProtection="0"/>
    <xf numFmtId="0" fontId="24" fillId="59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44" borderId="0" applyNumberFormat="0" applyBorder="0" applyAlignment="0" applyProtection="0"/>
    <xf numFmtId="0" fontId="24" fillId="61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6" borderId="0" applyNumberFormat="0" applyBorder="0" applyAlignment="0" applyProtection="0"/>
    <xf numFmtId="0" fontId="23" fillId="66" borderId="0" applyNumberFormat="0" applyBorder="0" applyAlignment="0" applyProtection="0"/>
    <xf numFmtId="0" fontId="23" fillId="66" borderId="0" applyNumberFormat="0" applyBorder="0" applyAlignment="0" applyProtection="0"/>
    <xf numFmtId="0" fontId="23" fillId="66" borderId="0" applyNumberFormat="0" applyBorder="0" applyAlignment="0" applyProtection="0"/>
    <xf numFmtId="0" fontId="23" fillId="66" borderId="0" applyNumberFormat="0" applyBorder="0" applyAlignment="0" applyProtection="0"/>
    <xf numFmtId="0" fontId="23" fillId="66" borderId="0" applyNumberFormat="0" applyBorder="0" applyAlignment="0" applyProtection="0"/>
    <xf numFmtId="0" fontId="23" fillId="66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3" fillId="66" borderId="0" applyNumberFormat="0" applyBorder="0" applyAlignment="0" applyProtection="0"/>
    <xf numFmtId="0" fontId="23" fillId="66" borderId="0" applyNumberFormat="0" applyBorder="0" applyAlignment="0" applyProtection="0"/>
    <xf numFmtId="0" fontId="23" fillId="66" borderId="0" applyNumberFormat="0" applyBorder="0" applyAlignment="0" applyProtection="0"/>
    <xf numFmtId="0" fontId="23" fillId="66" borderId="0" applyNumberFormat="0" applyBorder="0" applyAlignment="0" applyProtection="0"/>
    <xf numFmtId="0" fontId="25" fillId="66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5" fillId="70" borderId="0" applyNumberFormat="0" applyBorder="0" applyAlignment="0" applyProtection="0"/>
    <xf numFmtId="0" fontId="25" fillId="70" borderId="0" applyNumberFormat="0" applyBorder="0" applyAlignment="0" applyProtection="0"/>
    <xf numFmtId="0" fontId="25" fillId="70" borderId="0" applyNumberFormat="0" applyBorder="0" applyAlignment="0" applyProtection="0"/>
    <xf numFmtId="0" fontId="25" fillId="70" borderId="0" applyNumberFormat="0" applyBorder="0" applyAlignment="0" applyProtection="0"/>
    <xf numFmtId="0" fontId="25" fillId="70" borderId="0" applyNumberFormat="0" applyBorder="0" applyAlignment="0" applyProtection="0"/>
    <xf numFmtId="0" fontId="25" fillId="70" borderId="0" applyNumberFormat="0" applyBorder="0" applyAlignment="0" applyProtection="0"/>
    <xf numFmtId="0" fontId="25" fillId="70" borderId="0" applyNumberFormat="0" applyBorder="0" applyAlignment="0" applyProtection="0"/>
    <xf numFmtId="0" fontId="25" fillId="70" borderId="0" applyNumberFormat="0" applyBorder="0" applyAlignment="0" applyProtection="0"/>
    <xf numFmtId="0" fontId="3" fillId="13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5" fillId="70" borderId="0" applyNumberFormat="0" applyBorder="0" applyAlignment="0" applyProtection="0"/>
    <xf numFmtId="0" fontId="25" fillId="70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5" fillId="44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2" borderId="0" applyNumberFormat="0" applyBorder="0" applyAlignment="0" applyProtection="0"/>
    <xf numFmtId="0" fontId="23" fillId="72" borderId="0" applyNumberFormat="0" applyBorder="0" applyAlignment="0" applyProtection="0"/>
    <xf numFmtId="0" fontId="23" fillId="72" borderId="0" applyNumberFormat="0" applyBorder="0" applyAlignment="0" applyProtection="0"/>
    <xf numFmtId="0" fontId="23" fillId="72" borderId="0" applyNumberFormat="0" applyBorder="0" applyAlignment="0" applyProtection="0"/>
    <xf numFmtId="0" fontId="23" fillId="72" borderId="0" applyNumberFormat="0" applyBorder="0" applyAlignment="0" applyProtection="0"/>
    <xf numFmtId="0" fontId="23" fillId="72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3" fillId="72" borderId="0" applyNumberFormat="0" applyBorder="0" applyAlignment="0" applyProtection="0"/>
    <xf numFmtId="0" fontId="23" fillId="72" borderId="0" applyNumberFormat="0" applyBorder="0" applyAlignment="0" applyProtection="0"/>
    <xf numFmtId="0" fontId="23" fillId="72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5" fillId="73" borderId="0" applyNumberFormat="0" applyBorder="0" applyAlignment="0" applyProtection="0"/>
    <xf numFmtId="0" fontId="24" fillId="67" borderId="0" applyNumberFormat="0" applyBorder="0" applyAlignment="0" applyProtection="0"/>
    <xf numFmtId="0" fontId="24" fillId="67" borderId="0" applyNumberFormat="0" applyBorder="0" applyAlignment="0" applyProtection="0"/>
    <xf numFmtId="0" fontId="24" fillId="74" borderId="0" applyNumberFormat="0" applyBorder="0" applyAlignment="0" applyProtection="0"/>
    <xf numFmtId="0" fontId="24" fillId="7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3" fillId="17" borderId="0" applyNumberFormat="0" applyBorder="0" applyAlignment="0" applyProtection="0"/>
    <xf numFmtId="0" fontId="24" fillId="7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5" fillId="50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4" fillId="74" borderId="0" applyNumberFormat="0" applyBorder="0" applyAlignment="0" applyProtection="0"/>
    <xf numFmtId="0" fontId="24" fillId="74" borderId="0" applyNumberFormat="0" applyBorder="0" applyAlignment="0" applyProtection="0"/>
    <xf numFmtId="0" fontId="24" fillId="74" borderId="0" applyNumberFormat="0" applyBorder="0" applyAlignment="0" applyProtection="0"/>
    <xf numFmtId="0" fontId="24" fillId="74" borderId="0" applyNumberFormat="0" applyBorder="0" applyAlignment="0" applyProtection="0"/>
    <xf numFmtId="0" fontId="24" fillId="74" borderId="0" applyNumberFormat="0" applyBorder="0" applyAlignment="0" applyProtection="0"/>
    <xf numFmtId="0" fontId="24" fillId="74" borderId="0" applyNumberFormat="0" applyBorder="0" applyAlignment="0" applyProtection="0"/>
    <xf numFmtId="0" fontId="24" fillId="74" borderId="0" applyNumberFormat="0" applyBorder="0" applyAlignment="0" applyProtection="0"/>
    <xf numFmtId="0" fontId="23" fillId="76" borderId="0" applyNumberFormat="0" applyBorder="0" applyAlignment="0" applyProtection="0"/>
    <xf numFmtId="0" fontId="23" fillId="76" borderId="0" applyNumberFormat="0" applyBorder="0" applyAlignment="0" applyProtection="0"/>
    <xf numFmtId="0" fontId="23" fillId="76" borderId="0" applyNumberFormat="0" applyBorder="0" applyAlignment="0" applyProtection="0"/>
    <xf numFmtId="0" fontId="23" fillId="76" borderId="0" applyNumberFormat="0" applyBorder="0" applyAlignment="0" applyProtection="0"/>
    <xf numFmtId="0" fontId="23" fillId="76" borderId="0" applyNumberFormat="0" applyBorder="0" applyAlignment="0" applyProtection="0"/>
    <xf numFmtId="0" fontId="23" fillId="76" borderId="0" applyNumberFormat="0" applyBorder="0" applyAlignment="0" applyProtection="0"/>
    <xf numFmtId="0" fontId="23" fillId="76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3" fillId="76" borderId="0" applyNumberFormat="0" applyBorder="0" applyAlignment="0" applyProtection="0"/>
    <xf numFmtId="0" fontId="23" fillId="76" borderId="0" applyNumberFormat="0" applyBorder="0" applyAlignment="0" applyProtection="0"/>
    <xf numFmtId="0" fontId="23" fillId="76" borderId="0" applyNumberFormat="0" applyBorder="0" applyAlignment="0" applyProtection="0"/>
    <xf numFmtId="0" fontId="23" fillId="76" borderId="0" applyNumberFormat="0" applyBorder="0" applyAlignment="0" applyProtection="0"/>
    <xf numFmtId="0" fontId="23" fillId="76" borderId="0" applyNumberFormat="0" applyBorder="0" applyAlignment="0" applyProtection="0"/>
    <xf numFmtId="0" fontId="23" fillId="76" borderId="0" applyNumberFormat="0" applyBorder="0" applyAlignment="0" applyProtection="0"/>
    <xf numFmtId="0" fontId="23" fillId="76" borderId="0" applyNumberFormat="0" applyBorder="0" applyAlignment="0" applyProtection="0"/>
    <xf numFmtId="0" fontId="23" fillId="76" borderId="0" applyNumberFormat="0" applyBorder="0" applyAlignment="0" applyProtection="0"/>
    <xf numFmtId="0" fontId="23" fillId="76" borderId="0" applyNumberFormat="0" applyBorder="0" applyAlignment="0" applyProtection="0"/>
    <xf numFmtId="0" fontId="23" fillId="76" borderId="0" applyNumberFormat="0" applyBorder="0" applyAlignment="0" applyProtection="0"/>
    <xf numFmtId="0" fontId="23" fillId="76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3" fillId="76" borderId="0" applyNumberFormat="0" applyBorder="0" applyAlignment="0" applyProtection="0"/>
    <xf numFmtId="0" fontId="23" fillId="76" borderId="0" applyNumberFormat="0" applyBorder="0" applyAlignment="0" applyProtection="0"/>
    <xf numFmtId="0" fontId="23" fillId="76" borderId="0" applyNumberFormat="0" applyBorder="0" applyAlignment="0" applyProtection="0"/>
    <xf numFmtId="0" fontId="23" fillId="76" borderId="0" applyNumberFormat="0" applyBorder="0" applyAlignment="0" applyProtection="0"/>
    <xf numFmtId="0" fontId="25" fillId="77" borderId="0" applyNumberFormat="0" applyBorder="0" applyAlignment="0" applyProtection="0"/>
    <xf numFmtId="0" fontId="24" fillId="67" borderId="0" applyNumberFormat="0" applyBorder="0" applyAlignment="0" applyProtection="0"/>
    <xf numFmtId="0" fontId="24" fillId="67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3" fillId="21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5" fillId="78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3" fillId="79" borderId="0" applyNumberFormat="0" applyBorder="0" applyAlignment="0" applyProtection="0"/>
    <xf numFmtId="0" fontId="23" fillId="79" borderId="0" applyNumberFormat="0" applyBorder="0" applyAlignment="0" applyProtection="0"/>
    <xf numFmtId="0" fontId="23" fillId="79" borderId="0" applyNumberFormat="0" applyBorder="0" applyAlignment="0" applyProtection="0"/>
    <xf numFmtId="0" fontId="23" fillId="79" borderId="0" applyNumberFormat="0" applyBorder="0" applyAlignment="0" applyProtection="0"/>
    <xf numFmtId="0" fontId="23" fillId="79" borderId="0" applyNumberFormat="0" applyBorder="0" applyAlignment="0" applyProtection="0"/>
    <xf numFmtId="0" fontId="23" fillId="79" borderId="0" applyNumberFormat="0" applyBorder="0" applyAlignment="0" applyProtection="0"/>
    <xf numFmtId="0" fontId="23" fillId="79" borderId="0" applyNumberFormat="0" applyBorder="0" applyAlignment="0" applyProtection="0"/>
    <xf numFmtId="0" fontId="22" fillId="79" borderId="0" applyNumberFormat="0" applyBorder="0" applyAlignment="0" applyProtection="0"/>
    <xf numFmtId="0" fontId="22" fillId="79" borderId="0" applyNumberFormat="0" applyBorder="0" applyAlignment="0" applyProtection="0"/>
    <xf numFmtId="0" fontId="23" fillId="79" borderId="0" applyNumberFormat="0" applyBorder="0" applyAlignment="0" applyProtection="0"/>
    <xf numFmtId="0" fontId="23" fillId="79" borderId="0" applyNumberFormat="0" applyBorder="0" applyAlignment="0" applyProtection="0"/>
    <xf numFmtId="0" fontId="23" fillId="79" borderId="0" applyNumberFormat="0" applyBorder="0" applyAlignment="0" applyProtection="0"/>
    <xf numFmtId="0" fontId="23" fillId="79" borderId="0" applyNumberFormat="0" applyBorder="0" applyAlignment="0" applyProtection="0"/>
    <xf numFmtId="0" fontId="23" fillId="59" borderId="0" applyNumberFormat="0" applyBorder="0" applyAlignment="0" applyProtection="0"/>
    <xf numFmtId="0" fontId="23" fillId="59" borderId="0" applyNumberFormat="0" applyBorder="0" applyAlignment="0" applyProtection="0"/>
    <xf numFmtId="0" fontId="23" fillId="59" borderId="0" applyNumberFormat="0" applyBorder="0" applyAlignment="0" applyProtection="0"/>
    <xf numFmtId="0" fontId="23" fillId="59" borderId="0" applyNumberFormat="0" applyBorder="0" applyAlignment="0" applyProtection="0"/>
    <xf numFmtId="0" fontId="23" fillId="59" borderId="0" applyNumberFormat="0" applyBorder="0" applyAlignment="0" applyProtection="0"/>
    <xf numFmtId="0" fontId="23" fillId="59" borderId="0" applyNumberFormat="0" applyBorder="0" applyAlignment="0" applyProtection="0"/>
    <xf numFmtId="0" fontId="23" fillId="59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3" fillId="59" borderId="0" applyNumberFormat="0" applyBorder="0" applyAlignment="0" applyProtection="0"/>
    <xf numFmtId="0" fontId="23" fillId="59" borderId="0" applyNumberFormat="0" applyBorder="0" applyAlignment="0" applyProtection="0"/>
    <xf numFmtId="0" fontId="23" fillId="59" borderId="0" applyNumberFormat="0" applyBorder="0" applyAlignment="0" applyProtection="0"/>
    <xf numFmtId="0" fontId="23" fillId="59" borderId="0" applyNumberFormat="0" applyBorder="0" applyAlignment="0" applyProtection="0"/>
    <xf numFmtId="0" fontId="25" fillId="80" borderId="0" applyNumberFormat="0" applyBorder="0" applyAlignment="0" applyProtection="0"/>
    <xf numFmtId="0" fontId="24" fillId="59" borderId="0" applyNumberFormat="0" applyBorder="0" applyAlignment="0" applyProtection="0"/>
    <xf numFmtId="0" fontId="24" fillId="59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78" borderId="0" applyNumberFormat="0" applyBorder="0" applyAlignment="0" applyProtection="0"/>
    <xf numFmtId="0" fontId="24" fillId="55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3" fillId="81" borderId="0" applyNumberFormat="0" applyBorder="0" applyAlignment="0" applyProtection="0"/>
    <xf numFmtId="0" fontId="23" fillId="81" borderId="0" applyNumberFormat="0" applyBorder="0" applyAlignment="0" applyProtection="0"/>
    <xf numFmtId="0" fontId="23" fillId="81" borderId="0" applyNumberFormat="0" applyBorder="0" applyAlignment="0" applyProtection="0"/>
    <xf numFmtId="0" fontId="23" fillId="81" borderId="0" applyNumberFormat="0" applyBorder="0" applyAlignment="0" applyProtection="0"/>
    <xf numFmtId="0" fontId="23" fillId="81" borderId="0" applyNumberFormat="0" applyBorder="0" applyAlignment="0" applyProtection="0"/>
    <xf numFmtId="0" fontId="23" fillId="81" borderId="0" applyNumberFormat="0" applyBorder="0" applyAlignment="0" applyProtection="0"/>
    <xf numFmtId="0" fontId="23" fillId="81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3" fillId="81" borderId="0" applyNumberFormat="0" applyBorder="0" applyAlignment="0" applyProtection="0"/>
    <xf numFmtId="0" fontId="23" fillId="81" borderId="0" applyNumberFormat="0" applyBorder="0" applyAlignment="0" applyProtection="0"/>
    <xf numFmtId="0" fontId="23" fillId="81" borderId="0" applyNumberFormat="0" applyBorder="0" applyAlignment="0" applyProtection="0"/>
    <xf numFmtId="0" fontId="23" fillId="81" borderId="0" applyNumberFormat="0" applyBorder="0" applyAlignment="0" applyProtection="0"/>
    <xf numFmtId="0" fontId="23" fillId="82" borderId="0" applyNumberFormat="0" applyBorder="0" applyAlignment="0" applyProtection="0"/>
    <xf numFmtId="0" fontId="23" fillId="82" borderId="0" applyNumberFormat="0" applyBorder="0" applyAlignment="0" applyProtection="0"/>
    <xf numFmtId="0" fontId="23" fillId="82" borderId="0" applyNumberFormat="0" applyBorder="0" applyAlignment="0" applyProtection="0"/>
    <xf numFmtId="0" fontId="23" fillId="82" borderId="0" applyNumberFormat="0" applyBorder="0" applyAlignment="0" applyProtection="0"/>
    <xf numFmtId="0" fontId="23" fillId="82" borderId="0" applyNumberFormat="0" applyBorder="0" applyAlignment="0" applyProtection="0"/>
    <xf numFmtId="0" fontId="23" fillId="82" borderId="0" applyNumberFormat="0" applyBorder="0" applyAlignment="0" applyProtection="0"/>
    <xf numFmtId="0" fontId="23" fillId="82" borderId="0" applyNumberFormat="0" applyBorder="0" applyAlignment="0" applyProtection="0"/>
    <xf numFmtId="0" fontId="22" fillId="81" borderId="0" applyNumberFormat="0" applyBorder="0" applyAlignment="0" applyProtection="0"/>
    <xf numFmtId="0" fontId="22" fillId="81" borderId="0" applyNumberFormat="0" applyBorder="0" applyAlignment="0" applyProtection="0"/>
    <xf numFmtId="0" fontId="23" fillId="82" borderId="0" applyNumberFormat="0" applyBorder="0" applyAlignment="0" applyProtection="0"/>
    <xf numFmtId="0" fontId="23" fillId="82" borderId="0" applyNumberFormat="0" applyBorder="0" applyAlignment="0" applyProtection="0"/>
    <xf numFmtId="0" fontId="23" fillId="82" borderId="0" applyNumberFormat="0" applyBorder="0" applyAlignment="0" applyProtection="0"/>
    <xf numFmtId="0" fontId="23" fillId="82" borderId="0" applyNumberFormat="0" applyBorder="0" applyAlignment="0" applyProtection="0"/>
    <xf numFmtId="0" fontId="25" fillId="83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84" borderId="0" applyNumberFormat="0" applyBorder="0" applyAlignment="0" applyProtection="0"/>
    <xf numFmtId="0" fontId="24" fillId="84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4" fillId="84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4" fillId="83" borderId="0" applyNumberFormat="0" applyBorder="0" applyAlignment="0" applyProtection="0"/>
    <xf numFmtId="0" fontId="24" fillId="83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4" fillId="84" borderId="0" applyNumberFormat="0" applyBorder="0" applyAlignment="0" applyProtection="0"/>
    <xf numFmtId="0" fontId="24" fillId="84" borderId="0" applyNumberFormat="0" applyBorder="0" applyAlignment="0" applyProtection="0"/>
    <xf numFmtId="0" fontId="24" fillId="84" borderId="0" applyNumberFormat="0" applyBorder="0" applyAlignment="0" applyProtection="0"/>
    <xf numFmtId="0" fontId="24" fillId="84" borderId="0" applyNumberFormat="0" applyBorder="0" applyAlignment="0" applyProtection="0"/>
    <xf numFmtId="0" fontId="24" fillId="84" borderId="0" applyNumberFormat="0" applyBorder="0" applyAlignment="0" applyProtection="0"/>
    <xf numFmtId="0" fontId="24" fillId="84" borderId="0" applyNumberFormat="0" applyBorder="0" applyAlignment="0" applyProtection="0"/>
    <xf numFmtId="0" fontId="24" fillId="84" borderId="0" applyNumberFormat="0" applyBorder="0" applyAlignment="0" applyProtection="0"/>
    <xf numFmtId="0" fontId="28" fillId="0" borderId="0"/>
    <xf numFmtId="166" fontId="9" fillId="0" borderId="0" applyFont="0" applyFill="0" applyBorder="0" applyAlignment="0" applyProtection="0"/>
    <xf numFmtId="0" fontId="29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5" fillId="55" borderId="0" applyNumberFormat="0" applyBorder="0" applyAlignment="0" applyProtection="0"/>
    <xf numFmtId="0" fontId="25" fillId="69" borderId="0" applyNumberFormat="0" applyBorder="0" applyAlignment="0" applyProtection="0"/>
    <xf numFmtId="0" fontId="25" fillId="74" borderId="0" applyNumberFormat="0" applyBorder="0" applyAlignment="0" applyProtection="0"/>
    <xf numFmtId="0" fontId="25" fillId="87" borderId="0" applyNumberFormat="0" applyBorder="0" applyAlignment="0" applyProtection="0"/>
    <xf numFmtId="0" fontId="25" fillId="55" borderId="0" applyNumberFormat="0" applyBorder="0" applyAlignment="0" applyProtection="0"/>
    <xf numFmtId="0" fontId="25" fillId="84" borderId="0" applyNumberFormat="0" applyBorder="0" applyAlignment="0" applyProtection="0"/>
    <xf numFmtId="0" fontId="30" fillId="0" borderId="0">
      <alignment horizontal="center" wrapText="1"/>
      <protection locked="0"/>
    </xf>
    <xf numFmtId="0" fontId="9" fillId="0" borderId="0" applyFill="0" applyBorder="0">
      <alignment vertical="center"/>
    </xf>
    <xf numFmtId="168" fontId="9" fillId="0" borderId="0" applyFont="0" applyFill="0" applyBorder="0" applyAlignment="0" applyProtection="0"/>
    <xf numFmtId="0" fontId="31" fillId="0" borderId="0" applyFont="0" applyFill="0" applyBorder="0" applyAlignment="0" applyProtection="0"/>
    <xf numFmtId="169" fontId="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33" fillId="40" borderId="0" applyNumberFormat="0" applyBorder="0" applyAlignment="0" applyProtection="0"/>
    <xf numFmtId="0" fontId="32" fillId="40" borderId="0" applyNumberFormat="0" applyBorder="0" applyAlignment="0" applyProtection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6" fillId="41" borderId="0" applyNumberFormat="0" applyBorder="0" applyAlignment="0" applyProtection="0"/>
    <xf numFmtId="0" fontId="33" fillId="40" borderId="0" applyNumberFormat="0" applyBorder="0" applyAlignment="0" applyProtection="0"/>
    <xf numFmtId="0" fontId="31" fillId="0" borderId="0"/>
    <xf numFmtId="0" fontId="21" fillId="0" borderId="0"/>
    <xf numFmtId="0" fontId="31" fillId="0" borderId="0"/>
    <xf numFmtId="170" fontId="37" fillId="0" borderId="0" applyFill="0" applyBorder="0" applyAlignment="0"/>
    <xf numFmtId="171" fontId="9" fillId="0" borderId="0" applyFill="0" applyBorder="0" applyAlignment="0"/>
    <xf numFmtId="172" fontId="9" fillId="0" borderId="0" applyFill="0" applyBorder="0" applyAlignment="0"/>
    <xf numFmtId="173" fontId="38" fillId="0" borderId="0" applyFill="0" applyBorder="0" applyAlignment="0"/>
    <xf numFmtId="174" fontId="38" fillId="0" borderId="0" applyFill="0" applyBorder="0" applyAlignment="0"/>
    <xf numFmtId="175" fontId="38" fillId="0" borderId="0" applyFill="0" applyBorder="0" applyAlignment="0"/>
    <xf numFmtId="176" fontId="9" fillId="0" borderId="0" applyFill="0" applyBorder="0" applyAlignment="0"/>
    <xf numFmtId="177" fontId="9" fillId="0" borderId="0" applyFill="0" applyBorder="0" applyAlignment="0"/>
    <xf numFmtId="172" fontId="9" fillId="0" borderId="0" applyFill="0" applyBorder="0" applyAlignment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44" borderId="38" applyNumberFormat="0" applyAlignment="0" applyProtection="0"/>
    <xf numFmtId="0" fontId="40" fillId="44" borderId="38" applyNumberFormat="0" applyAlignment="0" applyProtection="0"/>
    <xf numFmtId="0" fontId="40" fillId="44" borderId="38" applyNumberFormat="0" applyAlignment="0" applyProtection="0"/>
    <xf numFmtId="0" fontId="40" fillId="44" borderId="38" applyNumberFormat="0" applyAlignment="0" applyProtection="0"/>
    <xf numFmtId="0" fontId="40" fillId="44" borderId="38" applyNumberFormat="0" applyAlignment="0" applyProtection="0"/>
    <xf numFmtId="0" fontId="40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0" fillId="67" borderId="38" applyNumberFormat="0" applyAlignment="0" applyProtection="0"/>
    <xf numFmtId="0" fontId="41" fillId="88" borderId="38" applyNumberFormat="0" applyAlignment="0" applyProtection="0"/>
    <xf numFmtId="0" fontId="41" fillId="88" borderId="38" applyNumberFormat="0" applyAlignment="0" applyProtection="0"/>
    <xf numFmtId="0" fontId="41" fillId="88" borderId="38" applyNumberFormat="0" applyAlignment="0" applyProtection="0"/>
    <xf numFmtId="0" fontId="41" fillId="88" borderId="38" applyNumberFormat="0" applyAlignment="0" applyProtection="0"/>
    <xf numFmtId="0" fontId="41" fillId="88" borderId="38" applyNumberFormat="0" applyAlignment="0" applyProtection="0"/>
    <xf numFmtId="0" fontId="41" fillId="88" borderId="38" applyNumberFormat="0" applyAlignment="0" applyProtection="0"/>
    <xf numFmtId="0" fontId="41" fillId="88" borderId="38" applyNumberFormat="0" applyAlignment="0" applyProtection="0"/>
    <xf numFmtId="0" fontId="41" fillId="88" borderId="38" applyNumberFormat="0" applyAlignment="0" applyProtection="0"/>
    <xf numFmtId="0" fontId="41" fillId="88" borderId="38" applyNumberFormat="0" applyAlignment="0" applyProtection="0"/>
    <xf numFmtId="0" fontId="41" fillId="88" borderId="38" applyNumberFormat="0" applyAlignment="0" applyProtection="0"/>
    <xf numFmtId="0" fontId="41" fillId="88" borderId="38" applyNumberFormat="0" applyAlignment="0" applyProtection="0"/>
    <xf numFmtId="0" fontId="41" fillId="88" borderId="38" applyNumberFormat="0" applyAlignment="0" applyProtection="0"/>
    <xf numFmtId="0" fontId="41" fillId="88" borderId="38" applyNumberFormat="0" applyAlignment="0" applyProtection="0"/>
    <xf numFmtId="0" fontId="41" fillId="88" borderId="38" applyNumberFormat="0" applyAlignment="0" applyProtection="0"/>
    <xf numFmtId="0" fontId="41" fillId="88" borderId="38" applyNumberFormat="0" applyAlignment="0" applyProtection="0"/>
    <xf numFmtId="0" fontId="41" fillId="88" borderId="38" applyNumberFormat="0" applyAlignment="0" applyProtection="0"/>
    <xf numFmtId="0" fontId="41" fillId="88" borderId="38" applyNumberFormat="0" applyAlignment="0" applyProtection="0"/>
    <xf numFmtId="0" fontId="41" fillId="88" borderId="38" applyNumberFormat="0" applyAlignment="0" applyProtection="0"/>
    <xf numFmtId="0" fontId="40" fillId="44" borderId="38" applyNumberFormat="0" applyAlignment="0" applyProtection="0"/>
    <xf numFmtId="0" fontId="40" fillId="44" borderId="38" applyNumberFormat="0" applyAlignment="0" applyProtection="0"/>
    <xf numFmtId="0" fontId="40" fillId="44" borderId="38" applyNumberFormat="0" applyAlignment="0" applyProtection="0"/>
    <xf numFmtId="0" fontId="42" fillId="6" borderId="4" applyNumberFormat="0" applyAlignment="0" applyProtection="0"/>
    <xf numFmtId="0" fontId="42" fillId="6" borderId="4" applyNumberFormat="0" applyAlignment="0" applyProtection="0"/>
    <xf numFmtId="0" fontId="42" fillId="6" borderId="4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39" fillId="44" borderId="38" applyNumberFormat="0" applyAlignment="0" applyProtection="0"/>
    <xf numFmtId="0" fontId="9" fillId="46" borderId="39" applyNumberFormat="0" applyFont="0" applyAlignment="0" applyProtection="0"/>
    <xf numFmtId="0" fontId="9" fillId="46" borderId="39" applyNumberFormat="0" applyFont="0" applyAlignment="0" applyProtection="0"/>
    <xf numFmtId="0" fontId="9" fillId="46" borderId="39" applyNumberFormat="0" applyFont="0" applyAlignment="0" applyProtection="0"/>
    <xf numFmtId="0" fontId="9" fillId="46" borderId="39" applyNumberFormat="0" applyFont="0" applyAlignment="0" applyProtection="0"/>
    <xf numFmtId="0" fontId="9" fillId="46" borderId="39" applyNumberFormat="0" applyFont="0" applyAlignment="0" applyProtection="0"/>
    <xf numFmtId="0" fontId="9" fillId="46" borderId="39" applyNumberFormat="0" applyFont="0" applyAlignment="0" applyProtection="0"/>
    <xf numFmtId="0" fontId="9" fillId="46" borderId="39" applyNumberFormat="0" applyFont="0" applyAlignment="0" applyProtection="0"/>
    <xf numFmtId="0" fontId="9" fillId="46" borderId="39" applyNumberFormat="0" applyFont="0" applyAlignment="0" applyProtection="0"/>
    <xf numFmtId="0" fontId="9" fillId="46" borderId="39" applyNumberFormat="0" applyFont="0" applyAlignment="0" applyProtection="0"/>
    <xf numFmtId="0" fontId="9" fillId="46" borderId="39" applyNumberFormat="0" applyFont="0" applyAlignment="0" applyProtection="0"/>
    <xf numFmtId="0" fontId="9" fillId="46" borderId="39" applyNumberFormat="0" applyFont="0" applyAlignment="0" applyProtection="0"/>
    <xf numFmtId="0" fontId="9" fillId="46" borderId="39" applyNumberFormat="0" applyFont="0" applyAlignment="0" applyProtection="0"/>
    <xf numFmtId="0" fontId="9" fillId="46" borderId="39" applyNumberFormat="0" applyFont="0" applyAlignment="0" applyProtection="0"/>
    <xf numFmtId="0" fontId="9" fillId="46" borderId="39" applyNumberFormat="0" applyFont="0" applyAlignment="0" applyProtection="0"/>
    <xf numFmtId="0" fontId="9" fillId="46" borderId="39" applyNumberFormat="0" applyFont="0" applyAlignment="0" applyProtection="0"/>
    <xf numFmtId="0" fontId="9" fillId="46" borderId="39" applyNumberFormat="0" applyFont="0" applyAlignment="0" applyProtection="0"/>
    <xf numFmtId="0" fontId="9" fillId="46" borderId="39" applyNumberFormat="0" applyFont="0" applyAlignment="0" applyProtection="0"/>
    <xf numFmtId="0" fontId="9" fillId="46" borderId="39" applyNumberFormat="0" applyFont="0" applyAlignment="0" applyProtection="0"/>
    <xf numFmtId="0" fontId="43" fillId="50" borderId="40" applyNumberFormat="0" applyAlignment="0" applyProtection="0"/>
    <xf numFmtId="0" fontId="43" fillId="50" borderId="40" applyNumberFormat="0" applyAlignment="0" applyProtection="0"/>
    <xf numFmtId="0" fontId="43" fillId="50" borderId="40" applyNumberFormat="0" applyAlignment="0" applyProtection="0"/>
    <xf numFmtId="0" fontId="43" fillId="50" borderId="40" applyNumberFormat="0" applyAlignment="0" applyProtection="0"/>
    <xf numFmtId="178" fontId="44" fillId="1" borderId="0" applyFill="0" applyBorder="0"/>
    <xf numFmtId="0" fontId="45" fillId="50" borderId="40" applyNumberFormat="0" applyAlignment="0" applyProtection="0"/>
    <xf numFmtId="0" fontId="45" fillId="50" borderId="40" applyNumberFormat="0" applyAlignment="0" applyProtection="0"/>
    <xf numFmtId="0" fontId="45" fillId="50" borderId="40" applyNumberFormat="0" applyAlignment="0" applyProtection="0"/>
    <xf numFmtId="0" fontId="45" fillId="50" borderId="40" applyNumberFormat="0" applyAlignment="0" applyProtection="0"/>
    <xf numFmtId="0" fontId="45" fillId="50" borderId="40" applyNumberFormat="0" applyAlignment="0" applyProtection="0"/>
    <xf numFmtId="0" fontId="45" fillId="50" borderId="40" applyNumberFormat="0" applyAlignment="0" applyProtection="0"/>
    <xf numFmtId="0" fontId="45" fillId="50" borderId="40" applyNumberFormat="0" applyAlignment="0" applyProtection="0"/>
    <xf numFmtId="0" fontId="45" fillId="50" borderId="40" applyNumberFormat="0" applyAlignment="0" applyProtection="0"/>
    <xf numFmtId="0" fontId="43" fillId="68" borderId="40" applyNumberFormat="0" applyAlignment="0" applyProtection="0"/>
    <xf numFmtId="0" fontId="43" fillId="68" borderId="40" applyNumberFormat="0" applyAlignment="0" applyProtection="0"/>
    <xf numFmtId="0" fontId="43" fillId="68" borderId="40" applyNumberFormat="0" applyAlignment="0" applyProtection="0"/>
    <xf numFmtId="0" fontId="43" fillId="68" borderId="40" applyNumberFormat="0" applyAlignment="0" applyProtection="0"/>
    <xf numFmtId="0" fontId="43" fillId="68" borderId="40" applyNumberFormat="0" applyAlignment="0" applyProtection="0"/>
    <xf numFmtId="0" fontId="43" fillId="68" borderId="40" applyNumberFormat="0" applyAlignment="0" applyProtection="0"/>
    <xf numFmtId="0" fontId="43" fillId="68" borderId="40" applyNumberFormat="0" applyAlignment="0" applyProtection="0"/>
    <xf numFmtId="0" fontId="43" fillId="68" borderId="40" applyNumberFormat="0" applyAlignment="0" applyProtection="0"/>
    <xf numFmtId="0" fontId="43" fillId="68" borderId="40" applyNumberFormat="0" applyAlignment="0" applyProtection="0"/>
    <xf numFmtId="0" fontId="43" fillId="68" borderId="40" applyNumberFormat="0" applyAlignment="0" applyProtection="0"/>
    <xf numFmtId="0" fontId="43" fillId="68" borderId="40" applyNumberFormat="0" applyAlignment="0" applyProtection="0"/>
    <xf numFmtId="0" fontId="43" fillId="68" borderId="40" applyNumberFormat="0" applyAlignment="0" applyProtection="0"/>
    <xf numFmtId="0" fontId="43" fillId="68" borderId="40" applyNumberFormat="0" applyAlignment="0" applyProtection="0"/>
    <xf numFmtId="0" fontId="43" fillId="68" borderId="40" applyNumberFormat="0" applyAlignment="0" applyProtection="0"/>
    <xf numFmtId="0" fontId="43" fillId="68" borderId="40" applyNumberFormat="0" applyAlignment="0" applyProtection="0"/>
    <xf numFmtId="0" fontId="43" fillId="68" borderId="40" applyNumberFormat="0" applyAlignment="0" applyProtection="0"/>
    <xf numFmtId="0" fontId="43" fillId="50" borderId="40" applyNumberFormat="0" applyAlignment="0" applyProtection="0"/>
    <xf numFmtId="0" fontId="45" fillId="50" borderId="40" applyNumberFormat="0" applyAlignment="0" applyProtection="0"/>
    <xf numFmtId="0" fontId="45" fillId="50" borderId="40" applyNumberFormat="0" applyAlignment="0" applyProtection="0"/>
    <xf numFmtId="0" fontId="45" fillId="50" borderId="40" applyNumberFormat="0" applyAlignment="0" applyProtection="0"/>
    <xf numFmtId="0" fontId="45" fillId="50" borderId="40" applyNumberFormat="0" applyAlignment="0" applyProtection="0"/>
    <xf numFmtId="0" fontId="43" fillId="68" borderId="40" applyNumberFormat="0" applyAlignment="0" applyProtection="0"/>
    <xf numFmtId="0" fontId="43" fillId="68" borderId="40" applyNumberFormat="0" applyAlignment="0" applyProtection="0"/>
    <xf numFmtId="0" fontId="43" fillId="68" borderId="40" applyNumberFormat="0" applyAlignment="0" applyProtection="0"/>
    <xf numFmtId="0" fontId="43" fillId="68" borderId="40" applyNumberFormat="0" applyAlignment="0" applyProtection="0"/>
    <xf numFmtId="0" fontId="45" fillId="68" borderId="40" applyNumberFormat="0" applyAlignment="0" applyProtection="0"/>
    <xf numFmtId="0" fontId="45" fillId="68" borderId="40" applyNumberFormat="0" applyAlignment="0" applyProtection="0"/>
    <xf numFmtId="0" fontId="45" fillId="68" borderId="40" applyNumberFormat="0" applyAlignment="0" applyProtection="0"/>
    <xf numFmtId="0" fontId="45" fillId="68" borderId="40" applyNumberFormat="0" applyAlignment="0" applyProtection="0"/>
    <xf numFmtId="0" fontId="43" fillId="50" borderId="40" applyNumberFormat="0" applyAlignment="0" applyProtection="0"/>
    <xf numFmtId="0" fontId="46" fillId="7" borderId="7" applyNumberFormat="0" applyAlignment="0" applyProtection="0"/>
    <xf numFmtId="0" fontId="46" fillId="7" borderId="7" applyNumberFormat="0" applyAlignment="0" applyProtection="0"/>
    <xf numFmtId="0" fontId="46" fillId="7" borderId="7" applyNumberFormat="0" applyAlignment="0" applyProtection="0"/>
    <xf numFmtId="0" fontId="45" fillId="50" borderId="40" applyNumberFormat="0" applyAlignment="0" applyProtection="0"/>
    <xf numFmtId="0" fontId="45" fillId="50" borderId="40" applyNumberFormat="0" applyAlignment="0" applyProtection="0"/>
    <xf numFmtId="0" fontId="45" fillId="50" borderId="40" applyNumberFormat="0" applyAlignment="0" applyProtection="0"/>
    <xf numFmtId="0" fontId="45" fillId="50" borderId="40" applyNumberFormat="0" applyAlignment="0" applyProtection="0"/>
    <xf numFmtId="0" fontId="45" fillId="50" borderId="40" applyNumberFormat="0" applyAlignment="0" applyProtection="0"/>
    <xf numFmtId="0" fontId="45" fillId="50" borderId="40" applyNumberFormat="0" applyAlignment="0" applyProtection="0"/>
    <xf numFmtId="0" fontId="45" fillId="50" borderId="40" applyNumberFormat="0" applyAlignment="0" applyProtection="0"/>
    <xf numFmtId="0" fontId="45" fillId="50" borderId="40" applyNumberFormat="0" applyAlignment="0" applyProtection="0"/>
    <xf numFmtId="0" fontId="45" fillId="50" borderId="40" applyNumberFormat="0" applyAlignment="0" applyProtection="0"/>
    <xf numFmtId="0" fontId="45" fillId="50" borderId="40" applyNumberFormat="0" applyAlignment="0" applyProtection="0"/>
    <xf numFmtId="0" fontId="45" fillId="50" borderId="40" applyNumberFormat="0" applyAlignment="0" applyProtection="0"/>
    <xf numFmtId="0" fontId="45" fillId="50" borderId="40" applyNumberFormat="0" applyAlignment="0" applyProtection="0"/>
    <xf numFmtId="0" fontId="45" fillId="50" borderId="40" applyNumberFormat="0" applyAlignment="0" applyProtection="0"/>
    <xf numFmtId="0" fontId="45" fillId="50" borderId="40" applyNumberFormat="0" applyAlignment="0" applyProtection="0"/>
    <xf numFmtId="0" fontId="45" fillId="50" borderId="40" applyNumberFormat="0" applyAlignment="0" applyProtection="0"/>
    <xf numFmtId="0" fontId="45" fillId="50" borderId="40" applyNumberFormat="0" applyAlignment="0" applyProtection="0"/>
    <xf numFmtId="0" fontId="45" fillId="50" borderId="40" applyNumberFormat="0" applyAlignment="0" applyProtection="0"/>
    <xf numFmtId="0" fontId="45" fillId="50" borderId="40" applyNumberFormat="0" applyAlignment="0" applyProtection="0"/>
    <xf numFmtId="0" fontId="45" fillId="50" borderId="40" applyNumberFormat="0" applyAlignment="0" applyProtection="0"/>
    <xf numFmtId="0" fontId="45" fillId="50" borderId="40" applyNumberFormat="0" applyAlignment="0" applyProtection="0"/>
    <xf numFmtId="0" fontId="45" fillId="50" borderId="40" applyNumberFormat="0" applyAlignment="0" applyProtection="0"/>
    <xf numFmtId="0" fontId="45" fillId="50" borderId="40" applyNumberFormat="0" applyAlignment="0" applyProtection="0"/>
    <xf numFmtId="0" fontId="45" fillId="50" borderId="40" applyNumberFormat="0" applyAlignment="0" applyProtection="0"/>
    <xf numFmtId="0" fontId="45" fillId="50" borderId="40" applyNumberFormat="0" applyAlignment="0" applyProtection="0"/>
    <xf numFmtId="0" fontId="45" fillId="50" borderId="40" applyNumberFormat="0" applyAlignment="0" applyProtection="0"/>
    <xf numFmtId="0" fontId="45" fillId="50" borderId="40" applyNumberFormat="0" applyAlignment="0" applyProtection="0"/>
    <xf numFmtId="0" fontId="45" fillId="50" borderId="40" applyNumberFormat="0" applyAlignment="0" applyProtection="0"/>
    <xf numFmtId="0" fontId="45" fillId="50" borderId="40" applyNumberFormat="0" applyAlignment="0" applyProtection="0"/>
    <xf numFmtId="0" fontId="10" fillId="0" borderId="0"/>
    <xf numFmtId="0" fontId="10" fillId="0" borderId="0"/>
    <xf numFmtId="0" fontId="10" fillId="0" borderId="0"/>
    <xf numFmtId="37" fontId="47" fillId="0" borderId="0"/>
    <xf numFmtId="37" fontId="47" fillId="0" borderId="0"/>
    <xf numFmtId="37" fontId="47" fillId="0" borderId="0"/>
    <xf numFmtId="37" fontId="47" fillId="0" borderId="0"/>
    <xf numFmtId="37" fontId="47" fillId="0" borderId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48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4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22" fillId="0" borderId="0" applyFont="0" applyFill="0" applyBorder="0" applyAlignment="0" applyProtection="0"/>
    <xf numFmtId="0" fontId="50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41" fontId="51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51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52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6" fontId="9" fillId="0" borderId="0" applyFont="0" applyFill="0" applyBorder="0" applyAlignment="0" applyProtection="0"/>
    <xf numFmtId="179" fontId="52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4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53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50" fillId="0" borderId="0" applyFont="0" applyFill="0" applyBorder="0" applyAlignment="0" applyProtection="0">
      <alignment vertical="center"/>
    </xf>
    <xf numFmtId="179" fontId="48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23" fillId="0" borderId="0" applyFont="0" applyFill="0" applyBorder="0" applyAlignment="0" applyProtection="0"/>
    <xf numFmtId="180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179" fontId="9" fillId="0" borderId="0" applyFont="0" applyFill="0" applyBorder="0" applyAlignment="0" applyProtection="0"/>
    <xf numFmtId="181" fontId="22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23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23" fillId="0" borderId="0" applyFont="0" applyFill="0" applyBorder="0" applyAlignment="0" applyProtection="0"/>
    <xf numFmtId="179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53" fillId="0" borderId="0" applyFont="0" applyFill="0" applyBorder="0" applyAlignment="0" applyProtection="0"/>
    <xf numFmtId="179" fontId="23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22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9" fillId="0" borderId="0" applyFont="0" applyFill="0" applyBorder="0" applyAlignment="0" applyProtection="0"/>
    <xf numFmtId="43" fontId="22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7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0" fontId="54" fillId="0" borderId="0" applyNumberFormat="0" applyAlignment="0">
      <alignment horizontal="left"/>
    </xf>
    <xf numFmtId="0" fontId="54" fillId="0" borderId="0" applyNumberFormat="0" applyAlignment="0">
      <alignment horizontal="left"/>
    </xf>
    <xf numFmtId="0" fontId="55" fillId="0" borderId="0" applyNumberFormat="0" applyAlignment="0"/>
    <xf numFmtId="0" fontId="10" fillId="0" borderId="0"/>
    <xf numFmtId="0" fontId="10" fillId="0" borderId="0"/>
    <xf numFmtId="167" fontId="56" fillId="0" borderId="9"/>
    <xf numFmtId="167" fontId="56" fillId="0" borderId="9"/>
    <xf numFmtId="167" fontId="56" fillId="0" borderId="9"/>
    <xf numFmtId="167" fontId="56" fillId="0" borderId="9"/>
    <xf numFmtId="167" fontId="56" fillId="0" borderId="9"/>
    <xf numFmtId="167" fontId="56" fillId="0" borderId="9"/>
    <xf numFmtId="167" fontId="56" fillId="0" borderId="9"/>
    <xf numFmtId="167" fontId="56" fillId="0" borderId="9"/>
    <xf numFmtId="167" fontId="56" fillId="0" borderId="9"/>
    <xf numFmtId="182" fontId="22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0" fontId="20" fillId="0" borderId="0"/>
    <xf numFmtId="0" fontId="57" fillId="0" borderId="0"/>
    <xf numFmtId="0" fontId="57" fillId="0" borderId="41"/>
    <xf numFmtId="0" fontId="57" fillId="0" borderId="41"/>
    <xf numFmtId="0" fontId="57" fillId="0" borderId="41"/>
    <xf numFmtId="0" fontId="57" fillId="0" borderId="41"/>
    <xf numFmtId="0" fontId="57" fillId="0" borderId="41"/>
    <xf numFmtId="0" fontId="57" fillId="0" borderId="41"/>
    <xf numFmtId="0" fontId="57" fillId="0" borderId="41"/>
    <xf numFmtId="0" fontId="57" fillId="0" borderId="41"/>
    <xf numFmtId="0" fontId="57" fillId="0" borderId="41"/>
    <xf numFmtId="0" fontId="57" fillId="0" borderId="41"/>
    <xf numFmtId="0" fontId="57" fillId="0" borderId="41"/>
    <xf numFmtId="0" fontId="57" fillId="0" borderId="41"/>
    <xf numFmtId="0" fontId="57" fillId="0" borderId="41"/>
    <xf numFmtId="0" fontId="57" fillId="0" borderId="41"/>
    <xf numFmtId="0" fontId="57" fillId="0" borderId="41"/>
    <xf numFmtId="0" fontId="57" fillId="0" borderId="41"/>
    <xf numFmtId="0" fontId="57" fillId="0" borderId="41"/>
    <xf numFmtId="0" fontId="57" fillId="0" borderId="41"/>
    <xf numFmtId="165" fontId="19" fillId="0" borderId="0">
      <protection locked="0"/>
    </xf>
    <xf numFmtId="14" fontId="37" fillId="0" borderId="0" applyFill="0" applyBorder="0" applyAlignment="0"/>
    <xf numFmtId="0" fontId="9" fillId="0" borderId="0" applyFont="0" applyFill="0" applyBorder="0" applyAlignment="0" applyProtection="0"/>
    <xf numFmtId="0" fontId="9" fillId="0" borderId="0" applyNumberFormat="0">
      <alignment horizontal="centerContinuous"/>
    </xf>
    <xf numFmtId="0" fontId="55" fillId="0" borderId="0"/>
    <xf numFmtId="185" fontId="58" fillId="0" borderId="0" applyFont="0" applyFill="0" applyBorder="0">
      <alignment horizontal="left" vertical="top" wrapText="1"/>
      <protection locked="0"/>
    </xf>
    <xf numFmtId="0" fontId="55" fillId="0" borderId="41"/>
    <xf numFmtId="0" fontId="55" fillId="0" borderId="41"/>
    <xf numFmtId="0" fontId="55" fillId="0" borderId="41"/>
    <xf numFmtId="0" fontId="55" fillId="0" borderId="41"/>
    <xf numFmtId="0" fontId="55" fillId="0" borderId="41"/>
    <xf numFmtId="0" fontId="55" fillId="0" borderId="41"/>
    <xf numFmtId="0" fontId="55" fillId="0" borderId="41"/>
    <xf numFmtId="0" fontId="55" fillId="0" borderId="41"/>
    <xf numFmtId="0" fontId="55" fillId="0" borderId="41"/>
    <xf numFmtId="0" fontId="55" fillId="0" borderId="41"/>
    <xf numFmtId="0" fontId="55" fillId="0" borderId="41"/>
    <xf numFmtId="0" fontId="55" fillId="0" borderId="41"/>
    <xf numFmtId="0" fontId="55" fillId="0" borderId="41"/>
    <xf numFmtId="0" fontId="55" fillId="0" borderId="41"/>
    <xf numFmtId="0" fontId="55" fillId="0" borderId="41"/>
    <xf numFmtId="0" fontId="55" fillId="0" borderId="41"/>
    <xf numFmtId="0" fontId="55" fillId="0" borderId="41"/>
    <xf numFmtId="0" fontId="55" fillId="0" borderId="41"/>
    <xf numFmtId="0" fontId="55" fillId="0" borderId="41"/>
    <xf numFmtId="0" fontId="55" fillId="0" borderId="41"/>
    <xf numFmtId="0" fontId="55" fillId="0" borderId="41"/>
    <xf numFmtId="0" fontId="55" fillId="0" borderId="41"/>
    <xf numFmtId="0" fontId="55" fillId="0" borderId="41"/>
    <xf numFmtId="0" fontId="55" fillId="0" borderId="41"/>
    <xf numFmtId="0" fontId="55" fillId="0" borderId="41"/>
    <xf numFmtId="0" fontId="55" fillId="0" borderId="41"/>
    <xf numFmtId="0" fontId="55" fillId="0" borderId="41"/>
    <xf numFmtId="0" fontId="55" fillId="0" borderId="41"/>
    <xf numFmtId="0" fontId="55" fillId="0" borderId="41"/>
    <xf numFmtId="0" fontId="55" fillId="0" borderId="41"/>
    <xf numFmtId="0" fontId="55" fillId="0" borderId="41"/>
    <xf numFmtId="0" fontId="55" fillId="0" borderId="41"/>
    <xf numFmtId="0" fontId="55" fillId="0" borderId="41"/>
    <xf numFmtId="0" fontId="55" fillId="0" borderId="41"/>
    <xf numFmtId="0" fontId="55" fillId="0" borderId="41"/>
    <xf numFmtId="0" fontId="55" fillId="0" borderId="41"/>
    <xf numFmtId="0" fontId="59" fillId="89" borderId="0" applyNumberFormat="0" applyBorder="0" applyAlignment="0" applyProtection="0"/>
    <xf numFmtId="0" fontId="60" fillId="90" borderId="0" applyNumberFormat="0" applyBorder="0" applyAlignment="0" applyProtection="0"/>
    <xf numFmtId="0" fontId="60" fillId="90" borderId="0" applyNumberFormat="0" applyBorder="0" applyAlignment="0" applyProtection="0"/>
    <xf numFmtId="0" fontId="59" fillId="91" borderId="0" applyNumberFormat="0" applyBorder="0" applyAlignment="0" applyProtection="0"/>
    <xf numFmtId="0" fontId="60" fillId="92" borderId="0" applyNumberFormat="0" applyBorder="0" applyAlignment="0" applyProtection="0"/>
    <xf numFmtId="0" fontId="60" fillId="92" borderId="0" applyNumberFormat="0" applyBorder="0" applyAlignment="0" applyProtection="0"/>
    <xf numFmtId="0" fontId="59" fillId="93" borderId="0" applyNumberFormat="0" applyBorder="0" applyAlignment="0" applyProtection="0"/>
    <xf numFmtId="0" fontId="60" fillId="94" borderId="0" applyNumberFormat="0" applyBorder="0" applyAlignment="0" applyProtection="0"/>
    <xf numFmtId="0" fontId="60" fillId="94" borderId="0" applyNumberFormat="0" applyBorder="0" applyAlignment="0" applyProtection="0"/>
    <xf numFmtId="0" fontId="61" fillId="95" borderId="0"/>
    <xf numFmtId="176" fontId="9" fillId="0" borderId="0" applyFill="0" applyBorder="0" applyAlignment="0"/>
    <xf numFmtId="172" fontId="9" fillId="0" borderId="0" applyFill="0" applyBorder="0" applyAlignment="0"/>
    <xf numFmtId="176" fontId="9" fillId="0" borderId="0" applyFill="0" applyBorder="0" applyAlignment="0"/>
    <xf numFmtId="177" fontId="9" fillId="0" borderId="0" applyFill="0" applyBorder="0" applyAlignment="0"/>
    <xf numFmtId="172" fontId="9" fillId="0" borderId="0" applyFill="0" applyBorder="0" applyAlignment="0"/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186" fontId="9" fillId="0" borderId="0" applyFon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65" fontId="19" fillId="0" borderId="0">
      <protection locked="0"/>
    </xf>
    <xf numFmtId="0" fontId="66" fillId="0" borderId="42"/>
    <xf numFmtId="0" fontId="66" fillId="0" borderId="42"/>
    <xf numFmtId="0" fontId="66" fillId="0" borderId="42"/>
    <xf numFmtId="0" fontId="66" fillId="0" borderId="42"/>
    <xf numFmtId="0" fontId="66" fillId="0" borderId="41"/>
    <xf numFmtId="0" fontId="66" fillId="0" borderId="41"/>
    <xf numFmtId="0" fontId="66" fillId="0" borderId="41"/>
    <xf numFmtId="0" fontId="66" fillId="0" borderId="41"/>
    <xf numFmtId="0" fontId="66" fillId="0" borderId="41"/>
    <xf numFmtId="0" fontId="66" fillId="0" borderId="41"/>
    <xf numFmtId="0" fontId="66" fillId="0" borderId="41"/>
    <xf numFmtId="0" fontId="66" fillId="0" borderId="41"/>
    <xf numFmtId="0" fontId="66" fillId="0" borderId="41"/>
    <xf numFmtId="0" fontId="66" fillId="0" borderId="41"/>
    <xf numFmtId="0" fontId="66" fillId="0" borderId="41"/>
    <xf numFmtId="0" fontId="66" fillId="0" borderId="41"/>
    <xf numFmtId="0" fontId="66" fillId="0" borderId="41"/>
    <xf numFmtId="0" fontId="66" fillId="0" borderId="41"/>
    <xf numFmtId="0" fontId="66" fillId="0" borderId="41"/>
    <xf numFmtId="0" fontId="66" fillId="0" borderId="41"/>
    <xf numFmtId="0" fontId="66" fillId="0" borderId="41"/>
    <xf numFmtId="0" fontId="66" fillId="0" borderId="41"/>
    <xf numFmtId="0" fontId="66" fillId="96" borderId="41"/>
    <xf numFmtId="0" fontId="66" fillId="96" borderId="41"/>
    <xf numFmtId="0" fontId="66" fillId="96" borderId="41"/>
    <xf numFmtId="0" fontId="66" fillId="96" borderId="41"/>
    <xf numFmtId="0" fontId="66" fillId="96" borderId="41"/>
    <xf numFmtId="0" fontId="66" fillId="96" borderId="41"/>
    <xf numFmtId="0" fontId="66" fillId="96" borderId="41"/>
    <xf numFmtId="0" fontId="66" fillId="96" borderId="41"/>
    <xf numFmtId="0" fontId="66" fillId="96" borderId="41"/>
    <xf numFmtId="0" fontId="66" fillId="96" borderId="41"/>
    <xf numFmtId="0" fontId="66" fillId="96" borderId="41"/>
    <xf numFmtId="0" fontId="66" fillId="96" borderId="41"/>
    <xf numFmtId="0" fontId="66" fillId="96" borderId="41"/>
    <xf numFmtId="0" fontId="66" fillId="96" borderId="41"/>
    <xf numFmtId="0" fontId="66" fillId="96" borderId="41"/>
    <xf numFmtId="0" fontId="66" fillId="96" borderId="41"/>
    <xf numFmtId="0" fontId="66" fillId="96" borderId="41"/>
    <xf numFmtId="0" fontId="66" fillId="96" borderId="41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36" fillId="72" borderId="0" applyNumberFormat="0" applyBorder="0" applyAlignment="0" applyProtection="0"/>
    <xf numFmtId="0" fontId="36" fillId="72" borderId="0" applyNumberFormat="0" applyBorder="0" applyAlignment="0" applyProtection="0"/>
    <xf numFmtId="0" fontId="36" fillId="72" borderId="0" applyNumberFormat="0" applyBorder="0" applyAlignment="0" applyProtection="0"/>
    <xf numFmtId="0" fontId="36" fillId="72" borderId="0" applyNumberFormat="0" applyBorder="0" applyAlignment="0" applyProtection="0"/>
    <xf numFmtId="0" fontId="36" fillId="72" borderId="0" applyNumberFormat="0" applyBorder="0" applyAlignment="0" applyProtection="0"/>
    <xf numFmtId="0" fontId="36" fillId="72" borderId="0" applyNumberFormat="0" applyBorder="0" applyAlignment="0" applyProtection="0"/>
    <xf numFmtId="0" fontId="36" fillId="72" borderId="0" applyNumberFormat="0" applyBorder="0" applyAlignment="0" applyProtection="0"/>
    <xf numFmtId="0" fontId="36" fillId="72" borderId="0" applyNumberFormat="0" applyBorder="0" applyAlignment="0" applyProtection="0"/>
    <xf numFmtId="0" fontId="68" fillId="2" borderId="0" applyNumberFormat="0" applyBorder="0" applyAlignment="0" applyProtection="0"/>
    <xf numFmtId="0" fontId="67" fillId="41" borderId="0" applyNumberFormat="0" applyBorder="0" applyAlignment="0" applyProtection="0"/>
    <xf numFmtId="0" fontId="36" fillId="72" borderId="0" applyNumberFormat="0" applyBorder="0" applyAlignment="0" applyProtection="0"/>
    <xf numFmtId="0" fontId="36" fillId="72" borderId="0" applyNumberFormat="0" applyBorder="0" applyAlignment="0" applyProtection="0"/>
    <xf numFmtId="0" fontId="67" fillId="72" borderId="0" applyNumberFormat="0" applyBorder="0" applyAlignment="0" applyProtection="0"/>
    <xf numFmtId="0" fontId="67" fillId="72" borderId="0" applyNumberFormat="0" applyBorder="0" applyAlignment="0" applyProtection="0"/>
    <xf numFmtId="0" fontId="36" fillId="41" borderId="0" applyNumberFormat="0" applyBorder="0" applyAlignment="0" applyProtection="0"/>
    <xf numFmtId="0" fontId="68" fillId="2" borderId="0" applyNumberFormat="0" applyBorder="0" applyAlignment="0" applyProtection="0"/>
    <xf numFmtId="0" fontId="68" fillId="2" borderId="0" applyNumberFormat="0" applyBorder="0" applyAlignment="0" applyProtection="0"/>
    <xf numFmtId="0" fontId="68" fillId="2" borderId="0" applyNumberFormat="0" applyBorder="0" applyAlignment="0" applyProtection="0"/>
    <xf numFmtId="0" fontId="2" fillId="2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38" fontId="69" fillId="97" borderId="0" applyNumberFormat="0" applyBorder="0" applyAlignment="0" applyProtection="0"/>
    <xf numFmtId="38" fontId="69" fillId="97" borderId="0" applyNumberFormat="0" applyBorder="0" applyAlignment="0" applyProtection="0"/>
    <xf numFmtId="187" fontId="9" fillId="0" borderId="35" applyFont="0" applyFill="0" applyBorder="0" applyAlignment="0"/>
    <xf numFmtId="0" fontId="70" fillId="98" borderId="43"/>
    <xf numFmtId="0" fontId="71" fillId="0" borderId="29" applyNumberFormat="0" applyAlignment="0" applyProtection="0">
      <alignment horizontal="left" vertical="center"/>
    </xf>
    <xf numFmtId="0" fontId="71" fillId="0" borderId="44">
      <alignment horizontal="left" vertical="center"/>
    </xf>
    <xf numFmtId="0" fontId="71" fillId="0" borderId="44">
      <alignment horizontal="left" vertical="center"/>
    </xf>
    <xf numFmtId="0" fontId="71" fillId="0" borderId="44">
      <alignment horizontal="left" vertical="center"/>
    </xf>
    <xf numFmtId="0" fontId="71" fillId="0" borderId="44">
      <alignment horizontal="left" vertical="center"/>
    </xf>
    <xf numFmtId="0" fontId="71" fillId="0" borderId="44">
      <alignment horizontal="left" vertical="center"/>
    </xf>
    <xf numFmtId="0" fontId="71" fillId="0" borderId="44">
      <alignment horizontal="left" vertical="center"/>
    </xf>
    <xf numFmtId="0" fontId="71" fillId="0" borderId="44">
      <alignment horizontal="left" vertical="center"/>
    </xf>
    <xf numFmtId="0" fontId="71" fillId="0" borderId="44">
      <alignment horizontal="left" vertical="center"/>
    </xf>
    <xf numFmtId="0" fontId="71" fillId="0" borderId="44">
      <alignment horizontal="left" vertical="center"/>
    </xf>
    <xf numFmtId="0" fontId="71" fillId="0" borderId="44">
      <alignment horizontal="left" vertical="center"/>
    </xf>
    <xf numFmtId="0" fontId="71" fillId="0" borderId="44">
      <alignment horizontal="left" vertical="center"/>
    </xf>
    <xf numFmtId="0" fontId="71" fillId="0" borderId="44">
      <alignment horizontal="left" vertical="center"/>
    </xf>
    <xf numFmtId="0" fontId="71" fillId="0" borderId="44">
      <alignment horizontal="left" vertical="center"/>
    </xf>
    <xf numFmtId="0" fontId="71" fillId="0" borderId="44">
      <alignment horizontal="left" vertical="center"/>
    </xf>
    <xf numFmtId="0" fontId="71" fillId="0" borderId="44">
      <alignment horizontal="left" vertical="center"/>
    </xf>
    <xf numFmtId="0" fontId="71" fillId="0" borderId="44">
      <alignment horizontal="left" vertical="center"/>
    </xf>
    <xf numFmtId="0" fontId="71" fillId="0" borderId="44">
      <alignment horizontal="left" vertical="center"/>
    </xf>
    <xf numFmtId="0" fontId="71" fillId="0" borderId="44">
      <alignment horizontal="left" vertical="center"/>
    </xf>
    <xf numFmtId="0" fontId="72" fillId="0" borderId="45" applyNumberFormat="0" applyFill="0" applyAlignment="0" applyProtection="0"/>
    <xf numFmtId="0" fontId="72" fillId="0" borderId="45" applyNumberFormat="0" applyFill="0" applyAlignment="0" applyProtection="0"/>
    <xf numFmtId="0" fontId="73" fillId="0" borderId="45" applyNumberFormat="0" applyFill="0" applyAlignment="0" applyProtection="0"/>
    <xf numFmtId="0" fontId="73" fillId="0" borderId="45" applyNumberFormat="0" applyFill="0" applyAlignment="0" applyProtection="0"/>
    <xf numFmtId="0" fontId="73" fillId="0" borderId="45" applyNumberFormat="0" applyFill="0" applyAlignment="0" applyProtection="0"/>
    <xf numFmtId="0" fontId="73" fillId="0" borderId="45" applyNumberFormat="0" applyFill="0" applyAlignment="0" applyProtection="0"/>
    <xf numFmtId="0" fontId="73" fillId="0" borderId="45" applyNumberFormat="0" applyFill="0" applyAlignment="0" applyProtection="0"/>
    <xf numFmtId="0" fontId="73" fillId="0" borderId="45" applyNumberFormat="0" applyFill="0" applyAlignment="0" applyProtection="0"/>
    <xf numFmtId="0" fontId="73" fillId="0" borderId="45" applyNumberFormat="0" applyFill="0" applyAlignment="0" applyProtection="0"/>
    <xf numFmtId="0" fontId="73" fillId="0" borderId="45" applyNumberFormat="0" applyFill="0" applyAlignment="0" applyProtection="0"/>
    <xf numFmtId="0" fontId="74" fillId="0" borderId="46" applyNumberFormat="0" applyFill="0" applyAlignment="0" applyProtection="0"/>
    <xf numFmtId="0" fontId="72" fillId="0" borderId="45" applyNumberFormat="0" applyFill="0" applyAlignment="0" applyProtection="0"/>
    <xf numFmtId="0" fontId="72" fillId="0" borderId="45" applyNumberFormat="0" applyFill="0" applyAlignment="0" applyProtection="0"/>
    <xf numFmtId="0" fontId="72" fillId="0" borderId="45" applyNumberFormat="0" applyFill="0" applyAlignment="0" applyProtection="0"/>
    <xf numFmtId="0" fontId="75" fillId="0" borderId="0" applyNumberFormat="0" applyFill="0" applyBorder="0" applyAlignment="0" applyProtection="0"/>
    <xf numFmtId="0" fontId="72" fillId="0" borderId="45" applyNumberFormat="0" applyFill="0" applyAlignment="0" applyProtection="0"/>
    <xf numFmtId="0" fontId="73" fillId="0" borderId="45" applyNumberFormat="0" applyFill="0" applyAlignment="0" applyProtection="0"/>
    <xf numFmtId="0" fontId="73" fillId="0" borderId="45" applyNumberFormat="0" applyFill="0" applyAlignment="0" applyProtection="0"/>
    <xf numFmtId="0" fontId="76" fillId="0" borderId="47" applyNumberFormat="0" applyFill="0" applyAlignment="0" applyProtection="0"/>
    <xf numFmtId="0" fontId="76" fillId="0" borderId="47" applyNumberFormat="0" applyFill="0" applyAlignment="0" applyProtection="0"/>
    <xf numFmtId="0" fontId="72" fillId="0" borderId="45" applyNumberFormat="0" applyFill="0" applyAlignment="0" applyProtection="0"/>
    <xf numFmtId="0" fontId="72" fillId="0" borderId="45" applyNumberFormat="0" applyFill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7" fillId="0" borderId="1" applyNumberFormat="0" applyFill="0" applyAlignment="0" applyProtection="0"/>
    <xf numFmtId="0" fontId="77" fillId="0" borderId="1" applyNumberFormat="0" applyFill="0" applyAlignment="0" applyProtection="0"/>
    <xf numFmtId="0" fontId="77" fillId="0" borderId="1" applyNumberFormat="0" applyFill="0" applyAlignment="0" applyProtection="0"/>
    <xf numFmtId="0" fontId="72" fillId="0" borderId="45" applyNumberFormat="0" applyFill="0" applyAlignment="0" applyProtection="0"/>
    <xf numFmtId="0" fontId="72" fillId="0" borderId="45" applyNumberFormat="0" applyFill="0" applyAlignment="0" applyProtection="0"/>
    <xf numFmtId="0" fontId="72" fillId="0" borderId="45" applyNumberFormat="0" applyFill="0" applyAlignment="0" applyProtection="0"/>
    <xf numFmtId="0" fontId="72" fillId="0" borderId="45" applyNumberFormat="0" applyFill="0" applyAlignment="0" applyProtection="0"/>
    <xf numFmtId="0" fontId="72" fillId="0" borderId="45" applyNumberFormat="0" applyFill="0" applyAlignment="0" applyProtection="0"/>
    <xf numFmtId="0" fontId="72" fillId="0" borderId="45" applyNumberFormat="0" applyFill="0" applyAlignment="0" applyProtection="0"/>
    <xf numFmtId="0" fontId="72" fillId="0" borderId="45" applyNumberFormat="0" applyFill="0" applyAlignment="0" applyProtection="0"/>
    <xf numFmtId="0" fontId="78" fillId="0" borderId="46" applyNumberFormat="0" applyFill="0" applyAlignment="0" applyProtection="0"/>
    <xf numFmtId="0" fontId="78" fillId="0" borderId="46" applyNumberFormat="0" applyFill="0" applyAlignment="0" applyProtection="0"/>
    <xf numFmtId="0" fontId="79" fillId="0" borderId="46" applyNumberFormat="0" applyFill="0" applyAlignment="0" applyProtection="0"/>
    <xf numFmtId="0" fontId="79" fillId="0" borderId="46" applyNumberFormat="0" applyFill="0" applyAlignment="0" applyProtection="0"/>
    <xf numFmtId="0" fontId="79" fillId="0" borderId="46" applyNumberFormat="0" applyFill="0" applyAlignment="0" applyProtection="0"/>
    <xf numFmtId="0" fontId="79" fillId="0" borderId="46" applyNumberFormat="0" applyFill="0" applyAlignment="0" applyProtection="0"/>
    <xf numFmtId="0" fontId="79" fillId="0" borderId="46" applyNumberFormat="0" applyFill="0" applyAlignment="0" applyProtection="0"/>
    <xf numFmtId="0" fontId="79" fillId="0" borderId="46" applyNumberFormat="0" applyFill="0" applyAlignment="0" applyProtection="0"/>
    <xf numFmtId="0" fontId="79" fillId="0" borderId="46" applyNumberFormat="0" applyFill="0" applyAlignment="0" applyProtection="0"/>
    <xf numFmtId="0" fontId="79" fillId="0" borderId="46" applyNumberFormat="0" applyFill="0" applyAlignment="0" applyProtection="0"/>
    <xf numFmtId="0" fontId="80" fillId="0" borderId="48" applyNumberFormat="0" applyFill="0" applyAlignment="0" applyProtection="0"/>
    <xf numFmtId="0" fontId="78" fillId="0" borderId="46" applyNumberFormat="0" applyFill="0" applyAlignment="0" applyProtection="0"/>
    <xf numFmtId="0" fontId="78" fillId="0" borderId="46" applyNumberFormat="0" applyFill="0" applyAlignment="0" applyProtection="0"/>
    <xf numFmtId="0" fontId="78" fillId="0" borderId="46" applyNumberFormat="0" applyFill="0" applyAlignment="0" applyProtection="0"/>
    <xf numFmtId="0" fontId="71" fillId="0" borderId="0" applyNumberFormat="0" applyFill="0" applyBorder="0" applyAlignment="0" applyProtection="0"/>
    <xf numFmtId="0" fontId="78" fillId="0" borderId="46" applyNumberFormat="0" applyFill="0" applyAlignment="0" applyProtection="0"/>
    <xf numFmtId="0" fontId="79" fillId="0" borderId="46" applyNumberFormat="0" applyFill="0" applyAlignment="0" applyProtection="0"/>
    <xf numFmtId="0" fontId="79" fillId="0" borderId="46" applyNumberFormat="0" applyFill="0" applyAlignment="0" applyProtection="0"/>
    <xf numFmtId="0" fontId="81" fillId="0" borderId="46" applyNumberFormat="0" applyFill="0" applyAlignment="0" applyProtection="0"/>
    <xf numFmtId="0" fontId="81" fillId="0" borderId="46" applyNumberFormat="0" applyFill="0" applyAlignment="0" applyProtection="0"/>
    <xf numFmtId="0" fontId="78" fillId="0" borderId="46" applyNumberFormat="0" applyFill="0" applyAlignment="0" applyProtection="0"/>
    <xf numFmtId="0" fontId="78" fillId="0" borderId="46" applyNumberFormat="0" applyFill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82" fillId="0" borderId="2" applyNumberFormat="0" applyFill="0" applyAlignment="0" applyProtection="0"/>
    <xf numFmtId="0" fontId="82" fillId="0" borderId="2" applyNumberFormat="0" applyFill="0" applyAlignment="0" applyProtection="0"/>
    <xf numFmtId="0" fontId="82" fillId="0" borderId="2" applyNumberFormat="0" applyFill="0" applyAlignment="0" applyProtection="0"/>
    <xf numFmtId="0" fontId="78" fillId="0" borderId="46" applyNumberFormat="0" applyFill="0" applyAlignment="0" applyProtection="0"/>
    <xf numFmtId="0" fontId="78" fillId="0" borderId="46" applyNumberFormat="0" applyFill="0" applyAlignment="0" applyProtection="0"/>
    <xf numFmtId="0" fontId="78" fillId="0" borderId="46" applyNumberFormat="0" applyFill="0" applyAlignment="0" applyProtection="0"/>
    <xf numFmtId="0" fontId="78" fillId="0" borderId="46" applyNumberFormat="0" applyFill="0" applyAlignment="0" applyProtection="0"/>
    <xf numFmtId="0" fontId="78" fillId="0" borderId="46" applyNumberFormat="0" applyFill="0" applyAlignment="0" applyProtection="0"/>
    <xf numFmtId="0" fontId="78" fillId="0" borderId="46" applyNumberFormat="0" applyFill="0" applyAlignment="0" applyProtection="0"/>
    <xf numFmtId="0" fontId="78" fillId="0" borderId="46" applyNumberFormat="0" applyFill="0" applyAlignment="0" applyProtection="0"/>
    <xf numFmtId="0" fontId="83" fillId="0" borderId="49" applyNumberFormat="0" applyFill="0" applyAlignment="0" applyProtection="0"/>
    <xf numFmtId="0" fontId="83" fillId="0" borderId="49" applyNumberFormat="0" applyFill="0" applyAlignment="0" applyProtection="0"/>
    <xf numFmtId="0" fontId="84" fillId="0" borderId="49" applyNumberFormat="0" applyFill="0" applyAlignment="0" applyProtection="0"/>
    <xf numFmtId="0" fontId="84" fillId="0" borderId="49" applyNumberFormat="0" applyFill="0" applyAlignment="0" applyProtection="0"/>
    <xf numFmtId="0" fontId="84" fillId="0" borderId="49" applyNumberFormat="0" applyFill="0" applyAlignment="0" applyProtection="0"/>
    <xf numFmtId="0" fontId="84" fillId="0" borderId="49" applyNumberFormat="0" applyFill="0" applyAlignment="0" applyProtection="0"/>
    <xf numFmtId="0" fontId="84" fillId="0" borderId="49" applyNumberFormat="0" applyFill="0" applyAlignment="0" applyProtection="0"/>
    <xf numFmtId="0" fontId="84" fillId="0" borderId="49" applyNumberFormat="0" applyFill="0" applyAlignment="0" applyProtection="0"/>
    <xf numFmtId="0" fontId="84" fillId="0" borderId="49" applyNumberFormat="0" applyFill="0" applyAlignment="0" applyProtection="0"/>
    <xf numFmtId="0" fontId="84" fillId="0" borderId="49" applyNumberFormat="0" applyFill="0" applyAlignment="0" applyProtection="0"/>
    <xf numFmtId="0" fontId="59" fillId="0" borderId="50" applyNumberFormat="0" applyFill="0" applyAlignment="0" applyProtection="0"/>
    <xf numFmtId="0" fontId="83" fillId="0" borderId="49" applyNumberFormat="0" applyFill="0" applyAlignment="0" applyProtection="0"/>
    <xf numFmtId="0" fontId="84" fillId="0" borderId="49" applyNumberFormat="0" applyFill="0" applyAlignment="0" applyProtection="0"/>
    <xf numFmtId="0" fontId="84" fillId="0" borderId="49" applyNumberFormat="0" applyFill="0" applyAlignment="0" applyProtection="0"/>
    <xf numFmtId="0" fontId="85" fillId="0" borderId="51" applyNumberFormat="0" applyFill="0" applyAlignment="0" applyProtection="0"/>
    <xf numFmtId="0" fontId="85" fillId="0" borderId="51" applyNumberFormat="0" applyFill="0" applyAlignment="0" applyProtection="0"/>
    <xf numFmtId="0" fontId="86" fillId="0" borderId="3" applyNumberFormat="0" applyFill="0" applyAlignment="0" applyProtection="0"/>
    <xf numFmtId="0" fontId="86" fillId="0" borderId="3" applyNumberFormat="0" applyFill="0" applyAlignment="0" applyProtection="0"/>
    <xf numFmtId="0" fontId="86" fillId="0" borderId="3" applyNumberFormat="0" applyFill="0" applyAlignment="0" applyProtection="0"/>
    <xf numFmtId="0" fontId="83" fillId="0" borderId="49" applyNumberFormat="0" applyFill="0" applyAlignment="0" applyProtection="0"/>
    <xf numFmtId="0" fontId="83" fillId="0" borderId="49" applyNumberFormat="0" applyFill="0" applyAlignment="0" applyProtection="0"/>
    <xf numFmtId="0" fontId="83" fillId="0" borderId="49" applyNumberFormat="0" applyFill="0" applyAlignment="0" applyProtection="0"/>
    <xf numFmtId="0" fontId="83" fillId="0" borderId="49" applyNumberFormat="0" applyFill="0" applyAlignment="0" applyProtection="0"/>
    <xf numFmtId="0" fontId="83" fillId="0" borderId="49" applyNumberFormat="0" applyFill="0" applyAlignment="0" applyProtection="0"/>
    <xf numFmtId="0" fontId="83" fillId="0" borderId="49" applyNumberFormat="0" applyFill="0" applyAlignment="0" applyProtection="0"/>
    <xf numFmtId="0" fontId="83" fillId="0" borderId="49" applyNumberFormat="0" applyFill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165" fontId="87" fillId="0" borderId="0">
      <protection locked="0"/>
    </xf>
    <xf numFmtId="165" fontId="87" fillId="0" borderId="0"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1" fillId="0" borderId="0" applyNumberFormat="0" applyFill="0" applyBorder="0" applyAlignment="0" applyProtection="0">
      <alignment vertical="top"/>
      <protection locked="0"/>
    </xf>
    <xf numFmtId="10" fontId="69" fillId="99" borderId="9" applyNumberFormat="0" applyBorder="0" applyAlignment="0" applyProtection="0"/>
    <xf numFmtId="10" fontId="69" fillId="99" borderId="9" applyNumberFormat="0" applyBorder="0" applyAlignment="0" applyProtection="0"/>
    <xf numFmtId="10" fontId="69" fillId="99" borderId="9" applyNumberFormat="0" applyBorder="0" applyAlignment="0" applyProtection="0"/>
    <xf numFmtId="10" fontId="69" fillId="99" borderId="9" applyNumberFormat="0" applyBorder="0" applyAlignment="0" applyProtection="0"/>
    <xf numFmtId="10" fontId="69" fillId="99" borderId="9" applyNumberFormat="0" applyBorder="0" applyAlignment="0" applyProtection="0"/>
    <xf numFmtId="10" fontId="69" fillId="99" borderId="9" applyNumberFormat="0" applyBorder="0" applyAlignment="0" applyProtection="0"/>
    <xf numFmtId="10" fontId="69" fillId="99" borderId="9" applyNumberFormat="0" applyBorder="0" applyAlignment="0" applyProtection="0"/>
    <xf numFmtId="10" fontId="69" fillId="99" borderId="9" applyNumberFormat="0" applyBorder="0" applyAlignment="0" applyProtection="0"/>
    <xf numFmtId="10" fontId="69" fillId="99" borderId="9" applyNumberFormat="0" applyBorder="0" applyAlignment="0" applyProtection="0"/>
    <xf numFmtId="10" fontId="69" fillId="99" borderId="9" applyNumberFormat="0" applyBorder="0" applyAlignment="0" applyProtection="0"/>
    <xf numFmtId="10" fontId="69" fillId="99" borderId="9" applyNumberFormat="0" applyBorder="0" applyAlignment="0" applyProtection="0"/>
    <xf numFmtId="10" fontId="69" fillId="99" borderId="9" applyNumberFormat="0" applyBorder="0" applyAlignment="0" applyProtection="0"/>
    <xf numFmtId="10" fontId="69" fillId="99" borderId="9" applyNumberFormat="0" applyBorder="0" applyAlignment="0" applyProtection="0"/>
    <xf numFmtId="10" fontId="69" fillId="99" borderId="9" applyNumberFormat="0" applyBorder="0" applyAlignment="0" applyProtection="0"/>
    <xf numFmtId="10" fontId="69" fillId="99" borderId="9" applyNumberFormat="0" applyBorder="0" applyAlignment="0" applyProtection="0"/>
    <xf numFmtId="10" fontId="69" fillId="99" borderId="9" applyNumberFormat="0" applyBorder="0" applyAlignment="0" applyProtection="0"/>
    <xf numFmtId="10" fontId="69" fillId="99" borderId="9" applyNumberFormat="0" applyBorder="0" applyAlignment="0" applyProtection="0"/>
    <xf numFmtId="10" fontId="69" fillId="99" borderId="9" applyNumberFormat="0" applyBorder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45" borderId="38" applyNumberFormat="0" applyAlignment="0" applyProtection="0"/>
    <xf numFmtId="0" fontId="93" fillId="45" borderId="38" applyNumberFormat="0" applyAlignment="0" applyProtection="0"/>
    <xf numFmtId="0" fontId="93" fillId="45" borderId="38" applyNumberFormat="0" applyAlignment="0" applyProtection="0"/>
    <xf numFmtId="0" fontId="93" fillId="45" borderId="38" applyNumberFormat="0" applyAlignment="0" applyProtection="0"/>
    <xf numFmtId="0" fontId="93" fillId="45" borderId="38" applyNumberFormat="0" applyAlignment="0" applyProtection="0"/>
    <xf numFmtId="0" fontId="93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3" fillId="81" borderId="38" applyNumberFormat="0" applyAlignment="0" applyProtection="0"/>
    <xf numFmtId="0" fontId="92" fillId="81" borderId="38" applyNumberFormat="0" applyAlignment="0" applyProtection="0"/>
    <xf numFmtId="0" fontId="92" fillId="81" borderId="38" applyNumberFormat="0" applyAlignment="0" applyProtection="0"/>
    <xf numFmtId="0" fontId="92" fillId="81" borderId="38" applyNumberFormat="0" applyAlignment="0" applyProtection="0"/>
    <xf numFmtId="0" fontId="92" fillId="81" borderId="38" applyNumberFormat="0" applyAlignment="0" applyProtection="0"/>
    <xf numFmtId="0" fontId="92" fillId="81" borderId="38" applyNumberFormat="0" applyAlignment="0" applyProtection="0"/>
    <xf numFmtId="0" fontId="92" fillId="81" borderId="38" applyNumberFormat="0" applyAlignment="0" applyProtection="0"/>
    <xf numFmtId="0" fontId="92" fillId="81" borderId="38" applyNumberFormat="0" applyAlignment="0" applyProtection="0"/>
    <xf numFmtId="0" fontId="92" fillId="81" borderId="38" applyNumberFormat="0" applyAlignment="0" applyProtection="0"/>
    <xf numFmtId="0" fontId="92" fillId="81" borderId="38" applyNumberFormat="0" applyAlignment="0" applyProtection="0"/>
    <xf numFmtId="0" fontId="92" fillId="81" borderId="38" applyNumberFormat="0" applyAlignment="0" applyProtection="0"/>
    <xf numFmtId="0" fontId="92" fillId="81" borderId="38" applyNumberFormat="0" applyAlignment="0" applyProtection="0"/>
    <xf numFmtId="0" fontId="92" fillId="81" borderId="38" applyNumberFormat="0" applyAlignment="0" applyProtection="0"/>
    <xf numFmtId="0" fontId="92" fillId="81" borderId="38" applyNumberFormat="0" applyAlignment="0" applyProtection="0"/>
    <xf numFmtId="0" fontId="92" fillId="81" borderId="38" applyNumberFormat="0" applyAlignment="0" applyProtection="0"/>
    <xf numFmtId="0" fontId="92" fillId="81" borderId="38" applyNumberFormat="0" applyAlignment="0" applyProtection="0"/>
    <xf numFmtId="0" fontId="92" fillId="81" borderId="38" applyNumberFormat="0" applyAlignment="0" applyProtection="0"/>
    <xf numFmtId="0" fontId="92" fillId="81" borderId="38" applyNumberFormat="0" applyAlignment="0" applyProtection="0"/>
    <xf numFmtId="0" fontId="92" fillId="81" borderId="38" applyNumberFormat="0" applyAlignment="0" applyProtection="0"/>
    <xf numFmtId="0" fontId="93" fillId="45" borderId="38" applyNumberFormat="0" applyAlignment="0" applyProtection="0"/>
    <xf numFmtId="0" fontId="93" fillId="45" borderId="38" applyNumberFormat="0" applyAlignment="0" applyProtection="0"/>
    <xf numFmtId="0" fontId="93" fillId="45" borderId="38" applyNumberFormat="0" applyAlignment="0" applyProtection="0"/>
    <xf numFmtId="0" fontId="94" fillId="5" borderId="4" applyNumberFormat="0" applyAlignment="0" applyProtection="0"/>
    <xf numFmtId="0" fontId="94" fillId="5" borderId="4" applyNumberFormat="0" applyAlignment="0" applyProtection="0"/>
    <xf numFmtId="0" fontId="94" fillId="5" borderId="4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0" fontId="92" fillId="45" borderId="38" applyNumberFormat="0" applyAlignment="0" applyProtection="0"/>
    <xf numFmtId="188" fontId="10" fillId="100" borderId="0"/>
    <xf numFmtId="188" fontId="10" fillId="100" borderId="0"/>
    <xf numFmtId="0" fontId="95" fillId="0" borderId="0" applyNumberFormat="0" applyFill="0" applyBorder="0" applyAlignment="0" applyProtection="0"/>
    <xf numFmtId="0" fontId="96" fillId="39" borderId="52" applyNumberFormat="0" applyAlignment="0" applyProtection="0"/>
    <xf numFmtId="0" fontId="96" fillId="39" borderId="52" applyNumberFormat="0" applyAlignment="0" applyProtection="0"/>
    <xf numFmtId="0" fontId="96" fillId="39" borderId="52" applyNumberFormat="0" applyAlignment="0" applyProtection="0"/>
    <xf numFmtId="0" fontId="96" fillId="39" borderId="52" applyNumberFormat="0" applyAlignment="0" applyProtection="0"/>
    <xf numFmtId="0" fontId="96" fillId="39" borderId="52" applyNumberFormat="0" applyAlignment="0" applyProtection="0"/>
    <xf numFmtId="0" fontId="96" fillId="39" borderId="52" applyNumberFormat="0" applyAlignment="0" applyProtection="0"/>
    <xf numFmtId="0" fontId="96" fillId="39" borderId="52" applyNumberFormat="0" applyAlignment="0" applyProtection="0"/>
    <xf numFmtId="0" fontId="96" fillId="39" borderId="52" applyNumberFormat="0" applyAlignment="0" applyProtection="0"/>
    <xf numFmtId="0" fontId="96" fillId="39" borderId="52" applyNumberFormat="0" applyAlignment="0" applyProtection="0"/>
    <xf numFmtId="0" fontId="96" fillId="39" borderId="52" applyNumberFormat="0" applyAlignment="0" applyProtection="0"/>
    <xf numFmtId="0" fontId="96" fillId="39" borderId="52" applyNumberFormat="0" applyAlignment="0" applyProtection="0"/>
    <xf numFmtId="0" fontId="96" fillId="39" borderId="52" applyNumberFormat="0" applyAlignment="0" applyProtection="0"/>
    <xf numFmtId="0" fontId="96" fillId="39" borderId="52" applyNumberFormat="0" applyAlignment="0" applyProtection="0"/>
    <xf numFmtId="0" fontId="96" fillId="39" borderId="52" applyNumberFormat="0" applyAlignment="0" applyProtection="0"/>
    <xf numFmtId="0" fontId="96" fillId="39" borderId="52" applyNumberFormat="0" applyAlignment="0" applyProtection="0"/>
    <xf numFmtId="0" fontId="96" fillId="39" borderId="52" applyNumberFormat="0" applyAlignment="0" applyProtection="0"/>
    <xf numFmtId="0" fontId="96" fillId="39" borderId="52" applyNumberFormat="0" applyAlignment="0" applyProtection="0"/>
    <xf numFmtId="0" fontId="96" fillId="39" borderId="52" applyNumberFormat="0" applyAlignment="0" applyProtection="0"/>
    <xf numFmtId="0" fontId="96" fillId="39" borderId="52" applyNumberFormat="0" applyAlignment="0" applyProtection="0"/>
    <xf numFmtId="0" fontId="96" fillId="39" borderId="52" applyNumberFormat="0" applyAlignment="0" applyProtection="0"/>
    <xf numFmtId="0" fontId="97" fillId="101" borderId="41"/>
    <xf numFmtId="0" fontId="97" fillId="101" borderId="41"/>
    <xf numFmtId="0" fontId="97" fillId="101" borderId="41"/>
    <xf numFmtId="0" fontId="97" fillId="101" borderId="41"/>
    <xf numFmtId="0" fontId="97" fillId="101" borderId="41"/>
    <xf numFmtId="0" fontId="97" fillId="101" borderId="41"/>
    <xf numFmtId="0" fontId="97" fillId="101" borderId="41"/>
    <xf numFmtId="0" fontId="97" fillId="101" borderId="41"/>
    <xf numFmtId="0" fontId="97" fillId="101" borderId="41"/>
    <xf numFmtId="0" fontId="97" fillId="101" borderId="41"/>
    <xf numFmtId="0" fontId="97" fillId="101" borderId="41"/>
    <xf numFmtId="0" fontId="97" fillId="101" borderId="41"/>
    <xf numFmtId="0" fontId="97" fillId="101" borderId="41"/>
    <xf numFmtId="0" fontId="97" fillId="101" borderId="41"/>
    <xf numFmtId="0" fontId="97" fillId="101" borderId="41"/>
    <xf numFmtId="0" fontId="97" fillId="101" borderId="41"/>
    <xf numFmtId="0" fontId="97" fillId="101" borderId="41"/>
    <xf numFmtId="0" fontId="97" fillId="101" borderId="41"/>
    <xf numFmtId="0" fontId="98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176" fontId="9" fillId="0" borderId="0" applyFill="0" applyBorder="0" applyAlignment="0"/>
    <xf numFmtId="172" fontId="9" fillId="0" borderId="0" applyFill="0" applyBorder="0" applyAlignment="0"/>
    <xf numFmtId="176" fontId="9" fillId="0" borderId="0" applyFill="0" applyBorder="0" applyAlignment="0"/>
    <xf numFmtId="177" fontId="9" fillId="0" borderId="0" applyFill="0" applyBorder="0" applyAlignment="0"/>
    <xf numFmtId="172" fontId="9" fillId="0" borderId="0" applyFill="0" applyBorder="0" applyAlignment="0"/>
    <xf numFmtId="0" fontId="100" fillId="0" borderId="53" applyNumberFormat="0" applyFill="0" applyAlignment="0" applyProtection="0"/>
    <xf numFmtId="0" fontId="100" fillId="0" borderId="53" applyNumberFormat="0" applyFill="0" applyAlignment="0" applyProtection="0"/>
    <xf numFmtId="0" fontId="101" fillId="0" borderId="53" applyNumberFormat="0" applyFill="0" applyAlignment="0" applyProtection="0"/>
    <xf numFmtId="0" fontId="101" fillId="0" borderId="53" applyNumberFormat="0" applyFill="0" applyAlignment="0" applyProtection="0"/>
    <xf numFmtId="0" fontId="101" fillId="0" borderId="53" applyNumberFormat="0" applyFill="0" applyAlignment="0" applyProtection="0"/>
    <xf numFmtId="0" fontId="101" fillId="0" borderId="53" applyNumberFormat="0" applyFill="0" applyAlignment="0" applyProtection="0"/>
    <xf numFmtId="0" fontId="101" fillId="0" borderId="53" applyNumberFormat="0" applyFill="0" applyAlignment="0" applyProtection="0"/>
    <xf numFmtId="0" fontId="101" fillId="0" borderId="53" applyNumberFormat="0" applyFill="0" applyAlignment="0" applyProtection="0"/>
    <xf numFmtId="0" fontId="101" fillId="0" borderId="53" applyNumberFormat="0" applyFill="0" applyAlignment="0" applyProtection="0"/>
    <xf numFmtId="0" fontId="101" fillId="0" borderId="53" applyNumberFormat="0" applyFill="0" applyAlignment="0" applyProtection="0"/>
    <xf numFmtId="0" fontId="101" fillId="0" borderId="53" applyNumberFormat="0" applyFill="0" applyAlignment="0" applyProtection="0"/>
    <xf numFmtId="0" fontId="100" fillId="0" borderId="53" applyNumberFormat="0" applyFill="0" applyAlignment="0" applyProtection="0"/>
    <xf numFmtId="0" fontId="101" fillId="0" borderId="53" applyNumberFormat="0" applyFill="0" applyAlignment="0" applyProtection="0"/>
    <xf numFmtId="0" fontId="101" fillId="0" borderId="53" applyNumberFormat="0" applyFill="0" applyAlignment="0" applyProtection="0"/>
    <xf numFmtId="0" fontId="102" fillId="0" borderId="53" applyNumberFormat="0" applyFill="0" applyAlignment="0" applyProtection="0"/>
    <xf numFmtId="0" fontId="102" fillId="0" borderId="53" applyNumberFormat="0" applyFill="0" applyAlignment="0" applyProtection="0"/>
    <xf numFmtId="0" fontId="103" fillId="0" borderId="6" applyNumberFormat="0" applyFill="0" applyAlignment="0" applyProtection="0"/>
    <xf numFmtId="0" fontId="103" fillId="0" borderId="6" applyNumberFormat="0" applyFill="0" applyAlignment="0" applyProtection="0"/>
    <xf numFmtId="0" fontId="103" fillId="0" borderId="6" applyNumberFormat="0" applyFill="0" applyAlignment="0" applyProtection="0"/>
    <xf numFmtId="0" fontId="100" fillId="0" borderId="53" applyNumberFormat="0" applyFill="0" applyAlignment="0" applyProtection="0"/>
    <xf numFmtId="0" fontId="100" fillId="0" borderId="53" applyNumberFormat="0" applyFill="0" applyAlignment="0" applyProtection="0"/>
    <xf numFmtId="0" fontId="100" fillId="0" borderId="53" applyNumberFormat="0" applyFill="0" applyAlignment="0" applyProtection="0"/>
    <xf numFmtId="0" fontId="100" fillId="0" borderId="53" applyNumberFormat="0" applyFill="0" applyAlignment="0" applyProtection="0"/>
    <xf numFmtId="0" fontId="100" fillId="0" borderId="53" applyNumberFormat="0" applyFill="0" applyAlignment="0" applyProtection="0"/>
    <xf numFmtId="0" fontId="100" fillId="0" borderId="53" applyNumberFormat="0" applyFill="0" applyAlignment="0" applyProtection="0"/>
    <xf numFmtId="0" fontId="100" fillId="0" borderId="53" applyNumberFormat="0" applyFill="0" applyAlignment="0" applyProtection="0"/>
    <xf numFmtId="188" fontId="104" fillId="102" borderId="0"/>
    <xf numFmtId="188" fontId="104" fillId="102" borderId="0"/>
    <xf numFmtId="0" fontId="9" fillId="0" borderId="0" applyNumberFormat="0" applyFont="0" applyBorder="0" applyAlignment="0" applyProtection="0"/>
    <xf numFmtId="0" fontId="93" fillId="45" borderId="38" applyNumberFormat="0" applyAlignment="0" applyProtection="0"/>
    <xf numFmtId="0" fontId="93" fillId="45" borderId="38" applyNumberFormat="0" applyAlignment="0" applyProtection="0"/>
    <xf numFmtId="0" fontId="93" fillId="45" borderId="38" applyNumberFormat="0" applyAlignment="0" applyProtection="0"/>
    <xf numFmtId="0" fontId="93" fillId="45" borderId="38" applyNumberFormat="0" applyAlignment="0" applyProtection="0"/>
    <xf numFmtId="0" fontId="93" fillId="45" borderId="38" applyNumberFormat="0" applyAlignment="0" applyProtection="0"/>
    <xf numFmtId="0" fontId="93" fillId="45" borderId="38" applyNumberFormat="0" applyAlignment="0" applyProtection="0"/>
    <xf numFmtId="0" fontId="93" fillId="45" borderId="38" applyNumberFormat="0" applyAlignment="0" applyProtection="0"/>
    <xf numFmtId="0" fontId="93" fillId="45" borderId="38" applyNumberFormat="0" applyAlignment="0" applyProtection="0"/>
    <xf numFmtId="0" fontId="93" fillId="45" borderId="38" applyNumberFormat="0" applyAlignment="0" applyProtection="0"/>
    <xf numFmtId="0" fontId="93" fillId="45" borderId="38" applyNumberFormat="0" applyAlignment="0" applyProtection="0"/>
    <xf numFmtId="0" fontId="93" fillId="45" borderId="38" applyNumberFormat="0" applyAlignment="0" applyProtection="0"/>
    <xf numFmtId="0" fontId="93" fillId="45" borderId="38" applyNumberFormat="0" applyAlignment="0" applyProtection="0"/>
    <xf numFmtId="0" fontId="93" fillId="45" borderId="38" applyNumberFormat="0" applyAlignment="0" applyProtection="0"/>
    <xf numFmtId="0" fontId="93" fillId="45" borderId="38" applyNumberFormat="0" applyAlignment="0" applyProtection="0"/>
    <xf numFmtId="0" fontId="93" fillId="45" borderId="38" applyNumberFormat="0" applyAlignment="0" applyProtection="0"/>
    <xf numFmtId="0" fontId="93" fillId="45" borderId="38" applyNumberFormat="0" applyAlignment="0" applyProtection="0"/>
    <xf numFmtId="0" fontId="93" fillId="45" borderId="38" applyNumberFormat="0" applyAlignment="0" applyProtection="0"/>
    <xf numFmtId="0" fontId="93" fillId="45" borderId="38" applyNumberFormat="0" applyAlignment="0" applyProtection="0"/>
    <xf numFmtId="177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38" fontId="105" fillId="0" borderId="0" applyFont="0" applyFill="0" applyBorder="0" applyAlignment="0" applyProtection="0"/>
    <xf numFmtId="40" fontId="105" fillId="0" borderId="0" applyFont="0" applyFill="0" applyBorder="0" applyAlignment="0" applyProtection="0"/>
    <xf numFmtId="189" fontId="105" fillId="0" borderId="0" applyFont="0" applyFill="0" applyBorder="0" applyAlignment="0" applyProtection="0"/>
    <xf numFmtId="190" fontId="105" fillId="0" borderId="0" applyFont="0" applyFill="0" applyBorder="0" applyAlignment="0" applyProtection="0"/>
    <xf numFmtId="0" fontId="106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6" fillId="103" borderId="0" applyNumberFormat="0" applyBorder="0" applyAlignment="0" applyProtection="0"/>
    <xf numFmtId="0" fontId="106" fillId="103" borderId="0" applyNumberFormat="0" applyBorder="0" applyAlignment="0" applyProtection="0"/>
    <xf numFmtId="0" fontId="106" fillId="103" borderId="0" applyNumberFormat="0" applyBorder="0" applyAlignment="0" applyProtection="0"/>
    <xf numFmtId="0" fontId="106" fillId="103" borderId="0" applyNumberFormat="0" applyBorder="0" applyAlignment="0" applyProtection="0"/>
    <xf numFmtId="0" fontId="106" fillId="103" borderId="0" applyNumberFormat="0" applyBorder="0" applyAlignment="0" applyProtection="0"/>
    <xf numFmtId="0" fontId="106" fillId="103" borderId="0" applyNumberFormat="0" applyBorder="0" applyAlignment="0" applyProtection="0"/>
    <xf numFmtId="0" fontId="106" fillId="103" borderId="0" applyNumberFormat="0" applyBorder="0" applyAlignment="0" applyProtection="0"/>
    <xf numFmtId="0" fontId="106" fillId="103" borderId="0" applyNumberFormat="0" applyBorder="0" applyAlignment="0" applyProtection="0"/>
    <xf numFmtId="0" fontId="106" fillId="52" borderId="0" applyNumberFormat="0" applyBorder="0" applyAlignment="0" applyProtection="0"/>
    <xf numFmtId="0" fontId="107" fillId="52" borderId="0" applyNumberFormat="0" applyBorder="0" applyAlignment="0" applyProtection="0"/>
    <xf numFmtId="0" fontId="106" fillId="103" borderId="0" applyNumberFormat="0" applyBorder="0" applyAlignment="0" applyProtection="0"/>
    <xf numFmtId="0" fontId="106" fillId="103" borderId="0" applyNumberFormat="0" applyBorder="0" applyAlignment="0" applyProtection="0"/>
    <xf numFmtId="0" fontId="107" fillId="103" borderId="0" applyNumberFormat="0" applyBorder="0" applyAlignment="0" applyProtection="0"/>
    <xf numFmtId="0" fontId="107" fillId="103" borderId="0" applyNumberFormat="0" applyBorder="0" applyAlignment="0" applyProtection="0"/>
    <xf numFmtId="0" fontId="108" fillId="4" borderId="0" applyNumberFormat="0" applyBorder="0" applyAlignment="0" applyProtection="0"/>
    <xf numFmtId="0" fontId="108" fillId="4" borderId="0" applyNumberFormat="0" applyBorder="0" applyAlignment="0" applyProtection="0"/>
    <xf numFmtId="0" fontId="108" fillId="4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37" fontId="109" fillId="0" borderId="0"/>
    <xf numFmtId="0" fontId="9" fillId="0" borderId="0"/>
    <xf numFmtId="0" fontId="9" fillId="0" borderId="0"/>
    <xf numFmtId="0" fontId="9" fillId="0" borderId="0"/>
    <xf numFmtId="191" fontId="1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 applyNumberFormat="0" applyFont="0" applyFill="0" applyBorder="0" applyAlignment="0" applyProtection="0"/>
    <xf numFmtId="0" fontId="9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9" fillId="0" borderId="0"/>
    <xf numFmtId="0" fontId="9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9" fillId="0" borderId="0"/>
    <xf numFmtId="0" fontId="22" fillId="0" borderId="0"/>
    <xf numFmtId="0" fontId="9" fillId="0" borderId="0"/>
    <xf numFmtId="0" fontId="28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9" fillId="0" borderId="0"/>
    <xf numFmtId="0" fontId="23" fillId="0" borderId="0"/>
    <xf numFmtId="0" fontId="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9" fillId="0" borderId="0"/>
    <xf numFmtId="0" fontId="1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22" fillId="0" borderId="0"/>
    <xf numFmtId="0" fontId="7" fillId="0" borderId="0"/>
    <xf numFmtId="0" fontId="7" fillId="0" borderId="0"/>
    <xf numFmtId="0" fontId="1" fillId="0" borderId="0"/>
    <xf numFmtId="0" fontId="4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>
      <alignment horizontal="center" wrapText="1"/>
    </xf>
    <xf numFmtId="0" fontId="9" fillId="0" borderId="0">
      <alignment horizontal="center" wrapText="1"/>
    </xf>
    <xf numFmtId="0" fontId="1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/>
    <xf numFmtId="0" fontId="112" fillId="0" borderId="0"/>
    <xf numFmtId="0" fontId="9" fillId="0" borderId="0"/>
    <xf numFmtId="0" fontId="9" fillId="0" borderId="0"/>
    <xf numFmtId="0" fontId="9" fillId="0" borderId="0"/>
    <xf numFmtId="0" fontId="9" fillId="0" borderId="0">
      <alignment horizontal="center" wrapText="1"/>
    </xf>
    <xf numFmtId="0" fontId="9" fillId="0" borderId="0">
      <alignment horizontal="center" wrapText="1"/>
    </xf>
    <xf numFmtId="0" fontId="9" fillId="0" borderId="0">
      <alignment horizontal="center" wrapText="1"/>
    </xf>
    <xf numFmtId="0" fontId="9" fillId="0" borderId="0">
      <alignment horizont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2" fillId="0" borderId="0"/>
    <xf numFmtId="0" fontId="2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23" fillId="0" borderId="0"/>
    <xf numFmtId="0" fontId="9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23" fillId="0" borderId="0"/>
    <xf numFmtId="0" fontId="1" fillId="0" borderId="0"/>
    <xf numFmtId="0" fontId="23" fillId="0" borderId="0"/>
    <xf numFmtId="0" fontId="9" fillId="0" borderId="0"/>
    <xf numFmtId="0" fontId="9" fillId="0" borderId="0"/>
    <xf numFmtId="0" fontId="1" fillId="0" borderId="0"/>
    <xf numFmtId="0" fontId="23" fillId="0" borderId="0"/>
    <xf numFmtId="0" fontId="9" fillId="0" borderId="0"/>
    <xf numFmtId="0" fontId="23" fillId="0" borderId="0"/>
    <xf numFmtId="0" fontId="1" fillId="0" borderId="0"/>
    <xf numFmtId="0" fontId="23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9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6" fontId="9" fillId="0" borderId="0"/>
    <xf numFmtId="0" fontId="1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2" fillId="0" borderId="0">
      <alignment vertical="center"/>
    </xf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113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23" fillId="0" borderId="0"/>
    <xf numFmtId="0" fontId="1" fillId="0" borderId="0"/>
    <xf numFmtId="0" fontId="23" fillId="0" borderId="0"/>
    <xf numFmtId="0" fontId="9" fillId="0" borderId="0"/>
    <xf numFmtId="0" fontId="23" fillId="0" borderId="0"/>
    <xf numFmtId="0" fontId="1" fillId="0" borderId="0"/>
    <xf numFmtId="0" fontId="23" fillId="0" borderId="0"/>
    <xf numFmtId="0" fontId="9" fillId="0" borderId="0"/>
    <xf numFmtId="0" fontId="23" fillId="0" borderId="0"/>
    <xf numFmtId="0" fontId="1" fillId="0" borderId="0"/>
    <xf numFmtId="0" fontId="23" fillId="0" borderId="0"/>
    <xf numFmtId="0" fontId="9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22" fillId="0" borderId="0"/>
    <xf numFmtId="0" fontId="1" fillId="0" borderId="0"/>
    <xf numFmtId="0" fontId="4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9" fillId="0" borderId="0"/>
    <xf numFmtId="0" fontId="23" fillId="0" borderId="0"/>
    <xf numFmtId="0" fontId="1" fillId="0" borderId="0"/>
    <xf numFmtId="0" fontId="23" fillId="0" borderId="0"/>
    <xf numFmtId="0" fontId="9" fillId="0" borderId="0"/>
    <xf numFmtId="0" fontId="23" fillId="0" borderId="0"/>
    <xf numFmtId="0" fontId="1" fillId="0" borderId="0"/>
    <xf numFmtId="0" fontId="23" fillId="0" borderId="0"/>
    <xf numFmtId="0" fontId="9" fillId="0" borderId="0"/>
    <xf numFmtId="0" fontId="23" fillId="0" borderId="0"/>
    <xf numFmtId="0" fontId="1" fillId="0" borderId="0"/>
    <xf numFmtId="0" fontId="23" fillId="0" borderId="0"/>
    <xf numFmtId="0" fontId="9" fillId="0" borderId="0"/>
    <xf numFmtId="0" fontId="23" fillId="0" borderId="0"/>
    <xf numFmtId="0" fontId="1" fillId="0" borderId="0"/>
    <xf numFmtId="0" fontId="23" fillId="0" borderId="0"/>
    <xf numFmtId="0" fontId="9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3" fillId="0" borderId="0"/>
    <xf numFmtId="0" fontId="22" fillId="0" borderId="0"/>
    <xf numFmtId="0" fontId="23" fillId="0" borderId="0"/>
    <xf numFmtId="0" fontId="9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192" fontId="23" fillId="0" borderId="0"/>
    <xf numFmtId="0" fontId="1" fillId="0" borderId="0"/>
    <xf numFmtId="0" fontId="23" fillId="0" borderId="0"/>
    <xf numFmtId="0" fontId="9" fillId="0" borderId="0"/>
    <xf numFmtId="0" fontId="23" fillId="0" borderId="0"/>
    <xf numFmtId="0" fontId="1" fillId="0" borderId="0"/>
    <xf numFmtId="0" fontId="23" fillId="0" borderId="0"/>
    <xf numFmtId="0" fontId="9" fillId="0" borderId="0"/>
    <xf numFmtId="0" fontId="23" fillId="0" borderId="0"/>
    <xf numFmtId="0" fontId="1" fillId="0" borderId="0"/>
    <xf numFmtId="0" fontId="23" fillId="0" borderId="0"/>
    <xf numFmtId="0" fontId="9" fillId="0" borderId="0"/>
    <xf numFmtId="0" fontId="23" fillId="0" borderId="0"/>
    <xf numFmtId="0" fontId="1" fillId="0" borderId="0"/>
    <xf numFmtId="0" fontId="23" fillId="0" borderId="0"/>
    <xf numFmtId="0" fontId="9" fillId="0" borderId="0"/>
    <xf numFmtId="0" fontId="23" fillId="0" borderId="0"/>
    <xf numFmtId="0" fontId="1" fillId="0" borderId="0"/>
    <xf numFmtId="0" fontId="23" fillId="0" borderId="0"/>
    <xf numFmtId="0" fontId="9" fillId="0" borderId="0"/>
    <xf numFmtId="0" fontId="23" fillId="0" borderId="0"/>
    <xf numFmtId="0" fontId="11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2" fillId="0" borderId="0"/>
    <xf numFmtId="0" fontId="1" fillId="0" borderId="0"/>
    <xf numFmtId="0" fontId="23" fillId="0" borderId="0"/>
    <xf numFmtId="0" fontId="9" fillId="0" borderId="0"/>
    <xf numFmtId="0" fontId="23" fillId="0" borderId="0"/>
    <xf numFmtId="0" fontId="1" fillId="0" borderId="0"/>
    <xf numFmtId="0" fontId="23" fillId="0" borderId="0"/>
    <xf numFmtId="0" fontId="9" fillId="0" borderId="0"/>
    <xf numFmtId="0" fontId="23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 applyBorder="0"/>
    <xf numFmtId="0" fontId="9" fillId="0" borderId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22" fillId="46" borderId="39" applyNumberFormat="0" applyFont="0" applyAlignment="0" applyProtection="0"/>
    <xf numFmtId="0" fontId="22" fillId="46" borderId="39" applyNumberFormat="0" applyFont="0" applyAlignment="0" applyProtection="0"/>
    <xf numFmtId="0" fontId="22" fillId="46" borderId="39" applyNumberFormat="0" applyFont="0" applyAlignment="0" applyProtection="0"/>
    <xf numFmtId="0" fontId="22" fillId="46" borderId="39" applyNumberFormat="0" applyFont="0" applyAlignment="0" applyProtection="0"/>
    <xf numFmtId="0" fontId="22" fillId="46" borderId="39" applyNumberFormat="0" applyFont="0" applyAlignment="0" applyProtection="0"/>
    <xf numFmtId="0" fontId="22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22" fillId="46" borderId="39" applyNumberFormat="0" applyFont="0" applyAlignment="0" applyProtection="0"/>
    <xf numFmtId="0" fontId="22" fillId="46" borderId="39" applyNumberFormat="0" applyFont="0" applyAlignment="0" applyProtection="0"/>
    <xf numFmtId="0" fontId="22" fillId="46" borderId="39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9" fillId="65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0" fontId="10" fillId="46" borderId="39" applyNumberFormat="0" applyFont="0" applyAlignment="0" applyProtection="0"/>
    <xf numFmtId="179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44" borderId="52" applyNumberFormat="0" applyAlignment="0" applyProtection="0"/>
    <xf numFmtId="0" fontId="96" fillId="44" borderId="52" applyNumberFormat="0" applyAlignment="0" applyProtection="0"/>
    <xf numFmtId="0" fontId="96" fillId="44" borderId="52" applyNumberFormat="0" applyAlignment="0" applyProtection="0"/>
    <xf numFmtId="0" fontId="96" fillId="44" borderId="52" applyNumberFormat="0" applyAlignment="0" applyProtection="0"/>
    <xf numFmtId="0" fontId="96" fillId="44" borderId="52" applyNumberFormat="0" applyAlignment="0" applyProtection="0"/>
    <xf numFmtId="0" fontId="96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96" fillId="67" borderId="52" applyNumberFormat="0" applyAlignment="0" applyProtection="0"/>
    <xf numFmtId="0" fontId="115" fillId="88" borderId="52" applyNumberFormat="0" applyAlignment="0" applyProtection="0"/>
    <xf numFmtId="0" fontId="115" fillId="88" borderId="52" applyNumberFormat="0" applyAlignment="0" applyProtection="0"/>
    <xf numFmtId="0" fontId="115" fillId="88" borderId="52" applyNumberFormat="0" applyAlignment="0" applyProtection="0"/>
    <xf numFmtId="0" fontId="115" fillId="88" borderId="52" applyNumberFormat="0" applyAlignment="0" applyProtection="0"/>
    <xf numFmtId="0" fontId="115" fillId="88" borderId="52" applyNumberFormat="0" applyAlignment="0" applyProtection="0"/>
    <xf numFmtId="0" fontId="115" fillId="88" borderId="52" applyNumberFormat="0" applyAlignment="0" applyProtection="0"/>
    <xf numFmtId="0" fontId="115" fillId="88" borderId="52" applyNumberFormat="0" applyAlignment="0" applyProtection="0"/>
    <xf numFmtId="0" fontId="115" fillId="88" borderId="52" applyNumberFormat="0" applyAlignment="0" applyProtection="0"/>
    <xf numFmtId="0" fontId="115" fillId="88" borderId="52" applyNumberFormat="0" applyAlignment="0" applyProtection="0"/>
    <xf numFmtId="0" fontId="115" fillId="88" borderId="52" applyNumberFormat="0" applyAlignment="0" applyProtection="0"/>
    <xf numFmtId="0" fontId="115" fillId="88" borderId="52" applyNumberFormat="0" applyAlignment="0" applyProtection="0"/>
    <xf numFmtId="0" fontId="115" fillId="88" borderId="52" applyNumberFormat="0" applyAlignment="0" applyProtection="0"/>
    <xf numFmtId="0" fontId="115" fillId="88" borderId="52" applyNumberFormat="0" applyAlignment="0" applyProtection="0"/>
    <xf numFmtId="0" fontId="115" fillId="88" borderId="52" applyNumberFormat="0" applyAlignment="0" applyProtection="0"/>
    <xf numFmtId="0" fontId="115" fillId="88" borderId="52" applyNumberFormat="0" applyAlignment="0" applyProtection="0"/>
    <xf numFmtId="0" fontId="115" fillId="88" borderId="52" applyNumberFormat="0" applyAlignment="0" applyProtection="0"/>
    <xf numFmtId="0" fontId="115" fillId="88" borderId="52" applyNumberFormat="0" applyAlignment="0" applyProtection="0"/>
    <xf numFmtId="0" fontId="115" fillId="88" borderId="52" applyNumberFormat="0" applyAlignment="0" applyProtection="0"/>
    <xf numFmtId="0" fontId="115" fillId="88" borderId="52" applyNumberFormat="0" applyAlignment="0" applyProtection="0"/>
    <xf numFmtId="0" fontId="115" fillId="88" borderId="52" applyNumberFormat="0" applyAlignment="0" applyProtection="0"/>
    <xf numFmtId="0" fontId="96" fillId="44" borderId="52" applyNumberFormat="0" applyAlignment="0" applyProtection="0"/>
    <xf numFmtId="0" fontId="96" fillId="44" borderId="52" applyNumberFormat="0" applyAlignment="0" applyProtection="0"/>
    <xf numFmtId="0" fontId="96" fillId="44" borderId="52" applyNumberFormat="0" applyAlignment="0" applyProtection="0"/>
    <xf numFmtId="0" fontId="96" fillId="44" borderId="52" applyNumberFormat="0" applyAlignment="0" applyProtection="0"/>
    <xf numFmtId="0" fontId="116" fillId="6" borderId="5" applyNumberFormat="0" applyAlignment="0" applyProtection="0"/>
    <xf numFmtId="0" fontId="116" fillId="6" borderId="5" applyNumberFormat="0" applyAlignment="0" applyProtection="0"/>
    <xf numFmtId="0" fontId="116" fillId="6" borderId="5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0" fontId="115" fillId="44" borderId="52" applyNumberFormat="0" applyAlignment="0" applyProtection="0"/>
    <xf numFmtId="14" fontId="30" fillId="0" borderId="0">
      <alignment horizontal="center" wrapText="1"/>
      <protection locked="0"/>
    </xf>
    <xf numFmtId="175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5" fillId="0" borderId="54" applyNumberFormat="0" applyBorder="0"/>
    <xf numFmtId="0" fontId="40" fillId="39" borderId="38" applyNumberFormat="0" applyAlignment="0" applyProtection="0"/>
    <xf numFmtId="0" fontId="40" fillId="39" borderId="38" applyNumberFormat="0" applyAlignment="0" applyProtection="0"/>
    <xf numFmtId="0" fontId="40" fillId="39" borderId="38" applyNumberFormat="0" applyAlignment="0" applyProtection="0"/>
    <xf numFmtId="0" fontId="40" fillId="39" borderId="38" applyNumberFormat="0" applyAlignment="0" applyProtection="0"/>
    <xf numFmtId="0" fontId="40" fillId="39" borderId="38" applyNumberFormat="0" applyAlignment="0" applyProtection="0"/>
    <xf numFmtId="0" fontId="40" fillId="39" borderId="38" applyNumberFormat="0" applyAlignment="0" applyProtection="0"/>
    <xf numFmtId="0" fontId="40" fillId="39" borderId="38" applyNumberFormat="0" applyAlignment="0" applyProtection="0"/>
    <xf numFmtId="0" fontId="40" fillId="39" borderId="38" applyNumberFormat="0" applyAlignment="0" applyProtection="0"/>
    <xf numFmtId="0" fontId="40" fillId="39" borderId="38" applyNumberFormat="0" applyAlignment="0" applyProtection="0"/>
    <xf numFmtId="0" fontId="40" fillId="39" borderId="38" applyNumberFormat="0" applyAlignment="0" applyProtection="0"/>
    <xf numFmtId="0" fontId="40" fillId="39" borderId="38" applyNumberFormat="0" applyAlignment="0" applyProtection="0"/>
    <xf numFmtId="0" fontId="40" fillId="39" borderId="38" applyNumberFormat="0" applyAlignment="0" applyProtection="0"/>
    <xf numFmtId="0" fontId="40" fillId="39" borderId="38" applyNumberFormat="0" applyAlignment="0" applyProtection="0"/>
    <xf numFmtId="0" fontId="40" fillId="39" borderId="38" applyNumberFormat="0" applyAlignment="0" applyProtection="0"/>
    <xf numFmtId="0" fontId="40" fillId="39" borderId="38" applyNumberFormat="0" applyAlignment="0" applyProtection="0"/>
    <xf numFmtId="0" fontId="40" fillId="39" borderId="38" applyNumberFormat="0" applyAlignment="0" applyProtection="0"/>
    <xf numFmtId="0" fontId="40" fillId="39" borderId="38" applyNumberFormat="0" applyAlignment="0" applyProtection="0"/>
    <xf numFmtId="0" fontId="40" fillId="39" borderId="38" applyNumberFormat="0" applyAlignment="0" applyProtection="0"/>
    <xf numFmtId="193" fontId="117" fillId="0" borderId="0"/>
    <xf numFmtId="176" fontId="9" fillId="0" borderId="0" applyFill="0" applyBorder="0" applyAlignment="0"/>
    <xf numFmtId="172" fontId="9" fillId="0" borderId="0" applyFill="0" applyBorder="0" applyAlignment="0"/>
    <xf numFmtId="176" fontId="9" fillId="0" borderId="0" applyFill="0" applyBorder="0" applyAlignment="0"/>
    <xf numFmtId="177" fontId="9" fillId="0" borderId="0" applyFill="0" applyBorder="0" applyAlignment="0"/>
    <xf numFmtId="172" fontId="9" fillId="0" borderId="0" applyFill="0" applyBorder="0" applyAlignment="0"/>
    <xf numFmtId="5" fontId="118" fillId="0" borderId="0"/>
    <xf numFmtId="5" fontId="118" fillId="0" borderId="0"/>
    <xf numFmtId="0" fontId="105" fillId="0" borderId="0" applyNumberFormat="0" applyFont="0" applyFill="0" applyBorder="0" applyAlignment="0" applyProtection="0">
      <alignment horizontal="left"/>
    </xf>
    <xf numFmtId="0" fontId="20" fillId="0" borderId="0"/>
    <xf numFmtId="0" fontId="57" fillId="0" borderId="0"/>
    <xf numFmtId="0" fontId="55" fillId="0" borderId="0"/>
    <xf numFmtId="194" fontId="119" fillId="0" borderId="0" applyNumberFormat="0" applyFill="0" applyBorder="0" applyAlignment="0" applyProtection="0">
      <alignment horizontal="left"/>
    </xf>
    <xf numFmtId="195" fontId="9" fillId="0" borderId="0" applyNumberFormat="0" applyFill="0" applyBorder="0" applyAlignment="0" applyProtection="0">
      <alignment horizontal="left"/>
    </xf>
    <xf numFmtId="3" fontId="117" fillId="0" borderId="0"/>
    <xf numFmtId="0" fontId="120" fillId="0" borderId="55"/>
    <xf numFmtId="0" fontId="120" fillId="0" borderId="55"/>
    <xf numFmtId="0" fontId="120" fillId="0" borderId="55"/>
    <xf numFmtId="0" fontId="120" fillId="0" borderId="55"/>
    <xf numFmtId="0" fontId="120" fillId="0" borderId="55"/>
    <xf numFmtId="0" fontId="120" fillId="0" borderId="55"/>
    <xf numFmtId="0" fontId="120" fillId="0" borderId="55"/>
    <xf numFmtId="0" fontId="120" fillId="0" borderId="55"/>
    <xf numFmtId="0" fontId="120" fillId="0" borderId="55"/>
    <xf numFmtId="0" fontId="120" fillId="0" borderId="55"/>
    <xf numFmtId="0" fontId="120" fillId="0" borderId="55"/>
    <xf numFmtId="0" fontId="120" fillId="0" borderId="55"/>
    <xf numFmtId="0" fontId="120" fillId="0" borderId="55"/>
    <xf numFmtId="0" fontId="120" fillId="0" borderId="55"/>
    <xf numFmtId="0" fontId="120" fillId="0" borderId="55"/>
    <xf numFmtId="0" fontId="120" fillId="0" borderId="55"/>
    <xf numFmtId="0" fontId="101" fillId="0" borderId="53" applyNumberFormat="0" applyFill="0" applyAlignment="0" applyProtection="0"/>
    <xf numFmtId="0" fontId="121" fillId="0" borderId="0"/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1" fontId="124" fillId="0" borderId="0" applyBorder="0">
      <alignment horizontal="left" vertical="top" wrapText="1"/>
    </xf>
    <xf numFmtId="0" fontId="105" fillId="0" borderId="0"/>
    <xf numFmtId="0" fontId="125" fillId="0" borderId="9">
      <alignment horizontal="center"/>
    </xf>
    <xf numFmtId="0" fontId="37" fillId="0" borderId="0">
      <alignment vertical="top"/>
    </xf>
    <xf numFmtId="0" fontId="125" fillId="0" borderId="9">
      <alignment horizontal="center"/>
    </xf>
    <xf numFmtId="0" fontId="125" fillId="0" borderId="9">
      <alignment horizontal="center"/>
    </xf>
    <xf numFmtId="0" fontId="125" fillId="0" borderId="9">
      <alignment horizontal="center"/>
    </xf>
    <xf numFmtId="0" fontId="125" fillId="0" borderId="9">
      <alignment horizontal="center"/>
    </xf>
    <xf numFmtId="0" fontId="125" fillId="0" borderId="9">
      <alignment horizontal="center"/>
    </xf>
    <xf numFmtId="0" fontId="125" fillId="0" borderId="9">
      <alignment horizontal="center"/>
    </xf>
    <xf numFmtId="0" fontId="125" fillId="0" borderId="9">
      <alignment horizontal="center"/>
    </xf>
    <xf numFmtId="0" fontId="125" fillId="0" borderId="9">
      <alignment horizontal="center"/>
    </xf>
    <xf numFmtId="0" fontId="125" fillId="0" borderId="9">
      <alignment horizontal="center"/>
    </xf>
    <xf numFmtId="0" fontId="125" fillId="0" borderId="9">
      <alignment horizontal="center"/>
    </xf>
    <xf numFmtId="0" fontId="125" fillId="0" borderId="9">
      <alignment horizontal="center"/>
    </xf>
    <xf numFmtId="0" fontId="125" fillId="0" borderId="9">
      <alignment horizontal="center"/>
    </xf>
    <xf numFmtId="0" fontId="125" fillId="0" borderId="9">
      <alignment horizontal="center"/>
    </xf>
    <xf numFmtId="0" fontId="125" fillId="0" borderId="0">
      <alignment horizontal="center" vertical="center"/>
    </xf>
    <xf numFmtId="0" fontId="126" fillId="88" borderId="0" applyNumberFormat="0" applyFill="0">
      <alignment horizontal="left" vertical="center"/>
    </xf>
    <xf numFmtId="0" fontId="127" fillId="0" borderId="56"/>
    <xf numFmtId="0" fontId="127" fillId="0" borderId="56"/>
    <xf numFmtId="40" fontId="128" fillId="0" borderId="0" applyBorder="0">
      <alignment horizontal="right"/>
    </xf>
    <xf numFmtId="40" fontId="128" fillId="0" borderId="0" applyBorder="0">
      <alignment horizontal="right"/>
    </xf>
    <xf numFmtId="185" fontId="58" fillId="0" borderId="0" applyFont="0">
      <protection locked="0"/>
    </xf>
    <xf numFmtId="0" fontId="20" fillId="0" borderId="41"/>
    <xf numFmtId="0" fontId="57" fillId="0" borderId="41"/>
    <xf numFmtId="0" fontId="57" fillId="0" borderId="41"/>
    <xf numFmtId="0" fontId="57" fillId="0" borderId="41"/>
    <xf numFmtId="0" fontId="57" fillId="0" borderId="41"/>
    <xf numFmtId="0" fontId="57" fillId="0" borderId="41"/>
    <xf numFmtId="0" fontId="57" fillId="0" borderId="41"/>
    <xf numFmtId="0" fontId="57" fillId="0" borderId="41"/>
    <xf numFmtId="0" fontId="57" fillId="0" borderId="41"/>
    <xf numFmtId="0" fontId="57" fillId="0" borderId="41"/>
    <xf numFmtId="0" fontId="57" fillId="0" borderId="41"/>
    <xf numFmtId="0" fontId="57" fillId="0" borderId="41"/>
    <xf numFmtId="0" fontId="57" fillId="0" borderId="41"/>
    <xf numFmtId="0" fontId="57" fillId="0" borderId="41"/>
    <xf numFmtId="0" fontId="57" fillId="0" borderId="41"/>
    <xf numFmtId="0" fontId="57" fillId="0" borderId="41"/>
    <xf numFmtId="0" fontId="57" fillId="0" borderId="41"/>
    <xf numFmtId="0" fontId="57" fillId="0" borderId="41"/>
    <xf numFmtId="0" fontId="57" fillId="0" borderId="41"/>
    <xf numFmtId="49" fontId="9" fillId="97" borderId="0" applyFont="0" applyBorder="0">
      <alignment horizontal="left"/>
    </xf>
    <xf numFmtId="0" fontId="129" fillId="0" borderId="57" applyNumberFormat="0" applyFill="0" applyAlignment="0" applyProtection="0"/>
    <xf numFmtId="0" fontId="130" fillId="0" borderId="46" applyNumberFormat="0" applyFill="0" applyAlignment="0" applyProtection="0"/>
    <xf numFmtId="0" fontId="131" fillId="0" borderId="58" applyNumberFormat="0" applyFill="0" applyAlignment="0" applyProtection="0"/>
    <xf numFmtId="0" fontId="131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49" fontId="37" fillId="0" borderId="0" applyFill="0" applyBorder="0" applyAlignment="0"/>
    <xf numFmtId="196" fontId="38" fillId="0" borderId="0" applyFill="0" applyBorder="0" applyAlignment="0"/>
    <xf numFmtId="179" fontId="9" fillId="0" borderId="0" applyFill="0" applyBorder="0" applyAlignment="0"/>
    <xf numFmtId="177" fontId="9" fillId="0" borderId="0" applyFont="0" applyFill="0" applyBorder="0" applyAlignment="0" applyProtection="0"/>
    <xf numFmtId="0" fontId="9" fillId="0" borderId="0"/>
    <xf numFmtId="0" fontId="133" fillId="102" borderId="0"/>
    <xf numFmtId="0" fontId="134" fillId="102" borderId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37" fillId="0" borderId="0" applyNumberFormat="0" applyFill="0" applyBorder="0" applyAlignment="0" applyProtection="0"/>
    <xf numFmtId="0" fontId="137" fillId="0" borderId="0" applyNumberFormat="0" applyFill="0" applyBorder="0" applyAlignment="0" applyProtection="0"/>
    <xf numFmtId="0" fontId="137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0" fontId="59" fillId="0" borderId="61" applyNumberFormat="0" applyFill="0" applyAlignment="0" applyProtection="0"/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0" fontId="59" fillId="0" borderId="61" applyNumberFormat="0" applyFill="0" applyAlignment="0" applyProtection="0"/>
    <xf numFmtId="0" fontId="59" fillId="0" borderId="61" applyNumberFormat="0" applyFill="0" applyAlignment="0" applyProtection="0"/>
    <xf numFmtId="0" fontId="59" fillId="0" borderId="61" applyNumberFormat="0" applyFill="0" applyAlignment="0" applyProtection="0"/>
    <xf numFmtId="0" fontId="59" fillId="0" borderId="61" applyNumberFormat="0" applyFill="0" applyAlignment="0" applyProtection="0"/>
    <xf numFmtId="0" fontId="59" fillId="0" borderId="61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59" fillId="0" borderId="61" applyNumberFormat="0" applyFill="0" applyAlignment="0" applyProtection="0"/>
    <xf numFmtId="0" fontId="59" fillId="0" borderId="61" applyNumberFormat="0" applyFill="0" applyAlignment="0" applyProtection="0"/>
    <xf numFmtId="0" fontId="59" fillId="0" borderId="61" applyNumberFormat="0" applyFill="0" applyAlignment="0" applyProtection="0"/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0" fontId="60" fillId="0" borderId="62" applyNumberFormat="0" applyFill="0" applyAlignment="0" applyProtection="0"/>
    <xf numFmtId="0" fontId="60" fillId="0" borderId="62" applyNumberFormat="0" applyFill="0" applyAlignment="0" applyProtection="0"/>
    <xf numFmtId="0" fontId="60" fillId="0" borderId="62" applyNumberFormat="0" applyFill="0" applyAlignment="0" applyProtection="0"/>
    <xf numFmtId="0" fontId="60" fillId="0" borderId="62" applyNumberFormat="0" applyFill="0" applyAlignment="0" applyProtection="0"/>
    <xf numFmtId="0" fontId="60" fillId="0" borderId="62" applyNumberFormat="0" applyFill="0" applyAlignment="0" applyProtection="0"/>
    <xf numFmtId="0" fontId="60" fillId="0" borderId="62" applyNumberFormat="0" applyFill="0" applyAlignment="0" applyProtection="0"/>
    <xf numFmtId="0" fontId="60" fillId="0" borderId="62" applyNumberFormat="0" applyFill="0" applyAlignment="0" applyProtection="0"/>
    <xf numFmtId="0" fontId="60" fillId="0" borderId="62" applyNumberFormat="0" applyFill="0" applyAlignment="0" applyProtection="0"/>
    <xf numFmtId="0" fontId="60" fillId="0" borderId="62" applyNumberFormat="0" applyFill="0" applyAlignment="0" applyProtection="0"/>
    <xf numFmtId="0" fontId="60" fillId="0" borderId="62" applyNumberFormat="0" applyFill="0" applyAlignment="0" applyProtection="0"/>
    <xf numFmtId="0" fontId="60" fillId="0" borderId="62" applyNumberFormat="0" applyFill="0" applyAlignment="0" applyProtection="0"/>
    <xf numFmtId="0" fontId="60" fillId="0" borderId="62" applyNumberFormat="0" applyFill="0" applyAlignment="0" applyProtection="0"/>
    <xf numFmtId="0" fontId="60" fillId="0" borderId="62" applyNumberFormat="0" applyFill="0" applyAlignment="0" applyProtection="0"/>
    <xf numFmtId="0" fontId="60" fillId="0" borderId="62" applyNumberFormat="0" applyFill="0" applyAlignment="0" applyProtection="0"/>
    <xf numFmtId="0" fontId="60" fillId="0" borderId="62" applyNumberFormat="0" applyFill="0" applyAlignment="0" applyProtection="0"/>
    <xf numFmtId="0" fontId="60" fillId="0" borderId="62" applyNumberFormat="0" applyFill="0" applyAlignment="0" applyProtection="0"/>
    <xf numFmtId="0" fontId="60" fillId="0" borderId="62" applyNumberFormat="0" applyFill="0" applyAlignment="0" applyProtection="0"/>
    <xf numFmtId="0" fontId="60" fillId="0" borderId="62" applyNumberFormat="0" applyFill="0" applyAlignment="0" applyProtection="0"/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165" fontId="19" fillId="0" borderId="60">
      <protection locked="0"/>
    </xf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60" fillId="0" borderId="59" applyNumberFormat="0" applyFill="0" applyAlignment="0" applyProtection="0"/>
    <xf numFmtId="0" fontId="97" fillId="0" borderId="42"/>
    <xf numFmtId="0" fontId="97" fillId="0" borderId="42"/>
    <xf numFmtId="0" fontId="97" fillId="0" borderId="42"/>
    <xf numFmtId="0" fontId="97" fillId="0" borderId="42"/>
    <xf numFmtId="0" fontId="138" fillId="0" borderId="42"/>
    <xf numFmtId="0" fontId="97" fillId="0" borderId="41"/>
    <xf numFmtId="0" fontId="97" fillId="0" borderId="41"/>
    <xf numFmtId="0" fontId="97" fillId="0" borderId="41"/>
    <xf numFmtId="0" fontId="97" fillId="0" borderId="41"/>
    <xf numFmtId="0" fontId="97" fillId="0" borderId="41"/>
    <xf numFmtId="0" fontId="97" fillId="0" borderId="41"/>
    <xf numFmtId="0" fontId="97" fillId="0" borderId="41"/>
    <xf numFmtId="0" fontId="97" fillId="0" borderId="41"/>
    <xf numFmtId="0" fontId="97" fillId="0" borderId="41"/>
    <xf numFmtId="0" fontId="97" fillId="0" borderId="41"/>
    <xf numFmtId="0" fontId="97" fillId="0" borderId="41"/>
    <xf numFmtId="0" fontId="97" fillId="0" borderId="41"/>
    <xf numFmtId="0" fontId="97" fillId="0" borderId="41"/>
    <xf numFmtId="0" fontId="97" fillId="0" borderId="41"/>
    <xf numFmtId="0" fontId="97" fillId="0" borderId="41"/>
    <xf numFmtId="0" fontId="97" fillId="0" borderId="41"/>
    <xf numFmtId="0" fontId="97" fillId="0" borderId="41"/>
    <xf numFmtId="0" fontId="97" fillId="0" borderId="41"/>
    <xf numFmtId="0" fontId="138" fillId="0" borderId="41"/>
    <xf numFmtId="4" fontId="139" fillId="0" borderId="0" applyFont="0" applyFill="0" applyBorder="0" applyAlignment="0" applyProtection="0"/>
    <xf numFmtId="185" fontId="58" fillId="0" borderId="0" applyFont="0">
      <alignment horizontal="center"/>
      <protection locked="0"/>
    </xf>
    <xf numFmtId="197" fontId="9" fillId="0" borderId="0" applyFont="0" applyFill="0" applyBorder="0" applyAlignment="0" applyProtection="0"/>
    <xf numFmtId="198" fontId="139" fillId="0" borderId="0" applyFon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2" fillId="0" borderId="63"/>
    <xf numFmtId="40" fontId="143" fillId="0" borderId="0" applyFont="0" applyFill="0" applyBorder="0" applyAlignment="0" applyProtection="0"/>
    <xf numFmtId="38" fontId="143" fillId="0" borderId="0" applyFont="0" applyFill="0" applyBorder="0" applyAlignment="0" applyProtection="0"/>
    <xf numFmtId="0" fontId="143" fillId="0" borderId="0" applyFont="0" applyFill="0" applyBorder="0" applyAlignment="0" applyProtection="0"/>
    <xf numFmtId="0" fontId="143" fillId="0" borderId="0" applyFont="0" applyFill="0" applyBorder="0" applyAlignment="0" applyProtection="0"/>
    <xf numFmtId="10" fontId="9" fillId="0" borderId="0" applyFont="0" applyFill="0" applyBorder="0" applyAlignment="0" applyProtection="0"/>
    <xf numFmtId="0" fontId="144" fillId="0" borderId="0"/>
    <xf numFmtId="179" fontId="9" fillId="0" borderId="0" applyFont="0" applyFill="0" applyBorder="0" applyAlignment="0" applyProtection="0"/>
    <xf numFmtId="199" fontId="9" fillId="0" borderId="0" applyFont="0" applyFill="0" applyBorder="0" applyAlignment="0" applyProtection="0"/>
    <xf numFmtId="200" fontId="9" fillId="0" borderId="0" applyFont="0" applyFill="0" applyBorder="0" applyAlignment="0" applyProtection="0"/>
    <xf numFmtId="201" fontId="145" fillId="0" borderId="0" applyFont="0" applyFill="0" applyBorder="0" applyAlignment="0" applyProtection="0"/>
    <xf numFmtId="202" fontId="145" fillId="0" borderId="0" applyFont="0" applyFill="0" applyBorder="0" applyAlignment="0" applyProtection="0"/>
    <xf numFmtId="0" fontId="146" fillId="0" borderId="0"/>
    <xf numFmtId="203" fontId="9" fillId="0" borderId="0" applyFont="0" applyFill="0" applyBorder="0" applyAlignment="0" applyProtection="0"/>
    <xf numFmtId="204" fontId="52" fillId="0" borderId="0" applyFont="0" applyFill="0" applyBorder="0" applyAlignment="0" applyProtection="0"/>
    <xf numFmtId="0" fontId="9" fillId="0" borderId="0"/>
    <xf numFmtId="0" fontId="7" fillId="0" borderId="0"/>
  </cellStyleXfs>
  <cellXfs count="498">
    <xf numFmtId="0" fontId="0" fillId="0" borderId="0" xfId="0"/>
    <xf numFmtId="0" fontId="4" fillId="0" borderId="0" xfId="1" applyFont="1" applyFill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164" fontId="6" fillId="0" borderId="0" xfId="2" applyNumberFormat="1" applyFont="1" applyAlignment="1">
      <alignment horizontal="center" vertical="center"/>
    </xf>
    <xf numFmtId="164" fontId="6" fillId="0" borderId="0" xfId="2" applyNumberFormat="1" applyFont="1" applyAlignment="1">
      <alignment vertical="center"/>
    </xf>
    <xf numFmtId="0" fontId="6" fillId="0" borderId="0" xfId="1" applyFont="1" applyAlignment="1">
      <alignment horizontal="right" vertical="center"/>
    </xf>
    <xf numFmtId="0" fontId="6" fillId="33" borderId="9" xfId="1" applyFont="1" applyFill="1" applyBorder="1" applyAlignment="1">
      <alignment horizontal="center" vertical="center"/>
    </xf>
    <xf numFmtId="164" fontId="6" fillId="33" borderId="9" xfId="2" applyNumberFormat="1" applyFont="1" applyFill="1" applyBorder="1" applyAlignment="1">
      <alignment horizontal="center" vertical="center"/>
    </xf>
    <xf numFmtId="0" fontId="6" fillId="33" borderId="15" xfId="1" applyFont="1" applyFill="1" applyBorder="1" applyAlignment="1">
      <alignment horizontal="center" vertical="center"/>
    </xf>
    <xf numFmtId="0" fontId="8" fillId="33" borderId="0" xfId="3" applyFont="1" applyFill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11" xfId="1" applyFont="1" applyBorder="1" applyAlignment="1">
      <alignment vertical="center"/>
    </xf>
    <xf numFmtId="164" fontId="6" fillId="0" borderId="11" xfId="2" applyNumberFormat="1" applyFont="1" applyBorder="1" applyAlignment="1">
      <alignment horizontal="center" vertical="center"/>
    </xf>
    <xf numFmtId="164" fontId="6" fillId="0" borderId="11" xfId="2" applyNumberFormat="1" applyFont="1" applyBorder="1" applyAlignment="1">
      <alignment vertical="center"/>
    </xf>
    <xf numFmtId="0" fontId="6" fillId="33" borderId="22" xfId="1" applyFont="1" applyFill="1" applyBorder="1" applyAlignment="1">
      <alignment horizontal="center" vertical="center"/>
    </xf>
    <xf numFmtId="164" fontId="6" fillId="33" borderId="23" xfId="2" applyNumberFormat="1" applyFont="1" applyFill="1" applyBorder="1" applyAlignment="1">
      <alignment horizontal="center" vertical="center" wrapText="1"/>
    </xf>
    <xf numFmtId="164" fontId="6" fillId="33" borderId="24" xfId="2" applyNumberFormat="1" applyFont="1" applyFill="1" applyBorder="1" applyAlignment="1">
      <alignment horizontal="center" vertical="center" wrapText="1"/>
    </xf>
    <xf numFmtId="0" fontId="6" fillId="33" borderId="25" xfId="1" applyFont="1" applyFill="1" applyBorder="1" applyAlignment="1">
      <alignment vertical="center"/>
    </xf>
    <xf numFmtId="0" fontId="6" fillId="33" borderId="26" xfId="1" applyFont="1" applyFill="1" applyBorder="1" applyAlignment="1">
      <alignment vertical="center"/>
    </xf>
    <xf numFmtId="0" fontId="6" fillId="33" borderId="26" xfId="1" applyFont="1" applyFill="1" applyBorder="1" applyAlignment="1">
      <alignment horizontal="center" vertical="center"/>
    </xf>
    <xf numFmtId="0" fontId="6" fillId="33" borderId="26" xfId="1" applyFont="1" applyFill="1" applyBorder="1" applyAlignment="1">
      <alignment horizontal="center" vertical="center" wrapText="1"/>
    </xf>
    <xf numFmtId="164" fontId="6" fillId="33" borderId="26" xfId="2" applyNumberFormat="1" applyFont="1" applyFill="1" applyBorder="1" applyAlignment="1">
      <alignment horizontal="center" vertical="center" wrapText="1"/>
    </xf>
    <xf numFmtId="0" fontId="8" fillId="33" borderId="26" xfId="3" applyFont="1" applyFill="1" applyBorder="1" applyAlignment="1">
      <alignment horizontal="center" vertical="center" wrapText="1"/>
    </xf>
    <xf numFmtId="0" fontId="9" fillId="33" borderId="24" xfId="3" quotePrefix="1" applyFont="1" applyFill="1" applyBorder="1" applyAlignment="1">
      <alignment horizontal="center" vertical="center"/>
    </xf>
    <xf numFmtId="0" fontId="6" fillId="33" borderId="24" xfId="1" applyFont="1" applyFill="1" applyBorder="1" applyAlignment="1">
      <alignment horizontal="center" vertical="center" wrapText="1"/>
    </xf>
    <xf numFmtId="0" fontId="9" fillId="33" borderId="0" xfId="3" quotePrefix="1" applyFont="1" applyFill="1" applyBorder="1" applyAlignment="1">
      <alignment horizontal="center" vertical="center"/>
    </xf>
    <xf numFmtId="0" fontId="6" fillId="0" borderId="27" xfId="1" applyFont="1" applyBorder="1" applyAlignment="1">
      <alignment horizontal="center" vertical="center"/>
    </xf>
    <xf numFmtId="0" fontId="6" fillId="0" borderId="27" xfId="1" applyFont="1" applyBorder="1" applyAlignment="1">
      <alignment vertical="center"/>
    </xf>
    <xf numFmtId="164" fontId="6" fillId="0" borderId="27" xfId="2" applyNumberFormat="1" applyFont="1" applyBorder="1" applyAlignment="1">
      <alignment horizontal="center" vertical="center"/>
    </xf>
    <xf numFmtId="0" fontId="11" fillId="0" borderId="28" xfId="4" applyFont="1" applyBorder="1" applyAlignment="1">
      <alignment vertical="center" wrapText="1"/>
    </xf>
    <xf numFmtId="164" fontId="6" fillId="34" borderId="31" xfId="2" applyNumberFormat="1" applyFont="1" applyFill="1" applyBorder="1" applyAlignment="1">
      <alignment horizontal="right" vertical="center"/>
    </xf>
    <xf numFmtId="0" fontId="12" fillId="34" borderId="30" xfId="4" applyFont="1" applyFill="1" applyBorder="1" applyAlignment="1">
      <alignment vertical="center" wrapText="1"/>
    </xf>
    <xf numFmtId="164" fontId="6" fillId="0" borderId="0" xfId="2" applyNumberFormat="1" applyFont="1" applyBorder="1" applyAlignment="1">
      <alignment horizontal="center" vertical="center"/>
    </xf>
    <xf numFmtId="164" fontId="6" fillId="0" borderId="28" xfId="2" applyNumberFormat="1" applyFont="1" applyBorder="1" applyAlignment="1">
      <alignment horizontal="center" vertical="center"/>
    </xf>
    <xf numFmtId="0" fontId="13" fillId="0" borderId="27" xfId="4" applyFont="1" applyBorder="1" applyAlignment="1">
      <alignment vertical="center" wrapText="1"/>
    </xf>
    <xf numFmtId="164" fontId="6" fillId="0" borderId="27" xfId="2" applyNumberFormat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11" fillId="0" borderId="28" xfId="4" applyFont="1" applyBorder="1" applyAlignment="1">
      <alignment horizontal="left" vertical="center" wrapText="1"/>
    </xf>
    <xf numFmtId="164" fontId="6" fillId="0" borderId="32" xfId="2" applyNumberFormat="1" applyFont="1" applyFill="1" applyBorder="1" applyAlignment="1">
      <alignment horizontal="right" vertical="center"/>
    </xf>
    <xf numFmtId="0" fontId="12" fillId="0" borderId="35" xfId="4" applyFont="1" applyBorder="1" applyAlignment="1">
      <alignment vertical="center" wrapText="1"/>
    </xf>
    <xf numFmtId="164" fontId="6" fillId="0" borderId="0" xfId="1" applyNumberFormat="1" applyFont="1" applyBorder="1" applyAlignment="1">
      <alignment vertical="center"/>
    </xf>
    <xf numFmtId="0" fontId="6" fillId="0" borderId="27" xfId="1" applyFont="1" applyBorder="1" applyAlignment="1">
      <alignment horizontal="left" vertical="center" wrapText="1"/>
    </xf>
    <xf numFmtId="164" fontId="6" fillId="0" borderId="28" xfId="2" applyNumberFormat="1" applyFont="1" applyBorder="1" applyAlignment="1">
      <alignment vertical="center"/>
    </xf>
    <xf numFmtId="0" fontId="6" fillId="0" borderId="9" xfId="1" applyFont="1" applyBorder="1" applyAlignment="1">
      <alignment horizontal="center" vertical="center"/>
    </xf>
    <xf numFmtId="164" fontId="6" fillId="0" borderId="9" xfId="2" applyNumberFormat="1" applyFont="1" applyFill="1" applyBorder="1" applyAlignment="1">
      <alignment horizontal="right" vertical="center"/>
    </xf>
    <xf numFmtId="0" fontId="6" fillId="0" borderId="35" xfId="1" applyFont="1" applyBorder="1" applyAlignment="1">
      <alignment vertical="center"/>
    </xf>
    <xf numFmtId="164" fontId="6" fillId="0" borderId="0" xfId="2" applyNumberFormat="1" applyFont="1" applyBorder="1" applyAlignment="1">
      <alignment vertical="center"/>
    </xf>
    <xf numFmtId="164" fontId="6" fillId="0" borderId="27" xfId="2" applyNumberFormat="1" applyFont="1" applyFill="1" applyBorder="1" applyAlignment="1">
      <alignment horizontal="right" vertical="center"/>
    </xf>
    <xf numFmtId="164" fontId="6" fillId="0" borderId="36" xfId="2" applyNumberFormat="1" applyFont="1" applyFill="1" applyBorder="1" applyAlignment="1">
      <alignment horizontal="right" vertical="center"/>
    </xf>
    <xf numFmtId="164" fontId="6" fillId="0" borderId="11" xfId="2" applyNumberFormat="1" applyFont="1" applyFill="1" applyBorder="1" applyAlignment="1">
      <alignment horizontal="right" vertical="center"/>
    </xf>
    <xf numFmtId="164" fontId="14" fillId="0" borderId="27" xfId="2" applyNumberFormat="1" applyFont="1" applyBorder="1" applyAlignment="1">
      <alignment horizontal="center" vertical="center" wrapText="1"/>
    </xf>
    <xf numFmtId="3" fontId="11" fillId="0" borderId="13" xfId="4" applyNumberFormat="1" applyFont="1" applyFill="1" applyBorder="1" applyAlignment="1">
      <alignment horizontal="right" vertical="center" wrapText="1"/>
    </xf>
    <xf numFmtId="0" fontId="6" fillId="0" borderId="27" xfId="1" applyFont="1" applyBorder="1" applyAlignment="1">
      <alignment horizontal="center" vertical="center" wrapText="1"/>
    </xf>
    <xf numFmtId="164" fontId="6" fillId="0" borderId="27" xfId="2" applyNumberFormat="1" applyFont="1" applyBorder="1" applyAlignment="1">
      <alignment horizontal="center" vertical="center" wrapText="1"/>
    </xf>
    <xf numFmtId="164" fontId="6" fillId="0" borderId="28" xfId="2" applyNumberFormat="1" applyFont="1" applyBorder="1" applyAlignment="1">
      <alignment horizontal="center" vertical="center" wrapText="1"/>
    </xf>
    <xf numFmtId="164" fontId="6" fillId="0" borderId="9" xfId="2" applyNumberFormat="1" applyFont="1" applyFill="1" applyBorder="1" applyAlignment="1">
      <alignment horizontal="center" vertical="center" wrapText="1"/>
    </xf>
    <xf numFmtId="0" fontId="6" fillId="0" borderId="35" xfId="1" applyFont="1" applyBorder="1" applyAlignment="1">
      <alignment horizontal="center" vertical="center" wrapText="1"/>
    </xf>
    <xf numFmtId="164" fontId="6" fillId="0" borderId="0" xfId="2" applyNumberFormat="1" applyFont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6" fillId="0" borderId="9" xfId="1" applyFont="1" applyBorder="1" applyAlignment="1">
      <alignment vertical="center"/>
    </xf>
    <xf numFmtId="0" fontId="6" fillId="36" borderId="0" xfId="1" applyFont="1" applyFill="1" applyAlignment="1">
      <alignment vertical="center"/>
    </xf>
    <xf numFmtId="0" fontId="6" fillId="36" borderId="9" xfId="1" applyFont="1" applyFill="1" applyBorder="1" applyAlignment="1">
      <alignment horizontal="center" vertical="center"/>
    </xf>
    <xf numFmtId="0" fontId="6" fillId="36" borderId="9" xfId="1" applyFont="1" applyFill="1" applyBorder="1" applyAlignment="1">
      <alignment vertical="center"/>
    </xf>
    <xf numFmtId="164" fontId="6" fillId="36" borderId="9" xfId="2" applyNumberFormat="1" applyFont="1" applyFill="1" applyBorder="1" applyAlignment="1">
      <alignment horizontal="center" vertical="center"/>
    </xf>
    <xf numFmtId="164" fontId="6" fillId="36" borderId="9" xfId="2" applyNumberFormat="1" applyFont="1" applyFill="1" applyBorder="1" applyAlignment="1">
      <alignment vertical="center"/>
    </xf>
    <xf numFmtId="0" fontId="15" fillId="0" borderId="0" xfId="1" applyFont="1" applyAlignment="1">
      <alignment horizontal="center" vertical="center"/>
    </xf>
    <xf numFmtId="0" fontId="16" fillId="0" borderId="0" xfId="1" applyFont="1" applyAlignment="1">
      <alignment vertical="center"/>
    </xf>
    <xf numFmtId="0" fontId="12" fillId="0" borderId="0" xfId="1" applyFont="1" applyAlignment="1">
      <alignment vertical="center"/>
    </xf>
    <xf numFmtId="164" fontId="6" fillId="37" borderId="0" xfId="2" applyNumberFormat="1" applyFont="1" applyFill="1" applyBorder="1" applyAlignment="1">
      <alignment horizontal="right" vertical="center"/>
    </xf>
    <xf numFmtId="164" fontId="16" fillId="0" borderId="0" xfId="1" applyNumberFormat="1" applyFont="1" applyAlignment="1">
      <alignment vertical="center"/>
    </xf>
    <xf numFmtId="164" fontId="12" fillId="0" borderId="0" xfId="1" applyNumberFormat="1" applyFont="1" applyAlignment="1">
      <alignment vertical="center"/>
    </xf>
    <xf numFmtId="0" fontId="6" fillId="0" borderId="64" xfId="1" applyFont="1" applyBorder="1" applyAlignment="1">
      <alignment vertical="center"/>
    </xf>
    <xf numFmtId="0" fontId="6" fillId="0" borderId="64" xfId="1" applyFont="1" applyBorder="1" applyAlignment="1">
      <alignment horizontal="center" vertical="center"/>
    </xf>
    <xf numFmtId="164" fontId="6" fillId="0" borderId="64" xfId="2" applyNumberFormat="1" applyFont="1" applyBorder="1" applyAlignment="1">
      <alignment vertical="center"/>
    </xf>
    <xf numFmtId="0" fontId="6" fillId="0" borderId="64" xfId="1" applyFont="1" applyBorder="1" applyAlignment="1">
      <alignment vertical="center" wrapText="1"/>
    </xf>
    <xf numFmtId="164" fontId="6" fillId="0" borderId="9" xfId="2" applyNumberFormat="1" applyFont="1" applyBorder="1" applyAlignment="1">
      <alignment vertical="center"/>
    </xf>
    <xf numFmtId="164" fontId="6" fillId="0" borderId="64" xfId="2" applyNumberFormat="1" applyFont="1" applyBorder="1" applyAlignment="1">
      <alignment horizontal="center" vertical="center"/>
    </xf>
    <xf numFmtId="0" fontId="6" fillId="0" borderId="64" xfId="1" applyFont="1" applyBorder="1" applyAlignment="1">
      <alignment horizontal="left" vertical="center" wrapText="1"/>
    </xf>
    <xf numFmtId="164" fontId="6" fillId="0" borderId="13" xfId="2" applyNumberFormat="1" applyFont="1" applyFill="1" applyBorder="1" applyAlignment="1">
      <alignment horizontal="right" vertical="center"/>
    </xf>
    <xf numFmtId="0" fontId="6" fillId="0" borderId="64" xfId="1" applyFont="1" applyBorder="1" applyAlignment="1">
      <alignment horizontal="center" vertical="center" wrapText="1"/>
    </xf>
    <xf numFmtId="164" fontId="6" fillId="0" borderId="9" xfId="2" applyNumberFormat="1" applyFont="1" applyBorder="1" applyAlignment="1">
      <alignment horizontal="center" vertical="center"/>
    </xf>
    <xf numFmtId="0" fontId="6" fillId="0" borderId="9" xfId="1" applyFont="1" applyBorder="1" applyAlignment="1">
      <alignment horizontal="left" vertical="center" wrapText="1"/>
    </xf>
    <xf numFmtId="164" fontId="6" fillId="0" borderId="67" xfId="2" applyNumberFormat="1" applyFont="1" applyFill="1" applyBorder="1" applyAlignment="1">
      <alignment horizontal="right" vertical="center"/>
    </xf>
    <xf numFmtId="0" fontId="6" fillId="0" borderId="68" xfId="1" applyFont="1" applyBorder="1" applyAlignment="1">
      <alignment horizontal="center" vertical="center"/>
    </xf>
    <xf numFmtId="164" fontId="6" fillId="0" borderId="68" xfId="2" applyNumberFormat="1" applyFont="1" applyBorder="1" applyAlignment="1">
      <alignment horizontal="center" vertical="center"/>
    </xf>
    <xf numFmtId="0" fontId="6" fillId="0" borderId="68" xfId="1" applyFont="1" applyBorder="1" applyAlignment="1">
      <alignment vertical="center"/>
    </xf>
    <xf numFmtId="0" fontId="6" fillId="0" borderId="68" xfId="1" applyFont="1" applyBorder="1" applyAlignment="1">
      <alignment horizontal="left" vertical="center" wrapText="1"/>
    </xf>
    <xf numFmtId="164" fontId="6" fillId="0" borderId="68" xfId="2" applyNumberFormat="1" applyFont="1" applyBorder="1" applyAlignment="1">
      <alignment vertical="center"/>
    </xf>
    <xf numFmtId="164" fontId="6" fillId="0" borderId="64" xfId="2" applyNumberFormat="1" applyFont="1" applyBorder="1" applyAlignment="1">
      <alignment horizontal="center" vertical="center" wrapText="1"/>
    </xf>
    <xf numFmtId="164" fontId="6" fillId="0" borderId="68" xfId="2" applyNumberFormat="1" applyFont="1" applyFill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1" fillId="0" borderId="0" xfId="1" applyFont="1" applyAlignment="1">
      <alignment horizontal="center" vertical="center"/>
    </xf>
    <xf numFmtId="0" fontId="1" fillId="0" borderId="0" xfId="1" applyFont="1" applyAlignment="1">
      <alignment vertical="center"/>
    </xf>
    <xf numFmtId="0" fontId="1" fillId="0" borderId="0" xfId="1" applyFont="1" applyAlignment="1">
      <alignment horizontal="right" vertical="center"/>
    </xf>
    <xf numFmtId="164" fontId="1" fillId="0" borderId="0" xfId="2" applyNumberFormat="1" applyFont="1" applyAlignment="1">
      <alignment horizontal="right" vertical="center"/>
    </xf>
    <xf numFmtId="164" fontId="6" fillId="33" borderId="69" xfId="2" applyNumberFormat="1" applyFont="1" applyFill="1" applyBorder="1" applyAlignment="1">
      <alignment horizontal="center" vertical="center"/>
    </xf>
    <xf numFmtId="164" fontId="6" fillId="0" borderId="70" xfId="2" applyNumberFormat="1" applyFont="1" applyBorder="1" applyAlignment="1">
      <alignment vertical="center"/>
    </xf>
    <xf numFmtId="164" fontId="6" fillId="0" borderId="65" xfId="2" applyNumberFormat="1" applyFont="1" applyBorder="1" applyAlignment="1">
      <alignment vertical="center"/>
    </xf>
    <xf numFmtId="164" fontId="6" fillId="0" borderId="65" xfId="2" applyNumberFormat="1" applyFont="1" applyBorder="1" applyAlignment="1">
      <alignment horizontal="center" vertical="center"/>
    </xf>
    <xf numFmtId="164" fontId="6" fillId="0" borderId="69" xfId="2" applyNumberFormat="1" applyFont="1" applyBorder="1" applyAlignment="1">
      <alignment vertical="center"/>
    </xf>
    <xf numFmtId="164" fontId="6" fillId="0" borderId="65" xfId="2" applyNumberFormat="1" applyFont="1" applyBorder="1" applyAlignment="1">
      <alignment horizontal="center" vertical="center" wrapText="1"/>
    </xf>
    <xf numFmtId="164" fontId="6" fillId="36" borderId="69" xfId="2" applyNumberFormat="1" applyFont="1" applyFill="1" applyBorder="1" applyAlignment="1">
      <alignment horizontal="center" vertical="center"/>
    </xf>
    <xf numFmtId="0" fontId="6" fillId="0" borderId="68" xfId="1" applyFont="1" applyBorder="1" applyAlignment="1">
      <alignment horizontal="center" vertical="center"/>
    </xf>
    <xf numFmtId="0" fontId="6" fillId="0" borderId="64" xfId="1" applyFont="1" applyBorder="1" applyAlignment="1">
      <alignment horizontal="center" vertical="center"/>
    </xf>
    <xf numFmtId="0" fontId="6" fillId="0" borderId="64" xfId="1" applyFont="1" applyBorder="1" applyAlignment="1">
      <alignment horizontal="center" vertical="center"/>
    </xf>
    <xf numFmtId="164" fontId="6" fillId="0" borderId="65" xfId="2" applyNumberFormat="1" applyFont="1" applyBorder="1" applyAlignment="1">
      <alignment horizontal="center" vertical="center"/>
    </xf>
    <xf numFmtId="164" fontId="6" fillId="0" borderId="28" xfId="2" applyNumberFormat="1" applyFont="1" applyBorder="1" applyAlignment="1">
      <alignment horizontal="center" vertical="center"/>
    </xf>
    <xf numFmtId="0" fontId="11" fillId="0" borderId="65" xfId="4" applyFont="1" applyBorder="1" applyAlignment="1">
      <alignment horizontal="left" vertical="center" wrapText="1"/>
    </xf>
    <xf numFmtId="164" fontId="6" fillId="0" borderId="74" xfId="2" applyNumberFormat="1" applyFont="1" applyFill="1" applyBorder="1" applyAlignment="1">
      <alignment horizontal="right" vertical="center"/>
    </xf>
    <xf numFmtId="0" fontId="13" fillId="0" borderId="64" xfId="4" applyFont="1" applyBorder="1" applyAlignment="1">
      <alignment vertical="center" wrapText="1"/>
    </xf>
    <xf numFmtId="164" fontId="6" fillId="0" borderId="64" xfId="2" applyNumberFormat="1" applyFont="1" applyFill="1" applyBorder="1" applyAlignment="1">
      <alignment horizontal="right" vertical="center"/>
    </xf>
    <xf numFmtId="0" fontId="147" fillId="0" borderId="0" xfId="1" applyFont="1" applyAlignment="1">
      <alignment horizontal="center" vertical="center"/>
    </xf>
    <xf numFmtId="0" fontId="147" fillId="0" borderId="0" xfId="1" applyFont="1" applyAlignment="1">
      <alignment vertical="center"/>
    </xf>
    <xf numFmtId="0" fontId="147" fillId="0" borderId="0" xfId="1" applyFont="1" applyAlignment="1">
      <alignment horizontal="right" vertical="center"/>
    </xf>
    <xf numFmtId="164" fontId="147" fillId="0" borderId="0" xfId="2" applyNumberFormat="1" applyFont="1" applyAlignment="1">
      <alignment horizontal="right" vertical="center"/>
    </xf>
    <xf numFmtId="0" fontId="148" fillId="0" borderId="0" xfId="1" applyFont="1" applyAlignment="1">
      <alignment vertical="center"/>
    </xf>
    <xf numFmtId="0" fontId="151" fillId="33" borderId="12" xfId="1" applyFont="1" applyFill="1" applyBorder="1" applyAlignment="1">
      <alignment horizontal="center" vertical="center"/>
    </xf>
    <xf numFmtId="164" fontId="151" fillId="33" borderId="12" xfId="2" applyNumberFormat="1" applyFont="1" applyFill="1" applyBorder="1" applyAlignment="1">
      <alignment horizontal="right" vertical="center" wrapText="1"/>
    </xf>
    <xf numFmtId="0" fontId="151" fillId="33" borderId="21" xfId="1" applyFont="1" applyFill="1" applyBorder="1" applyAlignment="1">
      <alignment horizontal="center" vertical="center"/>
    </xf>
    <xf numFmtId="164" fontId="151" fillId="33" borderId="20" xfId="2" applyNumberFormat="1" applyFont="1" applyFill="1" applyBorder="1" applyAlignment="1">
      <alignment horizontal="right" vertical="center" wrapText="1"/>
    </xf>
    <xf numFmtId="0" fontId="5" fillId="34" borderId="73" xfId="1" applyFont="1" applyFill="1" applyBorder="1" applyAlignment="1">
      <alignment vertical="center"/>
    </xf>
    <xf numFmtId="0" fontId="152" fillId="34" borderId="29" xfId="1" applyFont="1" applyFill="1" applyBorder="1" applyAlignment="1">
      <alignment horizontal="center" vertical="center"/>
    </xf>
    <xf numFmtId="0" fontId="152" fillId="34" borderId="29" xfId="1" applyFont="1" applyFill="1" applyBorder="1" applyAlignment="1">
      <alignment vertical="center"/>
    </xf>
    <xf numFmtId="0" fontId="152" fillId="34" borderId="29" xfId="1" applyFont="1" applyFill="1" applyBorder="1" applyAlignment="1">
      <alignment horizontal="right" vertical="center"/>
    </xf>
    <xf numFmtId="164" fontId="151" fillId="34" borderId="31" xfId="2" applyNumberFormat="1" applyFont="1" applyFill="1" applyBorder="1" applyAlignment="1">
      <alignment horizontal="right" vertical="center"/>
    </xf>
    <xf numFmtId="0" fontId="150" fillId="0" borderId="32" xfId="1" applyFont="1" applyBorder="1" applyAlignment="1">
      <alignment horizontal="center" vertical="center"/>
    </xf>
    <xf numFmtId="0" fontId="151" fillId="0" borderId="9" xfId="5" applyFont="1" applyFill="1" applyBorder="1" applyAlignment="1">
      <alignment horizontal="center" vertical="center" wrapText="1"/>
    </xf>
    <xf numFmtId="0" fontId="153" fillId="0" borderId="32" xfId="4" applyFont="1" applyBorder="1" applyAlignment="1">
      <alignment horizontal="center" vertical="center" wrapText="1"/>
    </xf>
    <xf numFmtId="0" fontId="153" fillId="0" borderId="33" xfId="4" applyFont="1" applyBorder="1" applyAlignment="1">
      <alignment horizontal="center" vertical="center" wrapText="1"/>
    </xf>
    <xf numFmtId="2" fontId="153" fillId="0" borderId="32" xfId="4" applyNumberFormat="1" applyFont="1" applyBorder="1" applyAlignment="1">
      <alignment horizontal="right" vertical="center" wrapText="1"/>
    </xf>
    <xf numFmtId="0" fontId="153" fillId="0" borderId="32" xfId="4" applyFont="1" applyFill="1" applyBorder="1" applyAlignment="1">
      <alignment horizontal="right" vertical="center" wrapText="1"/>
    </xf>
    <xf numFmtId="0" fontId="153" fillId="0" borderId="9" xfId="4" applyFont="1" applyBorder="1" applyAlignment="1">
      <alignment horizontal="center" vertical="center" wrapText="1"/>
    </xf>
    <xf numFmtId="164" fontId="153" fillId="0" borderId="32" xfId="2" applyNumberFormat="1" applyFont="1" applyBorder="1" applyAlignment="1">
      <alignment horizontal="right" vertical="center" wrapText="1"/>
    </xf>
    <xf numFmtId="164" fontId="151" fillId="0" borderId="32" xfId="2" applyNumberFormat="1" applyFont="1" applyBorder="1" applyAlignment="1">
      <alignment horizontal="right" vertical="center"/>
    </xf>
    <xf numFmtId="164" fontId="151" fillId="0" borderId="11" xfId="2" applyNumberFormat="1" applyFont="1" applyFill="1" applyBorder="1" applyAlignment="1">
      <alignment horizontal="center" vertical="center"/>
    </xf>
    <xf numFmtId="0" fontId="150" fillId="0" borderId="64" xfId="1" applyFont="1" applyBorder="1" applyAlignment="1">
      <alignment horizontal="center" vertical="center"/>
    </xf>
    <xf numFmtId="0" fontId="151" fillId="0" borderId="71" xfId="5" applyFont="1" applyFill="1" applyBorder="1" applyAlignment="1">
      <alignment horizontal="center" vertical="center" wrapText="1"/>
    </xf>
    <xf numFmtId="0" fontId="153" fillId="0" borderId="68" xfId="4" applyFont="1" applyBorder="1" applyAlignment="1">
      <alignment horizontal="center" vertical="center" wrapText="1"/>
    </xf>
    <xf numFmtId="0" fontId="153" fillId="0" borderId="65" xfId="4" applyFont="1" applyBorder="1" applyAlignment="1">
      <alignment horizontal="center" vertical="center" wrapText="1"/>
    </xf>
    <xf numFmtId="0" fontId="153" fillId="0" borderId="64" xfId="4" applyFont="1" applyBorder="1" applyAlignment="1">
      <alignment horizontal="center" vertical="center" wrapText="1"/>
    </xf>
    <xf numFmtId="2" fontId="153" fillId="0" borderId="64" xfId="4" applyNumberFormat="1" applyFont="1" applyBorder="1" applyAlignment="1">
      <alignment horizontal="right" vertical="center" wrapText="1"/>
    </xf>
    <xf numFmtId="0" fontId="153" fillId="0" borderId="64" xfId="4" applyFont="1" applyFill="1" applyBorder="1" applyAlignment="1">
      <alignment horizontal="right" vertical="center" wrapText="1"/>
    </xf>
    <xf numFmtId="0" fontId="153" fillId="0" borderId="68" xfId="4" applyFont="1" applyFill="1" applyBorder="1" applyAlignment="1">
      <alignment horizontal="right" vertical="center" wrapText="1"/>
    </xf>
    <xf numFmtId="164" fontId="153" fillId="0" borderId="65" xfId="2" applyNumberFormat="1" applyFont="1" applyBorder="1" applyAlignment="1">
      <alignment horizontal="right" vertical="center" wrapText="1"/>
    </xf>
    <xf numFmtId="0" fontId="150" fillId="0" borderId="71" xfId="1" applyFont="1" applyBorder="1" applyAlignment="1">
      <alignment horizontal="center" vertical="center"/>
    </xf>
    <xf numFmtId="0" fontId="153" fillId="0" borderId="11" xfId="5" applyFont="1" applyFill="1" applyBorder="1" applyAlignment="1">
      <alignment horizontal="center" vertical="center" wrapText="1"/>
    </xf>
    <xf numFmtId="0" fontId="153" fillId="0" borderId="12" xfId="4" applyFont="1" applyBorder="1" applyAlignment="1">
      <alignment horizontal="center" vertical="center" wrapText="1"/>
    </xf>
    <xf numFmtId="0" fontId="151" fillId="0" borderId="12" xfId="1" applyFont="1" applyBorder="1" applyAlignment="1">
      <alignment horizontal="center" vertical="center"/>
    </xf>
    <xf numFmtId="0" fontId="151" fillId="0" borderId="11" xfId="1" applyFont="1" applyBorder="1" applyAlignment="1">
      <alignment horizontal="center" vertical="center"/>
    </xf>
    <xf numFmtId="2" fontId="151" fillId="0" borderId="11" xfId="1" applyNumberFormat="1" applyFont="1" applyBorder="1" applyAlignment="1">
      <alignment horizontal="right" vertical="center"/>
    </xf>
    <xf numFmtId="0" fontId="151" fillId="0" borderId="11" xfId="1" applyFont="1" applyBorder="1" applyAlignment="1">
      <alignment horizontal="right" vertical="center"/>
    </xf>
    <xf numFmtId="0" fontId="151" fillId="0" borderId="11" xfId="1" applyFont="1" applyFill="1" applyBorder="1" applyAlignment="1">
      <alignment horizontal="right" vertical="center"/>
    </xf>
    <xf numFmtId="0" fontId="151" fillId="0" borderId="74" xfId="1" applyFont="1" applyFill="1" applyBorder="1" applyAlignment="1">
      <alignment horizontal="right" vertical="center"/>
    </xf>
    <xf numFmtId="164" fontId="151" fillId="0" borderId="12" xfId="2" applyNumberFormat="1" applyFont="1" applyBorder="1" applyAlignment="1">
      <alignment horizontal="right" vertical="center"/>
    </xf>
    <xf numFmtId="0" fontId="153" fillId="0" borderId="71" xfId="5" applyFont="1" applyFill="1" applyBorder="1" applyAlignment="1">
      <alignment horizontal="center" vertical="center" wrapText="1"/>
    </xf>
    <xf numFmtId="0" fontId="153" fillId="0" borderId="28" xfId="4" applyFont="1" applyBorder="1" applyAlignment="1">
      <alignment horizontal="center" vertical="center" wrapText="1"/>
    </xf>
    <xf numFmtId="0" fontId="153" fillId="0" borderId="70" xfId="4" applyFont="1" applyBorder="1" applyAlignment="1">
      <alignment horizontal="center" vertical="center" wrapText="1"/>
    </xf>
    <xf numFmtId="0" fontId="151" fillId="0" borderId="70" xfId="1" applyFont="1" applyBorder="1" applyAlignment="1">
      <alignment horizontal="center" vertical="center"/>
    </xf>
    <xf numFmtId="0" fontId="151" fillId="0" borderId="70" xfId="1" applyFont="1" applyBorder="1" applyAlignment="1">
      <alignment vertical="center"/>
    </xf>
    <xf numFmtId="0" fontId="151" fillId="0" borderId="71" xfId="1" applyFont="1" applyBorder="1" applyAlignment="1">
      <alignment horizontal="center" vertical="center"/>
    </xf>
    <xf numFmtId="2" fontId="151" fillId="0" borderId="71" xfId="1" applyNumberFormat="1" applyFont="1" applyBorder="1" applyAlignment="1">
      <alignment horizontal="right" vertical="center"/>
    </xf>
    <xf numFmtId="0" fontId="151" fillId="0" borderId="71" xfId="1" applyFont="1" applyBorder="1" applyAlignment="1">
      <alignment horizontal="right" vertical="center"/>
    </xf>
    <xf numFmtId="0" fontId="151" fillId="0" borderId="71" xfId="1" applyFont="1" applyFill="1" applyBorder="1" applyAlignment="1">
      <alignment horizontal="right" vertical="center"/>
    </xf>
    <xf numFmtId="0" fontId="151" fillId="0" borderId="64" xfId="1" applyFont="1" applyFill="1" applyBorder="1" applyAlignment="1">
      <alignment horizontal="right" vertical="center"/>
    </xf>
    <xf numFmtId="164" fontId="151" fillId="0" borderId="70" xfId="2" applyNumberFormat="1" applyFont="1" applyBorder="1" applyAlignment="1">
      <alignment horizontal="right" vertical="center"/>
    </xf>
    <xf numFmtId="0" fontId="150" fillId="0" borderId="68" xfId="1" applyFont="1" applyBorder="1" applyAlignment="1">
      <alignment horizontal="center" vertical="center"/>
    </xf>
    <xf numFmtId="0" fontId="151" fillId="0" borderId="9" xfId="1" applyFont="1" applyBorder="1" applyAlignment="1">
      <alignment horizontal="center" vertical="center"/>
    </xf>
    <xf numFmtId="0" fontId="151" fillId="0" borderId="9" xfId="1" applyFont="1" applyBorder="1" applyAlignment="1">
      <alignment vertical="center"/>
    </xf>
    <xf numFmtId="2" fontId="151" fillId="0" borderId="9" xfId="1" applyNumberFormat="1" applyFont="1" applyBorder="1" applyAlignment="1">
      <alignment horizontal="right" vertical="center"/>
    </xf>
    <xf numFmtId="164" fontId="151" fillId="0" borderId="9" xfId="2" applyNumberFormat="1" applyFont="1" applyBorder="1" applyAlignment="1">
      <alignment vertical="center"/>
    </xf>
    <xf numFmtId="164" fontId="151" fillId="0" borderId="9" xfId="2" applyNumberFormat="1" applyFont="1" applyFill="1" applyBorder="1" applyAlignment="1">
      <alignment horizontal="center" vertical="center"/>
    </xf>
    <xf numFmtId="0" fontId="151" fillId="0" borderId="68" xfId="5" applyFont="1" applyFill="1" applyBorder="1" applyAlignment="1">
      <alignment horizontal="center" vertical="center" wrapText="1"/>
    </xf>
    <xf numFmtId="0" fontId="151" fillId="0" borderId="68" xfId="1" applyFont="1" applyBorder="1" applyAlignment="1">
      <alignment horizontal="center" vertical="center"/>
    </xf>
    <xf numFmtId="0" fontId="151" fillId="0" borderId="68" xfId="1" applyFont="1" applyBorder="1" applyAlignment="1">
      <alignment vertical="center"/>
    </xf>
    <xf numFmtId="2" fontId="151" fillId="0" borderId="68" xfId="1" applyNumberFormat="1" applyFont="1" applyBorder="1" applyAlignment="1">
      <alignment horizontal="right" vertical="center"/>
    </xf>
    <xf numFmtId="164" fontId="151" fillId="0" borderId="68" xfId="2" applyNumberFormat="1" applyFont="1" applyBorder="1" applyAlignment="1">
      <alignment vertical="center"/>
    </xf>
    <xf numFmtId="0" fontId="151" fillId="0" borderId="64" xfId="1" applyFont="1" applyBorder="1" applyAlignment="1">
      <alignment horizontal="center" vertical="center" wrapText="1"/>
    </xf>
    <xf numFmtId="0" fontId="151" fillId="0" borderId="65" xfId="1" applyFont="1" applyBorder="1" applyAlignment="1">
      <alignment horizontal="center" vertical="center"/>
    </xf>
    <xf numFmtId="0" fontId="151" fillId="0" borderId="65" xfId="1" applyFont="1" applyBorder="1" applyAlignment="1">
      <alignment vertical="center"/>
    </xf>
    <xf numFmtId="0" fontId="151" fillId="0" borderId="64" xfId="1" applyFont="1" applyBorder="1" applyAlignment="1">
      <alignment horizontal="center" vertical="center"/>
    </xf>
    <xf numFmtId="0" fontId="151" fillId="0" borderId="64" xfId="1" applyFont="1" applyBorder="1" applyAlignment="1">
      <alignment vertical="center"/>
    </xf>
    <xf numFmtId="2" fontId="151" fillId="0" borderId="64" xfId="1" applyNumberFormat="1" applyFont="1" applyBorder="1" applyAlignment="1">
      <alignment horizontal="right" vertical="center"/>
    </xf>
    <xf numFmtId="164" fontId="151" fillId="0" borderId="64" xfId="2" applyNumberFormat="1" applyFont="1" applyBorder="1" applyAlignment="1">
      <alignment vertical="center"/>
    </xf>
    <xf numFmtId="164" fontId="151" fillId="0" borderId="64" xfId="2" applyNumberFormat="1" applyFont="1" applyFill="1" applyBorder="1" applyAlignment="1">
      <alignment horizontal="center" vertical="center"/>
    </xf>
    <xf numFmtId="0" fontId="151" fillId="0" borderId="9" xfId="1" applyFont="1" applyBorder="1" applyAlignment="1">
      <alignment horizontal="center" vertical="center" wrapText="1"/>
    </xf>
    <xf numFmtId="0" fontId="150" fillId="0" borderId="74" xfId="1" applyFont="1" applyBorder="1" applyAlignment="1">
      <alignment horizontal="center" vertical="center"/>
    </xf>
    <xf numFmtId="0" fontId="151" fillId="0" borderId="68" xfId="1" applyFont="1" applyBorder="1" applyAlignment="1">
      <alignment horizontal="center" vertical="center" wrapText="1"/>
    </xf>
    <xf numFmtId="164" fontId="151" fillId="0" borderId="68" xfId="2" applyNumberFormat="1" applyFont="1" applyFill="1" applyBorder="1" applyAlignment="1">
      <alignment horizontal="center" vertical="center"/>
    </xf>
    <xf numFmtId="0" fontId="153" fillId="0" borderId="32" xfId="4" applyFont="1" applyBorder="1" applyAlignment="1">
      <alignment horizontal="left" vertical="center" wrapText="1"/>
    </xf>
    <xf numFmtId="0" fontId="151" fillId="0" borderId="37" xfId="1" applyFont="1" applyBorder="1" applyAlignment="1">
      <alignment horizontal="center" vertical="center"/>
    </xf>
    <xf numFmtId="0" fontId="151" fillId="0" borderId="37" xfId="1" applyFont="1" applyBorder="1" applyAlignment="1">
      <alignment vertical="center"/>
    </xf>
    <xf numFmtId="0" fontId="153" fillId="0" borderId="9" xfId="3885" applyFont="1" applyBorder="1" applyAlignment="1">
      <alignment horizontal="left" vertical="center"/>
    </xf>
    <xf numFmtId="0" fontId="151" fillId="0" borderId="11" xfId="5" applyFont="1" applyFill="1" applyBorder="1" applyAlignment="1">
      <alignment horizontal="center" vertical="center" wrapText="1"/>
    </xf>
    <xf numFmtId="0" fontId="151" fillId="0" borderId="12" xfId="1" applyFont="1" applyBorder="1" applyAlignment="1">
      <alignment vertical="center"/>
    </xf>
    <xf numFmtId="0" fontId="153" fillId="0" borderId="34" xfId="4" applyFont="1" applyBorder="1" applyAlignment="1">
      <alignment horizontal="center" vertical="center" wrapText="1"/>
    </xf>
    <xf numFmtId="0" fontId="153" fillId="0" borderId="11" xfId="4" applyFont="1" applyBorder="1" applyAlignment="1">
      <alignment horizontal="center" vertical="center" wrapText="1"/>
    </xf>
    <xf numFmtId="0" fontId="153" fillId="0" borderId="9" xfId="3885" applyFont="1" applyBorder="1" applyAlignment="1">
      <alignment horizontal="center"/>
    </xf>
    <xf numFmtId="0" fontId="153" fillId="0" borderId="11" xfId="3885" applyFont="1" applyBorder="1" applyAlignment="1">
      <alignment horizontal="center"/>
    </xf>
    <xf numFmtId="0" fontId="153" fillId="0" borderId="11" xfId="3885" applyFont="1" applyBorder="1" applyAlignment="1">
      <alignment horizontal="left" vertical="center"/>
    </xf>
    <xf numFmtId="4" fontId="151" fillId="0" borderId="11" xfId="1" applyNumberFormat="1" applyFont="1" applyBorder="1" applyAlignment="1">
      <alignment horizontal="center" vertical="center"/>
    </xf>
    <xf numFmtId="164" fontId="151" fillId="0" borderId="11" xfId="2" applyNumberFormat="1" applyFont="1" applyBorder="1" applyAlignment="1">
      <alignment horizontal="center" vertical="center"/>
    </xf>
    <xf numFmtId="164" fontId="151" fillId="0" borderId="11" xfId="2" applyNumberFormat="1" applyFont="1" applyFill="1" applyBorder="1" applyAlignment="1">
      <alignment vertical="center"/>
    </xf>
    <xf numFmtId="4" fontId="151" fillId="0" borderId="9" xfId="1" applyNumberFormat="1" applyFont="1" applyBorder="1" applyAlignment="1">
      <alignment horizontal="center" vertical="center"/>
    </xf>
    <xf numFmtId="164" fontId="151" fillId="0" borderId="9" xfId="2" applyNumberFormat="1" applyFont="1" applyBorder="1" applyAlignment="1">
      <alignment horizontal="center" vertical="center"/>
    </xf>
    <xf numFmtId="164" fontId="151" fillId="0" borderId="9" xfId="2" applyNumberFormat="1" applyFont="1" applyFill="1" applyBorder="1" applyAlignment="1">
      <alignment vertical="center"/>
    </xf>
    <xf numFmtId="0" fontId="153" fillId="0" borderId="66" xfId="3885" applyFont="1" applyBorder="1" applyAlignment="1">
      <alignment horizontal="center"/>
    </xf>
    <xf numFmtId="0" fontId="153" fillId="0" borderId="66" xfId="3885" applyFont="1" applyBorder="1" applyAlignment="1">
      <alignment horizontal="left" vertical="center"/>
    </xf>
    <xf numFmtId="0" fontId="153" fillId="0" borderId="68" xfId="3885" applyFont="1" applyBorder="1" applyAlignment="1">
      <alignment horizontal="center"/>
    </xf>
    <xf numFmtId="0" fontId="153" fillId="0" borderId="68" xfId="3885" applyFont="1" applyBorder="1" applyAlignment="1">
      <alignment horizontal="left" vertical="center"/>
    </xf>
    <xf numFmtId="4" fontId="151" fillId="0" borderId="68" xfId="1" applyNumberFormat="1" applyFont="1" applyBorder="1" applyAlignment="1">
      <alignment horizontal="center" vertical="center"/>
    </xf>
    <xf numFmtId="164" fontId="151" fillId="0" borderId="68" xfId="2" applyNumberFormat="1" applyFont="1" applyBorder="1" applyAlignment="1">
      <alignment horizontal="center" vertical="center"/>
    </xf>
    <xf numFmtId="164" fontId="151" fillId="0" borderId="68" xfId="2" applyNumberFormat="1" applyFont="1" applyFill="1" applyBorder="1" applyAlignment="1">
      <alignment vertical="center"/>
    </xf>
    <xf numFmtId="0" fontId="151" fillId="0" borderId="66" xfId="5" applyFont="1" applyFill="1" applyBorder="1" applyAlignment="1">
      <alignment horizontal="center" vertical="center" wrapText="1"/>
    </xf>
    <xf numFmtId="0" fontId="151" fillId="0" borderId="66" xfId="1" applyFont="1" applyBorder="1" applyAlignment="1">
      <alignment horizontal="center" vertical="center"/>
    </xf>
    <xf numFmtId="4" fontId="151" fillId="0" borderId="66" xfId="1" applyNumberFormat="1" applyFont="1" applyBorder="1" applyAlignment="1">
      <alignment horizontal="center" vertical="center"/>
    </xf>
    <xf numFmtId="2" fontId="151" fillId="0" borderId="66" xfId="1" applyNumberFormat="1" applyFont="1" applyBorder="1" applyAlignment="1">
      <alignment horizontal="right" vertical="center"/>
    </xf>
    <xf numFmtId="0" fontId="153" fillId="0" borderId="66" xfId="4" applyFont="1" applyBorder="1" applyAlignment="1">
      <alignment horizontal="center" vertical="center" wrapText="1"/>
    </xf>
    <xf numFmtId="164" fontId="151" fillId="0" borderId="66" xfId="2" applyNumberFormat="1" applyFont="1" applyBorder="1" applyAlignment="1">
      <alignment horizontal="center" vertical="center"/>
    </xf>
    <xf numFmtId="164" fontId="151" fillId="0" borderId="66" xfId="2" applyNumberFormat="1" applyFont="1" applyFill="1" applyBorder="1" applyAlignment="1">
      <alignment vertical="center"/>
    </xf>
    <xf numFmtId="0" fontId="151" fillId="0" borderId="74" xfId="5" applyFont="1" applyFill="1" applyBorder="1" applyAlignment="1">
      <alignment horizontal="center" vertical="center" wrapText="1"/>
    </xf>
    <xf numFmtId="0" fontId="151" fillId="0" borderId="69" xfId="1" applyFont="1" applyBorder="1" applyAlignment="1">
      <alignment horizontal="center" vertical="center" wrapText="1"/>
    </xf>
    <xf numFmtId="0" fontId="151" fillId="0" borderId="69" xfId="1" applyFont="1" applyBorder="1" applyAlignment="1">
      <alignment horizontal="left" vertical="center" wrapText="1"/>
    </xf>
    <xf numFmtId="2" fontId="151" fillId="0" borderId="68" xfId="1" applyNumberFormat="1" applyFont="1" applyBorder="1" applyAlignment="1">
      <alignment horizontal="center" vertical="center"/>
    </xf>
    <xf numFmtId="164" fontId="151" fillId="0" borderId="69" xfId="2" applyNumberFormat="1" applyFont="1" applyBorder="1" applyAlignment="1">
      <alignment horizontal="center" vertical="center"/>
    </xf>
    <xf numFmtId="0" fontId="151" fillId="0" borderId="69" xfId="1" applyFont="1" applyBorder="1" applyAlignment="1">
      <alignment horizontal="center" vertical="center"/>
    </xf>
    <xf numFmtId="0" fontId="153" fillId="0" borderId="71" xfId="4" applyFont="1" applyBorder="1" applyAlignment="1">
      <alignment horizontal="center" vertical="center" wrapText="1"/>
    </xf>
    <xf numFmtId="0" fontId="151" fillId="0" borderId="68" xfId="3758" applyFont="1" applyFill="1" applyBorder="1" applyAlignment="1">
      <alignment horizontal="center"/>
    </xf>
    <xf numFmtId="1" fontId="151" fillId="0" borderId="68" xfId="3758" applyNumberFormat="1" applyFont="1" applyFill="1" applyBorder="1" applyAlignment="1">
      <alignment horizontal="left"/>
    </xf>
    <xf numFmtId="0" fontId="150" fillId="0" borderId="68" xfId="1" applyFont="1" applyBorder="1" applyAlignment="1">
      <alignment horizontal="center" vertical="center" wrapText="1"/>
    </xf>
    <xf numFmtId="0" fontId="151" fillId="0" borderId="36" xfId="5" applyFont="1" applyFill="1" applyBorder="1" applyAlignment="1">
      <alignment horizontal="center" vertical="center" wrapText="1"/>
    </xf>
    <xf numFmtId="0" fontId="151" fillId="0" borderId="36" xfId="1" applyFont="1" applyBorder="1" applyAlignment="1">
      <alignment horizontal="center" vertical="center"/>
    </xf>
    <xf numFmtId="0" fontId="151" fillId="0" borderId="68" xfId="3758" applyFont="1" applyFill="1" applyBorder="1" applyAlignment="1">
      <alignment horizontal="center" vertical="center"/>
    </xf>
    <xf numFmtId="4" fontId="151" fillId="0" borderId="36" xfId="1" applyNumberFormat="1" applyFont="1" applyBorder="1" applyAlignment="1">
      <alignment horizontal="center" vertical="center"/>
    </xf>
    <xf numFmtId="2" fontId="151" fillId="0" borderId="36" xfId="1" applyNumberFormat="1" applyFont="1" applyBorder="1" applyAlignment="1">
      <alignment horizontal="center" vertical="center"/>
    </xf>
    <xf numFmtId="164" fontId="151" fillId="0" borderId="37" xfId="2" applyNumberFormat="1" applyFont="1" applyBorder="1" applyAlignment="1">
      <alignment horizontal="center" vertical="center"/>
    </xf>
    <xf numFmtId="0" fontId="150" fillId="0" borderId="64" xfId="1" applyFont="1" applyBorder="1" applyAlignment="1">
      <alignment horizontal="center" vertical="center" wrapText="1"/>
    </xf>
    <xf numFmtId="0" fontId="5" fillId="36" borderId="68" xfId="1" applyFont="1" applyFill="1" applyBorder="1" applyAlignment="1">
      <alignment horizontal="center" vertical="center"/>
    </xf>
    <xf numFmtId="0" fontId="152" fillId="36" borderId="9" xfId="1" applyFont="1" applyFill="1" applyBorder="1" applyAlignment="1">
      <alignment horizontal="center" vertical="center"/>
    </xf>
    <xf numFmtId="0" fontId="152" fillId="36" borderId="10" xfId="1" applyFont="1" applyFill="1" applyBorder="1" applyAlignment="1">
      <alignment horizontal="center" vertical="center"/>
    </xf>
    <xf numFmtId="0" fontId="152" fillId="36" borderId="10" xfId="1" applyFont="1" applyFill="1" applyBorder="1" applyAlignment="1">
      <alignment vertical="center"/>
    </xf>
    <xf numFmtId="0" fontId="152" fillId="36" borderId="10" xfId="1" applyFont="1" applyFill="1" applyBorder="1" applyAlignment="1">
      <alignment horizontal="right" vertical="center"/>
    </xf>
    <xf numFmtId="164" fontId="152" fillId="36" borderId="9" xfId="2" applyNumberFormat="1" applyFont="1" applyFill="1" applyBorder="1" applyAlignment="1">
      <alignment horizontal="right" vertical="center"/>
    </xf>
    <xf numFmtId="1" fontId="151" fillId="0" borderId="68" xfId="3758" applyNumberFormat="1" applyFont="1" applyFill="1" applyBorder="1" applyAlignment="1">
      <alignment horizontal="left" wrapText="1"/>
    </xf>
    <xf numFmtId="0" fontId="155" fillId="0" borderId="0" xfId="3892" applyFont="1"/>
    <xf numFmtId="0" fontId="156" fillId="0" borderId="0" xfId="0" applyFont="1" applyAlignment="1">
      <alignment horizontal="center"/>
    </xf>
    <xf numFmtId="0" fontId="156" fillId="0" borderId="0" xfId="0" applyFont="1"/>
    <xf numFmtId="37" fontId="155" fillId="0" borderId="0" xfId="3892" applyNumberFormat="1" applyFont="1"/>
    <xf numFmtId="0" fontId="156" fillId="0" borderId="0" xfId="0" applyFont="1" applyAlignment="1"/>
    <xf numFmtId="0" fontId="156" fillId="0" borderId="0" xfId="5962" applyFont="1"/>
    <xf numFmtId="0" fontId="0" fillId="0" borderId="0" xfId="1" applyFont="1" applyAlignment="1">
      <alignment horizontal="center" vertical="center"/>
    </xf>
    <xf numFmtId="0" fontId="153" fillId="0" borderId="64" xfId="4" applyFont="1" applyBorder="1" applyAlignment="1">
      <alignment horizontal="center" vertical="center" wrapText="1"/>
    </xf>
    <xf numFmtId="0" fontId="151" fillId="0" borderId="11" xfId="5" applyFont="1" applyFill="1" applyBorder="1" applyAlignment="1">
      <alignment horizontal="center" vertical="center" wrapText="1"/>
    </xf>
    <xf numFmtId="164" fontId="151" fillId="0" borderId="9" xfId="2" applyNumberFormat="1" applyFont="1" applyFill="1" applyBorder="1" applyAlignment="1">
      <alignment horizontal="center" vertical="center"/>
    </xf>
    <xf numFmtId="0" fontId="151" fillId="0" borderId="9" xfId="1" applyFont="1" applyBorder="1" applyAlignment="1">
      <alignment horizontal="center" vertical="center"/>
    </xf>
    <xf numFmtId="0" fontId="150" fillId="0" borderId="71" xfId="1" applyFont="1" applyBorder="1" applyAlignment="1">
      <alignment horizontal="center" vertical="center"/>
    </xf>
    <xf numFmtId="0" fontId="6" fillId="0" borderId="64" xfId="1" applyFont="1" applyBorder="1" applyAlignment="1">
      <alignment horizontal="left" vertical="center" wrapText="1"/>
    </xf>
    <xf numFmtId="164" fontId="6" fillId="0" borderId="64" xfId="2" applyNumberFormat="1" applyFont="1" applyBorder="1" applyAlignment="1">
      <alignment horizontal="center" vertical="center"/>
    </xf>
    <xf numFmtId="0" fontId="151" fillId="0" borderId="9" xfId="5" applyFont="1" applyFill="1" applyBorder="1" applyAlignment="1">
      <alignment horizontal="center" vertical="center" wrapText="1"/>
    </xf>
    <xf numFmtId="4" fontId="151" fillId="0" borderId="68" xfId="1" applyNumberFormat="1" applyFont="1" applyBorder="1" applyAlignment="1">
      <alignment horizontal="center" vertical="center"/>
    </xf>
    <xf numFmtId="2" fontId="151" fillId="0" borderId="68" xfId="1" applyNumberFormat="1" applyFont="1" applyBorder="1" applyAlignment="1">
      <alignment horizontal="center" vertical="center"/>
    </xf>
    <xf numFmtId="0" fontId="153" fillId="0" borderId="68" xfId="4" applyFont="1" applyBorder="1" applyAlignment="1">
      <alignment horizontal="center" vertical="center" wrapText="1"/>
    </xf>
    <xf numFmtId="0" fontId="150" fillId="0" borderId="68" xfId="1" applyFont="1" applyBorder="1" applyAlignment="1">
      <alignment horizontal="center" vertical="center"/>
    </xf>
    <xf numFmtId="2" fontId="151" fillId="0" borderId="74" xfId="1" applyNumberFormat="1" applyFont="1" applyBorder="1" applyAlignment="1">
      <alignment horizontal="right" vertical="center"/>
    </xf>
    <xf numFmtId="0" fontId="153" fillId="0" borderId="74" xfId="4" applyFont="1" applyBorder="1" applyAlignment="1">
      <alignment horizontal="left" vertical="center" wrapText="1"/>
    </xf>
    <xf numFmtId="0" fontId="153" fillId="0" borderId="71" xfId="3885" applyFont="1" applyBorder="1" applyAlignment="1">
      <alignment horizontal="left" vertical="center"/>
    </xf>
    <xf numFmtId="1" fontId="151" fillId="0" borderId="74" xfId="3758" applyNumberFormat="1" applyFont="1" applyFill="1" applyBorder="1" applyAlignment="1">
      <alignment horizontal="left" wrapText="1"/>
    </xf>
    <xf numFmtId="0" fontId="152" fillId="36" borderId="69" xfId="1" applyFont="1" applyFill="1" applyBorder="1" applyAlignment="1">
      <alignment vertical="center"/>
    </xf>
    <xf numFmtId="0" fontId="152" fillId="33" borderId="21" xfId="1" applyFont="1" applyFill="1" applyBorder="1" applyAlignment="1">
      <alignment horizontal="center" vertical="center"/>
    </xf>
    <xf numFmtId="205" fontId="152" fillId="104" borderId="68" xfId="2718" applyNumberFormat="1" applyFont="1" applyFill="1" applyBorder="1" applyAlignment="1">
      <alignment horizontal="center" vertical="center" wrapText="1"/>
    </xf>
    <xf numFmtId="0" fontId="153" fillId="0" borderId="69" xfId="4" applyFont="1" applyBorder="1" applyAlignment="1">
      <alignment horizontal="center" vertical="center" wrapText="1"/>
    </xf>
    <xf numFmtId="0" fontId="151" fillId="0" borderId="69" xfId="1" applyFont="1" applyBorder="1" applyAlignment="1">
      <alignment vertical="center"/>
    </xf>
    <xf numFmtId="0" fontId="152" fillId="33" borderId="21" xfId="1" applyFont="1" applyFill="1" applyBorder="1" applyAlignment="1">
      <alignment horizontal="right" vertical="center"/>
    </xf>
    <xf numFmtId="41" fontId="153" fillId="0" borderId="32" xfId="4" applyNumberFormat="1" applyFont="1" applyBorder="1" applyAlignment="1">
      <alignment horizontal="center" vertical="center" wrapText="1"/>
    </xf>
    <xf numFmtId="41" fontId="151" fillId="0" borderId="68" xfId="1" applyNumberFormat="1" applyFont="1" applyBorder="1" applyAlignment="1">
      <alignment vertical="center"/>
    </xf>
    <xf numFmtId="164" fontId="151" fillId="0" borderId="68" xfId="1" applyNumberFormat="1" applyFont="1" applyBorder="1" applyAlignment="1">
      <alignment vertical="center"/>
    </xf>
    <xf numFmtId="41" fontId="153" fillId="0" borderId="69" xfId="4" applyNumberFormat="1" applyFont="1" applyBorder="1" applyAlignment="1">
      <alignment horizontal="center" vertical="center" wrapText="1"/>
    </xf>
    <xf numFmtId="0" fontId="151" fillId="37" borderId="21" xfId="1" applyFont="1" applyFill="1" applyBorder="1" applyAlignment="1">
      <alignment horizontal="center" vertical="center" wrapText="1"/>
    </xf>
    <xf numFmtId="41" fontId="153" fillId="0" borderId="64" xfId="4" applyNumberFormat="1" applyFont="1" applyBorder="1" applyAlignment="1">
      <alignment horizontal="center" vertical="center" wrapText="1"/>
    </xf>
    <xf numFmtId="41" fontId="151" fillId="0" borderId="70" xfId="1" applyNumberFormat="1" applyFont="1" applyBorder="1" applyAlignment="1">
      <alignment vertical="center"/>
    </xf>
    <xf numFmtId="37" fontId="151" fillId="0" borderId="70" xfId="1" applyNumberFormat="1" applyFont="1" applyBorder="1" applyAlignment="1">
      <alignment vertical="center"/>
    </xf>
    <xf numFmtId="41" fontId="153" fillId="0" borderId="68" xfId="3885" applyNumberFormat="1" applyFont="1" applyBorder="1" applyAlignment="1">
      <alignment horizontal="left" vertical="center"/>
    </xf>
    <xf numFmtId="41" fontId="151" fillId="0" borderId="65" xfId="1" applyNumberFormat="1" applyFont="1" applyBorder="1" applyAlignment="1">
      <alignment vertical="center"/>
    </xf>
    <xf numFmtId="41" fontId="153" fillId="0" borderId="74" xfId="4" applyNumberFormat="1" applyFont="1" applyBorder="1" applyAlignment="1">
      <alignment horizontal="left" vertical="center" wrapText="1"/>
    </xf>
    <xf numFmtId="41" fontId="151" fillId="0" borderId="69" xfId="1" applyNumberFormat="1" applyFont="1" applyBorder="1" applyAlignment="1">
      <alignment vertical="center"/>
    </xf>
    <xf numFmtId="41" fontId="153" fillId="0" borderId="71" xfId="3885" applyNumberFormat="1" applyFont="1" applyBorder="1" applyAlignment="1">
      <alignment horizontal="left" vertical="center"/>
    </xf>
    <xf numFmtId="41" fontId="151" fillId="0" borderId="9" xfId="1" applyNumberFormat="1" applyFont="1" applyBorder="1" applyAlignment="1">
      <alignment horizontal="center" vertical="center"/>
    </xf>
    <xf numFmtId="205" fontId="152" fillId="106" borderId="68" xfId="2718" applyNumberFormat="1" applyFont="1" applyFill="1" applyBorder="1" applyAlignment="1">
      <alignment horizontal="center" vertical="center" wrapText="1"/>
    </xf>
    <xf numFmtId="205" fontId="152" fillId="105" borderId="68" xfId="2718" applyNumberFormat="1" applyFont="1" applyFill="1" applyBorder="1" applyAlignment="1">
      <alignment horizontal="center" vertical="center" wrapText="1"/>
    </xf>
    <xf numFmtId="205" fontId="152" fillId="105" borderId="68" xfId="2718" applyNumberFormat="1" applyFont="1" applyFill="1" applyBorder="1" applyAlignment="1">
      <alignment horizontal="center" vertical="center"/>
    </xf>
    <xf numFmtId="0" fontId="152" fillId="33" borderId="69" xfId="1" applyFont="1" applyFill="1" applyBorder="1" applyAlignment="1">
      <alignment horizontal="center" vertical="center"/>
    </xf>
    <xf numFmtId="0" fontId="152" fillId="33" borderId="14" xfId="1" applyFont="1" applyFill="1" applyBorder="1" applyAlignment="1">
      <alignment horizontal="center" vertical="center"/>
    </xf>
    <xf numFmtId="0" fontId="152" fillId="33" borderId="67" xfId="1" applyFont="1" applyFill="1" applyBorder="1" applyAlignment="1">
      <alignment horizontal="center" vertical="center"/>
    </xf>
    <xf numFmtId="0" fontId="154" fillId="0" borderId="0" xfId="0" applyFont="1" applyAlignment="1">
      <alignment horizontal="center"/>
    </xf>
    <xf numFmtId="0" fontId="157" fillId="0" borderId="0" xfId="0" applyFont="1" applyAlignment="1">
      <alignment horizontal="center"/>
    </xf>
    <xf numFmtId="0" fontId="150" fillId="0" borderId="71" xfId="1" applyFont="1" applyBorder="1" applyAlignment="1">
      <alignment horizontal="center" vertical="center"/>
    </xf>
    <xf numFmtId="0" fontId="150" fillId="0" borderId="64" xfId="1" applyFont="1" applyBorder="1" applyAlignment="1">
      <alignment horizontal="center" vertical="center"/>
    </xf>
    <xf numFmtId="0" fontId="150" fillId="0" borderId="36" xfId="1" applyFont="1" applyBorder="1" applyAlignment="1">
      <alignment horizontal="center" vertical="center"/>
    </xf>
    <xf numFmtId="2" fontId="151" fillId="0" borderId="11" xfId="1" applyNumberFormat="1" applyFont="1" applyBorder="1" applyAlignment="1">
      <alignment horizontal="right" vertical="center"/>
    </xf>
    <xf numFmtId="2" fontId="151" fillId="0" borderId="64" xfId="1" applyNumberFormat="1" applyFont="1" applyBorder="1" applyAlignment="1">
      <alignment horizontal="right" vertical="center"/>
    </xf>
    <xf numFmtId="2" fontId="151" fillId="0" borderId="36" xfId="1" applyNumberFormat="1" applyFont="1" applyBorder="1" applyAlignment="1">
      <alignment horizontal="right" vertical="center"/>
    </xf>
    <xf numFmtId="0" fontId="151" fillId="0" borderId="11" xfId="1" applyFont="1" applyBorder="1" applyAlignment="1">
      <alignment horizontal="center" vertical="center"/>
    </xf>
    <xf numFmtId="0" fontId="151" fillId="0" borderId="64" xfId="1" applyFont="1" applyBorder="1" applyAlignment="1">
      <alignment horizontal="center" vertical="center"/>
    </xf>
    <xf numFmtId="0" fontId="151" fillId="0" borderId="36" xfId="1" applyFont="1" applyBorder="1" applyAlignment="1">
      <alignment horizontal="center" vertical="center"/>
    </xf>
    <xf numFmtId="0" fontId="150" fillId="0" borderId="68" xfId="1" applyFont="1" applyBorder="1" applyAlignment="1">
      <alignment horizontal="center" vertical="center"/>
    </xf>
    <xf numFmtId="4" fontId="151" fillId="0" borderId="9" xfId="1" applyNumberFormat="1" applyFont="1" applyBorder="1" applyAlignment="1">
      <alignment horizontal="center" vertical="center"/>
    </xf>
    <xf numFmtId="4" fontId="151" fillId="0" borderId="66" xfId="1" applyNumberFormat="1" applyFont="1" applyBorder="1" applyAlignment="1">
      <alignment horizontal="center" vertical="center"/>
    </xf>
    <xf numFmtId="2" fontId="151" fillId="0" borderId="71" xfId="1" applyNumberFormat="1" applyFont="1" applyBorder="1" applyAlignment="1">
      <alignment horizontal="right" vertical="center"/>
    </xf>
    <xf numFmtId="2" fontId="151" fillId="0" borderId="74" xfId="1" applyNumberFormat="1" applyFont="1" applyBorder="1" applyAlignment="1">
      <alignment horizontal="right" vertical="center"/>
    </xf>
    <xf numFmtId="0" fontId="151" fillId="0" borderId="68" xfId="1" applyFont="1" applyBorder="1" applyAlignment="1">
      <alignment horizontal="center" vertical="center"/>
    </xf>
    <xf numFmtId="164" fontId="151" fillId="0" borderId="68" xfId="2" applyNumberFormat="1" applyFont="1" applyBorder="1" applyAlignment="1">
      <alignment horizontal="center" vertical="center"/>
    </xf>
    <xf numFmtId="0" fontId="151" fillId="0" borderId="66" xfId="1" applyFont="1" applyBorder="1" applyAlignment="1">
      <alignment horizontal="center" vertical="center"/>
    </xf>
    <xf numFmtId="0" fontId="149" fillId="0" borderId="0" xfId="1" applyFont="1" applyFill="1" applyAlignment="1">
      <alignment horizontal="center" vertical="center"/>
    </xf>
    <xf numFmtId="0" fontId="150" fillId="33" borderId="71" xfId="1" applyFont="1" applyFill="1" applyBorder="1" applyAlignment="1">
      <alignment horizontal="center" vertical="center"/>
    </xf>
    <xf numFmtId="0" fontId="150" fillId="33" borderId="72" xfId="1" applyFont="1" applyFill="1" applyBorder="1" applyAlignment="1">
      <alignment horizontal="center" vertical="center"/>
    </xf>
    <xf numFmtId="0" fontId="151" fillId="33" borderId="11" xfId="1" applyFont="1" applyFill="1" applyBorder="1" applyAlignment="1">
      <alignment horizontal="center" vertical="center"/>
    </xf>
    <xf numFmtId="0" fontId="151" fillId="33" borderId="20" xfId="1" applyFont="1" applyFill="1" applyBorder="1" applyAlignment="1">
      <alignment horizontal="center" vertical="center"/>
    </xf>
    <xf numFmtId="164" fontId="151" fillId="0" borderId="68" xfId="2" applyNumberFormat="1" applyFont="1" applyFill="1" applyBorder="1" applyAlignment="1">
      <alignment horizontal="center" vertical="center"/>
    </xf>
    <xf numFmtId="164" fontId="151" fillId="0" borderId="11" xfId="2" applyNumberFormat="1" applyFont="1" applyBorder="1" applyAlignment="1">
      <alignment horizontal="center" vertical="center"/>
    </xf>
    <xf numFmtId="164" fontId="151" fillId="0" borderId="64" xfId="2" applyNumberFormat="1" applyFont="1" applyBorder="1" applyAlignment="1">
      <alignment horizontal="center" vertical="center"/>
    </xf>
    <xf numFmtId="164" fontId="151" fillId="0" borderId="36" xfId="2" applyNumberFormat="1" applyFont="1" applyBorder="1" applyAlignment="1">
      <alignment horizontal="center" vertical="center"/>
    </xf>
    <xf numFmtId="164" fontId="151" fillId="0" borderId="11" xfId="2" applyNumberFormat="1" applyFont="1" applyFill="1" applyBorder="1" applyAlignment="1">
      <alignment horizontal="center" vertical="center"/>
    </xf>
    <xf numFmtId="164" fontId="151" fillId="0" borderId="64" xfId="2" applyNumberFormat="1" applyFont="1" applyFill="1" applyBorder="1" applyAlignment="1">
      <alignment horizontal="center" vertical="center"/>
    </xf>
    <xf numFmtId="164" fontId="151" fillId="0" borderId="36" xfId="2" applyNumberFormat="1" applyFont="1" applyFill="1" applyBorder="1" applyAlignment="1">
      <alignment horizontal="center" vertical="center"/>
    </xf>
    <xf numFmtId="0" fontId="153" fillId="0" borderId="11" xfId="4" applyFont="1" applyBorder="1" applyAlignment="1">
      <alignment horizontal="center" vertical="center" wrapText="1"/>
    </xf>
    <xf numFmtId="0" fontId="153" fillId="0" borderId="64" xfId="4" applyFont="1" applyBorder="1" applyAlignment="1">
      <alignment horizontal="center" vertical="center" wrapText="1"/>
    </xf>
    <xf numFmtId="0" fontId="153" fillId="0" borderId="36" xfId="4" applyFont="1" applyBorder="1" applyAlignment="1">
      <alignment horizontal="center" vertical="center" wrapText="1"/>
    </xf>
    <xf numFmtId="164" fontId="151" fillId="0" borderId="9" xfId="2" applyNumberFormat="1" applyFont="1" applyFill="1" applyBorder="1" applyAlignment="1">
      <alignment horizontal="center" vertical="center"/>
    </xf>
    <xf numFmtId="164" fontId="151" fillId="0" borderId="66" xfId="2" applyNumberFormat="1" applyFont="1" applyFill="1" applyBorder="1" applyAlignment="1">
      <alignment horizontal="center" vertical="center"/>
    </xf>
    <xf numFmtId="0" fontId="151" fillId="0" borderId="9" xfId="1" applyFont="1" applyBorder="1" applyAlignment="1">
      <alignment horizontal="center" vertical="center"/>
    </xf>
    <xf numFmtId="0" fontId="151" fillId="0" borderId="9" xfId="5" applyFont="1" applyFill="1" applyBorder="1" applyAlignment="1">
      <alignment horizontal="center" vertical="center" wrapText="1"/>
    </xf>
    <xf numFmtId="0" fontId="151" fillId="0" borderId="66" xfId="5" applyFont="1" applyFill="1" applyBorder="1" applyAlignment="1">
      <alignment horizontal="center" vertical="center" wrapText="1"/>
    </xf>
    <xf numFmtId="0" fontId="8" fillId="33" borderId="10" xfId="3" applyFont="1" applyFill="1" applyBorder="1" applyAlignment="1">
      <alignment horizontal="center" vertical="center" wrapText="1"/>
    </xf>
    <xf numFmtId="0" fontId="8" fillId="33" borderId="19" xfId="3" applyFont="1" applyFill="1" applyBorder="1" applyAlignment="1">
      <alignment horizontal="center" vertical="center" wrapText="1"/>
    </xf>
    <xf numFmtId="0" fontId="6" fillId="0" borderId="27" xfId="1" applyFont="1" applyBorder="1" applyAlignment="1">
      <alignment horizontal="center" vertical="center"/>
    </xf>
    <xf numFmtId="0" fontId="6" fillId="0" borderId="27" xfId="1" applyFont="1" applyBorder="1" applyAlignment="1">
      <alignment horizontal="left" vertical="center" wrapText="1"/>
    </xf>
    <xf numFmtId="164" fontId="6" fillId="0" borderId="27" xfId="2" applyNumberFormat="1" applyFont="1" applyBorder="1" applyAlignment="1">
      <alignment horizontal="center" vertical="center"/>
    </xf>
    <xf numFmtId="164" fontId="151" fillId="33" borderId="11" xfId="2" applyNumberFormat="1" applyFont="1" applyFill="1" applyBorder="1" applyAlignment="1">
      <alignment horizontal="center" vertical="center" wrapText="1"/>
    </xf>
    <xf numFmtId="164" fontId="151" fillId="33" borderId="20" xfId="2" applyNumberFormat="1" applyFont="1" applyFill="1" applyBorder="1" applyAlignment="1">
      <alignment horizontal="center" vertical="center" wrapText="1"/>
    </xf>
    <xf numFmtId="164" fontId="6" fillId="33" borderId="11" xfId="2" applyNumberFormat="1" applyFont="1" applyFill="1" applyBorder="1" applyAlignment="1">
      <alignment horizontal="right" vertical="center"/>
    </xf>
    <xf numFmtId="164" fontId="6" fillId="33" borderId="20" xfId="2" applyNumberFormat="1" applyFont="1" applyFill="1" applyBorder="1" applyAlignment="1">
      <alignment horizontal="right" vertical="center"/>
    </xf>
    <xf numFmtId="0" fontId="1" fillId="0" borderId="16" xfId="1" applyBorder="1" applyAlignment="1">
      <alignment vertical="center"/>
    </xf>
    <xf numFmtId="0" fontId="1" fillId="0" borderId="17" xfId="1" applyBorder="1" applyAlignment="1">
      <alignment vertical="center"/>
    </xf>
    <xf numFmtId="0" fontId="6" fillId="33" borderId="18" xfId="1" applyFont="1" applyFill="1" applyBorder="1" applyAlignment="1">
      <alignment horizontal="center" vertical="center" wrapText="1"/>
    </xf>
    <xf numFmtId="0" fontId="6" fillId="33" borderId="14" xfId="1" applyFont="1" applyFill="1" applyBorder="1" applyAlignment="1">
      <alignment horizontal="center" vertical="center" wrapText="1"/>
    </xf>
    <xf numFmtId="0" fontId="6" fillId="33" borderId="13" xfId="1" applyFont="1" applyFill="1" applyBorder="1" applyAlignment="1">
      <alignment horizontal="center" vertical="center" wrapText="1"/>
    </xf>
    <xf numFmtId="0" fontId="6" fillId="33" borderId="10" xfId="1" applyFont="1" applyFill="1" applyBorder="1" applyAlignment="1">
      <alignment horizontal="center" vertical="center" wrapText="1"/>
    </xf>
    <xf numFmtId="0" fontId="6" fillId="33" borderId="10" xfId="1" applyFont="1" applyFill="1" applyBorder="1" applyAlignment="1">
      <alignment horizontal="center" vertical="center"/>
    </xf>
    <xf numFmtId="0" fontId="6" fillId="33" borderId="14" xfId="1" applyFont="1" applyFill="1" applyBorder="1" applyAlignment="1">
      <alignment horizontal="center" vertical="center"/>
    </xf>
    <xf numFmtId="0" fontId="6" fillId="33" borderId="13" xfId="1" applyFont="1" applyFill="1" applyBorder="1" applyAlignment="1">
      <alignment horizontal="center" vertical="center"/>
    </xf>
    <xf numFmtId="0" fontId="8" fillId="33" borderId="10" xfId="3" applyFont="1" applyFill="1" applyBorder="1" applyAlignment="1">
      <alignment horizontal="center" vertical="center"/>
    </xf>
    <xf numFmtId="0" fontId="8" fillId="33" borderId="13" xfId="3" applyFont="1" applyFill="1" applyBorder="1" applyAlignment="1">
      <alignment horizontal="center" vertical="center"/>
    </xf>
    <xf numFmtId="164" fontId="6" fillId="0" borderId="65" xfId="2" applyNumberFormat="1" applyFont="1" applyBorder="1" applyAlignment="1">
      <alignment horizontal="center" vertical="center"/>
    </xf>
    <xf numFmtId="164" fontId="6" fillId="0" borderId="28" xfId="2" applyNumberFormat="1" applyFont="1" applyBorder="1" applyAlignment="1">
      <alignment horizontal="center" vertical="center"/>
    </xf>
    <xf numFmtId="0" fontId="6" fillId="35" borderId="27" xfId="1" applyFont="1" applyFill="1" applyBorder="1" applyAlignment="1">
      <alignment horizontal="center" vertical="center" wrapText="1"/>
    </xf>
    <xf numFmtId="0" fontId="6" fillId="35" borderId="64" xfId="1" applyFont="1" applyFill="1" applyBorder="1" applyAlignment="1">
      <alignment horizontal="center" vertical="center" wrapText="1"/>
    </xf>
    <xf numFmtId="0" fontId="6" fillId="0" borderId="64" xfId="1" applyFont="1" applyBorder="1" applyAlignment="1">
      <alignment horizontal="left" vertical="center" wrapText="1"/>
    </xf>
    <xf numFmtId="164" fontId="6" fillId="0" borderId="64" xfId="2" applyNumberFormat="1" applyFont="1" applyBorder="1" applyAlignment="1">
      <alignment horizontal="center" vertical="center"/>
    </xf>
    <xf numFmtId="0" fontId="151" fillId="0" borderId="64" xfId="5" applyFont="1" applyFill="1" applyBorder="1" applyAlignment="1">
      <alignment horizontal="center" vertical="center" wrapText="1"/>
    </xf>
    <xf numFmtId="0" fontId="151" fillId="0" borderId="36" xfId="5" applyFont="1" applyFill="1" applyBorder="1" applyAlignment="1">
      <alignment horizontal="center" vertical="center" wrapText="1"/>
    </xf>
    <xf numFmtId="0" fontId="150" fillId="0" borderId="68" xfId="1" applyFont="1" applyBorder="1" applyAlignment="1">
      <alignment horizontal="center" vertical="center" wrapText="1"/>
    </xf>
    <xf numFmtId="0" fontId="153" fillId="0" borderId="66" xfId="4" applyFont="1" applyBorder="1" applyAlignment="1">
      <alignment horizontal="center" vertical="center" wrapText="1"/>
    </xf>
    <xf numFmtId="0" fontId="151" fillId="0" borderId="68" xfId="5" applyFont="1" applyFill="1" applyBorder="1" applyAlignment="1">
      <alignment horizontal="center" vertical="center" wrapText="1"/>
    </xf>
    <xf numFmtId="164" fontId="151" fillId="0" borderId="9" xfId="2" applyNumberFormat="1" applyFont="1" applyBorder="1" applyAlignment="1">
      <alignment horizontal="center" vertical="center"/>
    </xf>
    <xf numFmtId="0" fontId="153" fillId="0" borderId="9" xfId="4" applyFont="1" applyBorder="1" applyAlignment="1">
      <alignment horizontal="center" vertical="center" wrapText="1"/>
    </xf>
    <xf numFmtId="164" fontId="15" fillId="0" borderId="27" xfId="2" applyNumberFormat="1" applyFont="1" applyBorder="1" applyAlignment="1">
      <alignment horizontal="center" vertical="center"/>
    </xf>
    <xf numFmtId="164" fontId="14" fillId="35" borderId="35" xfId="2" applyNumberFormat="1" applyFont="1" applyFill="1" applyBorder="1" applyAlignment="1">
      <alignment horizontal="center" vertical="center" wrapText="1"/>
    </xf>
    <xf numFmtId="0" fontId="151" fillId="0" borderId="71" xfId="1" applyFont="1" applyBorder="1" applyAlignment="1">
      <alignment horizontal="center" vertical="center" wrapText="1"/>
    </xf>
    <xf numFmtId="0" fontId="151" fillId="0" borderId="27" xfId="1" applyFont="1" applyBorder="1" applyAlignment="1">
      <alignment horizontal="center" vertical="center" wrapText="1"/>
    </xf>
    <xf numFmtId="0" fontId="151" fillId="0" borderId="74" xfId="1" applyFont="1" applyBorder="1" applyAlignment="1">
      <alignment horizontal="center" vertical="center" wrapText="1"/>
    </xf>
    <xf numFmtId="0" fontId="153" fillId="0" borderId="71" xfId="4" applyFont="1" applyBorder="1" applyAlignment="1">
      <alignment horizontal="center" vertical="center" wrapText="1"/>
    </xf>
    <xf numFmtId="0" fontId="153" fillId="0" borderId="27" xfId="4" applyFont="1" applyBorder="1" applyAlignment="1">
      <alignment horizontal="center" vertical="center" wrapText="1"/>
    </xf>
    <xf numFmtId="0" fontId="153" fillId="0" borderId="74" xfId="4" applyFont="1" applyBorder="1" applyAlignment="1">
      <alignment horizontal="center" vertical="center" wrapText="1"/>
    </xf>
    <xf numFmtId="0" fontId="151" fillId="0" borderId="71" xfId="1" applyFont="1" applyBorder="1" applyAlignment="1">
      <alignment horizontal="center" vertical="center"/>
    </xf>
    <xf numFmtId="0" fontId="151" fillId="0" borderId="27" xfId="1" applyFont="1" applyBorder="1" applyAlignment="1">
      <alignment horizontal="center" vertical="center"/>
    </xf>
    <xf numFmtId="0" fontId="151" fillId="0" borderId="74" xfId="1" applyFont="1" applyBorder="1" applyAlignment="1">
      <alignment horizontal="center" vertical="center"/>
    </xf>
    <xf numFmtId="0" fontId="153" fillId="0" borderId="20" xfId="4" applyFont="1" applyBorder="1" applyAlignment="1">
      <alignment horizontal="center" vertical="center" wrapText="1"/>
    </xf>
    <xf numFmtId="0" fontId="150" fillId="0" borderId="27" xfId="1" applyFont="1" applyBorder="1" applyAlignment="1">
      <alignment horizontal="center" vertical="center"/>
    </xf>
    <xf numFmtId="0" fontId="150" fillId="0" borderId="74" xfId="1" applyFont="1" applyBorder="1" applyAlignment="1">
      <alignment horizontal="center" vertical="center"/>
    </xf>
    <xf numFmtId="0" fontId="151" fillId="0" borderId="11" xfId="5" applyFont="1" applyFill="1" applyBorder="1" applyAlignment="1">
      <alignment horizontal="center" vertical="center" wrapText="1"/>
    </xf>
    <xf numFmtId="164" fontId="151" fillId="0" borderId="66" xfId="2" applyNumberFormat="1" applyFont="1" applyBorder="1" applyAlignment="1">
      <alignment horizontal="center" vertical="center"/>
    </xf>
    <xf numFmtId="0" fontId="150" fillId="0" borderId="75" xfId="1" applyFont="1" applyBorder="1" applyAlignment="1">
      <alignment horizontal="center" vertical="center"/>
    </xf>
    <xf numFmtId="0" fontId="151" fillId="0" borderId="75" xfId="5" applyFont="1" applyFill="1" applyBorder="1" applyAlignment="1">
      <alignment horizontal="center" vertical="center" wrapText="1"/>
    </xf>
    <xf numFmtId="0" fontId="151" fillId="0" borderId="75" xfId="1" applyFont="1" applyBorder="1" applyAlignment="1">
      <alignment horizontal="center" vertical="center"/>
    </xf>
    <xf numFmtId="0" fontId="153" fillId="0" borderId="75" xfId="3885" applyFont="1" applyBorder="1" applyAlignment="1">
      <alignment horizontal="center"/>
    </xf>
    <xf numFmtId="0" fontId="153" fillId="0" borderId="75" xfId="3885" applyFont="1" applyBorder="1" applyAlignment="1">
      <alignment horizontal="left" vertical="center"/>
    </xf>
    <xf numFmtId="41" fontId="153" fillId="0" borderId="75" xfId="3885" applyNumberFormat="1" applyFont="1" applyBorder="1" applyAlignment="1">
      <alignment horizontal="left" vertical="center"/>
    </xf>
    <xf numFmtId="4" fontId="151" fillId="0" borderId="75" xfId="1" applyNumberFormat="1" applyFont="1" applyBorder="1" applyAlignment="1">
      <alignment horizontal="center" vertical="center"/>
    </xf>
    <xf numFmtId="164" fontId="151" fillId="0" borderId="75" xfId="2" applyNumberFormat="1" applyFont="1" applyBorder="1" applyAlignment="1">
      <alignment horizontal="center" vertical="center"/>
    </xf>
    <xf numFmtId="0" fontId="153" fillId="0" borderId="75" xfId="3885" applyFont="1" applyBorder="1" applyAlignment="1">
      <alignment horizontal="center" vertical="center"/>
    </xf>
    <xf numFmtId="164" fontId="151" fillId="0" borderId="75" xfId="2" applyNumberFormat="1" applyFont="1" applyFill="1" applyBorder="1" applyAlignment="1">
      <alignment vertical="center"/>
    </xf>
    <xf numFmtId="0" fontId="6" fillId="35" borderId="0" xfId="1" applyFont="1" applyFill="1" applyAlignment="1">
      <alignment vertical="center"/>
    </xf>
    <xf numFmtId="0" fontId="6" fillId="35" borderId="64" xfId="1" applyFont="1" applyFill="1" applyBorder="1" applyAlignment="1">
      <alignment horizontal="center" vertical="center"/>
    </xf>
    <xf numFmtId="0" fontId="6" fillId="35" borderId="64" xfId="1" applyFont="1" applyFill="1" applyBorder="1" applyAlignment="1">
      <alignment vertical="center"/>
    </xf>
    <xf numFmtId="164" fontId="6" fillId="35" borderId="64" xfId="2" applyNumberFormat="1" applyFont="1" applyFill="1" applyBorder="1" applyAlignment="1">
      <alignment horizontal="center" vertical="center"/>
    </xf>
    <xf numFmtId="0" fontId="6" fillId="35" borderId="64" xfId="1" applyFont="1" applyFill="1" applyBorder="1" applyAlignment="1">
      <alignment horizontal="left" vertical="center" wrapText="1"/>
    </xf>
    <xf numFmtId="164" fontId="6" fillId="35" borderId="64" xfId="2" applyNumberFormat="1" applyFont="1" applyFill="1" applyBorder="1" applyAlignment="1">
      <alignment vertical="center"/>
    </xf>
    <xf numFmtId="164" fontId="6" fillId="35" borderId="0" xfId="2" applyNumberFormat="1" applyFont="1" applyFill="1" applyBorder="1" applyAlignment="1">
      <alignment vertical="center"/>
    </xf>
    <xf numFmtId="0" fontId="150" fillId="35" borderId="71" xfId="1" applyFont="1" applyFill="1" applyBorder="1" applyAlignment="1">
      <alignment horizontal="center" vertical="center"/>
    </xf>
    <xf numFmtId="0" fontId="153" fillId="35" borderId="68" xfId="3885" applyFont="1" applyFill="1" applyBorder="1" applyAlignment="1">
      <alignment horizontal="left" vertical="center"/>
    </xf>
    <xf numFmtId="164" fontId="6" fillId="35" borderId="13" xfId="2" applyNumberFormat="1" applyFont="1" applyFill="1" applyBorder="1" applyAlignment="1">
      <alignment horizontal="right" vertical="center"/>
    </xf>
    <xf numFmtId="0" fontId="6" fillId="35" borderId="35" xfId="1" applyFont="1" applyFill="1" applyBorder="1" applyAlignment="1">
      <alignment vertical="center"/>
    </xf>
    <xf numFmtId="164" fontId="6" fillId="35" borderId="0" xfId="1" applyNumberFormat="1" applyFont="1" applyFill="1" applyBorder="1" applyAlignment="1">
      <alignment vertical="center"/>
    </xf>
    <xf numFmtId="0" fontId="151" fillId="35" borderId="68" xfId="1" applyFont="1" applyFill="1" applyBorder="1" applyAlignment="1">
      <alignment vertical="center"/>
    </xf>
    <xf numFmtId="0" fontId="6" fillId="0" borderId="0" xfId="1" applyFont="1" applyFill="1" applyAlignment="1">
      <alignment vertical="center"/>
    </xf>
    <xf numFmtId="0" fontId="6" fillId="0" borderId="64" xfId="1" applyFont="1" applyFill="1" applyBorder="1" applyAlignment="1">
      <alignment horizontal="center" vertical="center"/>
    </xf>
    <xf numFmtId="0" fontId="6" fillId="0" borderId="64" xfId="1" applyFont="1" applyFill="1" applyBorder="1" applyAlignment="1">
      <alignment vertical="center"/>
    </xf>
    <xf numFmtId="164" fontId="6" fillId="0" borderId="64" xfId="2" applyNumberFormat="1" applyFont="1" applyFill="1" applyBorder="1" applyAlignment="1">
      <alignment horizontal="center" vertical="center"/>
    </xf>
    <xf numFmtId="0" fontId="6" fillId="0" borderId="64" xfId="1" applyFont="1" applyFill="1" applyBorder="1" applyAlignment="1">
      <alignment horizontal="left" vertical="center" wrapText="1"/>
    </xf>
    <xf numFmtId="164" fontId="6" fillId="0" borderId="64" xfId="2" applyNumberFormat="1" applyFont="1" applyFill="1" applyBorder="1" applyAlignment="1">
      <alignment vertical="center"/>
    </xf>
    <xf numFmtId="164" fontId="6" fillId="0" borderId="0" xfId="2" applyNumberFormat="1" applyFont="1" applyFill="1" applyBorder="1" applyAlignment="1">
      <alignment vertical="center"/>
    </xf>
    <xf numFmtId="0" fontId="150" fillId="0" borderId="71" xfId="1" applyFont="1" applyFill="1" applyBorder="1" applyAlignment="1">
      <alignment horizontal="center" vertical="center"/>
    </xf>
    <xf numFmtId="0" fontId="151" fillId="0" borderId="9" xfId="1" applyFont="1" applyFill="1" applyBorder="1" applyAlignment="1">
      <alignment horizontal="center" vertical="center"/>
    </xf>
    <xf numFmtId="0" fontId="153" fillId="0" borderId="9" xfId="3885" applyFont="1" applyFill="1" applyBorder="1" applyAlignment="1">
      <alignment horizontal="center"/>
    </xf>
    <xf numFmtId="0" fontId="153" fillId="0" borderId="9" xfId="3885" applyFont="1" applyFill="1" applyBorder="1" applyAlignment="1">
      <alignment horizontal="left" vertical="center"/>
    </xf>
    <xf numFmtId="0" fontId="153" fillId="0" borderId="68" xfId="3885" applyFont="1" applyFill="1" applyBorder="1" applyAlignment="1">
      <alignment horizontal="left" vertical="center"/>
    </xf>
    <xf numFmtId="4" fontId="151" fillId="0" borderId="9" xfId="1" applyNumberFormat="1" applyFont="1" applyFill="1" applyBorder="1" applyAlignment="1">
      <alignment horizontal="center" vertical="center"/>
    </xf>
    <xf numFmtId="2" fontId="151" fillId="0" borderId="9" xfId="1" applyNumberFormat="1" applyFont="1" applyFill="1" applyBorder="1" applyAlignment="1">
      <alignment horizontal="right" vertical="center"/>
    </xf>
    <xf numFmtId="0" fontId="153" fillId="0" borderId="9" xfId="4" applyFont="1" applyFill="1" applyBorder="1" applyAlignment="1">
      <alignment horizontal="center" vertical="center" wrapText="1"/>
    </xf>
    <xf numFmtId="0" fontId="6" fillId="0" borderId="35" xfId="1" applyFont="1" applyFill="1" applyBorder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151" fillId="0" borderId="68" xfId="1" applyFont="1" applyFill="1" applyBorder="1" applyAlignment="1">
      <alignment vertical="center"/>
    </xf>
    <xf numFmtId="0" fontId="150" fillId="0" borderId="75" xfId="1" applyFont="1" applyFill="1" applyBorder="1" applyAlignment="1">
      <alignment horizontal="center" vertical="center"/>
    </xf>
    <xf numFmtId="41" fontId="153" fillId="0" borderId="68" xfId="3885" applyNumberFormat="1" applyFont="1" applyFill="1" applyBorder="1" applyAlignment="1">
      <alignment horizontal="left" vertical="center"/>
    </xf>
    <xf numFmtId="41" fontId="151" fillId="0" borderId="68" xfId="1" applyNumberFormat="1" applyFont="1" applyFill="1" applyBorder="1" applyAlignment="1">
      <alignment vertical="center"/>
    </xf>
    <xf numFmtId="0" fontId="151" fillId="35" borderId="68" xfId="5" applyFont="1" applyFill="1" applyBorder="1" applyAlignment="1">
      <alignment horizontal="center" vertical="center" wrapText="1"/>
    </xf>
    <xf numFmtId="0" fontId="151" fillId="35" borderId="68" xfId="1" applyFont="1" applyFill="1" applyBorder="1" applyAlignment="1">
      <alignment horizontal="center" vertical="center"/>
    </xf>
    <xf numFmtId="0" fontId="153" fillId="35" borderId="68" xfId="3885" applyFont="1" applyFill="1" applyBorder="1" applyAlignment="1">
      <alignment horizontal="center"/>
    </xf>
    <xf numFmtId="4" fontId="151" fillId="35" borderId="68" xfId="1" applyNumberFormat="1" applyFont="1" applyFill="1" applyBorder="1" applyAlignment="1">
      <alignment horizontal="center" vertical="center"/>
    </xf>
    <xf numFmtId="2" fontId="151" fillId="35" borderId="68" xfId="1" applyNumberFormat="1" applyFont="1" applyFill="1" applyBorder="1" applyAlignment="1">
      <alignment horizontal="right" vertical="center"/>
    </xf>
    <xf numFmtId="0" fontId="153" fillId="35" borderId="68" xfId="4" applyFont="1" applyFill="1" applyBorder="1" applyAlignment="1">
      <alignment horizontal="center" vertical="center" wrapText="1"/>
    </xf>
    <xf numFmtId="164" fontId="151" fillId="35" borderId="68" xfId="2" applyNumberFormat="1" applyFont="1" applyFill="1" applyBorder="1" applyAlignment="1">
      <alignment horizontal="center" vertical="center"/>
    </xf>
    <xf numFmtId="164" fontId="151" fillId="35" borderId="68" xfId="2" applyNumberFormat="1" applyFont="1" applyFill="1" applyBorder="1" applyAlignment="1">
      <alignment vertical="center"/>
    </xf>
    <xf numFmtId="41" fontId="151" fillId="0" borderId="69" xfId="1" applyNumberFormat="1" applyFont="1" applyBorder="1" applyAlignment="1">
      <alignment horizontal="left" vertical="center" wrapText="1"/>
    </xf>
    <xf numFmtId="41" fontId="151" fillId="0" borderId="68" xfId="1" applyNumberFormat="1" applyFont="1" applyBorder="1" applyAlignment="1">
      <alignment horizontal="center" vertical="center" wrapText="1"/>
    </xf>
    <xf numFmtId="0" fontId="151" fillId="0" borderId="68" xfId="1" applyFont="1" applyBorder="1" applyAlignment="1">
      <alignment horizontal="right" vertical="center" wrapText="1"/>
    </xf>
    <xf numFmtId="37" fontId="151" fillId="0" borderId="68" xfId="1" applyNumberFormat="1" applyFont="1" applyBorder="1" applyAlignment="1">
      <alignment horizontal="right" vertical="center" wrapText="1"/>
    </xf>
    <xf numFmtId="1" fontId="151" fillId="0" borderId="68" xfId="3758" applyNumberFormat="1" applyFont="1" applyFill="1" applyBorder="1" applyAlignment="1">
      <alignment horizontal="right"/>
    </xf>
    <xf numFmtId="41" fontId="151" fillId="0" borderId="68" xfId="1" applyNumberFormat="1" applyFont="1" applyBorder="1" applyAlignment="1">
      <alignment horizontal="right" vertical="center" wrapText="1"/>
    </xf>
    <xf numFmtId="1" fontId="151" fillId="0" borderId="74" xfId="3758" applyNumberFormat="1" applyFont="1" applyFill="1" applyBorder="1" applyAlignment="1">
      <alignment horizontal="right" vertical="center" wrapText="1"/>
    </xf>
    <xf numFmtId="0" fontId="6" fillId="0" borderId="0" xfId="1" applyFont="1" applyFill="1" applyAlignment="1">
      <alignment horizontal="center" vertical="center" wrapText="1"/>
    </xf>
    <xf numFmtId="0" fontId="6" fillId="0" borderId="27" xfId="1" applyFont="1" applyFill="1" applyBorder="1" applyAlignment="1">
      <alignment horizontal="center" vertical="center" wrapText="1"/>
    </xf>
    <xf numFmtId="164" fontId="6" fillId="0" borderId="27" xfId="2" applyNumberFormat="1" applyFont="1" applyFill="1" applyBorder="1" applyAlignment="1">
      <alignment horizontal="center" vertical="center" wrapText="1"/>
    </xf>
    <xf numFmtId="164" fontId="6" fillId="0" borderId="28" xfId="2" applyNumberFormat="1" applyFont="1" applyFill="1" applyBorder="1" applyAlignment="1">
      <alignment horizontal="center" vertical="center" wrapText="1"/>
    </xf>
    <xf numFmtId="0" fontId="150" fillId="0" borderId="74" xfId="1" applyFont="1" applyFill="1" applyBorder="1" applyAlignment="1">
      <alignment horizontal="center" vertical="center"/>
    </xf>
    <xf numFmtId="0" fontId="151" fillId="0" borderId="37" xfId="1" applyFont="1" applyFill="1" applyBorder="1" applyAlignment="1">
      <alignment horizontal="center" vertical="center"/>
    </xf>
    <xf numFmtId="0" fontId="151" fillId="0" borderId="69" xfId="1" applyFont="1" applyFill="1" applyBorder="1" applyAlignment="1">
      <alignment horizontal="center" vertical="center" wrapText="1"/>
    </xf>
    <xf numFmtId="0" fontId="151" fillId="0" borderId="69" xfId="1" applyFont="1" applyFill="1" applyBorder="1" applyAlignment="1">
      <alignment horizontal="left" vertical="center" wrapText="1"/>
    </xf>
    <xf numFmtId="4" fontId="151" fillId="0" borderId="68" xfId="1" applyNumberFormat="1" applyFont="1" applyFill="1" applyBorder="1" applyAlignment="1">
      <alignment horizontal="center" vertical="center"/>
    </xf>
    <xf numFmtId="2" fontId="151" fillId="0" borderId="68" xfId="1" applyNumberFormat="1" applyFont="1" applyFill="1" applyBorder="1" applyAlignment="1">
      <alignment horizontal="center" vertical="center"/>
    </xf>
    <xf numFmtId="0" fontId="151" fillId="0" borderId="68" xfId="1" applyFont="1" applyFill="1" applyBorder="1" applyAlignment="1">
      <alignment horizontal="center" vertical="center"/>
    </xf>
    <xf numFmtId="0" fontId="153" fillId="0" borderId="68" xfId="4" applyFont="1" applyFill="1" applyBorder="1" applyAlignment="1">
      <alignment horizontal="center" vertical="center" wrapText="1"/>
    </xf>
    <xf numFmtId="164" fontId="151" fillId="0" borderId="69" xfId="2" applyNumberFormat="1" applyFont="1" applyFill="1" applyBorder="1" applyAlignment="1">
      <alignment horizontal="center" vertical="center"/>
    </xf>
    <xf numFmtId="0" fontId="6" fillId="0" borderId="35" xfId="1" applyFont="1" applyFill="1" applyBorder="1" applyAlignment="1">
      <alignment horizontal="center" vertical="center" wrapText="1"/>
    </xf>
    <xf numFmtId="164" fontId="6" fillId="0" borderId="0" xfId="2" applyNumberFormat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151" fillId="0" borderId="68" xfId="1" applyFont="1" applyFill="1" applyBorder="1" applyAlignment="1">
      <alignment horizontal="center" vertical="center" wrapText="1"/>
    </xf>
    <xf numFmtId="41" fontId="151" fillId="0" borderId="69" xfId="1" applyNumberFormat="1" applyFont="1" applyFill="1" applyBorder="1" applyAlignment="1">
      <alignment horizontal="left" vertical="center" wrapText="1"/>
    </xf>
    <xf numFmtId="41" fontId="151" fillId="0" borderId="68" xfId="1" applyNumberFormat="1" applyFont="1" applyFill="1" applyBorder="1" applyAlignment="1">
      <alignment horizontal="center" vertical="center" wrapText="1"/>
    </xf>
    <xf numFmtId="0" fontId="151" fillId="0" borderId="68" xfId="1" applyFont="1" applyFill="1" applyBorder="1" applyAlignment="1">
      <alignment horizontal="right" vertical="center" wrapText="1"/>
    </xf>
    <xf numFmtId="37" fontId="151" fillId="0" borderId="69" xfId="1" applyNumberFormat="1" applyFont="1" applyFill="1" applyBorder="1" applyAlignment="1">
      <alignment horizontal="right" vertical="center" wrapText="1"/>
    </xf>
    <xf numFmtId="0" fontId="6" fillId="0" borderId="64" xfId="1" applyFont="1" applyFill="1" applyBorder="1" applyAlignment="1">
      <alignment horizontal="center" vertical="center" wrapText="1"/>
    </xf>
    <xf numFmtId="164" fontId="6" fillId="0" borderId="64" xfId="2" applyNumberFormat="1" applyFont="1" applyFill="1" applyBorder="1" applyAlignment="1">
      <alignment horizontal="center" vertical="center" wrapText="1"/>
    </xf>
    <xf numFmtId="164" fontId="6" fillId="0" borderId="65" xfId="2" applyNumberFormat="1" applyFont="1" applyFill="1" applyBorder="1" applyAlignment="1">
      <alignment horizontal="center" vertical="center" wrapText="1"/>
    </xf>
    <xf numFmtId="0" fontId="153" fillId="0" borderId="68" xfId="3885" applyFont="1" applyFill="1" applyBorder="1" applyAlignment="1">
      <alignment horizontal="right" vertical="center"/>
    </xf>
    <xf numFmtId="0" fontId="150" fillId="0" borderId="71" xfId="1" applyFont="1" applyFill="1" applyBorder="1" applyAlignment="1">
      <alignment horizontal="center" vertical="center"/>
    </xf>
    <xf numFmtId="0" fontId="151" fillId="0" borderId="66" xfId="1" applyFont="1" applyFill="1" applyBorder="1" applyAlignment="1">
      <alignment horizontal="center" vertical="center"/>
    </xf>
    <xf numFmtId="0" fontId="153" fillId="0" borderId="68" xfId="3885" applyFont="1" applyFill="1" applyBorder="1" applyAlignment="1">
      <alignment horizontal="center" vertical="center"/>
    </xf>
    <xf numFmtId="3" fontId="151" fillId="0" borderId="68" xfId="1" applyNumberFormat="1" applyFont="1" applyFill="1" applyBorder="1" applyAlignment="1">
      <alignment horizontal="center" vertical="center"/>
    </xf>
    <xf numFmtId="4" fontId="151" fillId="0" borderId="68" xfId="1" applyNumberFormat="1" applyFont="1" applyFill="1" applyBorder="1" applyAlignment="1">
      <alignment horizontal="center" vertical="center"/>
    </xf>
    <xf numFmtId="2" fontId="151" fillId="0" borderId="68" xfId="1" applyNumberFormat="1" applyFont="1" applyFill="1" applyBorder="1" applyAlignment="1">
      <alignment horizontal="center" vertical="center"/>
    </xf>
    <xf numFmtId="0" fontId="151" fillId="0" borderId="68" xfId="1" applyFont="1" applyFill="1" applyBorder="1" applyAlignment="1">
      <alignment horizontal="center" vertical="center"/>
    </xf>
    <xf numFmtId="0" fontId="153" fillId="0" borderId="68" xfId="4" applyFont="1" applyFill="1" applyBorder="1" applyAlignment="1">
      <alignment horizontal="center" vertical="center" wrapText="1"/>
    </xf>
    <xf numFmtId="0" fontId="151" fillId="0" borderId="75" xfId="1" applyFont="1" applyFill="1" applyBorder="1" applyAlignment="1">
      <alignment horizontal="center" vertical="center"/>
    </xf>
    <xf numFmtId="3" fontId="151" fillId="0" borderId="75" xfId="1" applyNumberFormat="1" applyFont="1" applyFill="1" applyBorder="1" applyAlignment="1">
      <alignment horizontal="right" vertical="center"/>
    </xf>
    <xf numFmtId="3" fontId="151" fillId="0" borderId="68" xfId="1" applyNumberFormat="1" applyFont="1" applyFill="1" applyBorder="1" applyAlignment="1">
      <alignment horizontal="right" vertical="center"/>
    </xf>
    <xf numFmtId="0" fontId="150" fillId="0" borderId="64" xfId="1" applyFont="1" applyFill="1" applyBorder="1" applyAlignment="1">
      <alignment horizontal="center" vertical="center"/>
    </xf>
    <xf numFmtId="0" fontId="151" fillId="0" borderId="64" xfId="1" applyFont="1" applyFill="1" applyBorder="1" applyAlignment="1">
      <alignment horizontal="center" vertical="center"/>
    </xf>
    <xf numFmtId="3" fontId="151" fillId="0" borderId="64" xfId="1" applyNumberFormat="1" applyFont="1" applyFill="1" applyBorder="1" applyAlignment="1">
      <alignment horizontal="right" vertical="center"/>
    </xf>
    <xf numFmtId="0" fontId="6" fillId="0" borderId="27" xfId="1" applyFont="1" applyFill="1" applyBorder="1" applyAlignment="1">
      <alignment horizontal="center" vertical="center"/>
    </xf>
    <xf numFmtId="0" fontId="6" fillId="0" borderId="27" xfId="1" applyFont="1" applyFill="1" applyBorder="1" applyAlignment="1">
      <alignment vertical="center"/>
    </xf>
    <xf numFmtId="164" fontId="6" fillId="0" borderId="27" xfId="2" applyNumberFormat="1" applyFont="1" applyFill="1" applyBorder="1" applyAlignment="1">
      <alignment horizontal="center" vertical="center"/>
    </xf>
    <xf numFmtId="0" fontId="6" fillId="0" borderId="27" xfId="1" applyFont="1" applyFill="1" applyBorder="1" applyAlignment="1">
      <alignment horizontal="left" vertical="center" wrapText="1"/>
    </xf>
    <xf numFmtId="164" fontId="6" fillId="0" borderId="27" xfId="2" applyNumberFormat="1" applyFont="1" applyFill="1" applyBorder="1" applyAlignment="1">
      <alignment vertical="center"/>
    </xf>
    <xf numFmtId="0" fontId="11" fillId="0" borderId="27" xfId="4" applyFont="1" applyFill="1" applyBorder="1" applyAlignment="1">
      <alignment horizontal="left" vertical="center" wrapText="1"/>
    </xf>
    <xf numFmtId="0" fontId="13" fillId="0" borderId="0" xfId="4" applyFont="1" applyFill="1" applyBorder="1" applyAlignment="1">
      <alignment vertical="center" wrapText="1"/>
    </xf>
    <xf numFmtId="0" fontId="153" fillId="0" borderId="68" xfId="4" applyFont="1" applyFill="1" applyBorder="1" applyAlignment="1">
      <alignment horizontal="left" vertical="center" wrapText="1"/>
    </xf>
    <xf numFmtId="0" fontId="12" fillId="0" borderId="35" xfId="4" applyFont="1" applyFill="1" applyBorder="1" applyAlignment="1">
      <alignment horizontal="left" vertical="center" wrapText="1"/>
    </xf>
    <xf numFmtId="0" fontId="13" fillId="0" borderId="35" xfId="4" applyFont="1" applyFill="1" applyBorder="1" applyAlignment="1">
      <alignment vertical="center" wrapText="1"/>
    </xf>
    <xf numFmtId="0" fontId="13" fillId="0" borderId="27" xfId="4" applyFont="1" applyFill="1" applyBorder="1" applyAlignment="1">
      <alignment vertical="center" wrapText="1"/>
    </xf>
    <xf numFmtId="0" fontId="6" fillId="0" borderId="11" xfId="1" applyFont="1" applyFill="1" applyBorder="1" applyAlignment="1">
      <alignment vertical="center"/>
    </xf>
    <xf numFmtId="0" fontId="150" fillId="0" borderId="36" xfId="1" applyFont="1" applyFill="1" applyBorder="1" applyAlignment="1">
      <alignment horizontal="center" vertical="center"/>
    </xf>
    <xf numFmtId="0" fontId="151" fillId="0" borderId="36" xfId="1" applyFont="1" applyFill="1" applyBorder="1" applyAlignment="1">
      <alignment horizontal="center" vertical="center"/>
    </xf>
    <xf numFmtId="0" fontId="151" fillId="0" borderId="68" xfId="1" applyFont="1" applyFill="1" applyBorder="1" applyAlignment="1">
      <alignment horizontal="left" vertical="center" wrapText="1"/>
    </xf>
    <xf numFmtId="0" fontId="151" fillId="0" borderId="74" xfId="1" applyFont="1" applyFill="1" applyBorder="1" applyAlignment="1">
      <alignment horizontal="center" vertical="center"/>
    </xf>
    <xf numFmtId="3" fontId="151" fillId="0" borderId="74" xfId="1" applyNumberFormat="1" applyFont="1" applyFill="1" applyBorder="1" applyAlignment="1">
      <alignment horizontal="right" vertical="center"/>
    </xf>
  </cellXfs>
  <cellStyles count="5963">
    <cellStyle name="‡" xfId="6"/>
    <cellStyle name="‡ 2" xfId="7"/>
    <cellStyle name="‡_Kinerja Cab Singkawang TW 12009" xfId="8"/>
    <cellStyle name="‡_LAP KEU TW 3 - 2009 SKW &amp; KINERJA KEU" xfId="9"/>
    <cellStyle name="‡_LAPORAN KEUANGAN 2009 SKW" xfId="10"/>
    <cellStyle name="¹éºÐÀ² - Style1" xfId="11"/>
    <cellStyle name="¹éºÐÀ² - Style2" xfId="12"/>
    <cellStyle name="¹éºÐÀ² - Style3" xfId="13"/>
    <cellStyle name="¹éºÐÀ² - Style4" xfId="14"/>
    <cellStyle name="¹éºÐÀ² - Style5" xfId="15"/>
    <cellStyle name="¹éºÐÀ² - Style6" xfId="16"/>
    <cellStyle name="¹éºÐÀ² - Style7" xfId="17"/>
    <cellStyle name="¹éºÐÀ² - Style8" xfId="18"/>
    <cellStyle name="¹éºÐÀ²_±âÅ¸" xfId="19"/>
    <cellStyle name="20% - Accent1 10" xfId="20"/>
    <cellStyle name="20% - Accent1 10 2" xfId="21"/>
    <cellStyle name="20% - Accent1 10 3" xfId="22"/>
    <cellStyle name="20% - Accent1 10 4" xfId="23"/>
    <cellStyle name="20% - Accent1 10 5" xfId="24"/>
    <cellStyle name="20% - Accent1 11" xfId="25"/>
    <cellStyle name="20% - Accent1 11 2" xfId="26"/>
    <cellStyle name="20% - Accent1 11 3" xfId="27"/>
    <cellStyle name="20% - Accent1 11 4" xfId="28"/>
    <cellStyle name="20% - Accent1 11 5" xfId="29"/>
    <cellStyle name="20% - Accent1 12" xfId="30"/>
    <cellStyle name="20% - Accent1 12 2" xfId="31"/>
    <cellStyle name="20% - Accent1 12 3" xfId="32"/>
    <cellStyle name="20% - Accent1 12 4" xfId="33"/>
    <cellStyle name="20% - Accent1 12 5" xfId="34"/>
    <cellStyle name="20% - Accent1 13" xfId="35"/>
    <cellStyle name="20% - Accent1 13 2" xfId="36"/>
    <cellStyle name="20% - Accent1 13 3" xfId="37"/>
    <cellStyle name="20% - Accent1 13 4" xfId="38"/>
    <cellStyle name="20% - Accent1 13 5" xfId="39"/>
    <cellStyle name="20% - Accent1 14" xfId="40"/>
    <cellStyle name="20% - Accent1 14 2" xfId="41"/>
    <cellStyle name="20% - Accent1 14 3" xfId="42"/>
    <cellStyle name="20% - Accent1 14 4" xfId="43"/>
    <cellStyle name="20% - Accent1 14 5" xfId="44"/>
    <cellStyle name="20% - Accent1 15" xfId="45"/>
    <cellStyle name="20% - Accent1 15 2" xfId="46"/>
    <cellStyle name="20% - Accent1 15 3" xfId="47"/>
    <cellStyle name="20% - Accent1 15 4" xfId="48"/>
    <cellStyle name="20% - Accent1 15 5" xfId="49"/>
    <cellStyle name="20% - Accent1 16" xfId="50"/>
    <cellStyle name="20% - Accent1 16 2" xfId="51"/>
    <cellStyle name="20% - Accent1 16 3" xfId="52"/>
    <cellStyle name="20% - Accent1 16 4" xfId="53"/>
    <cellStyle name="20% - Accent1 16 5" xfId="54"/>
    <cellStyle name="20% - Accent1 17" xfId="55"/>
    <cellStyle name="20% - Accent1 17 2" xfId="56"/>
    <cellStyle name="20% - Accent1 17 3" xfId="57"/>
    <cellStyle name="20% - Accent1 17 4" xfId="58"/>
    <cellStyle name="20% - Accent1 17 5" xfId="59"/>
    <cellStyle name="20% - Accent1 18" xfId="60"/>
    <cellStyle name="20% - Accent1 18 2" xfId="61"/>
    <cellStyle name="20% - Accent1 18 3" xfId="62"/>
    <cellStyle name="20% - Accent1 18 4" xfId="63"/>
    <cellStyle name="20% - Accent1 18 5" xfId="64"/>
    <cellStyle name="20% - Accent1 19" xfId="65"/>
    <cellStyle name="20% - Accent1 19 2" xfId="66"/>
    <cellStyle name="20% - Accent1 19 3" xfId="67"/>
    <cellStyle name="20% - Accent1 19 4" xfId="68"/>
    <cellStyle name="20% - Accent1 19 5" xfId="69"/>
    <cellStyle name="20% - Accent1 2" xfId="70"/>
    <cellStyle name="20% - Accent1 2 2" xfId="71"/>
    <cellStyle name="20% - Accent1 2 3" xfId="72"/>
    <cellStyle name="20% - Accent1 2 3 2" xfId="73"/>
    <cellStyle name="20% - Accent1 2 4" xfId="74"/>
    <cellStyle name="20% - Accent1 2 4 2" xfId="75"/>
    <cellStyle name="20% - Accent1 20" xfId="76"/>
    <cellStyle name="20% - Accent1 21" xfId="77"/>
    <cellStyle name="20% - Accent1 22" xfId="78"/>
    <cellStyle name="20% - Accent1 3" xfId="79"/>
    <cellStyle name="20% - Accent1 3 2" xfId="80"/>
    <cellStyle name="20% - Accent1 3 3" xfId="81"/>
    <cellStyle name="20% - Accent1 3 4" xfId="82"/>
    <cellStyle name="20% - Accent1 3 5" xfId="83"/>
    <cellStyle name="20% - Accent1 4" xfId="84"/>
    <cellStyle name="20% - Accent1 4 2" xfId="85"/>
    <cellStyle name="20% - Accent1 4 3" xfId="86"/>
    <cellStyle name="20% - Accent1 4 4" xfId="87"/>
    <cellStyle name="20% - Accent1 4 5" xfId="88"/>
    <cellStyle name="20% - Accent1 5" xfId="89"/>
    <cellStyle name="20% - Accent1 5 2" xfId="90"/>
    <cellStyle name="20% - Accent1 5 3" xfId="91"/>
    <cellStyle name="20% - Accent1 5 4" xfId="92"/>
    <cellStyle name="20% - Accent1 5 5" xfId="93"/>
    <cellStyle name="20% - Accent1 6" xfId="94"/>
    <cellStyle name="20% - Accent1 6 2" xfId="95"/>
    <cellStyle name="20% - Accent1 6 3" xfId="96"/>
    <cellStyle name="20% - Accent1 6 4" xfId="97"/>
    <cellStyle name="20% - Accent1 6 5" xfId="98"/>
    <cellStyle name="20% - Accent1 7" xfId="99"/>
    <cellStyle name="20% - Accent1 7 2" xfId="100"/>
    <cellStyle name="20% - Accent1 7 3" xfId="101"/>
    <cellStyle name="20% - Accent1 7 4" xfId="102"/>
    <cellStyle name="20% - Accent1 7 5" xfId="103"/>
    <cellStyle name="20% - Accent1 8" xfId="104"/>
    <cellStyle name="20% - Accent1 8 2" xfId="105"/>
    <cellStyle name="20% - Accent1 8 3" xfId="106"/>
    <cellStyle name="20% - Accent1 8 4" xfId="107"/>
    <cellStyle name="20% - Accent1 8 5" xfId="108"/>
    <cellStyle name="20% - Accent1 9" xfId="109"/>
    <cellStyle name="20% - Accent1 9 2" xfId="110"/>
    <cellStyle name="20% - Accent1 9 3" xfId="111"/>
    <cellStyle name="20% - Accent1 9 4" xfId="112"/>
    <cellStyle name="20% - Accent1 9 5" xfId="113"/>
    <cellStyle name="20% - Accent2 10" xfId="114"/>
    <cellStyle name="20% - Accent2 10 2" xfId="115"/>
    <cellStyle name="20% - Accent2 10 3" xfId="116"/>
    <cellStyle name="20% - Accent2 10 4" xfId="117"/>
    <cellStyle name="20% - Accent2 10 5" xfId="118"/>
    <cellStyle name="20% - Accent2 11" xfId="119"/>
    <cellStyle name="20% - Accent2 11 2" xfId="120"/>
    <cellStyle name="20% - Accent2 11 3" xfId="121"/>
    <cellStyle name="20% - Accent2 11 4" xfId="122"/>
    <cellStyle name="20% - Accent2 11 5" xfId="123"/>
    <cellStyle name="20% - Accent2 12" xfId="124"/>
    <cellStyle name="20% - Accent2 12 2" xfId="125"/>
    <cellStyle name="20% - Accent2 12 3" xfId="126"/>
    <cellStyle name="20% - Accent2 12 4" xfId="127"/>
    <cellStyle name="20% - Accent2 12 5" xfId="128"/>
    <cellStyle name="20% - Accent2 13" xfId="129"/>
    <cellStyle name="20% - Accent2 13 2" xfId="130"/>
    <cellStyle name="20% - Accent2 13 3" xfId="131"/>
    <cellStyle name="20% - Accent2 13 4" xfId="132"/>
    <cellStyle name="20% - Accent2 13 5" xfId="133"/>
    <cellStyle name="20% - Accent2 14" xfId="134"/>
    <cellStyle name="20% - Accent2 14 2" xfId="135"/>
    <cellStyle name="20% - Accent2 14 3" xfId="136"/>
    <cellStyle name="20% - Accent2 14 4" xfId="137"/>
    <cellStyle name="20% - Accent2 14 5" xfId="138"/>
    <cellStyle name="20% - Accent2 15" xfId="139"/>
    <cellStyle name="20% - Accent2 15 2" xfId="140"/>
    <cellStyle name="20% - Accent2 15 3" xfId="141"/>
    <cellStyle name="20% - Accent2 15 4" xfId="142"/>
    <cellStyle name="20% - Accent2 15 5" xfId="143"/>
    <cellStyle name="20% - Accent2 16" xfId="144"/>
    <cellStyle name="20% - Accent2 16 2" xfId="145"/>
    <cellStyle name="20% - Accent2 16 3" xfId="146"/>
    <cellStyle name="20% - Accent2 16 4" xfId="147"/>
    <cellStyle name="20% - Accent2 16 5" xfId="148"/>
    <cellStyle name="20% - Accent2 17" xfId="149"/>
    <cellStyle name="20% - Accent2 17 2" xfId="150"/>
    <cellStyle name="20% - Accent2 17 3" xfId="151"/>
    <cellStyle name="20% - Accent2 17 4" xfId="152"/>
    <cellStyle name="20% - Accent2 17 5" xfId="153"/>
    <cellStyle name="20% - Accent2 18" xfId="154"/>
    <cellStyle name="20% - Accent2 18 2" xfId="155"/>
    <cellStyle name="20% - Accent2 18 3" xfId="156"/>
    <cellStyle name="20% - Accent2 18 4" xfId="157"/>
    <cellStyle name="20% - Accent2 18 5" xfId="158"/>
    <cellStyle name="20% - Accent2 19" xfId="159"/>
    <cellStyle name="20% - Accent2 19 2" xfId="160"/>
    <cellStyle name="20% - Accent2 19 3" xfId="161"/>
    <cellStyle name="20% - Accent2 19 4" xfId="162"/>
    <cellStyle name="20% - Accent2 19 5" xfId="163"/>
    <cellStyle name="20% - Accent2 2" xfId="164"/>
    <cellStyle name="20% - Accent2 2 2" xfId="165"/>
    <cellStyle name="20% - Accent2 2 2 2" xfId="166"/>
    <cellStyle name="20% - Accent2 2 2 3" xfId="167"/>
    <cellStyle name="20% - Accent2 2 3" xfId="168"/>
    <cellStyle name="20% - Accent2 2 3 2" xfId="169"/>
    <cellStyle name="20% - Accent2 2 4" xfId="170"/>
    <cellStyle name="20% - Accent2 2 4 2" xfId="171"/>
    <cellStyle name="20% - Accent2 20" xfId="172"/>
    <cellStyle name="20% - Accent2 21" xfId="173"/>
    <cellStyle name="20% - Accent2 22" xfId="174"/>
    <cellStyle name="20% - Accent2 3" xfId="175"/>
    <cellStyle name="20% - Accent2 3 2" xfId="176"/>
    <cellStyle name="20% - Accent2 3 3" xfId="177"/>
    <cellStyle name="20% - Accent2 3 4" xfId="178"/>
    <cellStyle name="20% - Accent2 3 5" xfId="179"/>
    <cellStyle name="20% - Accent2 4" xfId="180"/>
    <cellStyle name="20% - Accent2 4 2" xfId="181"/>
    <cellStyle name="20% - Accent2 4 3" xfId="182"/>
    <cellStyle name="20% - Accent2 4 4" xfId="183"/>
    <cellStyle name="20% - Accent2 4 5" xfId="184"/>
    <cellStyle name="20% - Accent2 5" xfId="185"/>
    <cellStyle name="20% - Accent2 5 2" xfId="186"/>
    <cellStyle name="20% - Accent2 5 3" xfId="187"/>
    <cellStyle name="20% - Accent2 5 4" xfId="188"/>
    <cellStyle name="20% - Accent2 5 5" xfId="189"/>
    <cellStyle name="20% - Accent2 6" xfId="190"/>
    <cellStyle name="20% - Accent2 6 2" xfId="191"/>
    <cellStyle name="20% - Accent2 6 3" xfId="192"/>
    <cellStyle name="20% - Accent2 6 4" xfId="193"/>
    <cellStyle name="20% - Accent2 6 5" xfId="194"/>
    <cellStyle name="20% - Accent2 7" xfId="195"/>
    <cellStyle name="20% - Accent2 7 2" xfId="196"/>
    <cellStyle name="20% - Accent2 7 3" xfId="197"/>
    <cellStyle name="20% - Accent2 7 4" xfId="198"/>
    <cellStyle name="20% - Accent2 7 5" xfId="199"/>
    <cellStyle name="20% - Accent2 8" xfId="200"/>
    <cellStyle name="20% - Accent2 8 2" xfId="201"/>
    <cellStyle name="20% - Accent2 8 3" xfId="202"/>
    <cellStyle name="20% - Accent2 8 4" xfId="203"/>
    <cellStyle name="20% - Accent2 8 5" xfId="204"/>
    <cellStyle name="20% - Accent2 9" xfId="205"/>
    <cellStyle name="20% - Accent2 9 2" xfId="206"/>
    <cellStyle name="20% - Accent2 9 3" xfId="207"/>
    <cellStyle name="20% - Accent2 9 4" xfId="208"/>
    <cellStyle name="20% - Accent2 9 5" xfId="209"/>
    <cellStyle name="20% - Accent3 10" xfId="210"/>
    <cellStyle name="20% - Accent3 10 2" xfId="211"/>
    <cellStyle name="20% - Accent3 10 3" xfId="212"/>
    <cellStyle name="20% - Accent3 10 4" xfId="213"/>
    <cellStyle name="20% - Accent3 10 5" xfId="214"/>
    <cellStyle name="20% - Accent3 11" xfId="215"/>
    <cellStyle name="20% - Accent3 11 2" xfId="216"/>
    <cellStyle name="20% - Accent3 11 3" xfId="217"/>
    <cellStyle name="20% - Accent3 11 4" xfId="218"/>
    <cellStyle name="20% - Accent3 11 5" xfId="219"/>
    <cellStyle name="20% - Accent3 12" xfId="220"/>
    <cellStyle name="20% - Accent3 12 2" xfId="221"/>
    <cellStyle name="20% - Accent3 12 3" xfId="222"/>
    <cellStyle name="20% - Accent3 12 4" xfId="223"/>
    <cellStyle name="20% - Accent3 12 5" xfId="224"/>
    <cellStyle name="20% - Accent3 13" xfId="225"/>
    <cellStyle name="20% - Accent3 13 2" xfId="226"/>
    <cellStyle name="20% - Accent3 13 3" xfId="227"/>
    <cellStyle name="20% - Accent3 13 4" xfId="228"/>
    <cellStyle name="20% - Accent3 13 5" xfId="229"/>
    <cellStyle name="20% - Accent3 14" xfId="230"/>
    <cellStyle name="20% - Accent3 14 2" xfId="231"/>
    <cellStyle name="20% - Accent3 14 3" xfId="232"/>
    <cellStyle name="20% - Accent3 14 4" xfId="233"/>
    <cellStyle name="20% - Accent3 14 5" xfId="234"/>
    <cellStyle name="20% - Accent3 15" xfId="235"/>
    <cellStyle name="20% - Accent3 15 2" xfId="236"/>
    <cellStyle name="20% - Accent3 15 3" xfId="237"/>
    <cellStyle name="20% - Accent3 15 4" xfId="238"/>
    <cellStyle name="20% - Accent3 15 5" xfId="239"/>
    <cellStyle name="20% - Accent3 16" xfId="240"/>
    <cellStyle name="20% - Accent3 16 2" xfId="241"/>
    <cellStyle name="20% - Accent3 16 3" xfId="242"/>
    <cellStyle name="20% - Accent3 16 4" xfId="243"/>
    <cellStyle name="20% - Accent3 16 5" xfId="244"/>
    <cellStyle name="20% - Accent3 17" xfId="245"/>
    <cellStyle name="20% - Accent3 17 2" xfId="246"/>
    <cellStyle name="20% - Accent3 17 3" xfId="247"/>
    <cellStyle name="20% - Accent3 17 4" xfId="248"/>
    <cellStyle name="20% - Accent3 17 5" xfId="249"/>
    <cellStyle name="20% - Accent3 18" xfId="250"/>
    <cellStyle name="20% - Accent3 18 2" xfId="251"/>
    <cellStyle name="20% - Accent3 18 3" xfId="252"/>
    <cellStyle name="20% - Accent3 18 4" xfId="253"/>
    <cellStyle name="20% - Accent3 18 5" xfId="254"/>
    <cellStyle name="20% - Accent3 19" xfId="255"/>
    <cellStyle name="20% - Accent3 19 2" xfId="256"/>
    <cellStyle name="20% - Accent3 19 3" xfId="257"/>
    <cellStyle name="20% - Accent3 19 4" xfId="258"/>
    <cellStyle name="20% - Accent3 19 5" xfId="259"/>
    <cellStyle name="20% - Accent3 2" xfId="260"/>
    <cellStyle name="20% - Accent3 2 2" xfId="261"/>
    <cellStyle name="20% - Accent3 2 3" xfId="262"/>
    <cellStyle name="20% - Accent3 2 3 2" xfId="263"/>
    <cellStyle name="20% - Accent3 2 4" xfId="264"/>
    <cellStyle name="20% - Accent3 2 4 2" xfId="265"/>
    <cellStyle name="20% - Accent3 20" xfId="266"/>
    <cellStyle name="20% - Accent3 21" xfId="267"/>
    <cellStyle name="20% - Accent3 22" xfId="268"/>
    <cellStyle name="20% - Accent3 3" xfId="269"/>
    <cellStyle name="20% - Accent3 3 2" xfId="270"/>
    <cellStyle name="20% - Accent3 3 3" xfId="271"/>
    <cellStyle name="20% - Accent3 3 4" xfId="272"/>
    <cellStyle name="20% - Accent3 3 5" xfId="273"/>
    <cellStyle name="20% - Accent3 4" xfId="274"/>
    <cellStyle name="20% - Accent3 4 2" xfId="275"/>
    <cellStyle name="20% - Accent3 4 3" xfId="276"/>
    <cellStyle name="20% - Accent3 4 4" xfId="277"/>
    <cellStyle name="20% - Accent3 4 5" xfId="278"/>
    <cellStyle name="20% - Accent3 5" xfId="279"/>
    <cellStyle name="20% - Accent3 5 2" xfId="280"/>
    <cellStyle name="20% - Accent3 5 3" xfId="281"/>
    <cellStyle name="20% - Accent3 5 4" xfId="282"/>
    <cellStyle name="20% - Accent3 5 5" xfId="283"/>
    <cellStyle name="20% - Accent3 6" xfId="284"/>
    <cellStyle name="20% - Accent3 6 2" xfId="285"/>
    <cellStyle name="20% - Accent3 6 3" xfId="286"/>
    <cellStyle name="20% - Accent3 6 4" xfId="287"/>
    <cellStyle name="20% - Accent3 6 5" xfId="288"/>
    <cellStyle name="20% - Accent3 7" xfId="289"/>
    <cellStyle name="20% - Accent3 7 2" xfId="290"/>
    <cellStyle name="20% - Accent3 7 3" xfId="291"/>
    <cellStyle name="20% - Accent3 7 4" xfId="292"/>
    <cellStyle name="20% - Accent3 7 5" xfId="293"/>
    <cellStyle name="20% - Accent3 8" xfId="294"/>
    <cellStyle name="20% - Accent3 8 2" xfId="295"/>
    <cellStyle name="20% - Accent3 8 3" xfId="296"/>
    <cellStyle name="20% - Accent3 8 4" xfId="297"/>
    <cellStyle name="20% - Accent3 8 5" xfId="298"/>
    <cellStyle name="20% - Accent3 9" xfId="299"/>
    <cellStyle name="20% - Accent3 9 2" xfId="300"/>
    <cellStyle name="20% - Accent3 9 3" xfId="301"/>
    <cellStyle name="20% - Accent3 9 4" xfId="302"/>
    <cellStyle name="20% - Accent3 9 5" xfId="303"/>
    <cellStyle name="20% - Accent4 10" xfId="304"/>
    <cellStyle name="20% - Accent4 10 2" xfId="305"/>
    <cellStyle name="20% - Accent4 10 3" xfId="306"/>
    <cellStyle name="20% - Accent4 10 4" xfId="307"/>
    <cellStyle name="20% - Accent4 10 5" xfId="308"/>
    <cellStyle name="20% - Accent4 11" xfId="309"/>
    <cellStyle name="20% - Accent4 11 2" xfId="310"/>
    <cellStyle name="20% - Accent4 11 3" xfId="311"/>
    <cellStyle name="20% - Accent4 11 4" xfId="312"/>
    <cellStyle name="20% - Accent4 11 5" xfId="313"/>
    <cellStyle name="20% - Accent4 12" xfId="314"/>
    <cellStyle name="20% - Accent4 12 2" xfId="315"/>
    <cellStyle name="20% - Accent4 12 3" xfId="316"/>
    <cellStyle name="20% - Accent4 12 4" xfId="317"/>
    <cellStyle name="20% - Accent4 12 5" xfId="318"/>
    <cellStyle name="20% - Accent4 13" xfId="319"/>
    <cellStyle name="20% - Accent4 13 2" xfId="320"/>
    <cellStyle name="20% - Accent4 13 3" xfId="321"/>
    <cellStyle name="20% - Accent4 13 4" xfId="322"/>
    <cellStyle name="20% - Accent4 13 5" xfId="323"/>
    <cellStyle name="20% - Accent4 14" xfId="324"/>
    <cellStyle name="20% - Accent4 14 2" xfId="325"/>
    <cellStyle name="20% - Accent4 14 3" xfId="326"/>
    <cellStyle name="20% - Accent4 14 4" xfId="327"/>
    <cellStyle name="20% - Accent4 14 5" xfId="328"/>
    <cellStyle name="20% - Accent4 15" xfId="329"/>
    <cellStyle name="20% - Accent4 15 2" xfId="330"/>
    <cellStyle name="20% - Accent4 15 3" xfId="331"/>
    <cellStyle name="20% - Accent4 15 4" xfId="332"/>
    <cellStyle name="20% - Accent4 15 5" xfId="333"/>
    <cellStyle name="20% - Accent4 16" xfId="334"/>
    <cellStyle name="20% - Accent4 16 2" xfId="335"/>
    <cellStyle name="20% - Accent4 16 3" xfId="336"/>
    <cellStyle name="20% - Accent4 16 4" xfId="337"/>
    <cellStyle name="20% - Accent4 16 5" xfId="338"/>
    <cellStyle name="20% - Accent4 17" xfId="339"/>
    <cellStyle name="20% - Accent4 17 2" xfId="340"/>
    <cellStyle name="20% - Accent4 17 3" xfId="341"/>
    <cellStyle name="20% - Accent4 17 4" xfId="342"/>
    <cellStyle name="20% - Accent4 17 5" xfId="343"/>
    <cellStyle name="20% - Accent4 18" xfId="344"/>
    <cellStyle name="20% - Accent4 18 2" xfId="345"/>
    <cellStyle name="20% - Accent4 18 3" xfId="346"/>
    <cellStyle name="20% - Accent4 18 4" xfId="347"/>
    <cellStyle name="20% - Accent4 18 5" xfId="348"/>
    <cellStyle name="20% - Accent4 19" xfId="349"/>
    <cellStyle name="20% - Accent4 19 2" xfId="350"/>
    <cellStyle name="20% - Accent4 19 3" xfId="351"/>
    <cellStyle name="20% - Accent4 19 4" xfId="352"/>
    <cellStyle name="20% - Accent4 19 5" xfId="353"/>
    <cellStyle name="20% - Accent4 2" xfId="354"/>
    <cellStyle name="20% - Accent4 2 2" xfId="355"/>
    <cellStyle name="20% - Accent4 2 3" xfId="356"/>
    <cellStyle name="20% - Accent4 2 3 2" xfId="357"/>
    <cellStyle name="20% - Accent4 2 4" xfId="358"/>
    <cellStyle name="20% - Accent4 2 4 2" xfId="359"/>
    <cellStyle name="20% - Accent4 20" xfId="360"/>
    <cellStyle name="20% - Accent4 21" xfId="361"/>
    <cellStyle name="20% - Accent4 22" xfId="362"/>
    <cellStyle name="20% - Accent4 3" xfId="363"/>
    <cellStyle name="20% - Accent4 3 2" xfId="364"/>
    <cellStyle name="20% - Accent4 3 3" xfId="365"/>
    <cellStyle name="20% - Accent4 3 4" xfId="366"/>
    <cellStyle name="20% - Accent4 3 5" xfId="367"/>
    <cellStyle name="20% - Accent4 4" xfId="368"/>
    <cellStyle name="20% - Accent4 4 2" xfId="369"/>
    <cellStyle name="20% - Accent4 4 3" xfId="370"/>
    <cellStyle name="20% - Accent4 4 4" xfId="371"/>
    <cellStyle name="20% - Accent4 4 5" xfId="372"/>
    <cellStyle name="20% - Accent4 5" xfId="373"/>
    <cellStyle name="20% - Accent4 5 2" xfId="374"/>
    <cellStyle name="20% - Accent4 5 3" xfId="375"/>
    <cellStyle name="20% - Accent4 5 4" xfId="376"/>
    <cellStyle name="20% - Accent4 5 5" xfId="377"/>
    <cellStyle name="20% - Accent4 6" xfId="378"/>
    <cellStyle name="20% - Accent4 6 2" xfId="379"/>
    <cellStyle name="20% - Accent4 6 3" xfId="380"/>
    <cellStyle name="20% - Accent4 6 4" xfId="381"/>
    <cellStyle name="20% - Accent4 6 5" xfId="382"/>
    <cellStyle name="20% - Accent4 7" xfId="383"/>
    <cellStyle name="20% - Accent4 7 2" xfId="384"/>
    <cellStyle name="20% - Accent4 7 3" xfId="385"/>
    <cellStyle name="20% - Accent4 7 4" xfId="386"/>
    <cellStyle name="20% - Accent4 7 5" xfId="387"/>
    <cellStyle name="20% - Accent4 8" xfId="388"/>
    <cellStyle name="20% - Accent4 8 2" xfId="389"/>
    <cellStyle name="20% - Accent4 8 3" xfId="390"/>
    <cellStyle name="20% - Accent4 8 4" xfId="391"/>
    <cellStyle name="20% - Accent4 8 5" xfId="392"/>
    <cellStyle name="20% - Accent4 9" xfId="393"/>
    <cellStyle name="20% - Accent4 9 2" xfId="394"/>
    <cellStyle name="20% - Accent4 9 3" xfId="395"/>
    <cellStyle name="20% - Accent4 9 4" xfId="396"/>
    <cellStyle name="20% - Accent4 9 5" xfId="397"/>
    <cellStyle name="20% - Accent5 10" xfId="398"/>
    <cellStyle name="20% - Accent5 10 2" xfId="399"/>
    <cellStyle name="20% - Accent5 10 3" xfId="400"/>
    <cellStyle name="20% - Accent5 10 4" xfId="401"/>
    <cellStyle name="20% - Accent5 10 5" xfId="402"/>
    <cellStyle name="20% - Accent5 11" xfId="403"/>
    <cellStyle name="20% - Accent5 11 2" xfId="404"/>
    <cellStyle name="20% - Accent5 11 3" xfId="405"/>
    <cellStyle name="20% - Accent5 11 4" xfId="406"/>
    <cellStyle name="20% - Accent5 11 5" xfId="407"/>
    <cellStyle name="20% - Accent5 12" xfId="408"/>
    <cellStyle name="20% - Accent5 12 2" xfId="409"/>
    <cellStyle name="20% - Accent5 12 3" xfId="410"/>
    <cellStyle name="20% - Accent5 12 4" xfId="411"/>
    <cellStyle name="20% - Accent5 12 5" xfId="412"/>
    <cellStyle name="20% - Accent5 13" xfId="413"/>
    <cellStyle name="20% - Accent5 13 2" xfId="414"/>
    <cellStyle name="20% - Accent5 13 3" xfId="415"/>
    <cellStyle name="20% - Accent5 13 4" xfId="416"/>
    <cellStyle name="20% - Accent5 13 5" xfId="417"/>
    <cellStyle name="20% - Accent5 14" xfId="418"/>
    <cellStyle name="20% - Accent5 14 2" xfId="419"/>
    <cellStyle name="20% - Accent5 14 3" xfId="420"/>
    <cellStyle name="20% - Accent5 14 4" xfId="421"/>
    <cellStyle name="20% - Accent5 14 5" xfId="422"/>
    <cellStyle name="20% - Accent5 15" xfId="423"/>
    <cellStyle name="20% - Accent5 15 2" xfId="424"/>
    <cellStyle name="20% - Accent5 15 3" xfId="425"/>
    <cellStyle name="20% - Accent5 15 4" xfId="426"/>
    <cellStyle name="20% - Accent5 15 5" xfId="427"/>
    <cellStyle name="20% - Accent5 16" xfId="428"/>
    <cellStyle name="20% - Accent5 16 2" xfId="429"/>
    <cellStyle name="20% - Accent5 16 3" xfId="430"/>
    <cellStyle name="20% - Accent5 16 4" xfId="431"/>
    <cellStyle name="20% - Accent5 16 5" xfId="432"/>
    <cellStyle name="20% - Accent5 17" xfId="433"/>
    <cellStyle name="20% - Accent5 17 2" xfId="434"/>
    <cellStyle name="20% - Accent5 17 3" xfId="435"/>
    <cellStyle name="20% - Accent5 17 4" xfId="436"/>
    <cellStyle name="20% - Accent5 17 5" xfId="437"/>
    <cellStyle name="20% - Accent5 18" xfId="438"/>
    <cellStyle name="20% - Accent5 18 2" xfId="439"/>
    <cellStyle name="20% - Accent5 18 3" xfId="440"/>
    <cellStyle name="20% - Accent5 18 4" xfId="441"/>
    <cellStyle name="20% - Accent5 18 5" xfId="442"/>
    <cellStyle name="20% - Accent5 19" xfId="443"/>
    <cellStyle name="20% - Accent5 19 2" xfId="444"/>
    <cellStyle name="20% - Accent5 19 3" xfId="445"/>
    <cellStyle name="20% - Accent5 19 4" xfId="446"/>
    <cellStyle name="20% - Accent5 19 5" xfId="447"/>
    <cellStyle name="20% - Accent5 2" xfId="448"/>
    <cellStyle name="20% - Accent5 2 2" xfId="449"/>
    <cellStyle name="20% - Accent5 2 3" xfId="450"/>
    <cellStyle name="20% - Accent5 2 3 2" xfId="451"/>
    <cellStyle name="20% - Accent5 2 4" xfId="452"/>
    <cellStyle name="20% - Accent5 2 4 2" xfId="453"/>
    <cellStyle name="20% - Accent5 20" xfId="454"/>
    <cellStyle name="20% - Accent5 21" xfId="455"/>
    <cellStyle name="20% - Accent5 22" xfId="456"/>
    <cellStyle name="20% - Accent5 3" xfId="457"/>
    <cellStyle name="20% - Accent5 3 2" xfId="458"/>
    <cellStyle name="20% - Accent5 3 3" xfId="459"/>
    <cellStyle name="20% - Accent5 3 4" xfId="460"/>
    <cellStyle name="20% - Accent5 3 5" xfId="461"/>
    <cellStyle name="20% - Accent5 4" xfId="462"/>
    <cellStyle name="20% - Accent5 4 2" xfId="463"/>
    <cellStyle name="20% - Accent5 4 3" xfId="464"/>
    <cellStyle name="20% - Accent5 4 4" xfId="465"/>
    <cellStyle name="20% - Accent5 4 5" xfId="466"/>
    <cellStyle name="20% - Accent5 5" xfId="467"/>
    <cellStyle name="20% - Accent5 5 2" xfId="468"/>
    <cellStyle name="20% - Accent5 5 3" xfId="469"/>
    <cellStyle name="20% - Accent5 5 4" xfId="470"/>
    <cellStyle name="20% - Accent5 5 5" xfId="471"/>
    <cellStyle name="20% - Accent5 6" xfId="472"/>
    <cellStyle name="20% - Accent5 6 2" xfId="473"/>
    <cellStyle name="20% - Accent5 6 3" xfId="474"/>
    <cellStyle name="20% - Accent5 6 4" xfId="475"/>
    <cellStyle name="20% - Accent5 6 5" xfId="476"/>
    <cellStyle name="20% - Accent5 7" xfId="477"/>
    <cellStyle name="20% - Accent5 7 2" xfId="478"/>
    <cellStyle name="20% - Accent5 7 3" xfId="479"/>
    <cellStyle name="20% - Accent5 7 4" xfId="480"/>
    <cellStyle name="20% - Accent5 7 5" xfId="481"/>
    <cellStyle name="20% - Accent5 8" xfId="482"/>
    <cellStyle name="20% - Accent5 8 2" xfId="483"/>
    <cellStyle name="20% - Accent5 8 3" xfId="484"/>
    <cellStyle name="20% - Accent5 8 4" xfId="485"/>
    <cellStyle name="20% - Accent5 8 5" xfId="486"/>
    <cellStyle name="20% - Accent5 9" xfId="487"/>
    <cellStyle name="20% - Accent5 9 2" xfId="488"/>
    <cellStyle name="20% - Accent5 9 3" xfId="489"/>
    <cellStyle name="20% - Accent5 9 4" xfId="490"/>
    <cellStyle name="20% - Accent5 9 5" xfId="491"/>
    <cellStyle name="20% - Accent6 10" xfId="492"/>
    <cellStyle name="20% - Accent6 10 2" xfId="493"/>
    <cellStyle name="20% - Accent6 10 3" xfId="494"/>
    <cellStyle name="20% - Accent6 10 4" xfId="495"/>
    <cellStyle name="20% - Accent6 10 5" xfId="496"/>
    <cellStyle name="20% - Accent6 11" xfId="497"/>
    <cellStyle name="20% - Accent6 11 2" xfId="498"/>
    <cellStyle name="20% - Accent6 11 3" xfId="499"/>
    <cellStyle name="20% - Accent6 11 4" xfId="500"/>
    <cellStyle name="20% - Accent6 11 5" xfId="501"/>
    <cellStyle name="20% - Accent6 12" xfId="502"/>
    <cellStyle name="20% - Accent6 12 2" xfId="503"/>
    <cellStyle name="20% - Accent6 12 3" xfId="504"/>
    <cellStyle name="20% - Accent6 12 4" xfId="505"/>
    <cellStyle name="20% - Accent6 12 5" xfId="506"/>
    <cellStyle name="20% - Accent6 13" xfId="507"/>
    <cellStyle name="20% - Accent6 13 2" xfId="508"/>
    <cellStyle name="20% - Accent6 13 3" xfId="509"/>
    <cellStyle name="20% - Accent6 13 4" xfId="510"/>
    <cellStyle name="20% - Accent6 13 5" xfId="511"/>
    <cellStyle name="20% - Accent6 14" xfId="512"/>
    <cellStyle name="20% - Accent6 14 2" xfId="513"/>
    <cellStyle name="20% - Accent6 14 3" xfId="514"/>
    <cellStyle name="20% - Accent6 14 4" xfId="515"/>
    <cellStyle name="20% - Accent6 14 5" xfId="516"/>
    <cellStyle name="20% - Accent6 15" xfId="517"/>
    <cellStyle name="20% - Accent6 15 2" xfId="518"/>
    <cellStyle name="20% - Accent6 15 3" xfId="519"/>
    <cellStyle name="20% - Accent6 15 4" xfId="520"/>
    <cellStyle name="20% - Accent6 15 5" xfId="521"/>
    <cellStyle name="20% - Accent6 16" xfId="522"/>
    <cellStyle name="20% - Accent6 16 2" xfId="523"/>
    <cellStyle name="20% - Accent6 16 3" xfId="524"/>
    <cellStyle name="20% - Accent6 16 4" xfId="525"/>
    <cellStyle name="20% - Accent6 16 5" xfId="526"/>
    <cellStyle name="20% - Accent6 17" xfId="527"/>
    <cellStyle name="20% - Accent6 17 2" xfId="528"/>
    <cellStyle name="20% - Accent6 17 3" xfId="529"/>
    <cellStyle name="20% - Accent6 17 4" xfId="530"/>
    <cellStyle name="20% - Accent6 17 5" xfId="531"/>
    <cellStyle name="20% - Accent6 18" xfId="532"/>
    <cellStyle name="20% - Accent6 18 2" xfId="533"/>
    <cellStyle name="20% - Accent6 18 3" xfId="534"/>
    <cellStyle name="20% - Accent6 18 4" xfId="535"/>
    <cellStyle name="20% - Accent6 18 5" xfId="536"/>
    <cellStyle name="20% - Accent6 19" xfId="537"/>
    <cellStyle name="20% - Accent6 19 2" xfId="538"/>
    <cellStyle name="20% - Accent6 19 3" xfId="539"/>
    <cellStyle name="20% - Accent6 19 4" xfId="540"/>
    <cellStyle name="20% - Accent6 19 5" xfId="541"/>
    <cellStyle name="20% - Accent6 2" xfId="542"/>
    <cellStyle name="20% - Accent6 2 2" xfId="543"/>
    <cellStyle name="20% - Accent6 2 2 2" xfId="544"/>
    <cellStyle name="20% - Accent6 2 2 3" xfId="545"/>
    <cellStyle name="20% - Accent6 2 3" xfId="546"/>
    <cellStyle name="20% - Accent6 2 3 2" xfId="547"/>
    <cellStyle name="20% - Accent6 2 4" xfId="548"/>
    <cellStyle name="20% - Accent6 2 4 2" xfId="549"/>
    <cellStyle name="20% - Accent6 20" xfId="550"/>
    <cellStyle name="20% - Accent6 21" xfId="551"/>
    <cellStyle name="20% - Accent6 22" xfId="552"/>
    <cellStyle name="20% - Accent6 3" xfId="553"/>
    <cellStyle name="20% - Accent6 3 2" xfId="554"/>
    <cellStyle name="20% - Accent6 3 3" xfId="555"/>
    <cellStyle name="20% - Accent6 3 4" xfId="556"/>
    <cellStyle name="20% - Accent6 3 5" xfId="557"/>
    <cellStyle name="20% - Accent6 4" xfId="558"/>
    <cellStyle name="20% - Accent6 4 2" xfId="559"/>
    <cellStyle name="20% - Accent6 4 3" xfId="560"/>
    <cellStyle name="20% - Accent6 4 4" xfId="561"/>
    <cellStyle name="20% - Accent6 4 5" xfId="562"/>
    <cellStyle name="20% - Accent6 5" xfId="563"/>
    <cellStyle name="20% - Accent6 5 2" xfId="564"/>
    <cellStyle name="20% - Accent6 5 3" xfId="565"/>
    <cellStyle name="20% - Accent6 5 4" xfId="566"/>
    <cellStyle name="20% - Accent6 5 5" xfId="567"/>
    <cellStyle name="20% - Accent6 6" xfId="568"/>
    <cellStyle name="20% - Accent6 6 2" xfId="569"/>
    <cellStyle name="20% - Accent6 6 3" xfId="570"/>
    <cellStyle name="20% - Accent6 6 4" xfId="571"/>
    <cellStyle name="20% - Accent6 6 5" xfId="572"/>
    <cellStyle name="20% - Accent6 7" xfId="573"/>
    <cellStyle name="20% - Accent6 7 2" xfId="574"/>
    <cellStyle name="20% - Accent6 7 3" xfId="575"/>
    <cellStyle name="20% - Accent6 7 4" xfId="576"/>
    <cellStyle name="20% - Accent6 7 5" xfId="577"/>
    <cellStyle name="20% - Accent6 8" xfId="578"/>
    <cellStyle name="20% - Accent6 8 2" xfId="579"/>
    <cellStyle name="20% - Accent6 8 3" xfId="580"/>
    <cellStyle name="20% - Accent6 8 4" xfId="581"/>
    <cellStyle name="20% - Accent6 8 5" xfId="582"/>
    <cellStyle name="20% - Accent6 9" xfId="583"/>
    <cellStyle name="20% - Accent6 9 2" xfId="584"/>
    <cellStyle name="20% - Accent6 9 3" xfId="585"/>
    <cellStyle name="20% - Accent6 9 4" xfId="586"/>
    <cellStyle name="20% - Accent6 9 5" xfId="587"/>
    <cellStyle name="20% - Aksen1" xfId="588"/>
    <cellStyle name="20% - Aksen2" xfId="589"/>
    <cellStyle name="20% - Aksen3" xfId="590"/>
    <cellStyle name="20% - Aksen4" xfId="591"/>
    <cellStyle name="20% - Aksen5" xfId="592"/>
    <cellStyle name="20% - Aksen6" xfId="593"/>
    <cellStyle name="40% - Accent1 10" xfId="594"/>
    <cellStyle name="40% - Accent1 10 2" xfId="595"/>
    <cellStyle name="40% - Accent1 10 3" xfId="596"/>
    <cellStyle name="40% - Accent1 10 4" xfId="597"/>
    <cellStyle name="40% - Accent1 10 5" xfId="598"/>
    <cellStyle name="40% - Accent1 11" xfId="599"/>
    <cellStyle name="40% - Accent1 11 2" xfId="600"/>
    <cellStyle name="40% - Accent1 11 3" xfId="601"/>
    <cellStyle name="40% - Accent1 11 4" xfId="602"/>
    <cellStyle name="40% - Accent1 11 5" xfId="603"/>
    <cellStyle name="40% - Accent1 12" xfId="604"/>
    <cellStyle name="40% - Accent1 12 2" xfId="605"/>
    <cellStyle name="40% - Accent1 12 3" xfId="606"/>
    <cellStyle name="40% - Accent1 12 4" xfId="607"/>
    <cellStyle name="40% - Accent1 12 5" xfId="608"/>
    <cellStyle name="40% - Accent1 13" xfId="609"/>
    <cellStyle name="40% - Accent1 13 2" xfId="610"/>
    <cellStyle name="40% - Accent1 13 3" xfId="611"/>
    <cellStyle name="40% - Accent1 13 4" xfId="612"/>
    <cellStyle name="40% - Accent1 13 5" xfId="613"/>
    <cellStyle name="40% - Accent1 14" xfId="614"/>
    <cellStyle name="40% - Accent1 14 2" xfId="615"/>
    <cellStyle name="40% - Accent1 14 3" xfId="616"/>
    <cellStyle name="40% - Accent1 14 4" xfId="617"/>
    <cellStyle name="40% - Accent1 14 5" xfId="618"/>
    <cellStyle name="40% - Accent1 15" xfId="619"/>
    <cellStyle name="40% - Accent1 15 2" xfId="620"/>
    <cellStyle name="40% - Accent1 15 3" xfId="621"/>
    <cellStyle name="40% - Accent1 15 4" xfId="622"/>
    <cellStyle name="40% - Accent1 15 5" xfId="623"/>
    <cellStyle name="40% - Accent1 16" xfId="624"/>
    <cellStyle name="40% - Accent1 16 2" xfId="625"/>
    <cellStyle name="40% - Accent1 16 3" xfId="626"/>
    <cellStyle name="40% - Accent1 16 4" xfId="627"/>
    <cellStyle name="40% - Accent1 16 5" xfId="628"/>
    <cellStyle name="40% - Accent1 17" xfId="629"/>
    <cellStyle name="40% - Accent1 17 2" xfId="630"/>
    <cellStyle name="40% - Accent1 17 3" xfId="631"/>
    <cellStyle name="40% - Accent1 17 4" xfId="632"/>
    <cellStyle name="40% - Accent1 17 5" xfId="633"/>
    <cellStyle name="40% - Accent1 18" xfId="634"/>
    <cellStyle name="40% - Accent1 18 2" xfId="635"/>
    <cellStyle name="40% - Accent1 18 3" xfId="636"/>
    <cellStyle name="40% - Accent1 18 4" xfId="637"/>
    <cellStyle name="40% - Accent1 18 5" xfId="638"/>
    <cellStyle name="40% - Accent1 19" xfId="639"/>
    <cellStyle name="40% - Accent1 19 2" xfId="640"/>
    <cellStyle name="40% - Accent1 19 3" xfId="641"/>
    <cellStyle name="40% - Accent1 19 4" xfId="642"/>
    <cellStyle name="40% - Accent1 19 5" xfId="643"/>
    <cellStyle name="40% - Accent1 2" xfId="644"/>
    <cellStyle name="40% - Accent1 2 2" xfId="645"/>
    <cellStyle name="40% - Accent1 2 3" xfId="646"/>
    <cellStyle name="40% - Accent1 2 3 2" xfId="647"/>
    <cellStyle name="40% - Accent1 2 4" xfId="648"/>
    <cellStyle name="40% - Accent1 2 4 2" xfId="649"/>
    <cellStyle name="40% - Accent1 20" xfId="650"/>
    <cellStyle name="40% - Accent1 21" xfId="651"/>
    <cellStyle name="40% - Accent1 22" xfId="652"/>
    <cellStyle name="40% - Accent1 3" xfId="653"/>
    <cellStyle name="40% - Accent1 3 2" xfId="654"/>
    <cellStyle name="40% - Accent1 3 3" xfId="655"/>
    <cellStyle name="40% - Accent1 3 4" xfId="656"/>
    <cellStyle name="40% - Accent1 3 5" xfId="657"/>
    <cellStyle name="40% - Accent1 4" xfId="658"/>
    <cellStyle name="40% - Accent1 4 2" xfId="659"/>
    <cellStyle name="40% - Accent1 4 3" xfId="660"/>
    <cellStyle name="40% - Accent1 4 4" xfId="661"/>
    <cellStyle name="40% - Accent1 4 5" xfId="662"/>
    <cellStyle name="40% - Accent1 5" xfId="663"/>
    <cellStyle name="40% - Accent1 5 2" xfId="664"/>
    <cellStyle name="40% - Accent1 5 3" xfId="665"/>
    <cellStyle name="40% - Accent1 5 4" xfId="666"/>
    <cellStyle name="40% - Accent1 5 5" xfId="667"/>
    <cellStyle name="40% - Accent1 6" xfId="668"/>
    <cellStyle name="40% - Accent1 6 2" xfId="669"/>
    <cellStyle name="40% - Accent1 6 3" xfId="670"/>
    <cellStyle name="40% - Accent1 6 4" xfId="671"/>
    <cellStyle name="40% - Accent1 6 5" xfId="672"/>
    <cellStyle name="40% - Accent1 7" xfId="673"/>
    <cellStyle name="40% - Accent1 7 2" xfId="674"/>
    <cellStyle name="40% - Accent1 7 3" xfId="675"/>
    <cellStyle name="40% - Accent1 7 4" xfId="676"/>
    <cellStyle name="40% - Accent1 7 5" xfId="677"/>
    <cellStyle name="40% - Accent1 8" xfId="678"/>
    <cellStyle name="40% - Accent1 8 2" xfId="679"/>
    <cellStyle name="40% - Accent1 8 3" xfId="680"/>
    <cellStyle name="40% - Accent1 8 4" xfId="681"/>
    <cellStyle name="40% - Accent1 8 5" xfId="682"/>
    <cellStyle name="40% - Accent1 9" xfId="683"/>
    <cellStyle name="40% - Accent1 9 2" xfId="684"/>
    <cellStyle name="40% - Accent1 9 3" xfId="685"/>
    <cellStyle name="40% - Accent1 9 4" xfId="686"/>
    <cellStyle name="40% - Accent1 9 5" xfId="687"/>
    <cellStyle name="40% - Accent2 10" xfId="688"/>
    <cellStyle name="40% - Accent2 10 2" xfId="689"/>
    <cellStyle name="40% - Accent2 10 3" xfId="690"/>
    <cellStyle name="40% - Accent2 10 4" xfId="691"/>
    <cellStyle name="40% - Accent2 10 5" xfId="692"/>
    <cellStyle name="40% - Accent2 11" xfId="693"/>
    <cellStyle name="40% - Accent2 11 2" xfId="694"/>
    <cellStyle name="40% - Accent2 11 3" xfId="695"/>
    <cellStyle name="40% - Accent2 11 4" xfId="696"/>
    <cellStyle name="40% - Accent2 11 5" xfId="697"/>
    <cellStyle name="40% - Accent2 12" xfId="698"/>
    <cellStyle name="40% - Accent2 12 2" xfId="699"/>
    <cellStyle name="40% - Accent2 12 3" xfId="700"/>
    <cellStyle name="40% - Accent2 12 4" xfId="701"/>
    <cellStyle name="40% - Accent2 12 5" xfId="702"/>
    <cellStyle name="40% - Accent2 13" xfId="703"/>
    <cellStyle name="40% - Accent2 13 2" xfId="704"/>
    <cellStyle name="40% - Accent2 13 3" xfId="705"/>
    <cellStyle name="40% - Accent2 13 4" xfId="706"/>
    <cellStyle name="40% - Accent2 13 5" xfId="707"/>
    <cellStyle name="40% - Accent2 14" xfId="708"/>
    <cellStyle name="40% - Accent2 14 2" xfId="709"/>
    <cellStyle name="40% - Accent2 14 3" xfId="710"/>
    <cellStyle name="40% - Accent2 14 4" xfId="711"/>
    <cellStyle name="40% - Accent2 14 5" xfId="712"/>
    <cellStyle name="40% - Accent2 15" xfId="713"/>
    <cellStyle name="40% - Accent2 15 2" xfId="714"/>
    <cellStyle name="40% - Accent2 15 3" xfId="715"/>
    <cellStyle name="40% - Accent2 15 4" xfId="716"/>
    <cellStyle name="40% - Accent2 15 5" xfId="717"/>
    <cellStyle name="40% - Accent2 16" xfId="718"/>
    <cellStyle name="40% - Accent2 16 2" xfId="719"/>
    <cellStyle name="40% - Accent2 16 3" xfId="720"/>
    <cellStyle name="40% - Accent2 16 4" xfId="721"/>
    <cellStyle name="40% - Accent2 16 5" xfId="722"/>
    <cellStyle name="40% - Accent2 17" xfId="723"/>
    <cellStyle name="40% - Accent2 17 2" xfId="724"/>
    <cellStyle name="40% - Accent2 17 3" xfId="725"/>
    <cellStyle name="40% - Accent2 17 4" xfId="726"/>
    <cellStyle name="40% - Accent2 17 5" xfId="727"/>
    <cellStyle name="40% - Accent2 18" xfId="728"/>
    <cellStyle name="40% - Accent2 18 2" xfId="729"/>
    <cellStyle name="40% - Accent2 18 3" xfId="730"/>
    <cellStyle name="40% - Accent2 18 4" xfId="731"/>
    <cellStyle name="40% - Accent2 18 5" xfId="732"/>
    <cellStyle name="40% - Accent2 19" xfId="733"/>
    <cellStyle name="40% - Accent2 19 2" xfId="734"/>
    <cellStyle name="40% - Accent2 19 3" xfId="735"/>
    <cellStyle name="40% - Accent2 19 4" xfId="736"/>
    <cellStyle name="40% - Accent2 19 5" xfId="737"/>
    <cellStyle name="40% - Accent2 2" xfId="738"/>
    <cellStyle name="40% - Accent2 2 2" xfId="739"/>
    <cellStyle name="40% - Accent2 2 3" xfId="740"/>
    <cellStyle name="40% - Accent2 2 3 2" xfId="741"/>
    <cellStyle name="40% - Accent2 2 4" xfId="742"/>
    <cellStyle name="40% - Accent2 2 4 2" xfId="743"/>
    <cellStyle name="40% - Accent2 20" xfId="744"/>
    <cellStyle name="40% - Accent2 21" xfId="745"/>
    <cellStyle name="40% - Accent2 22" xfId="746"/>
    <cellStyle name="40% - Accent2 3" xfId="747"/>
    <cellStyle name="40% - Accent2 3 2" xfId="748"/>
    <cellStyle name="40% - Accent2 3 3" xfId="749"/>
    <cellStyle name="40% - Accent2 3 4" xfId="750"/>
    <cellStyle name="40% - Accent2 3 5" xfId="751"/>
    <cellStyle name="40% - Accent2 4" xfId="752"/>
    <cellStyle name="40% - Accent2 4 2" xfId="753"/>
    <cellStyle name="40% - Accent2 4 3" xfId="754"/>
    <cellStyle name="40% - Accent2 4 4" xfId="755"/>
    <cellStyle name="40% - Accent2 4 5" xfId="756"/>
    <cellStyle name="40% - Accent2 5" xfId="757"/>
    <cellStyle name="40% - Accent2 5 2" xfId="758"/>
    <cellStyle name="40% - Accent2 5 3" xfId="759"/>
    <cellStyle name="40% - Accent2 5 4" xfId="760"/>
    <cellStyle name="40% - Accent2 5 5" xfId="761"/>
    <cellStyle name="40% - Accent2 6" xfId="762"/>
    <cellStyle name="40% - Accent2 6 2" xfId="763"/>
    <cellStyle name="40% - Accent2 6 3" xfId="764"/>
    <cellStyle name="40% - Accent2 6 4" xfId="765"/>
    <cellStyle name="40% - Accent2 6 5" xfId="766"/>
    <cellStyle name="40% - Accent2 7" xfId="767"/>
    <cellStyle name="40% - Accent2 7 2" xfId="768"/>
    <cellStyle name="40% - Accent2 7 3" xfId="769"/>
    <cellStyle name="40% - Accent2 7 4" xfId="770"/>
    <cellStyle name="40% - Accent2 7 5" xfId="771"/>
    <cellStyle name="40% - Accent2 8" xfId="772"/>
    <cellStyle name="40% - Accent2 8 2" xfId="773"/>
    <cellStyle name="40% - Accent2 8 3" xfId="774"/>
    <cellStyle name="40% - Accent2 8 4" xfId="775"/>
    <cellStyle name="40% - Accent2 8 5" xfId="776"/>
    <cellStyle name="40% - Accent2 9" xfId="777"/>
    <cellStyle name="40% - Accent2 9 2" xfId="778"/>
    <cellStyle name="40% - Accent2 9 3" xfId="779"/>
    <cellStyle name="40% - Accent2 9 4" xfId="780"/>
    <cellStyle name="40% - Accent2 9 5" xfId="781"/>
    <cellStyle name="40% - Accent3 10" xfId="782"/>
    <cellStyle name="40% - Accent3 10 2" xfId="783"/>
    <cellStyle name="40% - Accent3 10 3" xfId="784"/>
    <cellStyle name="40% - Accent3 10 4" xfId="785"/>
    <cellStyle name="40% - Accent3 10 5" xfId="786"/>
    <cellStyle name="40% - Accent3 11" xfId="787"/>
    <cellStyle name="40% - Accent3 11 2" xfId="788"/>
    <cellStyle name="40% - Accent3 11 3" xfId="789"/>
    <cellStyle name="40% - Accent3 11 4" xfId="790"/>
    <cellStyle name="40% - Accent3 11 5" xfId="791"/>
    <cellStyle name="40% - Accent3 12" xfId="792"/>
    <cellStyle name="40% - Accent3 12 2" xfId="793"/>
    <cellStyle name="40% - Accent3 12 3" xfId="794"/>
    <cellStyle name="40% - Accent3 12 4" xfId="795"/>
    <cellStyle name="40% - Accent3 12 5" xfId="796"/>
    <cellStyle name="40% - Accent3 13" xfId="797"/>
    <cellStyle name="40% - Accent3 13 2" xfId="798"/>
    <cellStyle name="40% - Accent3 13 3" xfId="799"/>
    <cellStyle name="40% - Accent3 13 4" xfId="800"/>
    <cellStyle name="40% - Accent3 13 5" xfId="801"/>
    <cellStyle name="40% - Accent3 14" xfId="802"/>
    <cellStyle name="40% - Accent3 14 2" xfId="803"/>
    <cellStyle name="40% - Accent3 14 3" xfId="804"/>
    <cellStyle name="40% - Accent3 14 4" xfId="805"/>
    <cellStyle name="40% - Accent3 14 5" xfId="806"/>
    <cellStyle name="40% - Accent3 15" xfId="807"/>
    <cellStyle name="40% - Accent3 15 2" xfId="808"/>
    <cellStyle name="40% - Accent3 15 3" xfId="809"/>
    <cellStyle name="40% - Accent3 15 4" xfId="810"/>
    <cellStyle name="40% - Accent3 15 5" xfId="811"/>
    <cellStyle name="40% - Accent3 16" xfId="812"/>
    <cellStyle name="40% - Accent3 16 2" xfId="813"/>
    <cellStyle name="40% - Accent3 16 3" xfId="814"/>
    <cellStyle name="40% - Accent3 16 4" xfId="815"/>
    <cellStyle name="40% - Accent3 16 5" xfId="816"/>
    <cellStyle name="40% - Accent3 17" xfId="817"/>
    <cellStyle name="40% - Accent3 17 2" xfId="818"/>
    <cellStyle name="40% - Accent3 17 3" xfId="819"/>
    <cellStyle name="40% - Accent3 17 4" xfId="820"/>
    <cellStyle name="40% - Accent3 17 5" xfId="821"/>
    <cellStyle name="40% - Accent3 18" xfId="822"/>
    <cellStyle name="40% - Accent3 18 2" xfId="823"/>
    <cellStyle name="40% - Accent3 18 3" xfId="824"/>
    <cellStyle name="40% - Accent3 18 4" xfId="825"/>
    <cellStyle name="40% - Accent3 18 5" xfId="826"/>
    <cellStyle name="40% - Accent3 19" xfId="827"/>
    <cellStyle name="40% - Accent3 19 2" xfId="828"/>
    <cellStyle name="40% - Accent3 19 3" xfId="829"/>
    <cellStyle name="40% - Accent3 19 4" xfId="830"/>
    <cellStyle name="40% - Accent3 19 5" xfId="831"/>
    <cellStyle name="40% - Accent3 2" xfId="832"/>
    <cellStyle name="40% - Accent3 2 2" xfId="833"/>
    <cellStyle name="40% - Accent3 2 3" xfId="834"/>
    <cellStyle name="40% - Accent3 2 3 2" xfId="835"/>
    <cellStyle name="40% - Accent3 2 4" xfId="836"/>
    <cellStyle name="40% - Accent3 2 4 2" xfId="837"/>
    <cellStyle name="40% - Accent3 20" xfId="838"/>
    <cellStyle name="40% - Accent3 21" xfId="839"/>
    <cellStyle name="40% - Accent3 22" xfId="840"/>
    <cellStyle name="40% - Accent3 3" xfId="841"/>
    <cellStyle name="40% - Accent3 3 2" xfId="842"/>
    <cellStyle name="40% - Accent3 3 3" xfId="843"/>
    <cellStyle name="40% - Accent3 3 4" xfId="844"/>
    <cellStyle name="40% - Accent3 3 5" xfId="845"/>
    <cellStyle name="40% - Accent3 4" xfId="846"/>
    <cellStyle name="40% - Accent3 4 2" xfId="847"/>
    <cellStyle name="40% - Accent3 4 3" xfId="848"/>
    <cellStyle name="40% - Accent3 4 4" xfId="849"/>
    <cellStyle name="40% - Accent3 4 5" xfId="850"/>
    <cellStyle name="40% - Accent3 5" xfId="851"/>
    <cellStyle name="40% - Accent3 5 2" xfId="852"/>
    <cellStyle name="40% - Accent3 5 3" xfId="853"/>
    <cellStyle name="40% - Accent3 5 4" xfId="854"/>
    <cellStyle name="40% - Accent3 5 5" xfId="855"/>
    <cellStyle name="40% - Accent3 6" xfId="856"/>
    <cellStyle name="40% - Accent3 6 2" xfId="857"/>
    <cellStyle name="40% - Accent3 6 3" xfId="858"/>
    <cellStyle name="40% - Accent3 6 4" xfId="859"/>
    <cellStyle name="40% - Accent3 6 5" xfId="860"/>
    <cellStyle name="40% - Accent3 7" xfId="861"/>
    <cellStyle name="40% - Accent3 7 2" xfId="862"/>
    <cellStyle name="40% - Accent3 7 3" xfId="863"/>
    <cellStyle name="40% - Accent3 7 4" xfId="864"/>
    <cellStyle name="40% - Accent3 7 5" xfId="865"/>
    <cellStyle name="40% - Accent3 8" xfId="866"/>
    <cellStyle name="40% - Accent3 8 2" xfId="867"/>
    <cellStyle name="40% - Accent3 8 3" xfId="868"/>
    <cellStyle name="40% - Accent3 8 4" xfId="869"/>
    <cellStyle name="40% - Accent3 8 5" xfId="870"/>
    <cellStyle name="40% - Accent3 9" xfId="871"/>
    <cellStyle name="40% - Accent3 9 2" xfId="872"/>
    <cellStyle name="40% - Accent3 9 3" xfId="873"/>
    <cellStyle name="40% - Accent3 9 4" xfId="874"/>
    <cellStyle name="40% - Accent3 9 5" xfId="875"/>
    <cellStyle name="40% - Accent4 10" xfId="876"/>
    <cellStyle name="40% - Accent4 10 2" xfId="877"/>
    <cellStyle name="40% - Accent4 10 3" xfId="878"/>
    <cellStyle name="40% - Accent4 10 4" xfId="879"/>
    <cellStyle name="40% - Accent4 10 5" xfId="880"/>
    <cellStyle name="40% - Accent4 11" xfId="881"/>
    <cellStyle name="40% - Accent4 11 2" xfId="882"/>
    <cellStyle name="40% - Accent4 11 3" xfId="883"/>
    <cellStyle name="40% - Accent4 11 4" xfId="884"/>
    <cellStyle name="40% - Accent4 11 5" xfId="885"/>
    <cellStyle name="40% - Accent4 12" xfId="886"/>
    <cellStyle name="40% - Accent4 12 2" xfId="887"/>
    <cellStyle name="40% - Accent4 12 3" xfId="888"/>
    <cellStyle name="40% - Accent4 12 4" xfId="889"/>
    <cellStyle name="40% - Accent4 12 5" xfId="890"/>
    <cellStyle name="40% - Accent4 13" xfId="891"/>
    <cellStyle name="40% - Accent4 13 2" xfId="892"/>
    <cellStyle name="40% - Accent4 13 3" xfId="893"/>
    <cellStyle name="40% - Accent4 13 4" xfId="894"/>
    <cellStyle name="40% - Accent4 13 5" xfId="895"/>
    <cellStyle name="40% - Accent4 14" xfId="896"/>
    <cellStyle name="40% - Accent4 14 2" xfId="897"/>
    <cellStyle name="40% - Accent4 14 3" xfId="898"/>
    <cellStyle name="40% - Accent4 14 4" xfId="899"/>
    <cellStyle name="40% - Accent4 14 5" xfId="900"/>
    <cellStyle name="40% - Accent4 15" xfId="901"/>
    <cellStyle name="40% - Accent4 15 2" xfId="902"/>
    <cellStyle name="40% - Accent4 15 3" xfId="903"/>
    <cellStyle name="40% - Accent4 15 4" xfId="904"/>
    <cellStyle name="40% - Accent4 15 5" xfId="905"/>
    <cellStyle name="40% - Accent4 16" xfId="906"/>
    <cellStyle name="40% - Accent4 16 2" xfId="907"/>
    <cellStyle name="40% - Accent4 16 3" xfId="908"/>
    <cellStyle name="40% - Accent4 16 4" xfId="909"/>
    <cellStyle name="40% - Accent4 16 5" xfId="910"/>
    <cellStyle name="40% - Accent4 17" xfId="911"/>
    <cellStyle name="40% - Accent4 17 2" xfId="912"/>
    <cellStyle name="40% - Accent4 17 3" xfId="913"/>
    <cellStyle name="40% - Accent4 17 4" xfId="914"/>
    <cellStyle name="40% - Accent4 17 5" xfId="915"/>
    <cellStyle name="40% - Accent4 18" xfId="916"/>
    <cellStyle name="40% - Accent4 18 2" xfId="917"/>
    <cellStyle name="40% - Accent4 18 3" xfId="918"/>
    <cellStyle name="40% - Accent4 18 4" xfId="919"/>
    <cellStyle name="40% - Accent4 18 5" xfId="920"/>
    <cellStyle name="40% - Accent4 19" xfId="921"/>
    <cellStyle name="40% - Accent4 19 2" xfId="922"/>
    <cellStyle name="40% - Accent4 19 3" xfId="923"/>
    <cellStyle name="40% - Accent4 19 4" xfId="924"/>
    <cellStyle name="40% - Accent4 19 5" xfId="925"/>
    <cellStyle name="40% - Accent4 2" xfId="926"/>
    <cellStyle name="40% - Accent4 2 2" xfId="927"/>
    <cellStyle name="40% - Accent4 2 3" xfId="928"/>
    <cellStyle name="40% - Accent4 2 3 2" xfId="929"/>
    <cellStyle name="40% - Accent4 2 4" xfId="930"/>
    <cellStyle name="40% - Accent4 2 4 2" xfId="931"/>
    <cellStyle name="40% - Accent4 20" xfId="932"/>
    <cellStyle name="40% - Accent4 21" xfId="933"/>
    <cellStyle name="40% - Accent4 22" xfId="934"/>
    <cellStyle name="40% - Accent4 3" xfId="935"/>
    <cellStyle name="40% - Accent4 3 2" xfId="936"/>
    <cellStyle name="40% - Accent4 3 3" xfId="937"/>
    <cellStyle name="40% - Accent4 3 4" xfId="938"/>
    <cellStyle name="40% - Accent4 3 5" xfId="939"/>
    <cellStyle name="40% - Accent4 4" xfId="940"/>
    <cellStyle name="40% - Accent4 4 2" xfId="941"/>
    <cellStyle name="40% - Accent4 4 3" xfId="942"/>
    <cellStyle name="40% - Accent4 4 4" xfId="943"/>
    <cellStyle name="40% - Accent4 4 5" xfId="944"/>
    <cellStyle name="40% - Accent4 5" xfId="945"/>
    <cellStyle name="40% - Accent4 5 2" xfId="946"/>
    <cellStyle name="40% - Accent4 5 3" xfId="947"/>
    <cellStyle name="40% - Accent4 5 4" xfId="948"/>
    <cellStyle name="40% - Accent4 5 5" xfId="949"/>
    <cellStyle name="40% - Accent4 6" xfId="950"/>
    <cellStyle name="40% - Accent4 6 2" xfId="951"/>
    <cellStyle name="40% - Accent4 6 3" xfId="952"/>
    <cellStyle name="40% - Accent4 6 4" xfId="953"/>
    <cellStyle name="40% - Accent4 6 5" xfId="954"/>
    <cellStyle name="40% - Accent4 7" xfId="955"/>
    <cellStyle name="40% - Accent4 7 2" xfId="956"/>
    <cellStyle name="40% - Accent4 7 3" xfId="957"/>
    <cellStyle name="40% - Accent4 7 4" xfId="958"/>
    <cellStyle name="40% - Accent4 7 5" xfId="959"/>
    <cellStyle name="40% - Accent4 8" xfId="960"/>
    <cellStyle name="40% - Accent4 8 2" xfId="961"/>
    <cellStyle name="40% - Accent4 8 3" xfId="962"/>
    <cellStyle name="40% - Accent4 8 4" xfId="963"/>
    <cellStyle name="40% - Accent4 8 5" xfId="964"/>
    <cellStyle name="40% - Accent4 9" xfId="965"/>
    <cellStyle name="40% - Accent4 9 2" xfId="966"/>
    <cellStyle name="40% - Accent4 9 3" xfId="967"/>
    <cellStyle name="40% - Accent4 9 4" xfId="968"/>
    <cellStyle name="40% - Accent4 9 5" xfId="969"/>
    <cellStyle name="40% - Accent5 10" xfId="970"/>
    <cellStyle name="40% - Accent5 10 2" xfId="971"/>
    <cellStyle name="40% - Accent5 10 3" xfId="972"/>
    <cellStyle name="40% - Accent5 10 4" xfId="973"/>
    <cellStyle name="40% - Accent5 10 5" xfId="974"/>
    <cellStyle name="40% - Accent5 11" xfId="975"/>
    <cellStyle name="40% - Accent5 11 2" xfId="976"/>
    <cellStyle name="40% - Accent5 11 3" xfId="977"/>
    <cellStyle name="40% - Accent5 11 4" xfId="978"/>
    <cellStyle name="40% - Accent5 11 5" xfId="979"/>
    <cellStyle name="40% - Accent5 12" xfId="980"/>
    <cellStyle name="40% - Accent5 12 2" xfId="981"/>
    <cellStyle name="40% - Accent5 12 3" xfId="982"/>
    <cellStyle name="40% - Accent5 12 4" xfId="983"/>
    <cellStyle name="40% - Accent5 12 5" xfId="984"/>
    <cellStyle name="40% - Accent5 13" xfId="985"/>
    <cellStyle name="40% - Accent5 13 2" xfId="986"/>
    <cellStyle name="40% - Accent5 13 3" xfId="987"/>
    <cellStyle name="40% - Accent5 13 4" xfId="988"/>
    <cellStyle name="40% - Accent5 13 5" xfId="989"/>
    <cellStyle name="40% - Accent5 14" xfId="990"/>
    <cellStyle name="40% - Accent5 14 2" xfId="991"/>
    <cellStyle name="40% - Accent5 14 3" xfId="992"/>
    <cellStyle name="40% - Accent5 14 4" xfId="993"/>
    <cellStyle name="40% - Accent5 14 5" xfId="994"/>
    <cellStyle name="40% - Accent5 15" xfId="995"/>
    <cellStyle name="40% - Accent5 15 2" xfId="996"/>
    <cellStyle name="40% - Accent5 15 3" xfId="997"/>
    <cellStyle name="40% - Accent5 15 4" xfId="998"/>
    <cellStyle name="40% - Accent5 15 5" xfId="999"/>
    <cellStyle name="40% - Accent5 16" xfId="1000"/>
    <cellStyle name="40% - Accent5 16 2" xfId="1001"/>
    <cellStyle name="40% - Accent5 16 3" xfId="1002"/>
    <cellStyle name="40% - Accent5 16 4" xfId="1003"/>
    <cellStyle name="40% - Accent5 16 5" xfId="1004"/>
    <cellStyle name="40% - Accent5 17" xfId="1005"/>
    <cellStyle name="40% - Accent5 17 2" xfId="1006"/>
    <cellStyle name="40% - Accent5 17 3" xfId="1007"/>
    <cellStyle name="40% - Accent5 17 4" xfId="1008"/>
    <cellStyle name="40% - Accent5 17 5" xfId="1009"/>
    <cellStyle name="40% - Accent5 18" xfId="1010"/>
    <cellStyle name="40% - Accent5 18 2" xfId="1011"/>
    <cellStyle name="40% - Accent5 18 3" xfId="1012"/>
    <cellStyle name="40% - Accent5 18 4" xfId="1013"/>
    <cellStyle name="40% - Accent5 18 5" xfId="1014"/>
    <cellStyle name="40% - Accent5 19" xfId="1015"/>
    <cellStyle name="40% - Accent5 19 2" xfId="1016"/>
    <cellStyle name="40% - Accent5 19 3" xfId="1017"/>
    <cellStyle name="40% - Accent5 19 4" xfId="1018"/>
    <cellStyle name="40% - Accent5 19 5" xfId="1019"/>
    <cellStyle name="40% - Accent5 2" xfId="1020"/>
    <cellStyle name="40% - Accent5 2 2" xfId="1021"/>
    <cellStyle name="40% - Accent5 2 3" xfId="1022"/>
    <cellStyle name="40% - Accent5 2 3 2" xfId="1023"/>
    <cellStyle name="40% - Accent5 2 4" xfId="1024"/>
    <cellStyle name="40% - Accent5 2 4 2" xfId="1025"/>
    <cellStyle name="40% - Accent5 20" xfId="1026"/>
    <cellStyle name="40% - Accent5 21" xfId="1027"/>
    <cellStyle name="40% - Accent5 22" xfId="1028"/>
    <cellStyle name="40% - Accent5 3" xfId="1029"/>
    <cellStyle name="40% - Accent5 3 2" xfId="1030"/>
    <cellStyle name="40% - Accent5 3 3" xfId="1031"/>
    <cellStyle name="40% - Accent5 3 4" xfId="1032"/>
    <cellStyle name="40% - Accent5 3 5" xfId="1033"/>
    <cellStyle name="40% - Accent5 4" xfId="1034"/>
    <cellStyle name="40% - Accent5 4 2" xfId="1035"/>
    <cellStyle name="40% - Accent5 4 3" xfId="1036"/>
    <cellStyle name="40% - Accent5 4 4" xfId="1037"/>
    <cellStyle name="40% - Accent5 4 5" xfId="1038"/>
    <cellStyle name="40% - Accent5 5" xfId="1039"/>
    <cellStyle name="40% - Accent5 5 2" xfId="1040"/>
    <cellStyle name="40% - Accent5 5 3" xfId="1041"/>
    <cellStyle name="40% - Accent5 5 4" xfId="1042"/>
    <cellStyle name="40% - Accent5 5 5" xfId="1043"/>
    <cellStyle name="40% - Accent5 6" xfId="1044"/>
    <cellStyle name="40% - Accent5 6 2" xfId="1045"/>
    <cellStyle name="40% - Accent5 6 3" xfId="1046"/>
    <cellStyle name="40% - Accent5 6 4" xfId="1047"/>
    <cellStyle name="40% - Accent5 6 5" xfId="1048"/>
    <cellStyle name="40% - Accent5 7" xfId="1049"/>
    <cellStyle name="40% - Accent5 7 2" xfId="1050"/>
    <cellStyle name="40% - Accent5 7 3" xfId="1051"/>
    <cellStyle name="40% - Accent5 7 4" xfId="1052"/>
    <cellStyle name="40% - Accent5 7 5" xfId="1053"/>
    <cellStyle name="40% - Accent5 8" xfId="1054"/>
    <cellStyle name="40% - Accent5 8 2" xfId="1055"/>
    <cellStyle name="40% - Accent5 8 3" xfId="1056"/>
    <cellStyle name="40% - Accent5 8 4" xfId="1057"/>
    <cellStyle name="40% - Accent5 8 5" xfId="1058"/>
    <cellStyle name="40% - Accent5 9" xfId="1059"/>
    <cellStyle name="40% - Accent5 9 2" xfId="1060"/>
    <cellStyle name="40% - Accent5 9 3" xfId="1061"/>
    <cellStyle name="40% - Accent5 9 4" xfId="1062"/>
    <cellStyle name="40% - Accent5 9 5" xfId="1063"/>
    <cellStyle name="40% - Accent6 10" xfId="1064"/>
    <cellStyle name="40% - Accent6 10 2" xfId="1065"/>
    <cellStyle name="40% - Accent6 10 3" xfId="1066"/>
    <cellStyle name="40% - Accent6 10 4" xfId="1067"/>
    <cellStyle name="40% - Accent6 10 5" xfId="1068"/>
    <cellStyle name="40% - Accent6 11" xfId="1069"/>
    <cellStyle name="40% - Accent6 11 2" xfId="1070"/>
    <cellStyle name="40% - Accent6 11 3" xfId="1071"/>
    <cellStyle name="40% - Accent6 11 4" xfId="1072"/>
    <cellStyle name="40% - Accent6 11 5" xfId="1073"/>
    <cellStyle name="40% - Accent6 12" xfId="1074"/>
    <cellStyle name="40% - Accent6 12 2" xfId="1075"/>
    <cellStyle name="40% - Accent6 12 3" xfId="1076"/>
    <cellStyle name="40% - Accent6 12 4" xfId="1077"/>
    <cellStyle name="40% - Accent6 12 5" xfId="1078"/>
    <cellStyle name="40% - Accent6 13" xfId="1079"/>
    <cellStyle name="40% - Accent6 13 2" xfId="1080"/>
    <cellStyle name="40% - Accent6 13 3" xfId="1081"/>
    <cellStyle name="40% - Accent6 13 4" xfId="1082"/>
    <cellStyle name="40% - Accent6 13 5" xfId="1083"/>
    <cellStyle name="40% - Accent6 14" xfId="1084"/>
    <cellStyle name="40% - Accent6 14 2" xfId="1085"/>
    <cellStyle name="40% - Accent6 14 3" xfId="1086"/>
    <cellStyle name="40% - Accent6 14 4" xfId="1087"/>
    <cellStyle name="40% - Accent6 14 5" xfId="1088"/>
    <cellStyle name="40% - Accent6 15" xfId="1089"/>
    <cellStyle name="40% - Accent6 15 2" xfId="1090"/>
    <cellStyle name="40% - Accent6 15 3" xfId="1091"/>
    <cellStyle name="40% - Accent6 15 4" xfId="1092"/>
    <cellStyle name="40% - Accent6 15 5" xfId="1093"/>
    <cellStyle name="40% - Accent6 16" xfId="1094"/>
    <cellStyle name="40% - Accent6 16 2" xfId="1095"/>
    <cellStyle name="40% - Accent6 16 3" xfId="1096"/>
    <cellStyle name="40% - Accent6 16 4" xfId="1097"/>
    <cellStyle name="40% - Accent6 16 5" xfId="1098"/>
    <cellStyle name="40% - Accent6 17" xfId="1099"/>
    <cellStyle name="40% - Accent6 17 2" xfId="1100"/>
    <cellStyle name="40% - Accent6 17 3" xfId="1101"/>
    <cellStyle name="40% - Accent6 17 4" xfId="1102"/>
    <cellStyle name="40% - Accent6 17 5" xfId="1103"/>
    <cellStyle name="40% - Accent6 18" xfId="1104"/>
    <cellStyle name="40% - Accent6 18 2" xfId="1105"/>
    <cellStyle name="40% - Accent6 18 3" xfId="1106"/>
    <cellStyle name="40% - Accent6 18 4" xfId="1107"/>
    <cellStyle name="40% - Accent6 18 5" xfId="1108"/>
    <cellStyle name="40% - Accent6 19" xfId="1109"/>
    <cellStyle name="40% - Accent6 19 2" xfId="1110"/>
    <cellStyle name="40% - Accent6 19 3" xfId="1111"/>
    <cellStyle name="40% - Accent6 19 4" xfId="1112"/>
    <cellStyle name="40% - Accent6 19 5" xfId="1113"/>
    <cellStyle name="40% - Accent6 2" xfId="1114"/>
    <cellStyle name="40% - Accent6 2 2" xfId="1115"/>
    <cellStyle name="40% - Accent6 2 3" xfId="1116"/>
    <cellStyle name="40% - Accent6 2 3 2" xfId="1117"/>
    <cellStyle name="40% - Accent6 2 4" xfId="1118"/>
    <cellStyle name="40% - Accent6 2 4 2" xfId="1119"/>
    <cellStyle name="40% - Accent6 20" xfId="1120"/>
    <cellStyle name="40% - Accent6 21" xfId="1121"/>
    <cellStyle name="40% - Accent6 22" xfId="1122"/>
    <cellStyle name="40% - Accent6 3" xfId="1123"/>
    <cellStyle name="40% - Accent6 3 2" xfId="1124"/>
    <cellStyle name="40% - Accent6 3 3" xfId="1125"/>
    <cellStyle name="40% - Accent6 3 4" xfId="1126"/>
    <cellStyle name="40% - Accent6 3 5" xfId="1127"/>
    <cellStyle name="40% - Accent6 4" xfId="1128"/>
    <cellStyle name="40% - Accent6 4 2" xfId="1129"/>
    <cellStyle name="40% - Accent6 4 3" xfId="1130"/>
    <cellStyle name="40% - Accent6 4 4" xfId="1131"/>
    <cellStyle name="40% - Accent6 4 5" xfId="1132"/>
    <cellStyle name="40% - Accent6 5" xfId="1133"/>
    <cellStyle name="40% - Accent6 5 2" xfId="1134"/>
    <cellStyle name="40% - Accent6 5 3" xfId="1135"/>
    <cellStyle name="40% - Accent6 5 4" xfId="1136"/>
    <cellStyle name="40% - Accent6 5 5" xfId="1137"/>
    <cellStyle name="40% - Accent6 6" xfId="1138"/>
    <cellStyle name="40% - Accent6 6 2" xfId="1139"/>
    <cellStyle name="40% - Accent6 6 3" xfId="1140"/>
    <cellStyle name="40% - Accent6 6 4" xfId="1141"/>
    <cellStyle name="40% - Accent6 6 5" xfId="1142"/>
    <cellStyle name="40% - Accent6 7" xfId="1143"/>
    <cellStyle name="40% - Accent6 7 2" xfId="1144"/>
    <cellStyle name="40% - Accent6 7 3" xfId="1145"/>
    <cellStyle name="40% - Accent6 7 4" xfId="1146"/>
    <cellStyle name="40% - Accent6 7 5" xfId="1147"/>
    <cellStyle name="40% - Accent6 8" xfId="1148"/>
    <cellStyle name="40% - Accent6 8 2" xfId="1149"/>
    <cellStyle name="40% - Accent6 8 3" xfId="1150"/>
    <cellStyle name="40% - Accent6 8 4" xfId="1151"/>
    <cellStyle name="40% - Accent6 8 5" xfId="1152"/>
    <cellStyle name="40% - Accent6 9" xfId="1153"/>
    <cellStyle name="40% - Accent6 9 2" xfId="1154"/>
    <cellStyle name="40% - Accent6 9 3" xfId="1155"/>
    <cellStyle name="40% - Accent6 9 4" xfId="1156"/>
    <cellStyle name="40% - Accent6 9 5" xfId="1157"/>
    <cellStyle name="40% - Aksen1" xfId="1158"/>
    <cellStyle name="40% - Aksen2" xfId="1159"/>
    <cellStyle name="40% - Aksen3" xfId="1160"/>
    <cellStyle name="40% - Aksen4" xfId="1161"/>
    <cellStyle name="40% - Aksen5" xfId="1162"/>
    <cellStyle name="40% - Aksen6" xfId="1163"/>
    <cellStyle name="60% - Accent1 10" xfId="1164"/>
    <cellStyle name="60% - Accent1 11" xfId="1165"/>
    <cellStyle name="60% - Accent1 12" xfId="1166"/>
    <cellStyle name="60% - Accent1 13" xfId="1167"/>
    <cellStyle name="60% - Accent1 14" xfId="1168"/>
    <cellStyle name="60% - Accent1 15" xfId="1169"/>
    <cellStyle name="60% - Accent1 16" xfId="1170"/>
    <cellStyle name="60% - Accent1 17" xfId="1171"/>
    <cellStyle name="60% - Accent1 18" xfId="1172"/>
    <cellStyle name="60% - Accent1 19" xfId="1173"/>
    <cellStyle name="60% - Accent1 2" xfId="1174"/>
    <cellStyle name="60% - Accent1 2 2" xfId="1175"/>
    <cellStyle name="60% - Accent1 2 3" xfId="1176"/>
    <cellStyle name="60% - Accent1 2 4" xfId="1177"/>
    <cellStyle name="60% - Accent1 20" xfId="1178"/>
    <cellStyle name="60% - Accent1 21" xfId="1179"/>
    <cellStyle name="60% - Accent1 22" xfId="1180"/>
    <cellStyle name="60% - Accent1 3" xfId="1181"/>
    <cellStyle name="60% - Accent1 4" xfId="1182"/>
    <cellStyle name="60% - Accent1 5" xfId="1183"/>
    <cellStyle name="60% - Accent1 6" xfId="1184"/>
    <cellStyle name="60% - Accent1 7" xfId="1185"/>
    <cellStyle name="60% - Accent1 8" xfId="1186"/>
    <cellStyle name="60% - Accent1 9" xfId="1187"/>
    <cellStyle name="60% - Accent2 10" xfId="1188"/>
    <cellStyle name="60% - Accent2 11" xfId="1189"/>
    <cellStyle name="60% - Accent2 12" xfId="1190"/>
    <cellStyle name="60% - Accent2 13" xfId="1191"/>
    <cellStyle name="60% - Accent2 14" xfId="1192"/>
    <cellStyle name="60% - Accent2 15" xfId="1193"/>
    <cellStyle name="60% - Accent2 16" xfId="1194"/>
    <cellStyle name="60% - Accent2 17" xfId="1195"/>
    <cellStyle name="60% - Accent2 18" xfId="1196"/>
    <cellStyle name="60% - Accent2 19" xfId="1197"/>
    <cellStyle name="60% - Accent2 2" xfId="1198"/>
    <cellStyle name="60% - Accent2 2 2" xfId="1199"/>
    <cellStyle name="60% - Accent2 2 2 2" xfId="1200"/>
    <cellStyle name="60% - Accent2 2 2 3" xfId="1201"/>
    <cellStyle name="60% - Accent2 2 3" xfId="1202"/>
    <cellStyle name="60% - Accent2 2 4" xfId="1203"/>
    <cellStyle name="60% - Accent2 20" xfId="1204"/>
    <cellStyle name="60% - Accent2 21" xfId="1205"/>
    <cellStyle name="60% - Accent2 22" xfId="1206"/>
    <cellStyle name="60% - Accent2 3" xfId="1207"/>
    <cellStyle name="60% - Accent2 3 2" xfId="1208"/>
    <cellStyle name="60% - Accent2 4" xfId="1209"/>
    <cellStyle name="60% - Accent2 5" xfId="1210"/>
    <cellStyle name="60% - Accent2 6" xfId="1211"/>
    <cellStyle name="60% - Accent2 7" xfId="1212"/>
    <cellStyle name="60% - Accent2 8" xfId="1213"/>
    <cellStyle name="60% - Accent2 9" xfId="1214"/>
    <cellStyle name="60% - Accent3 10" xfId="1215"/>
    <cellStyle name="60% - Accent3 11" xfId="1216"/>
    <cellStyle name="60% - Accent3 12" xfId="1217"/>
    <cellStyle name="60% - Accent3 13" xfId="1218"/>
    <cellStyle name="60% - Accent3 14" xfId="1219"/>
    <cellStyle name="60% - Accent3 15" xfId="1220"/>
    <cellStyle name="60% - Accent3 16" xfId="1221"/>
    <cellStyle name="60% - Accent3 17" xfId="1222"/>
    <cellStyle name="60% - Accent3 18" xfId="1223"/>
    <cellStyle name="60% - Accent3 19" xfId="1224"/>
    <cellStyle name="60% - Accent3 2" xfId="1225"/>
    <cellStyle name="60% - Accent3 2 2" xfId="1226"/>
    <cellStyle name="60% - Accent3 2 3" xfId="1227"/>
    <cellStyle name="60% - Accent3 2 4" xfId="1228"/>
    <cellStyle name="60% - Accent3 20" xfId="1229"/>
    <cellStyle name="60% - Accent3 21" xfId="1230"/>
    <cellStyle name="60% - Accent3 22" xfId="1231"/>
    <cellStyle name="60% - Accent3 3" xfId="1232"/>
    <cellStyle name="60% - Accent3 4" xfId="1233"/>
    <cellStyle name="60% - Accent3 5" xfId="1234"/>
    <cellStyle name="60% - Accent3 6" xfId="1235"/>
    <cellStyle name="60% - Accent3 7" xfId="1236"/>
    <cellStyle name="60% - Accent3 8" xfId="1237"/>
    <cellStyle name="60% - Accent3 9" xfId="1238"/>
    <cellStyle name="60% - Accent4 10" xfId="1239"/>
    <cellStyle name="60% - Accent4 11" xfId="1240"/>
    <cellStyle name="60% - Accent4 12" xfId="1241"/>
    <cellStyle name="60% - Accent4 13" xfId="1242"/>
    <cellStyle name="60% - Accent4 14" xfId="1243"/>
    <cellStyle name="60% - Accent4 15" xfId="1244"/>
    <cellStyle name="60% - Accent4 16" xfId="1245"/>
    <cellStyle name="60% - Accent4 17" xfId="1246"/>
    <cellStyle name="60% - Accent4 18" xfId="1247"/>
    <cellStyle name="60% - Accent4 19" xfId="1248"/>
    <cellStyle name="60% - Accent4 2" xfId="1249"/>
    <cellStyle name="60% - Accent4 2 2" xfId="1250"/>
    <cellStyle name="60% - Accent4 2 3" xfId="1251"/>
    <cellStyle name="60% - Accent4 2 4" xfId="1252"/>
    <cellStyle name="60% - Accent4 20" xfId="1253"/>
    <cellStyle name="60% - Accent4 21" xfId="1254"/>
    <cellStyle name="60% - Accent4 22" xfId="1255"/>
    <cellStyle name="60% - Accent4 3" xfId="1256"/>
    <cellStyle name="60% - Accent4 4" xfId="1257"/>
    <cellStyle name="60% - Accent4 5" xfId="1258"/>
    <cellStyle name="60% - Accent4 6" xfId="1259"/>
    <cellStyle name="60% - Accent4 7" xfId="1260"/>
    <cellStyle name="60% - Accent4 8" xfId="1261"/>
    <cellStyle name="60% - Accent4 9" xfId="1262"/>
    <cellStyle name="60% - Accent5 10" xfId="1263"/>
    <cellStyle name="60% - Accent5 11" xfId="1264"/>
    <cellStyle name="60% - Accent5 12" xfId="1265"/>
    <cellStyle name="60% - Accent5 13" xfId="1266"/>
    <cellStyle name="60% - Accent5 14" xfId="1267"/>
    <cellStyle name="60% - Accent5 15" xfId="1268"/>
    <cellStyle name="60% - Accent5 16" xfId="1269"/>
    <cellStyle name="60% - Accent5 17" xfId="1270"/>
    <cellStyle name="60% - Accent5 18" xfId="1271"/>
    <cellStyle name="60% - Accent5 19" xfId="1272"/>
    <cellStyle name="60% - Accent5 2" xfId="1273"/>
    <cellStyle name="60% - Accent5 2 2" xfId="1274"/>
    <cellStyle name="60% - Accent5 2 3" xfId="1275"/>
    <cellStyle name="60% - Accent5 2 4" xfId="1276"/>
    <cellStyle name="60% - Accent5 20" xfId="1277"/>
    <cellStyle name="60% - Accent5 21" xfId="1278"/>
    <cellStyle name="60% - Accent5 22" xfId="1279"/>
    <cellStyle name="60% - Accent5 3" xfId="1280"/>
    <cellStyle name="60% - Accent5 4" xfId="1281"/>
    <cellStyle name="60% - Accent5 5" xfId="1282"/>
    <cellStyle name="60% - Accent5 6" xfId="1283"/>
    <cellStyle name="60% - Accent5 7" xfId="1284"/>
    <cellStyle name="60% - Accent5 8" xfId="1285"/>
    <cellStyle name="60% - Accent5 9" xfId="1286"/>
    <cellStyle name="60% - Accent6 10" xfId="1287"/>
    <cellStyle name="60% - Accent6 11" xfId="1288"/>
    <cellStyle name="60% - Accent6 12" xfId="1289"/>
    <cellStyle name="60% - Accent6 13" xfId="1290"/>
    <cellStyle name="60% - Accent6 14" xfId="1291"/>
    <cellStyle name="60% - Accent6 15" xfId="1292"/>
    <cellStyle name="60% - Accent6 16" xfId="1293"/>
    <cellStyle name="60% - Accent6 17" xfId="1294"/>
    <cellStyle name="60% - Accent6 18" xfId="1295"/>
    <cellStyle name="60% - Accent6 19" xfId="1296"/>
    <cellStyle name="60% - Accent6 2" xfId="1297"/>
    <cellStyle name="60% - Accent6 2 2" xfId="1298"/>
    <cellStyle name="60% - Accent6 2 2 2" xfId="1299"/>
    <cellStyle name="60% - Accent6 2 2 3" xfId="1300"/>
    <cellStyle name="60% - Accent6 2 3" xfId="1301"/>
    <cellStyle name="60% - Accent6 2 4" xfId="1302"/>
    <cellStyle name="60% - Accent6 20" xfId="1303"/>
    <cellStyle name="60% - Accent6 21" xfId="1304"/>
    <cellStyle name="60% - Accent6 22" xfId="1305"/>
    <cellStyle name="60% - Accent6 3" xfId="1306"/>
    <cellStyle name="60% - Accent6 3 2" xfId="1307"/>
    <cellStyle name="60% - Accent6 4" xfId="1308"/>
    <cellStyle name="60% - Accent6 5" xfId="1309"/>
    <cellStyle name="60% - Accent6 6" xfId="1310"/>
    <cellStyle name="60% - Accent6 7" xfId="1311"/>
    <cellStyle name="60% - Accent6 8" xfId="1312"/>
    <cellStyle name="60% - Accent6 9" xfId="1313"/>
    <cellStyle name="60% - Aksen1" xfId="1314"/>
    <cellStyle name="60% - Aksen2" xfId="1315"/>
    <cellStyle name="60% - Aksen3" xfId="1316"/>
    <cellStyle name="60% - Aksen4" xfId="1317"/>
    <cellStyle name="60% - Aksen5" xfId="1318"/>
    <cellStyle name="60% - Aksen6" xfId="1319"/>
    <cellStyle name="a" xfId="1320"/>
    <cellStyle name="Accent1 - 20%" xfId="1321"/>
    <cellStyle name="Accent1 - 20% 2" xfId="1322"/>
    <cellStyle name="Accent1 - 20% 2 2" xfId="1323"/>
    <cellStyle name="Accent1 - 20% 2 3" xfId="1324"/>
    <cellStyle name="Accent1 - 20% 2 4" xfId="1325"/>
    <cellStyle name="Accent1 - 20% 2 5" xfId="1326"/>
    <cellStyle name="Accent1 - 20% 3" xfId="1327"/>
    <cellStyle name="Accent1 - 20% 3 2" xfId="1328"/>
    <cellStyle name="Accent1 - 20% 4" xfId="1329"/>
    <cellStyle name="Accent1 - 20% 5" xfId="1330"/>
    <cellStyle name="Accent1 - 20% 6" xfId="1331"/>
    <cellStyle name="Accent1 - 20% 7" xfId="1332"/>
    <cellStyle name="Accent1 - 20% 8" xfId="1333"/>
    <cellStyle name="Accent1 - 40%" xfId="1334"/>
    <cellStyle name="Accent1 - 40% 2" xfId="1335"/>
    <cellStyle name="Accent1 - 40% 2 2" xfId="1336"/>
    <cellStyle name="Accent1 - 40% 2 3" xfId="1337"/>
    <cellStyle name="Accent1 - 40% 2 4" xfId="1338"/>
    <cellStyle name="Accent1 - 40% 2 5" xfId="1339"/>
    <cellStyle name="Accent1 - 40% 3" xfId="1340"/>
    <cellStyle name="Accent1 - 40% 3 2" xfId="1341"/>
    <cellStyle name="Accent1 - 40% 4" xfId="1342"/>
    <cellStyle name="Accent1 - 40% 5" xfId="1343"/>
    <cellStyle name="Accent1 - 40% 6" xfId="1344"/>
    <cellStyle name="Accent1 - 40% 7" xfId="1345"/>
    <cellStyle name="Accent1 - 40% 8" xfId="1346"/>
    <cellStyle name="Accent1 - 60%" xfId="1347"/>
    <cellStyle name="Accent1 - 60% 2" xfId="1348"/>
    <cellStyle name="Accent1 - 60% 3" xfId="1349"/>
    <cellStyle name="Accent1 10" xfId="1350"/>
    <cellStyle name="Accent1 11" xfId="1351"/>
    <cellStyle name="Accent1 12" xfId="1352"/>
    <cellStyle name="Accent1 13" xfId="1353"/>
    <cellStyle name="Accent1 14" xfId="1354"/>
    <cellStyle name="Accent1 15" xfId="1355"/>
    <cellStyle name="Accent1 16" xfId="1356"/>
    <cellStyle name="Accent1 17" xfId="1357"/>
    <cellStyle name="Accent1 18" xfId="1358"/>
    <cellStyle name="Accent1 19" xfId="1359"/>
    <cellStyle name="Accent1 2" xfId="1360"/>
    <cellStyle name="Accent1 2 2" xfId="1361"/>
    <cellStyle name="Accent1 2 3" xfId="1362"/>
    <cellStyle name="Accent1 2 4" xfId="1363"/>
    <cellStyle name="Accent1 2 5" xfId="1364"/>
    <cellStyle name="Accent1 2 6" xfId="1365"/>
    <cellStyle name="Accent1 20" xfId="1366"/>
    <cellStyle name="Accent1 21" xfId="1367"/>
    <cellStyle name="Accent1 22" xfId="1368"/>
    <cellStyle name="Accent1 3" xfId="1369"/>
    <cellStyle name="Accent1 4" xfId="1370"/>
    <cellStyle name="Accent1 5" xfId="1371"/>
    <cellStyle name="Accent1 6" xfId="1372"/>
    <cellStyle name="Accent1 7" xfId="1373"/>
    <cellStyle name="Accent1 8" xfId="1374"/>
    <cellStyle name="Accent1 9" xfId="1375"/>
    <cellStyle name="Accent2 - 20%" xfId="1376"/>
    <cellStyle name="Accent2 - 20% 2" xfId="1377"/>
    <cellStyle name="Accent2 - 20% 2 2" xfId="1378"/>
    <cellStyle name="Accent2 - 20% 2 3" xfId="1379"/>
    <cellStyle name="Accent2 - 20% 2 4" xfId="1380"/>
    <cellStyle name="Accent2 - 20% 2 5" xfId="1381"/>
    <cellStyle name="Accent2 - 20% 3" xfId="1382"/>
    <cellStyle name="Accent2 - 20% 3 2" xfId="1383"/>
    <cellStyle name="Accent2 - 20% 4" xfId="1384"/>
    <cellStyle name="Accent2 - 20% 5" xfId="1385"/>
    <cellStyle name="Accent2 - 20% 6" xfId="1386"/>
    <cellStyle name="Accent2 - 20% 7" xfId="1387"/>
    <cellStyle name="Accent2 - 20% 8" xfId="1388"/>
    <cellStyle name="Accent2 - 40%" xfId="1389"/>
    <cellStyle name="Accent2 - 40% 2" xfId="1390"/>
    <cellStyle name="Accent2 - 40% 2 2" xfId="1391"/>
    <cellStyle name="Accent2 - 40% 2 3" xfId="1392"/>
    <cellStyle name="Accent2 - 40% 2 4" xfId="1393"/>
    <cellStyle name="Accent2 - 40% 2 5" xfId="1394"/>
    <cellStyle name="Accent2 - 40% 3" xfId="1395"/>
    <cellStyle name="Accent2 - 40% 3 2" xfId="1396"/>
    <cellStyle name="Accent2 - 40% 4" xfId="1397"/>
    <cellStyle name="Accent2 - 40% 5" xfId="1398"/>
    <cellStyle name="Accent2 - 40% 6" xfId="1399"/>
    <cellStyle name="Accent2 - 40% 7" xfId="1400"/>
    <cellStyle name="Accent2 - 40% 8" xfId="1401"/>
    <cellStyle name="Accent2 - 60%" xfId="1402"/>
    <cellStyle name="Accent2 - 60% 2" xfId="1403"/>
    <cellStyle name="Accent2 - 60% 3" xfId="1404"/>
    <cellStyle name="Accent2 10" xfId="1405"/>
    <cellStyle name="Accent2 11" xfId="1406"/>
    <cellStyle name="Accent2 12" xfId="1407"/>
    <cellStyle name="Accent2 13" xfId="1408"/>
    <cellStyle name="Accent2 14" xfId="1409"/>
    <cellStyle name="Accent2 15" xfId="1410"/>
    <cellStyle name="Accent2 16" xfId="1411"/>
    <cellStyle name="Accent2 17" xfId="1412"/>
    <cellStyle name="Accent2 18" xfId="1413"/>
    <cellStyle name="Accent2 19" xfId="1414"/>
    <cellStyle name="Accent2 2" xfId="1415"/>
    <cellStyle name="Accent2 2 2" xfId="1416"/>
    <cellStyle name="Accent2 2 2 2" xfId="1417"/>
    <cellStyle name="Accent2 2 2 3" xfId="1418"/>
    <cellStyle name="Accent2 2 3" xfId="1419"/>
    <cellStyle name="Accent2 2 4" xfId="1420"/>
    <cellStyle name="Accent2 2 5" xfId="1421"/>
    <cellStyle name="Accent2 2 6" xfId="1422"/>
    <cellStyle name="Accent2 20" xfId="1423"/>
    <cellStyle name="Accent2 21" xfId="1424"/>
    <cellStyle name="Accent2 22" xfId="1425"/>
    <cellStyle name="Accent2 3" xfId="1426"/>
    <cellStyle name="Accent2 3 2" xfId="1427"/>
    <cellStyle name="Accent2 4" xfId="1428"/>
    <cellStyle name="Accent2 5" xfId="1429"/>
    <cellStyle name="Accent2 6" xfId="1430"/>
    <cellStyle name="Accent2 7" xfId="1431"/>
    <cellStyle name="Accent2 8" xfId="1432"/>
    <cellStyle name="Accent2 9" xfId="1433"/>
    <cellStyle name="Accent3 - 20%" xfId="1434"/>
    <cellStyle name="Accent3 - 20% 2" xfId="1435"/>
    <cellStyle name="Accent3 - 20% 2 2" xfId="1436"/>
    <cellStyle name="Accent3 - 20% 2 3" xfId="1437"/>
    <cellStyle name="Accent3 - 20% 2 4" xfId="1438"/>
    <cellStyle name="Accent3 - 20% 2 5" xfId="1439"/>
    <cellStyle name="Accent3 - 20% 3" xfId="1440"/>
    <cellStyle name="Accent3 - 20% 3 2" xfId="1441"/>
    <cellStyle name="Accent3 - 20% 4" xfId="1442"/>
    <cellStyle name="Accent3 - 20% 5" xfId="1443"/>
    <cellStyle name="Accent3 - 20% 6" xfId="1444"/>
    <cellStyle name="Accent3 - 20% 7" xfId="1445"/>
    <cellStyle name="Accent3 - 20% 8" xfId="1446"/>
    <cellStyle name="Accent3 - 40%" xfId="1447"/>
    <cellStyle name="Accent3 - 40% 2" xfId="1448"/>
    <cellStyle name="Accent3 - 40% 2 2" xfId="1449"/>
    <cellStyle name="Accent3 - 40% 2 3" xfId="1450"/>
    <cellStyle name="Accent3 - 40% 2 4" xfId="1451"/>
    <cellStyle name="Accent3 - 40% 2 5" xfId="1452"/>
    <cellStyle name="Accent3 - 40% 3" xfId="1453"/>
    <cellStyle name="Accent3 - 40% 3 2" xfId="1454"/>
    <cellStyle name="Accent3 - 40% 4" xfId="1455"/>
    <cellStyle name="Accent3 - 40% 5" xfId="1456"/>
    <cellStyle name="Accent3 - 40% 6" xfId="1457"/>
    <cellStyle name="Accent3 - 40% 7" xfId="1458"/>
    <cellStyle name="Accent3 - 40% 8" xfId="1459"/>
    <cellStyle name="Accent3 - 60%" xfId="1460"/>
    <cellStyle name="Accent3 - 60% 2" xfId="1461"/>
    <cellStyle name="Accent3 - 60% 3" xfId="1462"/>
    <cellStyle name="Accent3 10" xfId="1463"/>
    <cellStyle name="Accent3 11" xfId="1464"/>
    <cellStyle name="Accent3 12" xfId="1465"/>
    <cellStyle name="Accent3 13" xfId="1466"/>
    <cellStyle name="Accent3 14" xfId="1467"/>
    <cellStyle name="Accent3 15" xfId="1468"/>
    <cellStyle name="Accent3 16" xfId="1469"/>
    <cellStyle name="Accent3 17" xfId="1470"/>
    <cellStyle name="Accent3 18" xfId="1471"/>
    <cellStyle name="Accent3 19" xfId="1472"/>
    <cellStyle name="Accent3 2" xfId="1473"/>
    <cellStyle name="Accent3 2 2" xfId="1474"/>
    <cellStyle name="Accent3 2 3" xfId="1475"/>
    <cellStyle name="Accent3 2 4" xfId="1476"/>
    <cellStyle name="Accent3 2 5" xfId="1477"/>
    <cellStyle name="Accent3 2 6" xfId="1478"/>
    <cellStyle name="Accent3 2 7" xfId="1479"/>
    <cellStyle name="Accent3 20" xfId="1480"/>
    <cellStyle name="Accent3 21" xfId="1481"/>
    <cellStyle name="Accent3 22" xfId="1482"/>
    <cellStyle name="Accent3 3" xfId="1483"/>
    <cellStyle name="Accent3 4" xfId="1484"/>
    <cellStyle name="Accent3 5" xfId="1485"/>
    <cellStyle name="Accent3 6" xfId="1486"/>
    <cellStyle name="Accent3 7" xfId="1487"/>
    <cellStyle name="Accent3 8" xfId="1488"/>
    <cellStyle name="Accent3 9" xfId="1489"/>
    <cellStyle name="Accent4 - 20%" xfId="1490"/>
    <cellStyle name="Accent4 - 20% 2" xfId="1491"/>
    <cellStyle name="Accent4 - 20% 2 2" xfId="1492"/>
    <cellStyle name="Accent4 - 20% 2 3" xfId="1493"/>
    <cellStyle name="Accent4 - 20% 2 4" xfId="1494"/>
    <cellStyle name="Accent4 - 20% 2 5" xfId="1495"/>
    <cellStyle name="Accent4 - 20% 3" xfId="1496"/>
    <cellStyle name="Accent4 - 20% 3 2" xfId="1497"/>
    <cellStyle name="Accent4 - 20% 4" xfId="1498"/>
    <cellStyle name="Accent4 - 20% 5" xfId="1499"/>
    <cellStyle name="Accent4 - 20% 6" xfId="1500"/>
    <cellStyle name="Accent4 - 20% 7" xfId="1501"/>
    <cellStyle name="Accent4 - 20% 8" xfId="1502"/>
    <cellStyle name="Accent4 - 40%" xfId="1503"/>
    <cellStyle name="Accent4 - 40% 2" xfId="1504"/>
    <cellStyle name="Accent4 - 40% 2 2" xfId="1505"/>
    <cellStyle name="Accent4 - 40% 2 3" xfId="1506"/>
    <cellStyle name="Accent4 - 40% 2 4" xfId="1507"/>
    <cellStyle name="Accent4 - 40% 2 5" xfId="1508"/>
    <cellStyle name="Accent4 - 40% 3" xfId="1509"/>
    <cellStyle name="Accent4 - 40% 3 2" xfId="1510"/>
    <cellStyle name="Accent4 - 40% 4" xfId="1511"/>
    <cellStyle name="Accent4 - 40% 5" xfId="1512"/>
    <cellStyle name="Accent4 - 40% 6" xfId="1513"/>
    <cellStyle name="Accent4 - 40% 7" xfId="1514"/>
    <cellStyle name="Accent4 - 40% 8" xfId="1515"/>
    <cellStyle name="Accent4 - 60%" xfId="1516"/>
    <cellStyle name="Accent4 - 60% 2" xfId="1517"/>
    <cellStyle name="Accent4 - 60% 3" xfId="1518"/>
    <cellStyle name="Accent4 10" xfId="1519"/>
    <cellStyle name="Accent4 11" xfId="1520"/>
    <cellStyle name="Accent4 12" xfId="1521"/>
    <cellStyle name="Accent4 13" xfId="1522"/>
    <cellStyle name="Accent4 14" xfId="1523"/>
    <cellStyle name="Accent4 15" xfId="1524"/>
    <cellStyle name="Accent4 16" xfId="1525"/>
    <cellStyle name="Accent4 17" xfId="1526"/>
    <cellStyle name="Accent4 18" xfId="1527"/>
    <cellStyle name="Accent4 19" xfId="1528"/>
    <cellStyle name="Accent4 2" xfId="1529"/>
    <cellStyle name="Accent4 2 2" xfId="1530"/>
    <cellStyle name="Accent4 2 2 2" xfId="1531"/>
    <cellStyle name="Accent4 2 2 3" xfId="1532"/>
    <cellStyle name="Accent4 2 3" xfId="1533"/>
    <cellStyle name="Accent4 2 4" xfId="1534"/>
    <cellStyle name="Accent4 2 5" xfId="1535"/>
    <cellStyle name="Accent4 2 6" xfId="1536"/>
    <cellStyle name="Accent4 20" xfId="1537"/>
    <cellStyle name="Accent4 21" xfId="1538"/>
    <cellStyle name="Accent4 22" xfId="1539"/>
    <cellStyle name="Accent4 3" xfId="1540"/>
    <cellStyle name="Accent4 3 2" xfId="1541"/>
    <cellStyle name="Accent4 4" xfId="1542"/>
    <cellStyle name="Accent4 5" xfId="1543"/>
    <cellStyle name="Accent4 6" xfId="1544"/>
    <cellStyle name="Accent4 7" xfId="1545"/>
    <cellStyle name="Accent4 8" xfId="1546"/>
    <cellStyle name="Accent4 9" xfId="1547"/>
    <cellStyle name="Accent5 - 20%" xfId="1548"/>
    <cellStyle name="Accent5 - 20% 2" xfId="1549"/>
    <cellStyle name="Accent5 - 20% 2 2" xfId="1550"/>
    <cellStyle name="Accent5 - 20% 2 3" xfId="1551"/>
    <cellStyle name="Accent5 - 20% 2 4" xfId="1552"/>
    <cellStyle name="Accent5 - 20% 2 5" xfId="1553"/>
    <cellStyle name="Accent5 - 20% 3" xfId="1554"/>
    <cellStyle name="Accent5 - 20% 3 2" xfId="1555"/>
    <cellStyle name="Accent5 - 20% 4" xfId="1556"/>
    <cellStyle name="Accent5 - 20% 5" xfId="1557"/>
    <cellStyle name="Accent5 - 20% 6" xfId="1558"/>
    <cellStyle name="Accent5 - 20% 7" xfId="1559"/>
    <cellStyle name="Accent5 - 20% 8" xfId="1560"/>
    <cellStyle name="Accent5 - 40%" xfId="1561"/>
    <cellStyle name="Accent5 - 40% 2" xfId="1562"/>
    <cellStyle name="Accent5 - 40% 2 2" xfId="1563"/>
    <cellStyle name="Accent5 - 40% 2 3" xfId="1564"/>
    <cellStyle name="Accent5 - 40% 2 4" xfId="1565"/>
    <cellStyle name="Accent5 - 40% 2 5" xfId="1566"/>
    <cellStyle name="Accent5 - 40% 3" xfId="1567"/>
    <cellStyle name="Accent5 - 40% 3 2" xfId="1568"/>
    <cellStyle name="Accent5 - 40% 4" xfId="1569"/>
    <cellStyle name="Accent5 - 40% 5" xfId="1570"/>
    <cellStyle name="Accent5 - 40% 6" xfId="1571"/>
    <cellStyle name="Accent5 - 40% 7" xfId="1572"/>
    <cellStyle name="Accent5 - 40% 8" xfId="1573"/>
    <cellStyle name="Accent5 - 60%" xfId="1574"/>
    <cellStyle name="Accent5 - 60% 2" xfId="1575"/>
    <cellStyle name="Accent5 - 60% 3" xfId="1576"/>
    <cellStyle name="Accent5 10" xfId="1577"/>
    <cellStyle name="Accent5 11" xfId="1578"/>
    <cellStyle name="Accent5 12" xfId="1579"/>
    <cellStyle name="Accent5 13" xfId="1580"/>
    <cellStyle name="Accent5 14" xfId="1581"/>
    <cellStyle name="Accent5 15" xfId="1582"/>
    <cellStyle name="Accent5 16" xfId="1583"/>
    <cellStyle name="Accent5 17" xfId="1584"/>
    <cellStyle name="Accent5 18" xfId="1585"/>
    <cellStyle name="Accent5 19" xfId="1586"/>
    <cellStyle name="Accent5 2" xfId="1587"/>
    <cellStyle name="Accent5 2 2" xfId="1588"/>
    <cellStyle name="Accent5 2 3" xfId="1589"/>
    <cellStyle name="Accent5 2 4" xfId="1590"/>
    <cellStyle name="Accent5 2 5" xfId="1591"/>
    <cellStyle name="Accent5 2 6" xfId="1592"/>
    <cellStyle name="Accent5 20" xfId="1593"/>
    <cellStyle name="Accent5 21" xfId="1594"/>
    <cellStyle name="Accent5 22" xfId="1595"/>
    <cellStyle name="Accent5 3" xfId="1596"/>
    <cellStyle name="Accent5 4" xfId="1597"/>
    <cellStyle name="Accent5 5" xfId="1598"/>
    <cellStyle name="Accent5 6" xfId="1599"/>
    <cellStyle name="Accent5 7" xfId="1600"/>
    <cellStyle name="Accent5 8" xfId="1601"/>
    <cellStyle name="Accent5 9" xfId="1602"/>
    <cellStyle name="Accent6 - 20%" xfId="1603"/>
    <cellStyle name="Accent6 - 20% 2" xfId="1604"/>
    <cellStyle name="Accent6 - 20% 2 2" xfId="1605"/>
    <cellStyle name="Accent6 - 20% 2 3" xfId="1606"/>
    <cellStyle name="Accent6 - 20% 2 4" xfId="1607"/>
    <cellStyle name="Accent6 - 20% 2 5" xfId="1608"/>
    <cellStyle name="Accent6 - 20% 3" xfId="1609"/>
    <cellStyle name="Accent6 - 20% 3 2" xfId="1610"/>
    <cellStyle name="Accent6 - 20% 4" xfId="1611"/>
    <cellStyle name="Accent6 - 20% 5" xfId="1612"/>
    <cellStyle name="Accent6 - 20% 6" xfId="1613"/>
    <cellStyle name="Accent6 - 20% 7" xfId="1614"/>
    <cellStyle name="Accent6 - 20% 8" xfId="1615"/>
    <cellStyle name="Accent6 - 40%" xfId="1616"/>
    <cellStyle name="Accent6 - 40% 2" xfId="1617"/>
    <cellStyle name="Accent6 - 40% 2 2" xfId="1618"/>
    <cellStyle name="Accent6 - 40% 2 3" xfId="1619"/>
    <cellStyle name="Accent6 - 40% 2 4" xfId="1620"/>
    <cellStyle name="Accent6 - 40% 2 5" xfId="1621"/>
    <cellStyle name="Accent6 - 40% 3" xfId="1622"/>
    <cellStyle name="Accent6 - 40% 3 2" xfId="1623"/>
    <cellStyle name="Accent6 - 40% 4" xfId="1624"/>
    <cellStyle name="Accent6 - 40% 5" xfId="1625"/>
    <cellStyle name="Accent6 - 40% 6" xfId="1626"/>
    <cellStyle name="Accent6 - 40% 7" xfId="1627"/>
    <cellStyle name="Accent6 - 40% 8" xfId="1628"/>
    <cellStyle name="Accent6 - 60%" xfId="1629"/>
    <cellStyle name="Accent6 - 60% 2" xfId="1630"/>
    <cellStyle name="Accent6 - 60% 3" xfId="1631"/>
    <cellStyle name="Accent6 10" xfId="1632"/>
    <cellStyle name="Accent6 11" xfId="1633"/>
    <cellStyle name="Accent6 12" xfId="1634"/>
    <cellStyle name="Accent6 13" xfId="1635"/>
    <cellStyle name="Accent6 14" xfId="1636"/>
    <cellStyle name="Accent6 15" xfId="1637"/>
    <cellStyle name="Accent6 16" xfId="1638"/>
    <cellStyle name="Accent6 17" xfId="1639"/>
    <cellStyle name="Accent6 18" xfId="1640"/>
    <cellStyle name="Accent6 19" xfId="1641"/>
    <cellStyle name="Accent6 2" xfId="1642"/>
    <cellStyle name="Accent6 2 2" xfId="1643"/>
    <cellStyle name="Accent6 2 3" xfId="1644"/>
    <cellStyle name="Accent6 2 4" xfId="1645"/>
    <cellStyle name="Accent6 2 5" xfId="1646"/>
    <cellStyle name="Accent6 2 6" xfId="1647"/>
    <cellStyle name="Accent6 20" xfId="1648"/>
    <cellStyle name="Accent6 21" xfId="1649"/>
    <cellStyle name="Accent6 22" xfId="1650"/>
    <cellStyle name="Accent6 3" xfId="1651"/>
    <cellStyle name="Accent6 4" xfId="1652"/>
    <cellStyle name="Accent6 5" xfId="1653"/>
    <cellStyle name="Accent6 6" xfId="1654"/>
    <cellStyle name="Accent6 7" xfId="1655"/>
    <cellStyle name="Accent6 8" xfId="1656"/>
    <cellStyle name="Accent6 9" xfId="1657"/>
    <cellStyle name="action" xfId="1658"/>
    <cellStyle name="ÅëÈ­ [0]_±âÅ¸" xfId="1659"/>
    <cellStyle name="AeE­ [0]_INQUIRY ¿?¾÷AßAø " xfId="1660"/>
    <cellStyle name="ÅëÈ­_±âÅ¸" xfId="1661"/>
    <cellStyle name="AeE­_INQUIRY ¿?¾÷AßAø " xfId="1662"/>
    <cellStyle name="Aksen1" xfId="1663"/>
    <cellStyle name="Aksen2" xfId="1664"/>
    <cellStyle name="Aksen3" xfId="1665"/>
    <cellStyle name="Aksen4" xfId="1666"/>
    <cellStyle name="Aksen5" xfId="1667"/>
    <cellStyle name="Aksen6" xfId="1668"/>
    <cellStyle name="args.style" xfId="1669"/>
    <cellStyle name="Arial10" xfId="1670"/>
    <cellStyle name="ÄÞ¸¶ [0]_±âÅ¸" xfId="1671"/>
    <cellStyle name="AÞ¸¶ [0]_INQUIRY ¿?¾÷AßAø " xfId="1672"/>
    <cellStyle name="ÄÞ¸¶_±âÅ¸" xfId="1673"/>
    <cellStyle name="AÞ¸¶_INQUIRY ¿?¾÷AßAø " xfId="1674"/>
    <cellStyle name="Bad 10" xfId="1675"/>
    <cellStyle name="Bad 11" xfId="1676"/>
    <cellStyle name="Bad 12" xfId="1677"/>
    <cellStyle name="Bad 13" xfId="1678"/>
    <cellStyle name="Bad 14" xfId="1679"/>
    <cellStyle name="Bad 15" xfId="1680"/>
    <cellStyle name="Bad 16" xfId="1681"/>
    <cellStyle name="Bad 17" xfId="1682"/>
    <cellStyle name="Bad 18" xfId="1683"/>
    <cellStyle name="Bad 19" xfId="1684"/>
    <cellStyle name="Bad 2" xfId="1685"/>
    <cellStyle name="Bad 2 2" xfId="1686"/>
    <cellStyle name="Bad 2 3" xfId="1687"/>
    <cellStyle name="Bad 2 4" xfId="1688"/>
    <cellStyle name="Bad 2 5" xfId="1689"/>
    <cellStyle name="Bad 2 6" xfId="1690"/>
    <cellStyle name="Bad 20" xfId="1691"/>
    <cellStyle name="Bad 21" xfId="1692"/>
    <cellStyle name="Bad 22" xfId="1693"/>
    <cellStyle name="Bad 3" xfId="1694"/>
    <cellStyle name="Bad 4" xfId="1695"/>
    <cellStyle name="Bad 5" xfId="1696"/>
    <cellStyle name="Bad 6" xfId="1697"/>
    <cellStyle name="Bad 7" xfId="1698"/>
    <cellStyle name="Bad 8" xfId="1699"/>
    <cellStyle name="Bad 9" xfId="1700"/>
    <cellStyle name="Baik" xfId="1701"/>
    <cellStyle name="Buruk" xfId="1702"/>
    <cellStyle name="C?AØ_¿?¾÷CoE² " xfId="1703"/>
    <cellStyle name="Ç¥ÁØ_¿¬°£´©°è¿¹»ó" xfId="1704"/>
    <cellStyle name="C￥AØ_¿μ¾÷CoE² " xfId="1705"/>
    <cellStyle name="Calc Currency (0)" xfId="1706"/>
    <cellStyle name="Calc Currency (0) 2" xfId="1707"/>
    <cellStyle name="Calc Currency (2)" xfId="1708"/>
    <cellStyle name="Calc Percent (0)" xfId="1709"/>
    <cellStyle name="Calc Percent (1)" xfId="1710"/>
    <cellStyle name="Calc Percent (2)" xfId="1711"/>
    <cellStyle name="Calc Units (0)" xfId="1712"/>
    <cellStyle name="Calc Units (1)" xfId="1713"/>
    <cellStyle name="Calc Units (2)" xfId="1714"/>
    <cellStyle name="Calculation 10" xfId="1715"/>
    <cellStyle name="Calculation 10 10" xfId="1716"/>
    <cellStyle name="Calculation 10 2" xfId="1717"/>
    <cellStyle name="Calculation 10 2 2" xfId="1718"/>
    <cellStyle name="Calculation 10 2 3" xfId="1719"/>
    <cellStyle name="Calculation 10 2 4" xfId="1720"/>
    <cellStyle name="Calculation 10 2 5" xfId="1721"/>
    <cellStyle name="Calculation 10 2 6" xfId="1722"/>
    <cellStyle name="Calculation 10 2 7" xfId="1723"/>
    <cellStyle name="Calculation 10 2 8" xfId="1724"/>
    <cellStyle name="Calculation 10 2 9" xfId="1725"/>
    <cellStyle name="Calculation 10 3" xfId="1726"/>
    <cellStyle name="Calculation 10 4" xfId="1727"/>
    <cellStyle name="Calculation 10 5" xfId="1728"/>
    <cellStyle name="Calculation 10 6" xfId="1729"/>
    <cellStyle name="Calculation 10 7" xfId="1730"/>
    <cellStyle name="Calculation 10 8" xfId="1731"/>
    <cellStyle name="Calculation 10 9" xfId="1732"/>
    <cellStyle name="Calculation 11" xfId="1733"/>
    <cellStyle name="Calculation 11 10" xfId="1734"/>
    <cellStyle name="Calculation 11 2" xfId="1735"/>
    <cellStyle name="Calculation 11 2 2" xfId="1736"/>
    <cellStyle name="Calculation 11 2 3" xfId="1737"/>
    <cellStyle name="Calculation 11 2 4" xfId="1738"/>
    <cellStyle name="Calculation 11 2 5" xfId="1739"/>
    <cellStyle name="Calculation 11 2 6" xfId="1740"/>
    <cellStyle name="Calculation 11 2 7" xfId="1741"/>
    <cellStyle name="Calculation 11 2 8" xfId="1742"/>
    <cellStyle name="Calculation 11 2 9" xfId="1743"/>
    <cellStyle name="Calculation 11 3" xfId="1744"/>
    <cellStyle name="Calculation 11 4" xfId="1745"/>
    <cellStyle name="Calculation 11 5" xfId="1746"/>
    <cellStyle name="Calculation 11 6" xfId="1747"/>
    <cellStyle name="Calculation 11 7" xfId="1748"/>
    <cellStyle name="Calculation 11 8" xfId="1749"/>
    <cellStyle name="Calculation 11 9" xfId="1750"/>
    <cellStyle name="Calculation 12" xfId="1751"/>
    <cellStyle name="Calculation 12 2" xfId="1752"/>
    <cellStyle name="Calculation 12 3" xfId="1753"/>
    <cellStyle name="Calculation 12 4" xfId="1754"/>
    <cellStyle name="Calculation 12 5" xfId="1755"/>
    <cellStyle name="Calculation 12 6" xfId="1756"/>
    <cellStyle name="Calculation 12 7" xfId="1757"/>
    <cellStyle name="Calculation 12 8" xfId="1758"/>
    <cellStyle name="Calculation 12 9" xfId="1759"/>
    <cellStyle name="Calculation 13" xfId="1760"/>
    <cellStyle name="Calculation 13 2" xfId="1761"/>
    <cellStyle name="Calculation 13 3" xfId="1762"/>
    <cellStyle name="Calculation 13 4" xfId="1763"/>
    <cellStyle name="Calculation 13 5" xfId="1764"/>
    <cellStyle name="Calculation 13 6" xfId="1765"/>
    <cellStyle name="Calculation 13 7" xfId="1766"/>
    <cellStyle name="Calculation 13 8" xfId="1767"/>
    <cellStyle name="Calculation 13 9" xfId="1768"/>
    <cellStyle name="Calculation 14" xfId="1769"/>
    <cellStyle name="Calculation 14 2" xfId="1770"/>
    <cellStyle name="Calculation 14 3" xfId="1771"/>
    <cellStyle name="Calculation 14 4" xfId="1772"/>
    <cellStyle name="Calculation 14 5" xfId="1773"/>
    <cellStyle name="Calculation 14 6" xfId="1774"/>
    <cellStyle name="Calculation 14 7" xfId="1775"/>
    <cellStyle name="Calculation 14 8" xfId="1776"/>
    <cellStyle name="Calculation 14 9" xfId="1777"/>
    <cellStyle name="Calculation 15" xfId="1778"/>
    <cellStyle name="Calculation 15 2" xfId="1779"/>
    <cellStyle name="Calculation 15 3" xfId="1780"/>
    <cellStyle name="Calculation 15 4" xfId="1781"/>
    <cellStyle name="Calculation 15 5" xfId="1782"/>
    <cellStyle name="Calculation 15 6" xfId="1783"/>
    <cellStyle name="Calculation 15 7" xfId="1784"/>
    <cellStyle name="Calculation 15 8" xfId="1785"/>
    <cellStyle name="Calculation 15 9" xfId="1786"/>
    <cellStyle name="Calculation 16" xfId="1787"/>
    <cellStyle name="Calculation 16 2" xfId="1788"/>
    <cellStyle name="Calculation 16 3" xfId="1789"/>
    <cellStyle name="Calculation 16 4" xfId="1790"/>
    <cellStyle name="Calculation 16 5" xfId="1791"/>
    <cellStyle name="Calculation 16 6" xfId="1792"/>
    <cellStyle name="Calculation 16 7" xfId="1793"/>
    <cellStyle name="Calculation 16 8" xfId="1794"/>
    <cellStyle name="Calculation 16 9" xfId="1795"/>
    <cellStyle name="Calculation 17" xfId="1796"/>
    <cellStyle name="Calculation 17 2" xfId="1797"/>
    <cellStyle name="Calculation 17 3" xfId="1798"/>
    <cellStyle name="Calculation 17 4" xfId="1799"/>
    <cellStyle name="Calculation 17 5" xfId="1800"/>
    <cellStyle name="Calculation 17 6" xfId="1801"/>
    <cellStyle name="Calculation 17 7" xfId="1802"/>
    <cellStyle name="Calculation 17 8" xfId="1803"/>
    <cellStyle name="Calculation 17 9" xfId="1804"/>
    <cellStyle name="Calculation 18" xfId="1805"/>
    <cellStyle name="Calculation 18 2" xfId="1806"/>
    <cellStyle name="Calculation 18 3" xfId="1807"/>
    <cellStyle name="Calculation 18 4" xfId="1808"/>
    <cellStyle name="Calculation 18 5" xfId="1809"/>
    <cellStyle name="Calculation 18 6" xfId="1810"/>
    <cellStyle name="Calculation 18 7" xfId="1811"/>
    <cellStyle name="Calculation 18 8" xfId="1812"/>
    <cellStyle name="Calculation 18 9" xfId="1813"/>
    <cellStyle name="Calculation 19" xfId="1814"/>
    <cellStyle name="Calculation 19 2" xfId="1815"/>
    <cellStyle name="Calculation 19 3" xfId="1816"/>
    <cellStyle name="Calculation 19 4" xfId="1817"/>
    <cellStyle name="Calculation 19 5" xfId="1818"/>
    <cellStyle name="Calculation 19 6" xfId="1819"/>
    <cellStyle name="Calculation 19 7" xfId="1820"/>
    <cellStyle name="Calculation 19 8" xfId="1821"/>
    <cellStyle name="Calculation 19 9" xfId="1822"/>
    <cellStyle name="Calculation 2" xfId="1823"/>
    <cellStyle name="Calculation 2 10" xfId="1824"/>
    <cellStyle name="Calculation 2 11" xfId="1825"/>
    <cellStyle name="Calculation 2 12" xfId="1826"/>
    <cellStyle name="Calculation 2 13" xfId="1827"/>
    <cellStyle name="Calculation 2 14" xfId="1828"/>
    <cellStyle name="Calculation 2 2" xfId="1829"/>
    <cellStyle name="Calculation 2 2 10" xfId="1830"/>
    <cellStyle name="Calculation 2 2 2" xfId="1831"/>
    <cellStyle name="Calculation 2 2 2 2" xfId="1832"/>
    <cellStyle name="Calculation 2 2 2 3" xfId="1833"/>
    <cellStyle name="Calculation 2 2 2 4" xfId="1834"/>
    <cellStyle name="Calculation 2 2 2 5" xfId="1835"/>
    <cellStyle name="Calculation 2 2 2 6" xfId="1836"/>
    <cellStyle name="Calculation 2 2 2 7" xfId="1837"/>
    <cellStyle name="Calculation 2 2 2 8" xfId="1838"/>
    <cellStyle name="Calculation 2 2 2 9" xfId="1839"/>
    <cellStyle name="Calculation 2 2 3" xfId="1840"/>
    <cellStyle name="Calculation 2 2 4" xfId="1841"/>
    <cellStyle name="Calculation 2 2 5" xfId="1842"/>
    <cellStyle name="Calculation 2 2 6" xfId="1843"/>
    <cellStyle name="Calculation 2 2 7" xfId="1844"/>
    <cellStyle name="Calculation 2 2 8" xfId="1845"/>
    <cellStyle name="Calculation 2 2 9" xfId="1846"/>
    <cellStyle name="Calculation 2 3" xfId="1847"/>
    <cellStyle name="Calculation 2 3 2" xfId="1848"/>
    <cellStyle name="Calculation 2 3 3" xfId="1849"/>
    <cellStyle name="Calculation 2 3 4" xfId="1850"/>
    <cellStyle name="Calculation 2 3 5" xfId="1851"/>
    <cellStyle name="Calculation 2 3 6" xfId="1852"/>
    <cellStyle name="Calculation 2 3 7" xfId="1853"/>
    <cellStyle name="Calculation 2 3 8" xfId="1854"/>
    <cellStyle name="Calculation 2 3 9" xfId="1855"/>
    <cellStyle name="Calculation 2 4" xfId="1856"/>
    <cellStyle name="Calculation 2 4 2" xfId="1857"/>
    <cellStyle name="Calculation 2 4 3" xfId="1858"/>
    <cellStyle name="Calculation 2 4 4" xfId="1859"/>
    <cellStyle name="Calculation 2 4 5" xfId="1860"/>
    <cellStyle name="Calculation 2 4 6" xfId="1861"/>
    <cellStyle name="Calculation 2 4 7" xfId="1862"/>
    <cellStyle name="Calculation 2 4 8" xfId="1863"/>
    <cellStyle name="Calculation 2 4 9" xfId="1864"/>
    <cellStyle name="Calculation 2 5" xfId="1865"/>
    <cellStyle name="Calculation 2 5 2" xfId="1866"/>
    <cellStyle name="Calculation 2 5 3" xfId="1867"/>
    <cellStyle name="Calculation 2 5 4" xfId="1868"/>
    <cellStyle name="Calculation 2 5 5" xfId="1869"/>
    <cellStyle name="Calculation 2 5 6" xfId="1870"/>
    <cellStyle name="Calculation 2 5 7" xfId="1871"/>
    <cellStyle name="Calculation 2 5 8" xfId="1872"/>
    <cellStyle name="Calculation 2 5 9" xfId="1873"/>
    <cellStyle name="Calculation 2 6" xfId="1874"/>
    <cellStyle name="Calculation 2 6 2" xfId="1875"/>
    <cellStyle name="Calculation 2 6 3" xfId="1876"/>
    <cellStyle name="Calculation 2 6 4" xfId="1877"/>
    <cellStyle name="Calculation 2 6 5" xfId="1878"/>
    <cellStyle name="Calculation 2 6 6" xfId="1879"/>
    <cellStyle name="Calculation 2 6 7" xfId="1880"/>
    <cellStyle name="Calculation 2 6 8" xfId="1881"/>
    <cellStyle name="Calculation 2 6 9" xfId="1882"/>
    <cellStyle name="Calculation 2 7" xfId="1883"/>
    <cellStyle name="Calculation 2 8" xfId="1884"/>
    <cellStyle name="Calculation 2 9" xfId="1885"/>
    <cellStyle name="Calculation 20" xfId="1886"/>
    <cellStyle name="Calculation 21" xfId="1887"/>
    <cellStyle name="Calculation 22" xfId="1888"/>
    <cellStyle name="Calculation 3" xfId="1889"/>
    <cellStyle name="Calculation 3 10" xfId="1890"/>
    <cellStyle name="Calculation 3 2" xfId="1891"/>
    <cellStyle name="Calculation 3 2 2" xfId="1892"/>
    <cellStyle name="Calculation 3 2 3" xfId="1893"/>
    <cellStyle name="Calculation 3 2 4" xfId="1894"/>
    <cellStyle name="Calculation 3 2 5" xfId="1895"/>
    <cellStyle name="Calculation 3 2 6" xfId="1896"/>
    <cellStyle name="Calculation 3 2 7" xfId="1897"/>
    <cellStyle name="Calculation 3 2 8" xfId="1898"/>
    <cellStyle name="Calculation 3 2 9" xfId="1899"/>
    <cellStyle name="Calculation 3 3" xfId="1900"/>
    <cellStyle name="Calculation 3 4" xfId="1901"/>
    <cellStyle name="Calculation 3 5" xfId="1902"/>
    <cellStyle name="Calculation 3 6" xfId="1903"/>
    <cellStyle name="Calculation 3 7" xfId="1904"/>
    <cellStyle name="Calculation 3 8" xfId="1905"/>
    <cellStyle name="Calculation 3 9" xfId="1906"/>
    <cellStyle name="Calculation 4" xfId="1907"/>
    <cellStyle name="Calculation 4 10" xfId="1908"/>
    <cellStyle name="Calculation 4 2" xfId="1909"/>
    <cellStyle name="Calculation 4 2 2" xfId="1910"/>
    <cellStyle name="Calculation 4 2 3" xfId="1911"/>
    <cellStyle name="Calculation 4 2 4" xfId="1912"/>
    <cellStyle name="Calculation 4 2 5" xfId="1913"/>
    <cellStyle name="Calculation 4 2 6" xfId="1914"/>
    <cellStyle name="Calculation 4 2 7" xfId="1915"/>
    <cellStyle name="Calculation 4 2 8" xfId="1916"/>
    <cellStyle name="Calculation 4 2 9" xfId="1917"/>
    <cellStyle name="Calculation 4 3" xfId="1918"/>
    <cellStyle name="Calculation 4 4" xfId="1919"/>
    <cellStyle name="Calculation 4 5" xfId="1920"/>
    <cellStyle name="Calculation 4 6" xfId="1921"/>
    <cellStyle name="Calculation 4 7" xfId="1922"/>
    <cellStyle name="Calculation 4 8" xfId="1923"/>
    <cellStyle name="Calculation 4 9" xfId="1924"/>
    <cellStyle name="Calculation 5" xfId="1925"/>
    <cellStyle name="Calculation 5 10" xfId="1926"/>
    <cellStyle name="Calculation 5 2" xfId="1927"/>
    <cellStyle name="Calculation 5 2 2" xfId="1928"/>
    <cellStyle name="Calculation 5 2 3" xfId="1929"/>
    <cellStyle name="Calculation 5 2 4" xfId="1930"/>
    <cellStyle name="Calculation 5 2 5" xfId="1931"/>
    <cellStyle name="Calculation 5 2 6" xfId="1932"/>
    <cellStyle name="Calculation 5 2 7" xfId="1933"/>
    <cellStyle name="Calculation 5 2 8" xfId="1934"/>
    <cellStyle name="Calculation 5 2 9" xfId="1935"/>
    <cellStyle name="Calculation 5 3" xfId="1936"/>
    <cellStyle name="Calculation 5 4" xfId="1937"/>
    <cellStyle name="Calculation 5 5" xfId="1938"/>
    <cellStyle name="Calculation 5 6" xfId="1939"/>
    <cellStyle name="Calculation 5 7" xfId="1940"/>
    <cellStyle name="Calculation 5 8" xfId="1941"/>
    <cellStyle name="Calculation 5 9" xfId="1942"/>
    <cellStyle name="Calculation 6" xfId="1943"/>
    <cellStyle name="Calculation 6 10" xfId="1944"/>
    <cellStyle name="Calculation 6 2" xfId="1945"/>
    <cellStyle name="Calculation 6 2 2" xfId="1946"/>
    <cellStyle name="Calculation 6 2 3" xfId="1947"/>
    <cellStyle name="Calculation 6 2 4" xfId="1948"/>
    <cellStyle name="Calculation 6 2 5" xfId="1949"/>
    <cellStyle name="Calculation 6 2 6" xfId="1950"/>
    <cellStyle name="Calculation 6 2 7" xfId="1951"/>
    <cellStyle name="Calculation 6 2 8" xfId="1952"/>
    <cellStyle name="Calculation 6 2 9" xfId="1953"/>
    <cellStyle name="Calculation 6 3" xfId="1954"/>
    <cellStyle name="Calculation 6 4" xfId="1955"/>
    <cellStyle name="Calculation 6 5" xfId="1956"/>
    <cellStyle name="Calculation 6 6" xfId="1957"/>
    <cellStyle name="Calculation 6 7" xfId="1958"/>
    <cellStyle name="Calculation 6 8" xfId="1959"/>
    <cellStyle name="Calculation 6 9" xfId="1960"/>
    <cellStyle name="Calculation 7" xfId="1961"/>
    <cellStyle name="Calculation 7 10" xfId="1962"/>
    <cellStyle name="Calculation 7 2" xfId="1963"/>
    <cellStyle name="Calculation 7 2 2" xfId="1964"/>
    <cellStyle name="Calculation 7 2 3" xfId="1965"/>
    <cellStyle name="Calculation 7 2 4" xfId="1966"/>
    <cellStyle name="Calculation 7 2 5" xfId="1967"/>
    <cellStyle name="Calculation 7 2 6" xfId="1968"/>
    <cellStyle name="Calculation 7 2 7" xfId="1969"/>
    <cellStyle name="Calculation 7 2 8" xfId="1970"/>
    <cellStyle name="Calculation 7 2 9" xfId="1971"/>
    <cellStyle name="Calculation 7 3" xfId="1972"/>
    <cellStyle name="Calculation 7 4" xfId="1973"/>
    <cellStyle name="Calculation 7 5" xfId="1974"/>
    <cellStyle name="Calculation 7 6" xfId="1975"/>
    <cellStyle name="Calculation 7 7" xfId="1976"/>
    <cellStyle name="Calculation 7 8" xfId="1977"/>
    <cellStyle name="Calculation 7 9" xfId="1978"/>
    <cellStyle name="Calculation 8" xfId="1979"/>
    <cellStyle name="Calculation 8 10" xfId="1980"/>
    <cellStyle name="Calculation 8 2" xfId="1981"/>
    <cellStyle name="Calculation 8 2 2" xfId="1982"/>
    <cellStyle name="Calculation 8 2 3" xfId="1983"/>
    <cellStyle name="Calculation 8 2 4" xfId="1984"/>
    <cellStyle name="Calculation 8 2 5" xfId="1985"/>
    <cellStyle name="Calculation 8 2 6" xfId="1986"/>
    <cellStyle name="Calculation 8 2 7" xfId="1987"/>
    <cellStyle name="Calculation 8 2 8" xfId="1988"/>
    <cellStyle name="Calculation 8 2 9" xfId="1989"/>
    <cellStyle name="Calculation 8 3" xfId="1990"/>
    <cellStyle name="Calculation 8 4" xfId="1991"/>
    <cellStyle name="Calculation 8 5" xfId="1992"/>
    <cellStyle name="Calculation 8 6" xfId="1993"/>
    <cellStyle name="Calculation 8 7" xfId="1994"/>
    <cellStyle name="Calculation 8 8" xfId="1995"/>
    <cellStyle name="Calculation 8 9" xfId="1996"/>
    <cellStyle name="Calculation 9" xfId="1997"/>
    <cellStyle name="Calculation 9 10" xfId="1998"/>
    <cellStyle name="Calculation 9 2" xfId="1999"/>
    <cellStyle name="Calculation 9 2 2" xfId="2000"/>
    <cellStyle name="Calculation 9 2 3" xfId="2001"/>
    <cellStyle name="Calculation 9 2 4" xfId="2002"/>
    <cellStyle name="Calculation 9 2 5" xfId="2003"/>
    <cellStyle name="Calculation 9 2 6" xfId="2004"/>
    <cellStyle name="Calculation 9 2 7" xfId="2005"/>
    <cellStyle name="Calculation 9 2 8" xfId="2006"/>
    <cellStyle name="Calculation 9 2 9" xfId="2007"/>
    <cellStyle name="Calculation 9 3" xfId="2008"/>
    <cellStyle name="Calculation 9 4" xfId="2009"/>
    <cellStyle name="Calculation 9 5" xfId="2010"/>
    <cellStyle name="Calculation 9 6" xfId="2011"/>
    <cellStyle name="Calculation 9 7" xfId="2012"/>
    <cellStyle name="Calculation 9 8" xfId="2013"/>
    <cellStyle name="Calculation 9 9" xfId="2014"/>
    <cellStyle name="Catatan" xfId="2015"/>
    <cellStyle name="Catatan 10" xfId="2016"/>
    <cellStyle name="Catatan 2" xfId="2017"/>
    <cellStyle name="Catatan 2 2" xfId="2018"/>
    <cellStyle name="Catatan 2 3" xfId="2019"/>
    <cellStyle name="Catatan 2 4" xfId="2020"/>
    <cellStyle name="Catatan 2 5" xfId="2021"/>
    <cellStyle name="Catatan 2 6" xfId="2022"/>
    <cellStyle name="Catatan 2 7" xfId="2023"/>
    <cellStyle name="Catatan 2 8" xfId="2024"/>
    <cellStyle name="Catatan 2 9" xfId="2025"/>
    <cellStyle name="Catatan 3" xfId="2026"/>
    <cellStyle name="Catatan 4" xfId="2027"/>
    <cellStyle name="Catatan 5" xfId="2028"/>
    <cellStyle name="Catatan 6" xfId="2029"/>
    <cellStyle name="Catatan 7" xfId="2030"/>
    <cellStyle name="Catatan 8" xfId="2031"/>
    <cellStyle name="Catatan 9" xfId="2032"/>
    <cellStyle name="Cek Sel" xfId="2033"/>
    <cellStyle name="Cek Sel 2" xfId="2034"/>
    <cellStyle name="Cek Sel 2 2" xfId="2035"/>
    <cellStyle name="Cek Sel 3" xfId="2036"/>
    <cellStyle name="cf" xfId="2037"/>
    <cellStyle name="Check Cell 10" xfId="2038"/>
    <cellStyle name="Check Cell 10 2" xfId="2039"/>
    <cellStyle name="Check Cell 10 2 2" xfId="2040"/>
    <cellStyle name="Check Cell 10 3" xfId="2041"/>
    <cellStyle name="Check Cell 11" xfId="2042"/>
    <cellStyle name="Check Cell 11 2" xfId="2043"/>
    <cellStyle name="Check Cell 11 2 2" xfId="2044"/>
    <cellStyle name="Check Cell 11 3" xfId="2045"/>
    <cellStyle name="Check Cell 12" xfId="2046"/>
    <cellStyle name="Check Cell 12 2" xfId="2047"/>
    <cellStyle name="Check Cell 13" xfId="2048"/>
    <cellStyle name="Check Cell 13 2" xfId="2049"/>
    <cellStyle name="Check Cell 14" xfId="2050"/>
    <cellStyle name="Check Cell 14 2" xfId="2051"/>
    <cellStyle name="Check Cell 15" xfId="2052"/>
    <cellStyle name="Check Cell 15 2" xfId="2053"/>
    <cellStyle name="Check Cell 16" xfId="2054"/>
    <cellStyle name="Check Cell 16 2" xfId="2055"/>
    <cellStyle name="Check Cell 17" xfId="2056"/>
    <cellStyle name="Check Cell 17 2" xfId="2057"/>
    <cellStyle name="Check Cell 18" xfId="2058"/>
    <cellStyle name="Check Cell 18 2" xfId="2059"/>
    <cellStyle name="Check Cell 19" xfId="2060"/>
    <cellStyle name="Check Cell 19 2" xfId="2061"/>
    <cellStyle name="Check Cell 2" xfId="2062"/>
    <cellStyle name="Check Cell 2 2" xfId="2063"/>
    <cellStyle name="Check Cell 2 2 2" xfId="2064"/>
    <cellStyle name="Check Cell 2 2 2 2" xfId="2065"/>
    <cellStyle name="Check Cell 2 2 3" xfId="2066"/>
    <cellStyle name="Check Cell 2 3" xfId="2067"/>
    <cellStyle name="Check Cell 2 3 2" xfId="2068"/>
    <cellStyle name="Check Cell 2 4" xfId="2069"/>
    <cellStyle name="Check Cell 2 4 2" xfId="2070"/>
    <cellStyle name="Check Cell 2 5" xfId="2071"/>
    <cellStyle name="Check Cell 2 5 2" xfId="2072"/>
    <cellStyle name="Check Cell 2 6" xfId="2073"/>
    <cellStyle name="Check Cell 2 6 2" xfId="2074"/>
    <cellStyle name="Check Cell 2 7" xfId="2075"/>
    <cellStyle name="Check Cell 20" xfId="2076"/>
    <cellStyle name="Check Cell 21" xfId="2077"/>
    <cellStyle name="Check Cell 22" xfId="2078"/>
    <cellStyle name="Check Cell 3" xfId="2079"/>
    <cellStyle name="Check Cell 3 2" xfId="2080"/>
    <cellStyle name="Check Cell 3 2 2" xfId="2081"/>
    <cellStyle name="Check Cell 3 3" xfId="2082"/>
    <cellStyle name="Check Cell 4" xfId="2083"/>
    <cellStyle name="Check Cell 4 2" xfId="2084"/>
    <cellStyle name="Check Cell 4 2 2" xfId="2085"/>
    <cellStyle name="Check Cell 4 3" xfId="2086"/>
    <cellStyle name="Check Cell 5" xfId="2087"/>
    <cellStyle name="Check Cell 5 2" xfId="2088"/>
    <cellStyle name="Check Cell 5 2 2" xfId="2089"/>
    <cellStyle name="Check Cell 5 3" xfId="2090"/>
    <cellStyle name="Check Cell 6" xfId="2091"/>
    <cellStyle name="Check Cell 6 2" xfId="2092"/>
    <cellStyle name="Check Cell 6 2 2" xfId="2093"/>
    <cellStyle name="Check Cell 6 3" xfId="2094"/>
    <cellStyle name="Check Cell 7" xfId="2095"/>
    <cellStyle name="Check Cell 7 2" xfId="2096"/>
    <cellStyle name="Check Cell 7 2 2" xfId="2097"/>
    <cellStyle name="Check Cell 7 3" xfId="2098"/>
    <cellStyle name="Check Cell 8" xfId="2099"/>
    <cellStyle name="Check Cell 8 2" xfId="2100"/>
    <cellStyle name="Check Cell 8 2 2" xfId="2101"/>
    <cellStyle name="Check Cell 8 3" xfId="2102"/>
    <cellStyle name="Check Cell 9" xfId="2103"/>
    <cellStyle name="Check Cell 9 2" xfId="2104"/>
    <cellStyle name="Check Cell 9 2 2" xfId="2105"/>
    <cellStyle name="Check Cell 9 3" xfId="2106"/>
    <cellStyle name="Comma  - Style1" xfId="2107"/>
    <cellStyle name="Comma  - Style2" xfId="2108"/>
    <cellStyle name="Comma  - Style3" xfId="2109"/>
    <cellStyle name="Comma  - Style4" xfId="2110"/>
    <cellStyle name="Comma  - Style5" xfId="2111"/>
    <cellStyle name="Comma  - Style6" xfId="2112"/>
    <cellStyle name="Comma  - Style7" xfId="2113"/>
    <cellStyle name="Comma  - Style8" xfId="2114"/>
    <cellStyle name="Comma [0] 10" xfId="2115"/>
    <cellStyle name="Comma [0] 10 10" xfId="2116"/>
    <cellStyle name="Comma [0] 10 2" xfId="2117"/>
    <cellStyle name="Comma [0] 10 2 2" xfId="2118"/>
    <cellStyle name="Comma [0] 10 2 2 11" xfId="2119"/>
    <cellStyle name="Comma [0] 10 2 8" xfId="2120"/>
    <cellStyle name="Comma [0] 10 3" xfId="2121"/>
    <cellStyle name="Comma [0] 10 3 2" xfId="2122"/>
    <cellStyle name="Comma [0] 10 4" xfId="2123"/>
    <cellStyle name="Comma [0] 10 4 2" xfId="2124"/>
    <cellStyle name="Comma [0] 10 5" xfId="2125"/>
    <cellStyle name="Comma [0] 10 6" xfId="2126"/>
    <cellStyle name="Comma [0] 10 7" xfId="2127"/>
    <cellStyle name="Comma [0] 10 8" xfId="2128"/>
    <cellStyle name="Comma [0] 101" xfId="2129"/>
    <cellStyle name="Comma [0] 101 2" xfId="2130"/>
    <cellStyle name="Comma [0] 102" xfId="2131"/>
    <cellStyle name="Comma [0] 102 2" xfId="2132"/>
    <cellStyle name="Comma [0] 103" xfId="2133"/>
    <cellStyle name="Comma [0] 103 2" xfId="2134"/>
    <cellStyle name="Comma [0] 104" xfId="2135"/>
    <cellStyle name="Comma [0] 104 2" xfId="2136"/>
    <cellStyle name="Comma [0] 105" xfId="2137"/>
    <cellStyle name="Comma [0] 105 2" xfId="2138"/>
    <cellStyle name="Comma [0] 106" xfId="2139"/>
    <cellStyle name="Comma [0] 106 2" xfId="2140"/>
    <cellStyle name="Comma [0] 107" xfId="2141"/>
    <cellStyle name="Comma [0] 107 2" xfId="2142"/>
    <cellStyle name="Comma [0] 108" xfId="2143"/>
    <cellStyle name="Comma [0] 108 2" xfId="2144"/>
    <cellStyle name="Comma [0] 109" xfId="2145"/>
    <cellStyle name="Comma [0] 109 2" xfId="2146"/>
    <cellStyle name="Comma [0] 11" xfId="2147"/>
    <cellStyle name="Comma [0] 11 2" xfId="2148"/>
    <cellStyle name="Comma [0] 11 2 2" xfId="2149"/>
    <cellStyle name="Comma [0] 11 3" xfId="2150"/>
    <cellStyle name="Comma [0] 11 4" xfId="2151"/>
    <cellStyle name="Comma [0] 11 5" xfId="2152"/>
    <cellStyle name="Comma [0] 11 6" xfId="2153"/>
    <cellStyle name="Comma [0] 11 7" xfId="2154"/>
    <cellStyle name="Comma [0] 110" xfId="2155"/>
    <cellStyle name="Comma [0] 110 2" xfId="2156"/>
    <cellStyle name="Comma [0] 111" xfId="2157"/>
    <cellStyle name="Comma [0] 111 2" xfId="2158"/>
    <cellStyle name="Comma [0] 112" xfId="2159"/>
    <cellStyle name="Comma [0] 112 2" xfId="2160"/>
    <cellStyle name="Comma [0] 113" xfId="2161"/>
    <cellStyle name="Comma [0] 113 2" xfId="2162"/>
    <cellStyle name="Comma [0] 114" xfId="2163"/>
    <cellStyle name="Comma [0] 114 2" xfId="2164"/>
    <cellStyle name="Comma [0] 115" xfId="2165"/>
    <cellStyle name="Comma [0] 115 2" xfId="2166"/>
    <cellStyle name="Comma [0] 116" xfId="2167"/>
    <cellStyle name="Comma [0] 116 2" xfId="2168"/>
    <cellStyle name="Comma [0] 117" xfId="2169"/>
    <cellStyle name="Comma [0] 117 2" xfId="2170"/>
    <cellStyle name="Comma [0] 118" xfId="2171"/>
    <cellStyle name="Comma [0] 118 2" xfId="2172"/>
    <cellStyle name="Comma [0] 119" xfId="2173"/>
    <cellStyle name="Comma [0] 119 2" xfId="2174"/>
    <cellStyle name="Comma [0] 12" xfId="2175"/>
    <cellStyle name="Comma [0] 12 2" xfId="2176"/>
    <cellStyle name="Comma [0] 12 2 2" xfId="2177"/>
    <cellStyle name="Comma [0] 12 3" xfId="2178"/>
    <cellStyle name="Comma [0] 12 4" xfId="2179"/>
    <cellStyle name="Comma [0] 12 5" xfId="2180"/>
    <cellStyle name="Comma [0] 12 6" xfId="2181"/>
    <cellStyle name="Comma [0] 120" xfId="2182"/>
    <cellStyle name="Comma [0] 120 2" xfId="2183"/>
    <cellStyle name="Comma [0] 121" xfId="2184"/>
    <cellStyle name="Comma [0] 121 2" xfId="2185"/>
    <cellStyle name="Comma [0] 122" xfId="2186"/>
    <cellStyle name="Comma [0] 122 2" xfId="2187"/>
    <cellStyle name="Comma [0] 123" xfId="2188"/>
    <cellStyle name="Comma [0] 123 2" xfId="2189"/>
    <cellStyle name="Comma [0] 124" xfId="2190"/>
    <cellStyle name="Comma [0] 124 2" xfId="2191"/>
    <cellStyle name="Comma [0] 125" xfId="2192"/>
    <cellStyle name="Comma [0] 125 2" xfId="2193"/>
    <cellStyle name="Comma [0] 126" xfId="2194"/>
    <cellStyle name="Comma [0] 126 2" xfId="2195"/>
    <cellStyle name="Comma [0] 127" xfId="2196"/>
    <cellStyle name="Comma [0] 127 2" xfId="2197"/>
    <cellStyle name="Comma [0] 128" xfId="2198"/>
    <cellStyle name="Comma [0] 128 2" xfId="2199"/>
    <cellStyle name="Comma [0] 129" xfId="2200"/>
    <cellStyle name="Comma [0] 129 2" xfId="2201"/>
    <cellStyle name="Comma [0] 13" xfId="2202"/>
    <cellStyle name="Comma [0] 13 2" xfId="2203"/>
    <cellStyle name="Comma [0] 13 2 2" xfId="2204"/>
    <cellStyle name="Comma [0] 13 3" xfId="2205"/>
    <cellStyle name="Comma [0] 13 4" xfId="2206"/>
    <cellStyle name="Comma [0] 13 5" xfId="2207"/>
    <cellStyle name="Comma [0] 13 6" xfId="2208"/>
    <cellStyle name="Comma [0] 130" xfId="2209"/>
    <cellStyle name="Comma [0] 130 2" xfId="2210"/>
    <cellStyle name="Comma [0] 131" xfId="2211"/>
    <cellStyle name="Comma [0] 131 2" xfId="2212"/>
    <cellStyle name="Comma [0] 132" xfId="2213"/>
    <cellStyle name="Comma [0] 132 2" xfId="2214"/>
    <cellStyle name="Comma [0] 133" xfId="2215"/>
    <cellStyle name="Comma [0] 133 2" xfId="2216"/>
    <cellStyle name="Comma [0] 134" xfId="2217"/>
    <cellStyle name="Comma [0] 134 2" xfId="2218"/>
    <cellStyle name="Comma [0] 135" xfId="2219"/>
    <cellStyle name="Comma [0] 135 2" xfId="2220"/>
    <cellStyle name="Comma [0] 136" xfId="2221"/>
    <cellStyle name="Comma [0] 136 2" xfId="2222"/>
    <cellStyle name="Comma [0] 137" xfId="2223"/>
    <cellStyle name="Comma [0] 137 2" xfId="2224"/>
    <cellStyle name="Comma [0] 138" xfId="2225"/>
    <cellStyle name="Comma [0] 138 2" xfId="2226"/>
    <cellStyle name="Comma [0] 139" xfId="2227"/>
    <cellStyle name="Comma [0] 139 2" xfId="2228"/>
    <cellStyle name="Comma [0] 14" xfId="2229"/>
    <cellStyle name="Comma [0] 14 2" xfId="2230"/>
    <cellStyle name="Comma [0] 14 2 2" xfId="2231"/>
    <cellStyle name="Comma [0] 14 2 2 2" xfId="2232"/>
    <cellStyle name="Comma [0] 140" xfId="2233"/>
    <cellStyle name="Comma [0] 140 2" xfId="2234"/>
    <cellStyle name="Comma [0] 141" xfId="2235"/>
    <cellStyle name="Comma [0] 141 2" xfId="2236"/>
    <cellStyle name="Comma [0] 142" xfId="2237"/>
    <cellStyle name="Comma [0] 142 2" xfId="2238"/>
    <cellStyle name="Comma [0] 143" xfId="2239"/>
    <cellStyle name="Comma [0] 143 2" xfId="2240"/>
    <cellStyle name="Comma [0] 144" xfId="2241"/>
    <cellStyle name="Comma [0] 144 2" xfId="2242"/>
    <cellStyle name="Comma [0] 15" xfId="2243"/>
    <cellStyle name="Comma [0] 15 2" xfId="2244"/>
    <cellStyle name="Comma [0] 15 2 2" xfId="2245"/>
    <cellStyle name="Comma [0] 15 3" xfId="2246"/>
    <cellStyle name="Comma [0] 153" xfId="2247"/>
    <cellStyle name="Comma [0] 153 2" xfId="2248"/>
    <cellStyle name="Comma [0] 16" xfId="2249"/>
    <cellStyle name="Comma [0] 16 2" xfId="2250"/>
    <cellStyle name="Comma [0] 16 2 2" xfId="2251"/>
    <cellStyle name="Comma [0] 16 3" xfId="2252"/>
    <cellStyle name="Comma [0] 16 4" xfId="2253"/>
    <cellStyle name="Comma [0] 17" xfId="2254"/>
    <cellStyle name="Comma [0] 17 2" xfId="2255"/>
    <cellStyle name="Comma [0] 17 2 2" xfId="2256"/>
    <cellStyle name="Comma [0] 17 3" xfId="2257"/>
    <cellStyle name="Comma [0] 18" xfId="2258"/>
    <cellStyle name="Comma [0] 18 2" xfId="2259"/>
    <cellStyle name="Comma [0] 18 2 2" xfId="2260"/>
    <cellStyle name="Comma [0] 18 3" xfId="2261"/>
    <cellStyle name="Comma [0] 19" xfId="2262"/>
    <cellStyle name="Comma [0] 19 19" xfId="2263"/>
    <cellStyle name="Comma [0] 19 19 2" xfId="2264"/>
    <cellStyle name="Comma [0] 19 2" xfId="2265"/>
    <cellStyle name="Comma [0] 19 2 2" xfId="2266"/>
    <cellStyle name="Comma [0] 19 3" xfId="2267"/>
    <cellStyle name="Comma [0] 2" xfId="2268"/>
    <cellStyle name="Comma [0] 2 10" xfId="2269"/>
    <cellStyle name="Comma [0] 2 10 2" xfId="2270"/>
    <cellStyle name="Comma [0] 2 10 3" xfId="2271"/>
    <cellStyle name="Comma [0] 2 10 4" xfId="2272"/>
    <cellStyle name="Comma [0] 2 10 5" xfId="2273"/>
    <cellStyle name="Comma [0] 2 11" xfId="2274"/>
    <cellStyle name="Comma [0] 2 11 2" xfId="2275"/>
    <cellStyle name="Comma [0] 2 11 3" xfId="2276"/>
    <cellStyle name="Comma [0] 2 11 4" xfId="2277"/>
    <cellStyle name="Comma [0] 2 11 5" xfId="2278"/>
    <cellStyle name="Comma [0] 2 12" xfId="2279"/>
    <cellStyle name="Comma [0] 2 12 2" xfId="2280"/>
    <cellStyle name="Comma [0] 2 12 3" xfId="2281"/>
    <cellStyle name="Comma [0] 2 12 4" xfId="2282"/>
    <cellStyle name="Comma [0] 2 12 5" xfId="2283"/>
    <cellStyle name="Comma [0] 2 13" xfId="2284"/>
    <cellStyle name="Comma [0] 2 13 2" xfId="2285"/>
    <cellStyle name="Comma [0] 2 13 3" xfId="2286"/>
    <cellStyle name="Comma [0] 2 13 4" xfId="2287"/>
    <cellStyle name="Comma [0] 2 13 5" xfId="2288"/>
    <cellStyle name="Comma [0] 2 14" xfId="2289"/>
    <cellStyle name="Comma [0] 2 14 2" xfId="2290"/>
    <cellStyle name="Comma [0] 2 14 3" xfId="2291"/>
    <cellStyle name="Comma [0] 2 14 4" xfId="2292"/>
    <cellStyle name="Comma [0] 2 14 5" xfId="2293"/>
    <cellStyle name="Comma [0] 2 15" xfId="2294"/>
    <cellStyle name="Comma [0] 2 15 2" xfId="2295"/>
    <cellStyle name="Comma [0] 2 15 3" xfId="2296"/>
    <cellStyle name="Comma [0] 2 15 4" xfId="2297"/>
    <cellStyle name="Comma [0] 2 15 5" xfId="2298"/>
    <cellStyle name="Comma [0] 2 16" xfId="2299"/>
    <cellStyle name="Comma [0] 2 16 2" xfId="2300"/>
    <cellStyle name="Comma [0] 2 16 3" xfId="2301"/>
    <cellStyle name="Comma [0] 2 16 4" xfId="2302"/>
    <cellStyle name="Comma [0] 2 16 5" xfId="2303"/>
    <cellStyle name="Comma [0] 2 17" xfId="2304"/>
    <cellStyle name="Comma [0] 2 17 2" xfId="2305"/>
    <cellStyle name="Comma [0] 2 17 3" xfId="2306"/>
    <cellStyle name="Comma [0] 2 17 4" xfId="2307"/>
    <cellStyle name="Comma [0] 2 17 5" xfId="2308"/>
    <cellStyle name="Comma [0] 2 18" xfId="2309"/>
    <cellStyle name="Comma [0] 2 18 2" xfId="2310"/>
    <cellStyle name="Comma [0] 2 18 3" xfId="2311"/>
    <cellStyle name="Comma [0] 2 18 4" xfId="2312"/>
    <cellStyle name="Comma [0] 2 18 5" xfId="2313"/>
    <cellStyle name="Comma [0] 2 19" xfId="2314"/>
    <cellStyle name="Comma [0] 2 19 2" xfId="2315"/>
    <cellStyle name="Comma [0] 2 19 3" xfId="2316"/>
    <cellStyle name="Comma [0] 2 19 4" xfId="2317"/>
    <cellStyle name="Comma [0] 2 19 5" xfId="2318"/>
    <cellStyle name="Comma [0] 2 2" xfId="2319"/>
    <cellStyle name="Comma [0] 2 2 10" xfId="2320"/>
    <cellStyle name="Comma [0] 2 2 11" xfId="2321"/>
    <cellStyle name="Comma [0] 2 2 12" xfId="2322"/>
    <cellStyle name="Comma [0] 2 2 13" xfId="2323"/>
    <cellStyle name="Comma [0] 2 2 14" xfId="2324"/>
    <cellStyle name="Comma [0] 2 2 15" xfId="2325"/>
    <cellStyle name="Comma [0] 2 2 16" xfId="2326"/>
    <cellStyle name="Comma [0] 2 2 2" xfId="2327"/>
    <cellStyle name="Comma [0] 2 2 2 10" xfId="2328"/>
    <cellStyle name="Comma [0] 2 2 2 2" xfId="2329"/>
    <cellStyle name="Comma [0] 2 2 3" xfId="2330"/>
    <cellStyle name="Comma [0] 2 2 4" xfId="2331"/>
    <cellStyle name="Comma [0] 2 2 5" xfId="2332"/>
    <cellStyle name="Comma [0] 2 2 6" xfId="2333"/>
    <cellStyle name="Comma [0] 2 2 7" xfId="2334"/>
    <cellStyle name="Comma [0] 2 2 8" xfId="2335"/>
    <cellStyle name="Comma [0] 2 2 9" xfId="2336"/>
    <cellStyle name="Comma [0] 2 20" xfId="2337"/>
    <cellStyle name="Comma [0] 2 21" xfId="2338"/>
    <cellStyle name="Comma [0] 2 22" xfId="2339"/>
    <cellStyle name="Comma [0] 2 23" xfId="2340"/>
    <cellStyle name="Comma [0] 2 24" xfId="2341"/>
    <cellStyle name="Comma [0] 2 25" xfId="2342"/>
    <cellStyle name="Comma [0] 2 26" xfId="2343"/>
    <cellStyle name="Comma [0] 2 27" xfId="2344"/>
    <cellStyle name="Comma [0] 2 28" xfId="2345"/>
    <cellStyle name="Comma [0] 2 29" xfId="2346"/>
    <cellStyle name="Comma [0] 2 3" xfId="2347"/>
    <cellStyle name="Comma [0] 2 3 2" xfId="2348"/>
    <cellStyle name="Comma [0] 2 3 3" xfId="2349"/>
    <cellStyle name="Comma [0] 2 3 4" xfId="2350"/>
    <cellStyle name="Comma [0] 2 3 5" xfId="2351"/>
    <cellStyle name="Comma [0] 2 30" xfId="2352"/>
    <cellStyle name="Comma [0] 2 31" xfId="2353"/>
    <cellStyle name="Comma [0] 2 32" xfId="2354"/>
    <cellStyle name="Comma [0] 2 33" xfId="2355"/>
    <cellStyle name="Comma [0] 2 34" xfId="2356"/>
    <cellStyle name="Comma [0] 2 35" xfId="2357"/>
    <cellStyle name="Comma [0] 2 36" xfId="2358"/>
    <cellStyle name="Comma [0] 2 37" xfId="2359"/>
    <cellStyle name="Comma [0] 2 38" xfId="2360"/>
    <cellStyle name="Comma [0] 2 39" xfId="2361"/>
    <cellStyle name="Comma [0] 2 4" xfId="2362"/>
    <cellStyle name="Comma [0] 2 4 2" xfId="2363"/>
    <cellStyle name="Comma [0] 2 4 2 2" xfId="2364"/>
    <cellStyle name="Comma [0] 2 4 2 2 2" xfId="2365"/>
    <cellStyle name="Comma [0] 2 4 3" xfId="2366"/>
    <cellStyle name="Comma [0] 2 4 4" xfId="2367"/>
    <cellStyle name="Comma [0] 2 4 5" xfId="2368"/>
    <cellStyle name="Comma [0] 2 40" xfId="2369"/>
    <cellStyle name="Comma [0] 2 41" xfId="2370"/>
    <cellStyle name="Comma [0] 2 5" xfId="2371"/>
    <cellStyle name="Comma [0] 2 5 2" xfId="2372"/>
    <cellStyle name="Comma [0] 2 5 3" xfId="2373"/>
    <cellStyle name="Comma [0] 2 5 4" xfId="2374"/>
    <cellStyle name="Comma [0] 2 5 5" xfId="2375"/>
    <cellStyle name="Comma [0] 2 5 6" xfId="2376"/>
    <cellStyle name="Comma [0] 2 5 7" xfId="2377"/>
    <cellStyle name="Comma [0] 2 6" xfId="2378"/>
    <cellStyle name="Comma [0] 2 6 2" xfId="2379"/>
    <cellStyle name="Comma [0] 2 6 3" xfId="2380"/>
    <cellStyle name="Comma [0] 2 6 4" xfId="2381"/>
    <cellStyle name="Comma [0] 2 6 5" xfId="2382"/>
    <cellStyle name="Comma [0] 2 63" xfId="2383"/>
    <cellStyle name="Comma [0] 2 7" xfId="2384"/>
    <cellStyle name="Comma [0] 2 7 2" xfId="2385"/>
    <cellStyle name="Comma [0] 2 7 3" xfId="2386"/>
    <cellStyle name="Comma [0] 2 7 4" xfId="2387"/>
    <cellStyle name="Comma [0] 2 7 5" xfId="2388"/>
    <cellStyle name="Comma [0] 2 8" xfId="2389"/>
    <cellStyle name="Comma [0] 2 8 2" xfId="2390"/>
    <cellStyle name="Comma [0] 2 8 3" xfId="2391"/>
    <cellStyle name="Comma [0] 2 8 4" xfId="2392"/>
    <cellStyle name="Comma [0] 2 8 5" xfId="2393"/>
    <cellStyle name="Comma [0] 2 9" xfId="2394"/>
    <cellStyle name="Comma [0] 2 9 2" xfId="2395"/>
    <cellStyle name="Comma [0] 2 9 3" xfId="2396"/>
    <cellStyle name="Comma [0] 2 9 4" xfId="2397"/>
    <cellStyle name="Comma [0] 2 9 5" xfId="2398"/>
    <cellStyle name="Comma [0] 20" xfId="2399"/>
    <cellStyle name="Comma [0] 20 2" xfId="2400"/>
    <cellStyle name="Comma [0] 20 2 2" xfId="2401"/>
    <cellStyle name="Comma [0] 20 3" xfId="2402"/>
    <cellStyle name="Comma [0] 21" xfId="2403"/>
    <cellStyle name="Comma [0] 21 2" xfId="2404"/>
    <cellStyle name="Comma [0] 21 2 2" xfId="2405"/>
    <cellStyle name="Comma [0] 21 3" xfId="2406"/>
    <cellStyle name="Comma [0] 22" xfId="2407"/>
    <cellStyle name="Comma [0] 22 2" xfId="2408"/>
    <cellStyle name="Comma [0] 22 2 2" xfId="2409"/>
    <cellStyle name="Comma [0] 22 3" xfId="2410"/>
    <cellStyle name="Comma [0] 222" xfId="2411"/>
    <cellStyle name="Comma [0] 23" xfId="2412"/>
    <cellStyle name="Comma [0] 23 2" xfId="2413"/>
    <cellStyle name="Comma [0] 23 2 2" xfId="2414"/>
    <cellStyle name="Comma [0] 23 3" xfId="2415"/>
    <cellStyle name="Comma [0] 24" xfId="2416"/>
    <cellStyle name="Comma [0] 24 2" xfId="2417"/>
    <cellStyle name="Comma [0] 24 2 2" xfId="2418"/>
    <cellStyle name="Comma [0] 24 3" xfId="2419"/>
    <cellStyle name="Comma [0] 25" xfId="2420"/>
    <cellStyle name="Comma [0] 25 2" xfId="2421"/>
    <cellStyle name="Comma [0] 25 2 2" xfId="2422"/>
    <cellStyle name="Comma [0] 25 3" xfId="2423"/>
    <cellStyle name="Comma [0] 26" xfId="2424"/>
    <cellStyle name="Comma [0] 26 2" xfId="2425"/>
    <cellStyle name="Comma [0] 26 2 2" xfId="2426"/>
    <cellStyle name="Comma [0] 26 3" xfId="2427"/>
    <cellStyle name="Comma [0] 27" xfId="2428"/>
    <cellStyle name="Comma [0] 27 2" xfId="2429"/>
    <cellStyle name="Comma [0] 27 2 2" xfId="2430"/>
    <cellStyle name="Comma [0] 27 3" xfId="2431"/>
    <cellStyle name="Comma [0] 28" xfId="2432"/>
    <cellStyle name="Comma [0] 28 2" xfId="2433"/>
    <cellStyle name="Comma [0] 28 2 2" xfId="2434"/>
    <cellStyle name="Comma [0] 28 2 3" xfId="2435"/>
    <cellStyle name="Comma [0] 28 2 4" xfId="2436"/>
    <cellStyle name="Comma [0] 28 2 5" xfId="2437"/>
    <cellStyle name="Comma [0] 28 2 6" xfId="2438"/>
    <cellStyle name="Comma [0] 28 3" xfId="2439"/>
    <cellStyle name="Comma [0] 29" xfId="2440"/>
    <cellStyle name="Comma [0] 29 2" xfId="2441"/>
    <cellStyle name="Comma [0] 29 2 2" xfId="2442"/>
    <cellStyle name="Comma [0] 29 3" xfId="2443"/>
    <cellStyle name="Comma [0] 29 4" xfId="2444"/>
    <cellStyle name="Comma [0] 3" xfId="2445"/>
    <cellStyle name="Comma [0] 3 10" xfId="2446"/>
    <cellStyle name="Comma [0] 3 11" xfId="2447"/>
    <cellStyle name="Comma [0] 3 12" xfId="2448"/>
    <cellStyle name="Comma [0] 3 13" xfId="2449"/>
    <cellStyle name="Comma [0] 3 14" xfId="2450"/>
    <cellStyle name="Comma [0] 3 15" xfId="2451"/>
    <cellStyle name="Comma [0] 3 16" xfId="2452"/>
    <cellStyle name="Comma [0] 3 17" xfId="2453"/>
    <cellStyle name="Comma [0] 3 18" xfId="2454"/>
    <cellStyle name="Comma [0] 3 19" xfId="2455"/>
    <cellStyle name="Comma [0] 3 2" xfId="2456"/>
    <cellStyle name="Comma [0] 3 2 2" xfId="2457"/>
    <cellStyle name="Comma [0] 3 2 2 2" xfId="2458"/>
    <cellStyle name="Comma [0] 3 2 3" xfId="2459"/>
    <cellStyle name="Comma [0] 3 2 4" xfId="2460"/>
    <cellStyle name="Comma [0] 3 2 5" xfId="2461"/>
    <cellStyle name="Comma [0] 3 20" xfId="2462"/>
    <cellStyle name="Comma [0] 3 21" xfId="2463"/>
    <cellStyle name="Comma [0] 3 22" xfId="2464"/>
    <cellStyle name="Comma [0] 3 23" xfId="2465"/>
    <cellStyle name="Comma [0] 3 24" xfId="2466"/>
    <cellStyle name="Comma [0] 3 25" xfId="2467"/>
    <cellStyle name="Comma [0] 3 26" xfId="2468"/>
    <cellStyle name="Comma [0] 3 27" xfId="2469"/>
    <cellStyle name="Comma [0] 3 3" xfId="2470"/>
    <cellStyle name="Comma [0] 3 3 2" xfId="2471"/>
    <cellStyle name="Comma [0] 3 3 3" xfId="2472"/>
    <cellStyle name="Comma [0] 3 3 4" xfId="2473"/>
    <cellStyle name="Comma [0] 3 3 5" xfId="2474"/>
    <cellStyle name="Comma [0] 3 4" xfId="2475"/>
    <cellStyle name="Comma [0] 3 4 2" xfId="2476"/>
    <cellStyle name="Comma [0] 3 5" xfId="2477"/>
    <cellStyle name="Comma [0] 3 5 2" xfId="2478"/>
    <cellStyle name="Comma [0] 3 6" xfId="2479"/>
    <cellStyle name="Comma [0] 3 7" xfId="2480"/>
    <cellStyle name="Comma [0] 3 8" xfId="2481"/>
    <cellStyle name="Comma [0] 3 9" xfId="2482"/>
    <cellStyle name="Comma [0] 30" xfId="2483"/>
    <cellStyle name="Comma [0] 30 2" xfId="2484"/>
    <cellStyle name="Comma [0] 30 2 2" xfId="2485"/>
    <cellStyle name="Comma [0] 30 3" xfId="2486"/>
    <cellStyle name="Comma [0] 31" xfId="2487"/>
    <cellStyle name="Comma [0] 31 2" xfId="2488"/>
    <cellStyle name="Comma [0] 32" xfId="2489"/>
    <cellStyle name="Comma [0] 32 2" xfId="2490"/>
    <cellStyle name="Comma [0] 33" xfId="2491"/>
    <cellStyle name="Comma [0] 33 2" xfId="2492"/>
    <cellStyle name="Comma [0] 34" xfId="2493"/>
    <cellStyle name="Comma [0] 34 2" xfId="2494"/>
    <cellStyle name="Comma [0] 34 2 2" xfId="2495"/>
    <cellStyle name="Comma [0] 34 3" xfId="2496"/>
    <cellStyle name="Comma [0] 35" xfId="2497"/>
    <cellStyle name="Comma [0] 35 2" xfId="2498"/>
    <cellStyle name="Comma [0] 35 2 2" xfId="2499"/>
    <cellStyle name="Comma [0] 35 3" xfId="2500"/>
    <cellStyle name="Comma [0] 36" xfId="2501"/>
    <cellStyle name="Comma [0] 36 2" xfId="2502"/>
    <cellStyle name="Comma [0] 36 2 2" xfId="2503"/>
    <cellStyle name="Comma [0] 36 3" xfId="2504"/>
    <cellStyle name="Comma [0] 37" xfId="2505"/>
    <cellStyle name="Comma [0] 37 2" xfId="2506"/>
    <cellStyle name="Comma [0] 37 2 2" xfId="2507"/>
    <cellStyle name="Comma [0] 37 3" xfId="2508"/>
    <cellStyle name="Comma [0] 38" xfId="2509"/>
    <cellStyle name="Comma [0] 38 2" xfId="2510"/>
    <cellStyle name="Comma [0] 38 2 2" xfId="2511"/>
    <cellStyle name="Comma [0] 38 3" xfId="2512"/>
    <cellStyle name="Comma [0] 39" xfId="2513"/>
    <cellStyle name="Comma [0] 39 2" xfId="2514"/>
    <cellStyle name="Comma [0] 39 2 2" xfId="2515"/>
    <cellStyle name="Comma [0] 39 3" xfId="2516"/>
    <cellStyle name="Comma [0] 4" xfId="2517"/>
    <cellStyle name="Comma [0] 4 2" xfId="2518"/>
    <cellStyle name="Comma [0] 4 2 2" xfId="2519"/>
    <cellStyle name="Comma [0] 4 2 3" xfId="2520"/>
    <cellStyle name="Comma [0] 4 2 4" xfId="2521"/>
    <cellStyle name="Comma [0] 4 2 5" xfId="2522"/>
    <cellStyle name="Comma [0] 4 2 6" xfId="2523"/>
    <cellStyle name="Comma [0] 4 2 7" xfId="2524"/>
    <cellStyle name="Comma [0] 4 3" xfId="2525"/>
    <cellStyle name="Comma [0] 4 4" xfId="2526"/>
    <cellStyle name="Comma [0] 4 5" xfId="2527"/>
    <cellStyle name="Comma [0] 4 6" xfId="2528"/>
    <cellStyle name="Comma [0] 4 7" xfId="2529"/>
    <cellStyle name="Comma [0] 4 8" xfId="2530"/>
    <cellStyle name="Comma [0] 4 9" xfId="2531"/>
    <cellStyle name="Comma [0] 40" xfId="2532"/>
    <cellStyle name="Comma [0] 40 2" xfId="2533"/>
    <cellStyle name="Comma [0] 40 2 2" xfId="2534"/>
    <cellStyle name="Comma [0] 40 3" xfId="2535"/>
    <cellStyle name="Comma [0] 41" xfId="2536"/>
    <cellStyle name="Comma [0] 41 2" xfId="2537"/>
    <cellStyle name="Comma [0] 41 2 2" xfId="2538"/>
    <cellStyle name="Comma [0] 41 3" xfId="2539"/>
    <cellStyle name="Comma [0] 42" xfId="2540"/>
    <cellStyle name="Comma [0] 42 2" xfId="2541"/>
    <cellStyle name="Comma [0] 42 2 2" xfId="2542"/>
    <cellStyle name="Comma [0] 42 3" xfId="2543"/>
    <cellStyle name="Comma [0] 43" xfId="2544"/>
    <cellStyle name="Comma [0] 43 2" xfId="2545"/>
    <cellStyle name="Comma [0] 43 2 2" xfId="2546"/>
    <cellStyle name="Comma [0] 43 3" xfId="2547"/>
    <cellStyle name="Comma [0] 44" xfId="2548"/>
    <cellStyle name="Comma [0] 44 2" xfId="2549"/>
    <cellStyle name="Comma [0] 44 2 2" xfId="2550"/>
    <cellStyle name="Comma [0] 44 3" xfId="2551"/>
    <cellStyle name="Comma [0] 45" xfId="2552"/>
    <cellStyle name="Comma [0] 45 2" xfId="2553"/>
    <cellStyle name="Comma [0] 45 2 2" xfId="2554"/>
    <cellStyle name="Comma [0] 45 3" xfId="2555"/>
    <cellStyle name="Comma [0] 46" xfId="2556"/>
    <cellStyle name="Comma [0] 46 2" xfId="2557"/>
    <cellStyle name="Comma [0] 46 2 2" xfId="2558"/>
    <cellStyle name="Comma [0] 46 3" xfId="2559"/>
    <cellStyle name="Comma [0] 47" xfId="2560"/>
    <cellStyle name="Comma [0] 47 2" xfId="2561"/>
    <cellStyle name="Comma [0] 47 2 2" xfId="2562"/>
    <cellStyle name="Comma [0] 47 3" xfId="2563"/>
    <cellStyle name="Comma [0] 48" xfId="2564"/>
    <cellStyle name="Comma [0] 48 2" xfId="2565"/>
    <cellStyle name="Comma [0] 48 2 2" xfId="2566"/>
    <cellStyle name="Comma [0] 48 3" xfId="2567"/>
    <cellStyle name="Comma [0] 49" xfId="2568"/>
    <cellStyle name="Comma [0] 49 2" xfId="2569"/>
    <cellStyle name="Comma [0] 49 2 2" xfId="2570"/>
    <cellStyle name="Comma [0] 49 3" xfId="2571"/>
    <cellStyle name="Comma [0] 5" xfId="2572"/>
    <cellStyle name="Comma [0] 5 2" xfId="2573"/>
    <cellStyle name="Comma [0] 5 2 2" xfId="2574"/>
    <cellStyle name="Comma [0] 5 2 3" xfId="2575"/>
    <cellStyle name="Comma [0] 5 2 4" xfId="2576"/>
    <cellStyle name="Comma [0] 5 2 5" xfId="2577"/>
    <cellStyle name="Comma [0] 5 2 6" xfId="2578"/>
    <cellStyle name="Comma [0] 5 2 7" xfId="2579"/>
    <cellStyle name="Comma [0] 5 3" xfId="2580"/>
    <cellStyle name="Comma [0] 5 3 2" xfId="2581"/>
    <cellStyle name="Comma [0] 5 4" xfId="2582"/>
    <cellStyle name="Comma [0] 5 4 2" xfId="2583"/>
    <cellStyle name="Comma [0] 5 5" xfId="2584"/>
    <cellStyle name="Comma [0] 5 6" xfId="2585"/>
    <cellStyle name="Comma [0] 5 7" xfId="2586"/>
    <cellStyle name="Comma [0] 5 8" xfId="2587"/>
    <cellStyle name="Comma [0] 5 9" xfId="2588"/>
    <cellStyle name="Comma [0] 50" xfId="2589"/>
    <cellStyle name="Comma [0] 50 2" xfId="2590"/>
    <cellStyle name="Comma [0] 50 2 2" xfId="2591"/>
    <cellStyle name="Comma [0] 50 3" xfId="2592"/>
    <cellStyle name="Comma [0] 51" xfId="2593"/>
    <cellStyle name="Comma [0] 51 2" xfId="2594"/>
    <cellStyle name="Comma [0] 51 2 2" xfId="2595"/>
    <cellStyle name="Comma [0] 51 3" xfId="2596"/>
    <cellStyle name="Comma [0] 52" xfId="2597"/>
    <cellStyle name="Comma [0] 52 2" xfId="2598"/>
    <cellStyle name="Comma [0] 52 2 2" xfId="2599"/>
    <cellStyle name="Comma [0] 52 3" xfId="2600"/>
    <cellStyle name="Comma [0] 53" xfId="2601"/>
    <cellStyle name="Comma [0] 53 2" xfId="2602"/>
    <cellStyle name="Comma [0] 53 2 2" xfId="2603"/>
    <cellStyle name="Comma [0] 53 3" xfId="2604"/>
    <cellStyle name="Comma [0] 54" xfId="2605"/>
    <cellStyle name="Comma [0] 54 2" xfId="2606"/>
    <cellStyle name="Comma [0] 54 2 2" xfId="2607"/>
    <cellStyle name="Comma [0] 54 3" xfId="2608"/>
    <cellStyle name="Comma [0] 55" xfId="2609"/>
    <cellStyle name="Comma [0] 55 2" xfId="2610"/>
    <cellStyle name="Comma [0] 55 2 2" xfId="2611"/>
    <cellStyle name="Comma [0] 55 3" xfId="2612"/>
    <cellStyle name="Comma [0] 56" xfId="2613"/>
    <cellStyle name="Comma [0] 56 2" xfId="2614"/>
    <cellStyle name="Comma [0] 56 2 2" xfId="2615"/>
    <cellStyle name="Comma [0] 56 3" xfId="2616"/>
    <cellStyle name="Comma [0] 57" xfId="2617"/>
    <cellStyle name="Comma [0] 57 2" xfId="2618"/>
    <cellStyle name="Comma [0] 57 2 2" xfId="2619"/>
    <cellStyle name="Comma [0] 57 3" xfId="2620"/>
    <cellStyle name="Comma [0] 58" xfId="2621"/>
    <cellStyle name="Comma [0] 58 2" xfId="2622"/>
    <cellStyle name="Comma [0] 58 2 2" xfId="2623"/>
    <cellStyle name="Comma [0] 58 3" xfId="2624"/>
    <cellStyle name="Comma [0] 59" xfId="2625"/>
    <cellStyle name="Comma [0] 59 2" xfId="2626"/>
    <cellStyle name="Comma [0] 59 2 2" xfId="2627"/>
    <cellStyle name="Comma [0] 59 3" xfId="2628"/>
    <cellStyle name="Comma [0] 6" xfId="2629"/>
    <cellStyle name="Comma [0] 6 10" xfId="2630"/>
    <cellStyle name="Comma [0] 6 2" xfId="2631"/>
    <cellStyle name="Comma [0] 6 2 2" xfId="2632"/>
    <cellStyle name="Comma [0] 6 2 2 2" xfId="2633"/>
    <cellStyle name="Comma [0] 6 2 3" xfId="2634"/>
    <cellStyle name="Comma [0] 6 2 4" xfId="2635"/>
    <cellStyle name="Comma [0] 6 2 5" xfId="2636"/>
    <cellStyle name="Comma [0] 6 2 6" xfId="2637"/>
    <cellStyle name="Comma [0] 6 3" xfId="2638"/>
    <cellStyle name="Comma [0] 6 4" xfId="2639"/>
    <cellStyle name="Comma [0] 6 5" xfId="2640"/>
    <cellStyle name="Comma [0] 6 6" xfId="2641"/>
    <cellStyle name="Comma [0] 6 6 2" xfId="2642"/>
    <cellStyle name="Comma [0] 6 7" xfId="2643"/>
    <cellStyle name="Comma [0] 6 8" xfId="2644"/>
    <cellStyle name="Comma [0] 6 9" xfId="2645"/>
    <cellStyle name="Comma [0] 60" xfId="2646"/>
    <cellStyle name="Comma [0] 60 2" xfId="2647"/>
    <cellStyle name="Comma [0] 61" xfId="2648"/>
    <cellStyle name="Comma [0] 61 2" xfId="2649"/>
    <cellStyle name="Comma [0] 62" xfId="2650"/>
    <cellStyle name="Comma [0] 62 2" xfId="2651"/>
    <cellStyle name="Comma [0] 63" xfId="2652"/>
    <cellStyle name="Comma [0] 63 2" xfId="2653"/>
    <cellStyle name="Comma [0] 64" xfId="2654"/>
    <cellStyle name="Comma [0] 64 2" xfId="2655"/>
    <cellStyle name="Comma [0] 65" xfId="2656"/>
    <cellStyle name="Comma [0] 65 2" xfId="2657"/>
    <cellStyle name="Comma [0] 65 2 2" xfId="2658"/>
    <cellStyle name="Comma [0] 65 3" xfId="2659"/>
    <cellStyle name="Comma [0] 66" xfId="2660"/>
    <cellStyle name="Comma [0] 66 2" xfId="2661"/>
    <cellStyle name="Comma [0] 67" xfId="2662"/>
    <cellStyle name="Comma [0] 68" xfId="2663"/>
    <cellStyle name="Comma [0] 68 2" xfId="2664"/>
    <cellStyle name="Comma [0] 68 3" xfId="2665"/>
    <cellStyle name="Comma [0] 68 4" xfId="2666"/>
    <cellStyle name="Comma [0] 69" xfId="2667"/>
    <cellStyle name="Comma [0] 69 2" xfId="2668"/>
    <cellStyle name="Comma [0] 7" xfId="2669"/>
    <cellStyle name="Comma [0] 7 2" xfId="2670"/>
    <cellStyle name="Comma [0] 7 3" xfId="2671"/>
    <cellStyle name="Comma [0] 7 3 2" xfId="2672"/>
    <cellStyle name="Comma [0] 7 4" xfId="2673"/>
    <cellStyle name="Comma [0] 7 4 2" xfId="2674"/>
    <cellStyle name="Comma [0] 7 5" xfId="2675"/>
    <cellStyle name="Comma [0] 7 6" xfId="2676"/>
    <cellStyle name="Comma [0] 7 7" xfId="2677"/>
    <cellStyle name="Comma [0] 7 8" xfId="2678"/>
    <cellStyle name="Comma [0] 70" xfId="2679"/>
    <cellStyle name="Comma [0] 70 2" xfId="2680"/>
    <cellStyle name="Comma [0] 70 3" xfId="2681"/>
    <cellStyle name="Comma [0] 70 4" xfId="2682"/>
    <cellStyle name="Comma [0] 70 5" xfId="2683"/>
    <cellStyle name="Comma [0] 71" xfId="2684"/>
    <cellStyle name="Comma [0] 71 2" xfId="2685"/>
    <cellStyle name="Comma [0] 72" xfId="2686"/>
    <cellStyle name="Comma [0] 73" xfId="2687"/>
    <cellStyle name="Comma [0] 74" xfId="2688"/>
    <cellStyle name="Comma [0] 78" xfId="2689"/>
    <cellStyle name="Comma [0] 8" xfId="2690"/>
    <cellStyle name="Comma [0] 8 2" xfId="2691"/>
    <cellStyle name="Comma [0] 8 2 2" xfId="2692"/>
    <cellStyle name="Comma [0] 8 3" xfId="2693"/>
    <cellStyle name="Comma [0] 8 3 2" xfId="2694"/>
    <cellStyle name="Comma [0] 8 4" xfId="2695"/>
    <cellStyle name="Comma [0] 8 5" xfId="2696"/>
    <cellStyle name="Comma [0] 8 6" xfId="2697"/>
    <cellStyle name="Comma [0] 8 7" xfId="2698"/>
    <cellStyle name="Comma [0] 81" xfId="2699"/>
    <cellStyle name="Comma [0] 84" xfId="2700"/>
    <cellStyle name="Comma [0] 9" xfId="2701"/>
    <cellStyle name="Comma [0] 9 2" xfId="2702"/>
    <cellStyle name="Comma [0] 9 2 2" xfId="2703"/>
    <cellStyle name="Comma [0] 9 3" xfId="2704"/>
    <cellStyle name="Comma [0] 9 3 2" xfId="2705"/>
    <cellStyle name="Comma [0] 9 4" xfId="2706"/>
    <cellStyle name="Comma [0] 9 5" xfId="2707"/>
    <cellStyle name="Comma [0] 9 6" xfId="2708"/>
    <cellStyle name="Comma [0] 9 7" xfId="2709"/>
    <cellStyle name="Comma [00]" xfId="2710"/>
    <cellStyle name="Comma 10" xfId="2711"/>
    <cellStyle name="Comma 10 2" xfId="2712"/>
    <cellStyle name="Comma 100" xfId="2713"/>
    <cellStyle name="Comma 11" xfId="2714"/>
    <cellStyle name="Comma 11 2" xfId="2715"/>
    <cellStyle name="Comma 11 3" xfId="2716"/>
    <cellStyle name="Comma 110" xfId="2717"/>
    <cellStyle name="Comma 110 2" xfId="2718"/>
    <cellStyle name="Comma 12" xfId="2719"/>
    <cellStyle name="Comma 12 2" xfId="2720"/>
    <cellStyle name="Comma 12 3" xfId="2721"/>
    <cellStyle name="Comma 12 4" xfId="2722"/>
    <cellStyle name="Comma 13" xfId="2723"/>
    <cellStyle name="Comma 13 2" xfId="2724"/>
    <cellStyle name="Comma 14" xfId="2725"/>
    <cellStyle name="Comma 15" xfId="2726"/>
    <cellStyle name="Comma 16" xfId="2727"/>
    <cellStyle name="Comma 16 10" xfId="2728"/>
    <cellStyle name="Comma 16 2" xfId="2729"/>
    <cellStyle name="Comma 16 3" xfId="2730"/>
    <cellStyle name="Comma 17" xfId="2731"/>
    <cellStyle name="Comma 17 2" xfId="2732"/>
    <cellStyle name="Comma 17 2 2" xfId="2733"/>
    <cellStyle name="Comma 18" xfId="2734"/>
    <cellStyle name="Comma 18 2" xfId="2735"/>
    <cellStyle name="Comma 19" xfId="2736"/>
    <cellStyle name="Comma 19 2" xfId="2737"/>
    <cellStyle name="Comma 2" xfId="2738"/>
    <cellStyle name="Comma 2 10" xfId="2739"/>
    <cellStyle name="Comma 2 11" xfId="2740"/>
    <cellStyle name="Comma 2 12" xfId="2741"/>
    <cellStyle name="Comma 2 13" xfId="2742"/>
    <cellStyle name="Comma 2 14" xfId="2743"/>
    <cellStyle name="Comma 2 15" xfId="2744"/>
    <cellStyle name="Comma 2 16" xfId="2745"/>
    <cellStyle name="Comma 2 17" xfId="2746"/>
    <cellStyle name="Comma 2 18" xfId="2747"/>
    <cellStyle name="Comma 2 19" xfId="2748"/>
    <cellStyle name="Comma 2 2" xfId="2749"/>
    <cellStyle name="Comma 2 2 2" xfId="2750"/>
    <cellStyle name="Comma 2 2 2 2" xfId="2751"/>
    <cellStyle name="Comma 2 2 3" xfId="2752"/>
    <cellStyle name="Comma 2 2 4" xfId="2753"/>
    <cellStyle name="Comma 2 2 5" xfId="2754"/>
    <cellStyle name="Comma 2 2 6" xfId="2755"/>
    <cellStyle name="Comma 2 2 7" xfId="2756"/>
    <cellStyle name="Comma 2 2 8" xfId="2757"/>
    <cellStyle name="Comma 2 20" xfId="2758"/>
    <cellStyle name="Comma 2 21" xfId="2759"/>
    <cellStyle name="Comma 2 22" xfId="2760"/>
    <cellStyle name="Comma 2 23" xfId="2761"/>
    <cellStyle name="Comma 2 24" xfId="2762"/>
    <cellStyle name="Comma 2 25" xfId="2763"/>
    <cellStyle name="Comma 2 26" xfId="2764"/>
    <cellStyle name="Comma 2 3" xfId="2765"/>
    <cellStyle name="Comma 2 3 2" xfId="2766"/>
    <cellStyle name="Comma 2 3 3" xfId="2767"/>
    <cellStyle name="Comma 2 4" xfId="2768"/>
    <cellStyle name="Comma 2 4 2" xfId="2769"/>
    <cellStyle name="Comma 2 5" xfId="2770"/>
    <cellStyle name="Comma 2 6" xfId="2771"/>
    <cellStyle name="Comma 2 7" xfId="2772"/>
    <cellStyle name="Comma 2 7 2" xfId="2773"/>
    <cellStyle name="Comma 2 8" xfId="2774"/>
    <cellStyle name="Comma 2 9" xfId="2775"/>
    <cellStyle name="Comma 2_ASAM-BTLICIN Sec 5 (SIPIL)" xfId="2776"/>
    <cellStyle name="Comma 20" xfId="2777"/>
    <cellStyle name="Comma 20 2" xfId="2778"/>
    <cellStyle name="Comma 21" xfId="2779"/>
    <cellStyle name="Comma 21 2" xfId="2780"/>
    <cellStyle name="Comma 22" xfId="2781"/>
    <cellStyle name="Comma 23" xfId="2782"/>
    <cellStyle name="Comma 23 2" xfId="2783"/>
    <cellStyle name="Comma 24" xfId="2784"/>
    <cellStyle name="Comma 24 2" xfId="2785"/>
    <cellStyle name="Comma 242" xfId="2786"/>
    <cellStyle name="Comma 25" xfId="2787"/>
    <cellStyle name="Comma 26" xfId="2788"/>
    <cellStyle name="Comma 26 2" xfId="2789"/>
    <cellStyle name="Comma 27" xfId="2790"/>
    <cellStyle name="Comma 27 2" xfId="2791"/>
    <cellStyle name="Comma 28" xfId="2792"/>
    <cellStyle name="Comma 28 2" xfId="2793"/>
    <cellStyle name="Comma 29" xfId="2794"/>
    <cellStyle name="Comma 29 2" xfId="2795"/>
    <cellStyle name="Comma 3" xfId="2796"/>
    <cellStyle name="Comma 3 10" xfId="2797"/>
    <cellStyle name="Comma 3 11" xfId="2798"/>
    <cellStyle name="Comma 3 12" xfId="2799"/>
    <cellStyle name="Comma 3 2" xfId="2800"/>
    <cellStyle name="Comma 3 2 2" xfId="2801"/>
    <cellStyle name="Comma 3 2 9" xfId="2802"/>
    <cellStyle name="Comma 3 3" xfId="2803"/>
    <cellStyle name="Comma 3 3 2" xfId="2804"/>
    <cellStyle name="Comma 3 4" xfId="2805"/>
    <cellStyle name="Comma 3 5" xfId="2806"/>
    <cellStyle name="Comma 3 6" xfId="2807"/>
    <cellStyle name="Comma 3 7" xfId="2808"/>
    <cellStyle name="Comma 3 8" xfId="2809"/>
    <cellStyle name="Comma 3 9" xfId="2810"/>
    <cellStyle name="Comma 30" xfId="2811"/>
    <cellStyle name="Comma 31" xfId="2812"/>
    <cellStyle name="Comma 31 2" xfId="2813"/>
    <cellStyle name="Comma 32" xfId="2814"/>
    <cellStyle name="Comma 32 2" xfId="2815"/>
    <cellStyle name="Comma 33" xfId="2816"/>
    <cellStyle name="Comma 33 2" xfId="2817"/>
    <cellStyle name="Comma 34" xfId="2818"/>
    <cellStyle name="Comma 34 2" xfId="2819"/>
    <cellStyle name="Comma 35" xfId="2820"/>
    <cellStyle name="Comma 35 2" xfId="2821"/>
    <cellStyle name="Comma 36" xfId="2822"/>
    <cellStyle name="Comma 36 2" xfId="2823"/>
    <cellStyle name="Comma 36 2 2" xfId="2824"/>
    <cellStyle name="Comma 36 8" xfId="2825"/>
    <cellStyle name="Comma 37" xfId="2826"/>
    <cellStyle name="Comma 38" xfId="2827"/>
    <cellStyle name="Comma 38 2" xfId="2828"/>
    <cellStyle name="Comma 38 8" xfId="2829"/>
    <cellStyle name="Comma 39" xfId="2830"/>
    <cellStyle name="Comma 39 2" xfId="2831"/>
    <cellStyle name="Comma 4" xfId="2832"/>
    <cellStyle name="Comma 4 10" xfId="2833"/>
    <cellStyle name="Comma 4 11" xfId="2834"/>
    <cellStyle name="Comma 4 2" xfId="2835"/>
    <cellStyle name="Comma 4 2 2" xfId="2836"/>
    <cellStyle name="Comma 4 2 3" xfId="2837"/>
    <cellStyle name="Comma 4 2 4" xfId="2838"/>
    <cellStyle name="Comma 4 2 5" xfId="2839"/>
    <cellStyle name="Comma 4 3" xfId="2840"/>
    <cellStyle name="Comma 4 4" xfId="2841"/>
    <cellStyle name="Comma 4 5" xfId="2842"/>
    <cellStyle name="Comma 4 6" xfId="2843"/>
    <cellStyle name="Comma 4 7" xfId="2844"/>
    <cellStyle name="Comma 4 8" xfId="2845"/>
    <cellStyle name="Comma 4 9" xfId="2846"/>
    <cellStyle name="Comma 40" xfId="2847"/>
    <cellStyle name="Comma 40 2" xfId="2848"/>
    <cellStyle name="Comma 41" xfId="2849"/>
    <cellStyle name="Comma 41 2" xfId="2850"/>
    <cellStyle name="Comma 41 3" xfId="2851"/>
    <cellStyle name="Comma 41 4" xfId="2852"/>
    <cellStyle name="Comma 42" xfId="2853"/>
    <cellStyle name="Comma 42 2" xfId="2854"/>
    <cellStyle name="Comma 42 3" xfId="2855"/>
    <cellStyle name="Comma 42 4" xfId="2856"/>
    <cellStyle name="Comma 43" xfId="2857"/>
    <cellStyle name="Comma 43 2" xfId="2858"/>
    <cellStyle name="Comma 44" xfId="2859"/>
    <cellStyle name="Comma 44 2" xfId="2860"/>
    <cellStyle name="Comma 45" xfId="2861"/>
    <cellStyle name="Comma 45 2" xfId="2862"/>
    <cellStyle name="Comma 46" xfId="2863"/>
    <cellStyle name="Comma 46 8" xfId="2864"/>
    <cellStyle name="Comma 47" xfId="2865"/>
    <cellStyle name="Comma 48" xfId="2866"/>
    <cellStyle name="Comma 49" xfId="2867"/>
    <cellStyle name="Comma 5" xfId="2868"/>
    <cellStyle name="Comma 5 2" xfId="2869"/>
    <cellStyle name="Comma 5 3" xfId="2870"/>
    <cellStyle name="Comma 5 3 2" xfId="2871"/>
    <cellStyle name="Comma 5 4" xfId="2872"/>
    <cellStyle name="Comma 5 5" xfId="2873"/>
    <cellStyle name="Comma 5 6" xfId="2874"/>
    <cellStyle name="Comma 5 7" xfId="2875"/>
    <cellStyle name="Comma 50" xfId="2"/>
    <cellStyle name="Comma 6" xfId="2876"/>
    <cellStyle name="Comma 6 2" xfId="2877"/>
    <cellStyle name="Comma 6 2 2" xfId="2878"/>
    <cellStyle name="Comma 6 2 3" xfId="2879"/>
    <cellStyle name="Comma 6 2 4" xfId="2880"/>
    <cellStyle name="Comma 6 2 5" xfId="2881"/>
    <cellStyle name="Comma 6 3" xfId="2882"/>
    <cellStyle name="Comma 6 4" xfId="2883"/>
    <cellStyle name="Comma 6 5" xfId="2884"/>
    <cellStyle name="Comma 6 6" xfId="2885"/>
    <cellStyle name="Comma 6 7" xfId="2886"/>
    <cellStyle name="Comma 6_APBN Rekap (Jakarta24Sep) (2)" xfId="2887"/>
    <cellStyle name="Comma 7" xfId="2888"/>
    <cellStyle name="Comma 7 2" xfId="2889"/>
    <cellStyle name="Comma 7 3" xfId="2890"/>
    <cellStyle name="Comma 7 4" xfId="2891"/>
    <cellStyle name="Comma 7 5" xfId="2892"/>
    <cellStyle name="Comma 7 6" xfId="2893"/>
    <cellStyle name="Comma 8" xfId="2894"/>
    <cellStyle name="Comma 8 2" xfId="2895"/>
    <cellStyle name="Comma 8 2 2" xfId="2896"/>
    <cellStyle name="Comma 8 3" xfId="2897"/>
    <cellStyle name="Comma 8 4" xfId="2898"/>
    <cellStyle name="Comma 8 5" xfId="2899"/>
    <cellStyle name="Comma 8 6" xfId="2900"/>
    <cellStyle name="Comma 8 7" xfId="2901"/>
    <cellStyle name="Comma 9" xfId="2902"/>
    <cellStyle name="Comma 9 2" xfId="2903"/>
    <cellStyle name="Comma0" xfId="2904"/>
    <cellStyle name="Comma0 2" xfId="2905"/>
    <cellStyle name="Comma0 2 2" xfId="2906"/>
    <cellStyle name="Comma0 2 3" xfId="2907"/>
    <cellStyle name="Comma0 2 4" xfId="2908"/>
    <cellStyle name="Comma0 2 5" xfId="2909"/>
    <cellStyle name="Comma0 3" xfId="2910"/>
    <cellStyle name="Comma0 4" xfId="2911"/>
    <cellStyle name="Comma0 5" xfId="2912"/>
    <cellStyle name="Comma0 6" xfId="2913"/>
    <cellStyle name="Copied" xfId="2914"/>
    <cellStyle name="Copied 2" xfId="2915"/>
    <cellStyle name="COST1" xfId="2916"/>
    <cellStyle name="Curren - Style7" xfId="2917"/>
    <cellStyle name="Curren - Style8" xfId="2918"/>
    <cellStyle name="Currency (0.00)" xfId="2919"/>
    <cellStyle name="Currency (0.00) 2" xfId="2920"/>
    <cellStyle name="Currency (0.00) 3" xfId="2921"/>
    <cellStyle name="Currency (0.00) 4" xfId="2922"/>
    <cellStyle name="Currency (0.00) 5" xfId="2923"/>
    <cellStyle name="Currency (0.00) 6" xfId="2924"/>
    <cellStyle name="Currency (0.00) 7" xfId="2925"/>
    <cellStyle name="Currency (0.00) 8" xfId="2926"/>
    <cellStyle name="Currency (0.00) 9" xfId="2927"/>
    <cellStyle name="Currency [0] 2" xfId="2928"/>
    <cellStyle name="Currency [0] 2 2" xfId="2929"/>
    <cellStyle name="Currency [0] 2 3" xfId="2930"/>
    <cellStyle name="Currency [0] 2 4" xfId="2931"/>
    <cellStyle name="Currency [0] 2 5" xfId="2932"/>
    <cellStyle name="Currency [00]" xfId="2933"/>
    <cellStyle name="Currency 2" xfId="2934"/>
    <cellStyle name="Currency 3" xfId="2935"/>
    <cellStyle name="Currency0" xfId="2936"/>
    <cellStyle name="Currency0 2" xfId="2937"/>
    <cellStyle name="Currency0 2 2" xfId="2938"/>
    <cellStyle name="Currency0 2 3" xfId="2939"/>
    <cellStyle name="Currency0 2 4" xfId="2940"/>
    <cellStyle name="Currency0 2 5" xfId="2941"/>
    <cellStyle name="Currency0 3" xfId="2942"/>
    <cellStyle name="Currency0 4" xfId="2943"/>
    <cellStyle name="Currency0 5" xfId="2944"/>
    <cellStyle name="Currency0 6" xfId="2945"/>
    <cellStyle name="Custom - Style1" xfId="2946"/>
    <cellStyle name="Custom - Style8" xfId="2947"/>
    <cellStyle name="Data   - Style2" xfId="2948"/>
    <cellStyle name="Data   - Style2 10" xfId="2949"/>
    <cellStyle name="Data   - Style2 2" xfId="2950"/>
    <cellStyle name="Data   - Style2 2 2" xfId="2951"/>
    <cellStyle name="Data   - Style2 2 3" xfId="2952"/>
    <cellStyle name="Data   - Style2 2 4" xfId="2953"/>
    <cellStyle name="Data   - Style2 2 5" xfId="2954"/>
    <cellStyle name="Data   - Style2 2 6" xfId="2955"/>
    <cellStyle name="Data   - Style2 2 7" xfId="2956"/>
    <cellStyle name="Data   - Style2 2 8" xfId="2957"/>
    <cellStyle name="Data   - Style2 2 9" xfId="2958"/>
    <cellStyle name="Data   - Style2 3" xfId="2959"/>
    <cellStyle name="Data   - Style2 4" xfId="2960"/>
    <cellStyle name="Data   - Style2 5" xfId="2961"/>
    <cellStyle name="Data   - Style2 6" xfId="2962"/>
    <cellStyle name="Data   - Style2 7" xfId="2963"/>
    <cellStyle name="Data   - Style2 8" xfId="2964"/>
    <cellStyle name="Data   - Style2 9" xfId="2965"/>
    <cellStyle name="Date" xfId="2966"/>
    <cellStyle name="Date Short" xfId="2967"/>
    <cellStyle name="Date_panja a" xfId="2968"/>
    <cellStyle name="date1" xfId="2969"/>
    <cellStyle name="Define your own named style" xfId="2970"/>
    <cellStyle name="Description" xfId="2971"/>
    <cellStyle name="Draw lines around data in range" xfId="2972"/>
    <cellStyle name="Draw lines around data in range 10" xfId="2973"/>
    <cellStyle name="Draw lines around data in range 2" xfId="2974"/>
    <cellStyle name="Draw lines around data in range 2 2" xfId="2975"/>
    <cellStyle name="Draw lines around data in range 2 3" xfId="2976"/>
    <cellStyle name="Draw lines around data in range 2 4" xfId="2977"/>
    <cellStyle name="Draw lines around data in range 2 5" xfId="2978"/>
    <cellStyle name="Draw lines around data in range 2 6" xfId="2979"/>
    <cellStyle name="Draw lines around data in range 2 7" xfId="2980"/>
    <cellStyle name="Draw lines around data in range 2 8" xfId="2981"/>
    <cellStyle name="Draw lines around data in range 2 9" xfId="2982"/>
    <cellStyle name="Draw lines around data in range 3" xfId="2983"/>
    <cellStyle name="Draw lines around data in range 4" xfId="2984"/>
    <cellStyle name="Draw lines around data in range 5" xfId="2985"/>
    <cellStyle name="Draw lines around data in range 6" xfId="2986"/>
    <cellStyle name="Draw lines around data in range 7" xfId="2987"/>
    <cellStyle name="Draw lines around data in range 8" xfId="2988"/>
    <cellStyle name="Draw lines around data in range 9" xfId="2989"/>
    <cellStyle name="Draw shadow and lines within range" xfId="2990"/>
    <cellStyle name="Draw shadow and lines within range 10" xfId="2991"/>
    <cellStyle name="Draw shadow and lines within range 2" xfId="2992"/>
    <cellStyle name="Draw shadow and lines within range 2 2" xfId="2993"/>
    <cellStyle name="Draw shadow and lines within range 2 3" xfId="2994"/>
    <cellStyle name="Draw shadow and lines within range 2 4" xfId="2995"/>
    <cellStyle name="Draw shadow and lines within range 2 5" xfId="2996"/>
    <cellStyle name="Draw shadow and lines within range 2 6" xfId="2997"/>
    <cellStyle name="Draw shadow and lines within range 2 7" xfId="2998"/>
    <cellStyle name="Draw shadow and lines within range 2 8" xfId="2999"/>
    <cellStyle name="Draw shadow and lines within range 2 9" xfId="3000"/>
    <cellStyle name="Draw shadow and lines within range 3" xfId="3001"/>
    <cellStyle name="Draw shadow and lines within range 4" xfId="3002"/>
    <cellStyle name="Draw shadow and lines within range 5" xfId="3003"/>
    <cellStyle name="Draw shadow and lines within range 6" xfId="3004"/>
    <cellStyle name="Draw shadow and lines within range 7" xfId="3005"/>
    <cellStyle name="Draw shadow and lines within range 8" xfId="3006"/>
    <cellStyle name="Draw shadow and lines within range 9" xfId="3007"/>
    <cellStyle name="Emphasis 1" xfId="3008"/>
    <cellStyle name="Emphasis 1 2" xfId="3009"/>
    <cellStyle name="Emphasis 1 3" xfId="3010"/>
    <cellStyle name="Emphasis 2" xfId="3011"/>
    <cellStyle name="Emphasis 2 2" xfId="3012"/>
    <cellStyle name="Emphasis 2 3" xfId="3013"/>
    <cellStyle name="Emphasis 3" xfId="3014"/>
    <cellStyle name="Emphasis 3 2" xfId="3015"/>
    <cellStyle name="Emphasis 3 3" xfId="3016"/>
    <cellStyle name="Enlarge title text, yellow on blue" xfId="3017"/>
    <cellStyle name="Enter Currency (0)" xfId="3018"/>
    <cellStyle name="Enter Currency (2)" xfId="3019"/>
    <cellStyle name="Enter Units (0)" xfId="3020"/>
    <cellStyle name="Enter Units (1)" xfId="3021"/>
    <cellStyle name="Enter Units (2)" xfId="3022"/>
    <cellStyle name="Entered" xfId="3023"/>
    <cellStyle name="Entered 2" xfId="3024"/>
    <cellStyle name="Euro" xfId="3025"/>
    <cellStyle name="Explanatory Text 10" xfId="3026"/>
    <cellStyle name="Explanatory Text 11" xfId="3027"/>
    <cellStyle name="Explanatory Text 12" xfId="3028"/>
    <cellStyle name="Explanatory Text 13" xfId="3029"/>
    <cellStyle name="Explanatory Text 14" xfId="3030"/>
    <cellStyle name="Explanatory Text 15" xfId="3031"/>
    <cellStyle name="Explanatory Text 16" xfId="3032"/>
    <cellStyle name="Explanatory Text 17" xfId="3033"/>
    <cellStyle name="Explanatory Text 18" xfId="3034"/>
    <cellStyle name="Explanatory Text 19" xfId="3035"/>
    <cellStyle name="Explanatory Text 2" xfId="3036"/>
    <cellStyle name="Explanatory Text 2 2" xfId="3037"/>
    <cellStyle name="Explanatory Text 2 3" xfId="3038"/>
    <cellStyle name="Explanatory Text 2 4" xfId="3039"/>
    <cellStyle name="Explanatory Text 20" xfId="3040"/>
    <cellStyle name="Explanatory Text 21" xfId="3041"/>
    <cellStyle name="Explanatory Text 22" xfId="3042"/>
    <cellStyle name="Explanatory Text 3" xfId="3043"/>
    <cellStyle name="Explanatory Text 4" xfId="3044"/>
    <cellStyle name="Explanatory Text 5" xfId="3045"/>
    <cellStyle name="Explanatory Text 6" xfId="3046"/>
    <cellStyle name="Explanatory Text 7" xfId="3047"/>
    <cellStyle name="Explanatory Text 8" xfId="3048"/>
    <cellStyle name="Explanatory Text 9" xfId="3049"/>
    <cellStyle name="Fixed" xfId="3050"/>
    <cellStyle name="Format a column of totals" xfId="3051"/>
    <cellStyle name="Format a column of totals 2" xfId="3052"/>
    <cellStyle name="Format a column of totals 2 2" xfId="3053"/>
    <cellStyle name="Format a column of totals 3" xfId="3054"/>
    <cellStyle name="Format a row of totals" xfId="3055"/>
    <cellStyle name="Format a row of totals 10" xfId="3056"/>
    <cellStyle name="Format a row of totals 2" xfId="3057"/>
    <cellStyle name="Format a row of totals 2 2" xfId="3058"/>
    <cellStyle name="Format a row of totals 2 3" xfId="3059"/>
    <cellStyle name="Format a row of totals 2 4" xfId="3060"/>
    <cellStyle name="Format a row of totals 2 5" xfId="3061"/>
    <cellStyle name="Format a row of totals 2 6" xfId="3062"/>
    <cellStyle name="Format a row of totals 2 7" xfId="3063"/>
    <cellStyle name="Format a row of totals 2 8" xfId="3064"/>
    <cellStyle name="Format a row of totals 2 9" xfId="3065"/>
    <cellStyle name="Format a row of totals 3" xfId="3066"/>
    <cellStyle name="Format a row of totals 4" xfId="3067"/>
    <cellStyle name="Format a row of totals 5" xfId="3068"/>
    <cellStyle name="Format a row of totals 6" xfId="3069"/>
    <cellStyle name="Format a row of totals 7" xfId="3070"/>
    <cellStyle name="Format a row of totals 8" xfId="3071"/>
    <cellStyle name="Format a row of totals 9" xfId="3072"/>
    <cellStyle name="Format text as bold, black on yellow" xfId="3073"/>
    <cellStyle name="Format text as bold, black on yellow 10" xfId="3074"/>
    <cellStyle name="Format text as bold, black on yellow 2" xfId="3075"/>
    <cellStyle name="Format text as bold, black on yellow 2 2" xfId="3076"/>
    <cellStyle name="Format text as bold, black on yellow 2 3" xfId="3077"/>
    <cellStyle name="Format text as bold, black on yellow 2 4" xfId="3078"/>
    <cellStyle name="Format text as bold, black on yellow 2 5" xfId="3079"/>
    <cellStyle name="Format text as bold, black on yellow 2 6" xfId="3080"/>
    <cellStyle name="Format text as bold, black on yellow 2 7" xfId="3081"/>
    <cellStyle name="Format text as bold, black on yellow 2 8" xfId="3082"/>
    <cellStyle name="Format text as bold, black on yellow 2 9" xfId="3083"/>
    <cellStyle name="Format text as bold, black on yellow 3" xfId="3084"/>
    <cellStyle name="Format text as bold, black on yellow 4" xfId="3085"/>
    <cellStyle name="Format text as bold, black on yellow 5" xfId="3086"/>
    <cellStyle name="Format text as bold, black on yellow 6" xfId="3087"/>
    <cellStyle name="Format text as bold, black on yellow 7" xfId="3088"/>
    <cellStyle name="Format text as bold, black on yellow 8" xfId="3089"/>
    <cellStyle name="Format text as bold, black on yellow 9" xfId="3090"/>
    <cellStyle name="Good 10" xfId="3091"/>
    <cellStyle name="Good 11" xfId="3092"/>
    <cellStyle name="Good 12" xfId="3093"/>
    <cellStyle name="Good 13" xfId="3094"/>
    <cellStyle name="Good 14" xfId="3095"/>
    <cellStyle name="Good 15" xfId="3096"/>
    <cellStyle name="Good 16" xfId="3097"/>
    <cellStyle name="Good 17" xfId="3098"/>
    <cellStyle name="Good 18" xfId="3099"/>
    <cellStyle name="Good 19" xfId="3100"/>
    <cellStyle name="Good 2" xfId="3101"/>
    <cellStyle name="Good 2 2" xfId="3102"/>
    <cellStyle name="Good 2 3" xfId="3103"/>
    <cellStyle name="Good 2 4" xfId="3104"/>
    <cellStyle name="Good 2 5" xfId="3105"/>
    <cellStyle name="Good 2 6" xfId="3106"/>
    <cellStyle name="Good 2 7" xfId="3107"/>
    <cellStyle name="Good 20" xfId="3108"/>
    <cellStyle name="Good 21" xfId="3109"/>
    <cellStyle name="Good 22" xfId="3110"/>
    <cellStyle name="Good 3" xfId="3111"/>
    <cellStyle name="Good 3 2" xfId="3112"/>
    <cellStyle name="Good 4" xfId="3113"/>
    <cellStyle name="Good 5" xfId="3114"/>
    <cellStyle name="Good 6" xfId="3115"/>
    <cellStyle name="Good 7" xfId="3116"/>
    <cellStyle name="Good 8" xfId="3117"/>
    <cellStyle name="Good 9" xfId="3118"/>
    <cellStyle name="Grey" xfId="3119"/>
    <cellStyle name="Grey 2" xfId="3120"/>
    <cellStyle name="GTT%" xfId="3121"/>
    <cellStyle name="Header - Style1" xfId="3122"/>
    <cellStyle name="Header1" xfId="3123"/>
    <cellStyle name="Header2" xfId="3124"/>
    <cellStyle name="Header2 10" xfId="3125"/>
    <cellStyle name="Header2 2" xfId="3126"/>
    <cellStyle name="Header2 2 2" xfId="3127"/>
    <cellStyle name="Header2 2 3" xfId="3128"/>
    <cellStyle name="Header2 2 4" xfId="3129"/>
    <cellStyle name="Header2 2 5" xfId="3130"/>
    <cellStyle name="Header2 2 6" xfId="3131"/>
    <cellStyle name="Header2 2 7" xfId="3132"/>
    <cellStyle name="Header2 2 8" xfId="3133"/>
    <cellStyle name="Header2 2 9" xfId="3134"/>
    <cellStyle name="Header2 3" xfId="3135"/>
    <cellStyle name="Header2 4" xfId="3136"/>
    <cellStyle name="Header2 5" xfId="3137"/>
    <cellStyle name="Header2 6" xfId="3138"/>
    <cellStyle name="Header2 7" xfId="3139"/>
    <cellStyle name="Header2 8" xfId="3140"/>
    <cellStyle name="Header2 9" xfId="3141"/>
    <cellStyle name="Heading 1 10" xfId="3142"/>
    <cellStyle name="Heading 1 11" xfId="3143"/>
    <cellStyle name="Heading 1 12" xfId="3144"/>
    <cellStyle name="Heading 1 13" xfId="3145"/>
    <cellStyle name="Heading 1 14" xfId="3146"/>
    <cellStyle name="Heading 1 15" xfId="3147"/>
    <cellStyle name="Heading 1 16" xfId="3148"/>
    <cellStyle name="Heading 1 17" xfId="3149"/>
    <cellStyle name="Heading 1 18" xfId="3150"/>
    <cellStyle name="Heading 1 19" xfId="3151"/>
    <cellStyle name="Heading 1 2" xfId="3152"/>
    <cellStyle name="Heading 1 2 10" xfId="3153"/>
    <cellStyle name="Heading 1 2 11" xfId="3154"/>
    <cellStyle name="Heading 1 2 2" xfId="3155"/>
    <cellStyle name="Heading 1 2 3" xfId="3156"/>
    <cellStyle name="Heading 1 2 3 2" xfId="3157"/>
    <cellStyle name="Heading 1 2 4" xfId="3158"/>
    <cellStyle name="Heading 1 2 5" xfId="3159"/>
    <cellStyle name="Heading 1 2 6" xfId="3160"/>
    <cellStyle name="Heading 1 2 7" xfId="3161"/>
    <cellStyle name="Heading 1 2 8" xfId="3162"/>
    <cellStyle name="Heading 1 2 9" xfId="3163"/>
    <cellStyle name="Heading 1 20" xfId="3164"/>
    <cellStyle name="Heading 1 20 2" xfId="3165"/>
    <cellStyle name="Heading 1 20 3" xfId="3166"/>
    <cellStyle name="Heading 1 21" xfId="3167"/>
    <cellStyle name="Heading 1 22" xfId="3168"/>
    <cellStyle name="Heading 1 23" xfId="3169"/>
    <cellStyle name="Heading 1 3" xfId="3170"/>
    <cellStyle name="Heading 1 4" xfId="3171"/>
    <cellStyle name="Heading 1 5" xfId="3172"/>
    <cellStyle name="Heading 1 6" xfId="3173"/>
    <cellStyle name="Heading 1 7" xfId="3174"/>
    <cellStyle name="Heading 1 8" xfId="3175"/>
    <cellStyle name="Heading 1 9" xfId="3176"/>
    <cellStyle name="Heading 2 10" xfId="3177"/>
    <cellStyle name="Heading 2 11" xfId="3178"/>
    <cellStyle name="Heading 2 12" xfId="3179"/>
    <cellStyle name="Heading 2 13" xfId="3180"/>
    <cellStyle name="Heading 2 14" xfId="3181"/>
    <cellStyle name="Heading 2 15" xfId="3182"/>
    <cellStyle name="Heading 2 16" xfId="3183"/>
    <cellStyle name="Heading 2 17" xfId="3184"/>
    <cellStyle name="Heading 2 18" xfId="3185"/>
    <cellStyle name="Heading 2 19" xfId="3186"/>
    <cellStyle name="Heading 2 2" xfId="3187"/>
    <cellStyle name="Heading 2 2 10" xfId="3188"/>
    <cellStyle name="Heading 2 2 11" xfId="3189"/>
    <cellStyle name="Heading 2 2 2" xfId="3190"/>
    <cellStyle name="Heading 2 2 3" xfId="3191"/>
    <cellStyle name="Heading 2 2 3 2" xfId="3192"/>
    <cellStyle name="Heading 2 2 4" xfId="3193"/>
    <cellStyle name="Heading 2 2 5" xfId="3194"/>
    <cellStyle name="Heading 2 2 6" xfId="3195"/>
    <cellStyle name="Heading 2 2 7" xfId="3196"/>
    <cellStyle name="Heading 2 2 8" xfId="3197"/>
    <cellStyle name="Heading 2 2 9" xfId="3198"/>
    <cellStyle name="Heading 2 20" xfId="3199"/>
    <cellStyle name="Heading 2 20 2" xfId="3200"/>
    <cellStyle name="Heading 2 20 3" xfId="3201"/>
    <cellStyle name="Heading 2 21" xfId="3202"/>
    <cellStyle name="Heading 2 22" xfId="3203"/>
    <cellStyle name="Heading 2 23" xfId="3204"/>
    <cellStyle name="Heading 2 3" xfId="3205"/>
    <cellStyle name="Heading 2 4" xfId="3206"/>
    <cellStyle name="Heading 2 5" xfId="3207"/>
    <cellStyle name="Heading 2 6" xfId="3208"/>
    <cellStyle name="Heading 2 7" xfId="3209"/>
    <cellStyle name="Heading 2 8" xfId="3210"/>
    <cellStyle name="Heading 2 9" xfId="3211"/>
    <cellStyle name="Heading 3 10" xfId="3212"/>
    <cellStyle name="Heading 3 11" xfId="3213"/>
    <cellStyle name="Heading 3 12" xfId="3214"/>
    <cellStyle name="Heading 3 13" xfId="3215"/>
    <cellStyle name="Heading 3 14" xfId="3216"/>
    <cellStyle name="Heading 3 15" xfId="3217"/>
    <cellStyle name="Heading 3 16" xfId="3218"/>
    <cellStyle name="Heading 3 17" xfId="3219"/>
    <cellStyle name="Heading 3 18" xfId="3220"/>
    <cellStyle name="Heading 3 19" xfId="3221"/>
    <cellStyle name="Heading 3 2" xfId="3222"/>
    <cellStyle name="Heading 3 2 2" xfId="3223"/>
    <cellStyle name="Heading 3 2 3" xfId="3224"/>
    <cellStyle name="Heading 3 2 4" xfId="3225"/>
    <cellStyle name="Heading 3 2 5" xfId="3226"/>
    <cellStyle name="Heading 3 2 6" xfId="3227"/>
    <cellStyle name="Heading 3 20" xfId="3228"/>
    <cellStyle name="Heading 3 21" xfId="3229"/>
    <cellStyle name="Heading 3 22" xfId="3230"/>
    <cellStyle name="Heading 3 3" xfId="3231"/>
    <cellStyle name="Heading 3 4" xfId="3232"/>
    <cellStyle name="Heading 3 5" xfId="3233"/>
    <cellStyle name="Heading 3 6" xfId="3234"/>
    <cellStyle name="Heading 3 7" xfId="3235"/>
    <cellStyle name="Heading 3 8" xfId="3236"/>
    <cellStyle name="Heading 3 9" xfId="3237"/>
    <cellStyle name="Heading 4 10" xfId="3238"/>
    <cellStyle name="Heading 4 11" xfId="3239"/>
    <cellStyle name="Heading 4 12" xfId="3240"/>
    <cellStyle name="Heading 4 13" xfId="3241"/>
    <cellStyle name="Heading 4 14" xfId="3242"/>
    <cellStyle name="Heading 4 15" xfId="3243"/>
    <cellStyle name="Heading 4 16" xfId="3244"/>
    <cellStyle name="Heading 4 17" xfId="3245"/>
    <cellStyle name="Heading 4 18" xfId="3246"/>
    <cellStyle name="Heading 4 19" xfId="3247"/>
    <cellStyle name="Heading 4 2" xfId="3248"/>
    <cellStyle name="Heading 4 2 2" xfId="3249"/>
    <cellStyle name="Heading 4 2 3" xfId="3250"/>
    <cellStyle name="Heading 4 2 4" xfId="3251"/>
    <cellStyle name="Heading 4 2 5" xfId="3252"/>
    <cellStyle name="Heading 4 2 6" xfId="3253"/>
    <cellStyle name="Heading 4 20" xfId="3254"/>
    <cellStyle name="Heading 4 21" xfId="3255"/>
    <cellStyle name="Heading 4 22" xfId="3256"/>
    <cellStyle name="Heading 4 3" xfId="3257"/>
    <cellStyle name="Heading 4 4" xfId="3258"/>
    <cellStyle name="Heading 4 5" xfId="3259"/>
    <cellStyle name="Heading 4 6" xfId="3260"/>
    <cellStyle name="Heading 4 7" xfId="3261"/>
    <cellStyle name="Heading 4 8" xfId="3262"/>
    <cellStyle name="Heading 4 9" xfId="3263"/>
    <cellStyle name="Heading1" xfId="3264"/>
    <cellStyle name="Heading2" xfId="3265"/>
    <cellStyle name="Hyperlink 2" xfId="3266"/>
    <cellStyle name="Hyperlink 3" xfId="3267"/>
    <cellStyle name="Hyperlink 4" xfId="3268"/>
    <cellStyle name="Hyperlink 5" xfId="3269"/>
    <cellStyle name="Input [yellow]" xfId="3270"/>
    <cellStyle name="Input [yellow] 10" xfId="3271"/>
    <cellStyle name="Input [yellow] 2" xfId="3272"/>
    <cellStyle name="Input [yellow] 2 2" xfId="3273"/>
    <cellStyle name="Input [yellow] 2 3" xfId="3274"/>
    <cellStyle name="Input [yellow] 2 4" xfId="3275"/>
    <cellStyle name="Input [yellow] 2 5" xfId="3276"/>
    <cellStyle name="Input [yellow] 2 6" xfId="3277"/>
    <cellStyle name="Input [yellow] 2 7" xfId="3278"/>
    <cellStyle name="Input [yellow] 2 8" xfId="3279"/>
    <cellStyle name="Input [yellow] 2 9" xfId="3280"/>
    <cellStyle name="Input [yellow] 3" xfId="3281"/>
    <cellStyle name="Input [yellow] 4" xfId="3282"/>
    <cellStyle name="Input [yellow] 5" xfId="3283"/>
    <cellStyle name="Input [yellow] 6" xfId="3284"/>
    <cellStyle name="Input [yellow] 7" xfId="3285"/>
    <cellStyle name="Input [yellow] 8" xfId="3286"/>
    <cellStyle name="Input [yellow] 9" xfId="3287"/>
    <cellStyle name="Input 10" xfId="3288"/>
    <cellStyle name="Input 10 10" xfId="3289"/>
    <cellStyle name="Input 10 2" xfId="3290"/>
    <cellStyle name="Input 10 2 2" xfId="3291"/>
    <cellStyle name="Input 10 2 3" xfId="3292"/>
    <cellStyle name="Input 10 2 4" xfId="3293"/>
    <cellStyle name="Input 10 2 5" xfId="3294"/>
    <cellStyle name="Input 10 2 6" xfId="3295"/>
    <cellStyle name="Input 10 2 7" xfId="3296"/>
    <cellStyle name="Input 10 2 8" xfId="3297"/>
    <cellStyle name="Input 10 2 9" xfId="3298"/>
    <cellStyle name="Input 10 3" xfId="3299"/>
    <cellStyle name="Input 10 4" xfId="3300"/>
    <cellStyle name="Input 10 5" xfId="3301"/>
    <cellStyle name="Input 10 6" xfId="3302"/>
    <cellStyle name="Input 10 7" xfId="3303"/>
    <cellStyle name="Input 10 8" xfId="3304"/>
    <cellStyle name="Input 10 9" xfId="3305"/>
    <cellStyle name="Input 11" xfId="3306"/>
    <cellStyle name="Input 11 10" xfId="3307"/>
    <cellStyle name="Input 11 2" xfId="3308"/>
    <cellStyle name="Input 11 2 2" xfId="3309"/>
    <cellStyle name="Input 11 2 3" xfId="3310"/>
    <cellStyle name="Input 11 2 4" xfId="3311"/>
    <cellStyle name="Input 11 2 5" xfId="3312"/>
    <cellStyle name="Input 11 2 6" xfId="3313"/>
    <cellStyle name="Input 11 2 7" xfId="3314"/>
    <cellStyle name="Input 11 2 8" xfId="3315"/>
    <cellStyle name="Input 11 2 9" xfId="3316"/>
    <cellStyle name="Input 11 3" xfId="3317"/>
    <cellStyle name="Input 11 4" xfId="3318"/>
    <cellStyle name="Input 11 5" xfId="3319"/>
    <cellStyle name="Input 11 6" xfId="3320"/>
    <cellStyle name="Input 11 7" xfId="3321"/>
    <cellStyle name="Input 11 8" xfId="3322"/>
    <cellStyle name="Input 11 9" xfId="3323"/>
    <cellStyle name="Input 12" xfId="3324"/>
    <cellStyle name="Input 12 2" xfId="3325"/>
    <cellStyle name="Input 12 3" xfId="3326"/>
    <cellStyle name="Input 12 4" xfId="3327"/>
    <cellStyle name="Input 12 5" xfId="3328"/>
    <cellStyle name="Input 12 6" xfId="3329"/>
    <cellStyle name="Input 12 7" xfId="3330"/>
    <cellStyle name="Input 12 8" xfId="3331"/>
    <cellStyle name="Input 12 9" xfId="3332"/>
    <cellStyle name="Input 13" xfId="3333"/>
    <cellStyle name="Input 13 2" xfId="3334"/>
    <cellStyle name="Input 13 3" xfId="3335"/>
    <cellStyle name="Input 13 4" xfId="3336"/>
    <cellStyle name="Input 13 5" xfId="3337"/>
    <cellStyle name="Input 13 6" xfId="3338"/>
    <cellStyle name="Input 13 7" xfId="3339"/>
    <cellStyle name="Input 13 8" xfId="3340"/>
    <cellStyle name="Input 13 9" xfId="3341"/>
    <cellStyle name="Input 14" xfId="3342"/>
    <cellStyle name="Input 14 2" xfId="3343"/>
    <cellStyle name="Input 14 3" xfId="3344"/>
    <cellStyle name="Input 14 4" xfId="3345"/>
    <cellStyle name="Input 14 5" xfId="3346"/>
    <cellStyle name="Input 14 6" xfId="3347"/>
    <cellStyle name="Input 14 7" xfId="3348"/>
    <cellStyle name="Input 14 8" xfId="3349"/>
    <cellStyle name="Input 14 9" xfId="3350"/>
    <cellStyle name="Input 15" xfId="3351"/>
    <cellStyle name="Input 15 2" xfId="3352"/>
    <cellStyle name="Input 15 3" xfId="3353"/>
    <cellStyle name="Input 15 4" xfId="3354"/>
    <cellStyle name="Input 15 5" xfId="3355"/>
    <cellStyle name="Input 15 6" xfId="3356"/>
    <cellStyle name="Input 15 7" xfId="3357"/>
    <cellStyle name="Input 15 8" xfId="3358"/>
    <cellStyle name="Input 15 9" xfId="3359"/>
    <cellStyle name="Input 16" xfId="3360"/>
    <cellStyle name="Input 16 2" xfId="3361"/>
    <cellStyle name="Input 16 3" xfId="3362"/>
    <cellStyle name="Input 16 4" xfId="3363"/>
    <cellStyle name="Input 16 5" xfId="3364"/>
    <cellStyle name="Input 16 6" xfId="3365"/>
    <cellStyle name="Input 16 7" xfId="3366"/>
    <cellStyle name="Input 16 8" xfId="3367"/>
    <cellStyle name="Input 16 9" xfId="3368"/>
    <cellStyle name="Input 17" xfId="3369"/>
    <cellStyle name="Input 17 2" xfId="3370"/>
    <cellStyle name="Input 17 3" xfId="3371"/>
    <cellStyle name="Input 17 4" xfId="3372"/>
    <cellStyle name="Input 17 5" xfId="3373"/>
    <cellStyle name="Input 17 6" xfId="3374"/>
    <cellStyle name="Input 17 7" xfId="3375"/>
    <cellStyle name="Input 17 8" xfId="3376"/>
    <cellStyle name="Input 17 9" xfId="3377"/>
    <cellStyle name="Input 18" xfId="3378"/>
    <cellStyle name="Input 18 2" xfId="3379"/>
    <cellStyle name="Input 18 3" xfId="3380"/>
    <cellStyle name="Input 18 4" xfId="3381"/>
    <cellStyle name="Input 18 5" xfId="3382"/>
    <cellStyle name="Input 18 6" xfId="3383"/>
    <cellStyle name="Input 18 7" xfId="3384"/>
    <cellStyle name="Input 18 8" xfId="3385"/>
    <cellStyle name="Input 18 9" xfId="3386"/>
    <cellStyle name="Input 19" xfId="3387"/>
    <cellStyle name="Input 19 2" xfId="3388"/>
    <cellStyle name="Input 19 3" xfId="3389"/>
    <cellStyle name="Input 19 4" xfId="3390"/>
    <cellStyle name="Input 19 5" xfId="3391"/>
    <cellStyle name="Input 19 6" xfId="3392"/>
    <cellStyle name="Input 19 7" xfId="3393"/>
    <cellStyle name="Input 19 8" xfId="3394"/>
    <cellStyle name="Input 19 9" xfId="3395"/>
    <cellStyle name="Input 2" xfId="3396"/>
    <cellStyle name="Input 2 10" xfId="3397"/>
    <cellStyle name="Input 2 11" xfId="3398"/>
    <cellStyle name="Input 2 12" xfId="3399"/>
    <cellStyle name="Input 2 13" xfId="3400"/>
    <cellStyle name="Input 2 14" xfId="3401"/>
    <cellStyle name="Input 2 2" xfId="3402"/>
    <cellStyle name="Input 2 2 10" xfId="3403"/>
    <cellStyle name="Input 2 2 2" xfId="3404"/>
    <cellStyle name="Input 2 2 2 2" xfId="3405"/>
    <cellStyle name="Input 2 2 2 3" xfId="3406"/>
    <cellStyle name="Input 2 2 2 4" xfId="3407"/>
    <cellStyle name="Input 2 2 2 5" xfId="3408"/>
    <cellStyle name="Input 2 2 2 6" xfId="3409"/>
    <cellStyle name="Input 2 2 2 7" xfId="3410"/>
    <cellStyle name="Input 2 2 2 8" xfId="3411"/>
    <cellStyle name="Input 2 2 2 9" xfId="3412"/>
    <cellStyle name="Input 2 2 3" xfId="3413"/>
    <cellStyle name="Input 2 2 4" xfId="3414"/>
    <cellStyle name="Input 2 2 5" xfId="3415"/>
    <cellStyle name="Input 2 2 6" xfId="3416"/>
    <cellStyle name="Input 2 2 7" xfId="3417"/>
    <cellStyle name="Input 2 2 8" xfId="3418"/>
    <cellStyle name="Input 2 2 9" xfId="3419"/>
    <cellStyle name="Input 2 3" xfId="3420"/>
    <cellStyle name="Input 2 3 2" xfId="3421"/>
    <cellStyle name="Input 2 3 3" xfId="3422"/>
    <cellStyle name="Input 2 3 4" xfId="3423"/>
    <cellStyle name="Input 2 3 5" xfId="3424"/>
    <cellStyle name="Input 2 3 6" xfId="3425"/>
    <cellStyle name="Input 2 3 7" xfId="3426"/>
    <cellStyle name="Input 2 3 8" xfId="3427"/>
    <cellStyle name="Input 2 3 9" xfId="3428"/>
    <cellStyle name="Input 2 4" xfId="3429"/>
    <cellStyle name="Input 2 4 2" xfId="3430"/>
    <cellStyle name="Input 2 4 3" xfId="3431"/>
    <cellStyle name="Input 2 4 4" xfId="3432"/>
    <cellStyle name="Input 2 4 5" xfId="3433"/>
    <cellStyle name="Input 2 4 6" xfId="3434"/>
    <cellStyle name="Input 2 4 7" xfId="3435"/>
    <cellStyle name="Input 2 4 8" xfId="3436"/>
    <cellStyle name="Input 2 4 9" xfId="3437"/>
    <cellStyle name="Input 2 5" xfId="3438"/>
    <cellStyle name="Input 2 5 2" xfId="3439"/>
    <cellStyle name="Input 2 5 3" xfId="3440"/>
    <cellStyle name="Input 2 5 4" xfId="3441"/>
    <cellStyle name="Input 2 5 5" xfId="3442"/>
    <cellStyle name="Input 2 5 6" xfId="3443"/>
    <cellStyle name="Input 2 5 7" xfId="3444"/>
    <cellStyle name="Input 2 5 8" xfId="3445"/>
    <cellStyle name="Input 2 5 9" xfId="3446"/>
    <cellStyle name="Input 2 6" xfId="3447"/>
    <cellStyle name="Input 2 6 2" xfId="3448"/>
    <cellStyle name="Input 2 6 3" xfId="3449"/>
    <cellStyle name="Input 2 6 4" xfId="3450"/>
    <cellStyle name="Input 2 6 5" xfId="3451"/>
    <cellStyle name="Input 2 6 6" xfId="3452"/>
    <cellStyle name="Input 2 6 7" xfId="3453"/>
    <cellStyle name="Input 2 6 8" xfId="3454"/>
    <cellStyle name="Input 2 6 9" xfId="3455"/>
    <cellStyle name="Input 2 7" xfId="3456"/>
    <cellStyle name="Input 2 8" xfId="3457"/>
    <cellStyle name="Input 2 9" xfId="3458"/>
    <cellStyle name="Input 20" xfId="3459"/>
    <cellStyle name="Input 21" xfId="3460"/>
    <cellStyle name="Input 22" xfId="3461"/>
    <cellStyle name="Input 3" xfId="3462"/>
    <cellStyle name="Input 3 10" xfId="3463"/>
    <cellStyle name="Input 3 2" xfId="3464"/>
    <cellStyle name="Input 3 2 2" xfId="3465"/>
    <cellStyle name="Input 3 2 3" xfId="3466"/>
    <cellStyle name="Input 3 2 4" xfId="3467"/>
    <cellStyle name="Input 3 2 5" xfId="3468"/>
    <cellStyle name="Input 3 2 6" xfId="3469"/>
    <cellStyle name="Input 3 2 7" xfId="3470"/>
    <cellStyle name="Input 3 2 8" xfId="3471"/>
    <cellStyle name="Input 3 2 9" xfId="3472"/>
    <cellStyle name="Input 3 3" xfId="3473"/>
    <cellStyle name="Input 3 4" xfId="3474"/>
    <cellStyle name="Input 3 5" xfId="3475"/>
    <cellStyle name="Input 3 6" xfId="3476"/>
    <cellStyle name="Input 3 7" xfId="3477"/>
    <cellStyle name="Input 3 8" xfId="3478"/>
    <cellStyle name="Input 3 9" xfId="3479"/>
    <cellStyle name="Input 4" xfId="3480"/>
    <cellStyle name="Input 4 10" xfId="3481"/>
    <cellStyle name="Input 4 2" xfId="3482"/>
    <cellStyle name="Input 4 2 2" xfId="3483"/>
    <cellStyle name="Input 4 2 3" xfId="3484"/>
    <cellStyle name="Input 4 2 4" xfId="3485"/>
    <cellStyle name="Input 4 2 5" xfId="3486"/>
    <cellStyle name="Input 4 2 6" xfId="3487"/>
    <cellStyle name="Input 4 2 7" xfId="3488"/>
    <cellStyle name="Input 4 2 8" xfId="3489"/>
    <cellStyle name="Input 4 2 9" xfId="3490"/>
    <cellStyle name="Input 4 3" xfId="3491"/>
    <cellStyle name="Input 4 4" xfId="3492"/>
    <cellStyle name="Input 4 5" xfId="3493"/>
    <cellStyle name="Input 4 6" xfId="3494"/>
    <cellStyle name="Input 4 7" xfId="3495"/>
    <cellStyle name="Input 4 8" xfId="3496"/>
    <cellStyle name="Input 4 9" xfId="3497"/>
    <cellStyle name="Input 5" xfId="3498"/>
    <cellStyle name="Input 5 10" xfId="3499"/>
    <cellStyle name="Input 5 2" xfId="3500"/>
    <cellStyle name="Input 5 2 2" xfId="3501"/>
    <cellStyle name="Input 5 2 3" xfId="3502"/>
    <cellStyle name="Input 5 2 4" xfId="3503"/>
    <cellStyle name="Input 5 2 5" xfId="3504"/>
    <cellStyle name="Input 5 2 6" xfId="3505"/>
    <cellStyle name="Input 5 2 7" xfId="3506"/>
    <cellStyle name="Input 5 2 8" xfId="3507"/>
    <cellStyle name="Input 5 2 9" xfId="3508"/>
    <cellStyle name="Input 5 3" xfId="3509"/>
    <cellStyle name="Input 5 4" xfId="3510"/>
    <cellStyle name="Input 5 5" xfId="3511"/>
    <cellStyle name="Input 5 6" xfId="3512"/>
    <cellStyle name="Input 5 7" xfId="3513"/>
    <cellStyle name="Input 5 8" xfId="3514"/>
    <cellStyle name="Input 5 9" xfId="3515"/>
    <cellStyle name="Input 6" xfId="3516"/>
    <cellStyle name="Input 6 10" xfId="3517"/>
    <cellStyle name="Input 6 2" xfId="3518"/>
    <cellStyle name="Input 6 2 2" xfId="3519"/>
    <cellStyle name="Input 6 2 3" xfId="3520"/>
    <cellStyle name="Input 6 2 4" xfId="3521"/>
    <cellStyle name="Input 6 2 5" xfId="3522"/>
    <cellStyle name="Input 6 2 6" xfId="3523"/>
    <cellStyle name="Input 6 2 7" xfId="3524"/>
    <cellStyle name="Input 6 2 8" xfId="3525"/>
    <cellStyle name="Input 6 2 9" xfId="3526"/>
    <cellStyle name="Input 6 3" xfId="3527"/>
    <cellStyle name="Input 6 4" xfId="3528"/>
    <cellStyle name="Input 6 5" xfId="3529"/>
    <cellStyle name="Input 6 6" xfId="3530"/>
    <cellStyle name="Input 6 7" xfId="3531"/>
    <cellStyle name="Input 6 8" xfId="3532"/>
    <cellStyle name="Input 6 9" xfId="3533"/>
    <cellStyle name="Input 7" xfId="3534"/>
    <cellStyle name="Input 7 10" xfId="3535"/>
    <cellStyle name="Input 7 2" xfId="3536"/>
    <cellStyle name="Input 7 2 2" xfId="3537"/>
    <cellStyle name="Input 7 2 3" xfId="3538"/>
    <cellStyle name="Input 7 2 4" xfId="3539"/>
    <cellStyle name="Input 7 2 5" xfId="3540"/>
    <cellStyle name="Input 7 2 6" xfId="3541"/>
    <cellStyle name="Input 7 2 7" xfId="3542"/>
    <cellStyle name="Input 7 2 8" xfId="3543"/>
    <cellStyle name="Input 7 2 9" xfId="3544"/>
    <cellStyle name="Input 7 3" xfId="3545"/>
    <cellStyle name="Input 7 4" xfId="3546"/>
    <cellStyle name="Input 7 5" xfId="3547"/>
    <cellStyle name="Input 7 6" xfId="3548"/>
    <cellStyle name="Input 7 7" xfId="3549"/>
    <cellStyle name="Input 7 8" xfId="3550"/>
    <cellStyle name="Input 7 9" xfId="3551"/>
    <cellStyle name="Input 8" xfId="3552"/>
    <cellStyle name="Input 8 10" xfId="3553"/>
    <cellStyle name="Input 8 2" xfId="3554"/>
    <cellStyle name="Input 8 2 2" xfId="3555"/>
    <cellStyle name="Input 8 2 3" xfId="3556"/>
    <cellStyle name="Input 8 2 4" xfId="3557"/>
    <cellStyle name="Input 8 2 5" xfId="3558"/>
    <cellStyle name="Input 8 2 6" xfId="3559"/>
    <cellStyle name="Input 8 2 7" xfId="3560"/>
    <cellStyle name="Input 8 2 8" xfId="3561"/>
    <cellStyle name="Input 8 2 9" xfId="3562"/>
    <cellStyle name="Input 8 3" xfId="3563"/>
    <cellStyle name="Input 8 4" xfId="3564"/>
    <cellStyle name="Input 8 5" xfId="3565"/>
    <cellStyle name="Input 8 6" xfId="3566"/>
    <cellStyle name="Input 8 7" xfId="3567"/>
    <cellStyle name="Input 8 8" xfId="3568"/>
    <cellStyle name="Input 8 9" xfId="3569"/>
    <cellStyle name="Input 9" xfId="3570"/>
    <cellStyle name="Input 9 10" xfId="3571"/>
    <cellStyle name="Input 9 2" xfId="3572"/>
    <cellStyle name="Input 9 2 2" xfId="3573"/>
    <cellStyle name="Input 9 2 3" xfId="3574"/>
    <cellStyle name="Input 9 2 4" xfId="3575"/>
    <cellStyle name="Input 9 2 5" xfId="3576"/>
    <cellStyle name="Input 9 2 6" xfId="3577"/>
    <cellStyle name="Input 9 2 7" xfId="3578"/>
    <cellStyle name="Input 9 2 8" xfId="3579"/>
    <cellStyle name="Input 9 2 9" xfId="3580"/>
    <cellStyle name="Input 9 3" xfId="3581"/>
    <cellStyle name="Input 9 4" xfId="3582"/>
    <cellStyle name="Input 9 5" xfId="3583"/>
    <cellStyle name="Input 9 6" xfId="3584"/>
    <cellStyle name="Input 9 7" xfId="3585"/>
    <cellStyle name="Input 9 8" xfId="3586"/>
    <cellStyle name="Input 9 9" xfId="3587"/>
    <cellStyle name="Input Cells" xfId="3588"/>
    <cellStyle name="Input Cells 2" xfId="3589"/>
    <cellStyle name="Judul" xfId="3590"/>
    <cellStyle name="Keluaran" xfId="3591"/>
    <cellStyle name="Keluaran 10" xfId="3592"/>
    <cellStyle name="Keluaran 2" xfId="3593"/>
    <cellStyle name="Keluaran 2 2" xfId="3594"/>
    <cellStyle name="Keluaran 2 2 2" xfId="3595"/>
    <cellStyle name="Keluaran 2 3" xfId="3596"/>
    <cellStyle name="Keluaran 2 4" xfId="3597"/>
    <cellStyle name="Keluaran 2 5" xfId="3598"/>
    <cellStyle name="Keluaran 2 6" xfId="3599"/>
    <cellStyle name="Keluaran 2 7" xfId="3600"/>
    <cellStyle name="Keluaran 2 8" xfId="3601"/>
    <cellStyle name="Keluaran 2 9" xfId="3602"/>
    <cellStyle name="Keluaran 3" xfId="3603"/>
    <cellStyle name="Keluaran 3 2" xfId="3604"/>
    <cellStyle name="Keluaran 4" xfId="3605"/>
    <cellStyle name="Keluaran 5" xfId="3606"/>
    <cellStyle name="Keluaran 6" xfId="3607"/>
    <cellStyle name="Keluaran 7" xfId="3608"/>
    <cellStyle name="Keluaran 8" xfId="3609"/>
    <cellStyle name="Keluaran 9" xfId="3610"/>
    <cellStyle name="Labels - Style3" xfId="3611"/>
    <cellStyle name="Labels - Style3 10" xfId="3612"/>
    <cellStyle name="Labels - Style3 2" xfId="3613"/>
    <cellStyle name="Labels - Style3 2 2" xfId="3614"/>
    <cellStyle name="Labels - Style3 2 3" xfId="3615"/>
    <cellStyle name="Labels - Style3 2 4" xfId="3616"/>
    <cellStyle name="Labels - Style3 2 5" xfId="3617"/>
    <cellStyle name="Labels - Style3 2 6" xfId="3618"/>
    <cellStyle name="Labels - Style3 2 7" xfId="3619"/>
    <cellStyle name="Labels - Style3 2 8" xfId="3620"/>
    <cellStyle name="Labels - Style3 2 9" xfId="3621"/>
    <cellStyle name="Labels - Style3 3" xfId="3622"/>
    <cellStyle name="Labels - Style3 4" xfId="3623"/>
    <cellStyle name="Labels - Style3 5" xfId="3624"/>
    <cellStyle name="Labels - Style3 6" xfId="3625"/>
    <cellStyle name="Labels - Style3 7" xfId="3626"/>
    <cellStyle name="Labels - Style3 8" xfId="3627"/>
    <cellStyle name="Labels - Style3 9" xfId="3628"/>
    <cellStyle name="Lien hypertexte visité_DV 0799" xfId="3629"/>
    <cellStyle name="Lien hypertexte_PS 0799" xfId="3630"/>
    <cellStyle name="Link Currency (0)" xfId="3631"/>
    <cellStyle name="Link Currency (2)" xfId="3632"/>
    <cellStyle name="Link Units (0)" xfId="3633"/>
    <cellStyle name="Link Units (1)" xfId="3634"/>
    <cellStyle name="Link Units (2)" xfId="3635"/>
    <cellStyle name="Linked Cell 10" xfId="3636"/>
    <cellStyle name="Linked Cell 11" xfId="3637"/>
    <cellStyle name="Linked Cell 12" xfId="3638"/>
    <cellStyle name="Linked Cell 13" xfId="3639"/>
    <cellStyle name="Linked Cell 14" xfId="3640"/>
    <cellStyle name="Linked Cell 15" xfId="3641"/>
    <cellStyle name="Linked Cell 16" xfId="3642"/>
    <cellStyle name="Linked Cell 17" xfId="3643"/>
    <cellStyle name="Linked Cell 18" xfId="3644"/>
    <cellStyle name="Linked Cell 19" xfId="3645"/>
    <cellStyle name="Linked Cell 2" xfId="3646"/>
    <cellStyle name="Linked Cell 2 2" xfId="3647"/>
    <cellStyle name="Linked Cell 2 3" xfId="3648"/>
    <cellStyle name="Linked Cell 2 4" xfId="3649"/>
    <cellStyle name="Linked Cell 2 5" xfId="3650"/>
    <cellStyle name="Linked Cell 2 6" xfId="3651"/>
    <cellStyle name="Linked Cell 20" xfId="3652"/>
    <cellStyle name="Linked Cell 21" xfId="3653"/>
    <cellStyle name="Linked Cell 22" xfId="3654"/>
    <cellStyle name="Linked Cell 3" xfId="3655"/>
    <cellStyle name="Linked Cell 4" xfId="3656"/>
    <cellStyle name="Linked Cell 5" xfId="3657"/>
    <cellStyle name="Linked Cell 6" xfId="3658"/>
    <cellStyle name="Linked Cell 7" xfId="3659"/>
    <cellStyle name="Linked Cell 8" xfId="3660"/>
    <cellStyle name="Linked Cell 9" xfId="3661"/>
    <cellStyle name="Linked Cells" xfId="3662"/>
    <cellStyle name="Linked Cells 2" xfId="3663"/>
    <cellStyle name="listing" xfId="3664"/>
    <cellStyle name="Masukan" xfId="3665"/>
    <cellStyle name="Masukan 10" xfId="3666"/>
    <cellStyle name="Masukan 2" xfId="3667"/>
    <cellStyle name="Masukan 2 2" xfId="3668"/>
    <cellStyle name="Masukan 2 3" xfId="3669"/>
    <cellStyle name="Masukan 2 4" xfId="3670"/>
    <cellStyle name="Masukan 2 5" xfId="3671"/>
    <cellStyle name="Masukan 2 6" xfId="3672"/>
    <cellStyle name="Masukan 2 7" xfId="3673"/>
    <cellStyle name="Masukan 2 8" xfId="3674"/>
    <cellStyle name="Masukan 2 9" xfId="3675"/>
    <cellStyle name="Masukan 3" xfId="3676"/>
    <cellStyle name="Masukan 4" xfId="3677"/>
    <cellStyle name="Masukan 5" xfId="3678"/>
    <cellStyle name="Masukan 6" xfId="3679"/>
    <cellStyle name="Masukan 7" xfId="3680"/>
    <cellStyle name="Masukan 8" xfId="3681"/>
    <cellStyle name="Masukan 9" xfId="3682"/>
    <cellStyle name="Migliaia (0)_pldt" xfId="3683"/>
    <cellStyle name="Migliaia_pldt" xfId="3684"/>
    <cellStyle name="Milliers [0]_ HFO 0" xfId="3685"/>
    <cellStyle name="Milliers_ HFO 0" xfId="3686"/>
    <cellStyle name="Monétaire [0]_ HFO 0" xfId="3687"/>
    <cellStyle name="Monétaire_ HFO 0" xfId="3688"/>
    <cellStyle name="Netral" xfId="3689"/>
    <cellStyle name="Neutral 10" xfId="3690"/>
    <cellStyle name="Neutral 11" xfId="3691"/>
    <cellStyle name="Neutral 12" xfId="3692"/>
    <cellStyle name="Neutral 13" xfId="3693"/>
    <cellStyle name="Neutral 14" xfId="3694"/>
    <cellStyle name="Neutral 15" xfId="3695"/>
    <cellStyle name="Neutral 16" xfId="3696"/>
    <cellStyle name="Neutral 17" xfId="3697"/>
    <cellStyle name="Neutral 18" xfId="3698"/>
    <cellStyle name="Neutral 19" xfId="3699"/>
    <cellStyle name="Neutral 2" xfId="3700"/>
    <cellStyle name="Neutral 2 2" xfId="3701"/>
    <cellStyle name="Neutral 2 3" xfId="3702"/>
    <cellStyle name="Neutral 2 4" xfId="3703"/>
    <cellStyle name="Neutral 2 5" xfId="3704"/>
    <cellStyle name="Neutral 2 6" xfId="3705"/>
    <cellStyle name="Neutral 20" xfId="3706"/>
    <cellStyle name="Neutral 21" xfId="3707"/>
    <cellStyle name="Neutral 22" xfId="3708"/>
    <cellStyle name="Neutral 3" xfId="3709"/>
    <cellStyle name="Neutral 4" xfId="3710"/>
    <cellStyle name="Neutral 5" xfId="3711"/>
    <cellStyle name="Neutral 6" xfId="3712"/>
    <cellStyle name="Neutral 7" xfId="3713"/>
    <cellStyle name="Neutral 8" xfId="3714"/>
    <cellStyle name="Neutral 9" xfId="3715"/>
    <cellStyle name="no dec" xfId="3716"/>
    <cellStyle name="Normal" xfId="0" builtinId="0"/>
    <cellStyle name="Normal - Style1" xfId="3717"/>
    <cellStyle name="Normal - Style1 2" xfId="3718"/>
    <cellStyle name="Normal - Style1 3" xfId="3719"/>
    <cellStyle name="Normal - Style1 4" xfId="3720"/>
    <cellStyle name="Normal - Style1 7" xfId="3721"/>
    <cellStyle name="Normal - Style1_Non Rutin AI" xfId="3722"/>
    <cellStyle name="Normal - Style2" xfId="3723"/>
    <cellStyle name="Normal - Style3" xfId="3724"/>
    <cellStyle name="Normal - Style4" xfId="3725"/>
    <cellStyle name="Normal - Style5" xfId="3726"/>
    <cellStyle name="Normal - Style6" xfId="3727"/>
    <cellStyle name="Normal - Style7" xfId="3728"/>
    <cellStyle name="Normal - Style8" xfId="3729"/>
    <cellStyle name="Normal 10" xfId="3730"/>
    <cellStyle name="Normal 10 10" xfId="3731"/>
    <cellStyle name="Normal 10 2" xfId="1"/>
    <cellStyle name="Normal 10 2 16" xfId="3732"/>
    <cellStyle name="Normal 10 2 16 2" xfId="3733"/>
    <cellStyle name="Normal 10 2 2" xfId="3734"/>
    <cellStyle name="Normal 10 2 2 2" xfId="3735"/>
    <cellStyle name="Normal 10 2 8" xfId="3736"/>
    <cellStyle name="Normal 10 3" xfId="3737"/>
    <cellStyle name="Normal 10 4" xfId="3738"/>
    <cellStyle name="Normal 10 5" xfId="3739"/>
    <cellStyle name="Normal 10 6" xfId="3740"/>
    <cellStyle name="Normal 100" xfId="3741"/>
    <cellStyle name="Normal 101" xfId="3742"/>
    <cellStyle name="Normal 102" xfId="3743"/>
    <cellStyle name="Normal 102 2" xfId="3744"/>
    <cellStyle name="Normal 103" xfId="3745"/>
    <cellStyle name="Normal 104" xfId="3746"/>
    <cellStyle name="Normal 105" xfId="3747"/>
    <cellStyle name="Normal 106" xfId="3748"/>
    <cellStyle name="Normal 107" xfId="3749"/>
    <cellStyle name="Normal 108" xfId="3750"/>
    <cellStyle name="Normal 109" xfId="3751"/>
    <cellStyle name="Normal 11" xfId="3752"/>
    <cellStyle name="Normal 11 10" xfId="3753"/>
    <cellStyle name="Normal 11 11" xfId="3754"/>
    <cellStyle name="Normal 11 12" xfId="3755"/>
    <cellStyle name="Normal 11 13" xfId="3756"/>
    <cellStyle name="Normal 11 14" xfId="3757"/>
    <cellStyle name="Normal 11 2" xfId="3758"/>
    <cellStyle name="Normal 11 3" xfId="3759"/>
    <cellStyle name="Normal 11 4" xfId="3760"/>
    <cellStyle name="Normal 11 5" xfId="3761"/>
    <cellStyle name="Normal 11 6" xfId="3762"/>
    <cellStyle name="Normal 11 6 2" xfId="3763"/>
    <cellStyle name="Normal 11 7" xfId="3764"/>
    <cellStyle name="Normal 11 8" xfId="3765"/>
    <cellStyle name="Normal 11 9" xfId="3766"/>
    <cellStyle name="Normal 110" xfId="3767"/>
    <cellStyle name="Normal 111" xfId="3768"/>
    <cellStyle name="Normal 112" xfId="3769"/>
    <cellStyle name="Normal 113" xfId="3770"/>
    <cellStyle name="Normal 12" xfId="3771"/>
    <cellStyle name="Normal 12 10" xfId="3772"/>
    <cellStyle name="Normal 12 11" xfId="3773"/>
    <cellStyle name="Normal 12 12" xfId="3774"/>
    <cellStyle name="Normal 12 13" xfId="3775"/>
    <cellStyle name="Normal 12 19" xfId="3776"/>
    <cellStyle name="Normal 12 2" xfId="3777"/>
    <cellStyle name="Normal 12 20" xfId="3778"/>
    <cellStyle name="Normal 12 3" xfId="3779"/>
    <cellStyle name="Normal 12 4" xfId="3780"/>
    <cellStyle name="Normal 12 5" xfId="3781"/>
    <cellStyle name="Normal 12 6" xfId="3782"/>
    <cellStyle name="Normal 12 7" xfId="3783"/>
    <cellStyle name="Normal 12 8" xfId="3784"/>
    <cellStyle name="Normal 12 9" xfId="3785"/>
    <cellStyle name="Normal 13" xfId="3786"/>
    <cellStyle name="Normal 13 2" xfId="3787"/>
    <cellStyle name="Normal 13 3" xfId="3788"/>
    <cellStyle name="Normal 13 3 2" xfId="3789"/>
    <cellStyle name="Normal 13 4" xfId="3790"/>
    <cellStyle name="Normal 13 5" xfId="3791"/>
    <cellStyle name="Normal 14" xfId="3792"/>
    <cellStyle name="Normal 14 2" xfId="3793"/>
    <cellStyle name="Normal 14 2 2" xfId="3794"/>
    <cellStyle name="Normal 14 2 3" xfId="3"/>
    <cellStyle name="Normal 14 3" xfId="3795"/>
    <cellStyle name="Normal 14 4" xfId="3796"/>
    <cellStyle name="Normal 14 5" xfId="3797"/>
    <cellStyle name="Normal 15" xfId="3798"/>
    <cellStyle name="Normal 15 2" xfId="3799"/>
    <cellStyle name="Normal 15 2 2" xfId="3800"/>
    <cellStyle name="Normal 15 3" xfId="3801"/>
    <cellStyle name="Normal 15 4" xfId="3802"/>
    <cellStyle name="Normal 15 5" xfId="3803"/>
    <cellStyle name="Normal 157" xfId="3804"/>
    <cellStyle name="Normal 16" xfId="3805"/>
    <cellStyle name="Normal 16 10" xfId="3806"/>
    <cellStyle name="Normal 16 2" xfId="3807"/>
    <cellStyle name="Normal 16 2 2" xfId="3808"/>
    <cellStyle name="Normal 16 3" xfId="3809"/>
    <cellStyle name="Normal 16 4" xfId="3810"/>
    <cellStyle name="Normal 16 5" xfId="3811"/>
    <cellStyle name="Normal 16 6" xfId="3812"/>
    <cellStyle name="Normal 16 7" xfId="3813"/>
    <cellStyle name="Normal 16 8" xfId="3814"/>
    <cellStyle name="Normal 16 9" xfId="3815"/>
    <cellStyle name="Normal 17" xfId="3816"/>
    <cellStyle name="Normal 17 2" xfId="3817"/>
    <cellStyle name="Normal 18" xfId="3818"/>
    <cellStyle name="Normal 18 2" xfId="3819"/>
    <cellStyle name="Normal 18 3" xfId="3820"/>
    <cellStyle name="Normal 18 4" xfId="3821"/>
    <cellStyle name="Normal 18 5" xfId="3822"/>
    <cellStyle name="Normal 18 6" xfId="3823"/>
    <cellStyle name="Normal 18 7" xfId="3824"/>
    <cellStyle name="Normal 18 8" xfId="3825"/>
    <cellStyle name="Normal 19" xfId="3826"/>
    <cellStyle name="Normal 19 2" xfId="3827"/>
    <cellStyle name="Normal 19 3" xfId="3828"/>
    <cellStyle name="Normal 19 4" xfId="3829"/>
    <cellStyle name="Normal 19 5" xfId="3830"/>
    <cellStyle name="Normal 19 6" xfId="3831"/>
    <cellStyle name="Normal 19 7" xfId="3832"/>
    <cellStyle name="Normal 19 8" xfId="3833"/>
    <cellStyle name="Normal 2" xfId="3834"/>
    <cellStyle name="Normal 2 10" xfId="3835"/>
    <cellStyle name="Normal 2 10 2" xfId="3836"/>
    <cellStyle name="Normal 2 10 3" xfId="3837"/>
    <cellStyle name="Normal 2 10 4" xfId="3838"/>
    <cellStyle name="Normal 2 10 5" xfId="3839"/>
    <cellStyle name="Normal 2 11" xfId="3840"/>
    <cellStyle name="Normal 2 11 2" xfId="3841"/>
    <cellStyle name="Normal 2 11 3" xfId="3842"/>
    <cellStyle name="Normal 2 11 4" xfId="3843"/>
    <cellStyle name="Normal 2 11 5" xfId="3844"/>
    <cellStyle name="Normal 2 12" xfId="3845"/>
    <cellStyle name="Normal 2 12 2" xfId="3846"/>
    <cellStyle name="Normal 2 12 3" xfId="3847"/>
    <cellStyle name="Normal 2 12 4" xfId="3848"/>
    <cellStyle name="Normal 2 12 5" xfId="3849"/>
    <cellStyle name="Normal 2 13" xfId="3850"/>
    <cellStyle name="Normal 2 13 2" xfId="3851"/>
    <cellStyle name="Normal 2 13 3" xfId="3852"/>
    <cellStyle name="Normal 2 13 4" xfId="3853"/>
    <cellStyle name="Normal 2 13 5" xfId="3854"/>
    <cellStyle name="Normal 2 14" xfId="3855"/>
    <cellStyle name="Normal 2 14 2" xfId="3856"/>
    <cellStyle name="Normal 2 14 3" xfId="3857"/>
    <cellStyle name="Normal 2 14 4" xfId="3858"/>
    <cellStyle name="Normal 2 14 5" xfId="3859"/>
    <cellStyle name="Normal 2 15" xfId="3860"/>
    <cellStyle name="Normal 2 15 2" xfId="3861"/>
    <cellStyle name="Normal 2 15 3" xfId="3862"/>
    <cellStyle name="Normal 2 15 4" xfId="3863"/>
    <cellStyle name="Normal 2 15 5" xfId="3864"/>
    <cellStyle name="Normal 2 16" xfId="3865"/>
    <cellStyle name="Normal 2 16 2" xfId="3866"/>
    <cellStyle name="Normal 2 16 3" xfId="3867"/>
    <cellStyle name="Normal 2 16 4" xfId="3868"/>
    <cellStyle name="Normal 2 16 5" xfId="3869"/>
    <cellStyle name="Normal 2 17" xfId="3870"/>
    <cellStyle name="Normal 2 17 2" xfId="3871"/>
    <cellStyle name="Normal 2 17 3" xfId="3872"/>
    <cellStyle name="Normal 2 17 4" xfId="3873"/>
    <cellStyle name="Normal 2 17 5" xfId="3874"/>
    <cellStyle name="Normal 2 18" xfId="3875"/>
    <cellStyle name="Normal 2 18 2" xfId="3876"/>
    <cellStyle name="Normal 2 18 3" xfId="3877"/>
    <cellStyle name="Normal 2 18 4" xfId="3878"/>
    <cellStyle name="Normal 2 18 5" xfId="3879"/>
    <cellStyle name="Normal 2 19" xfId="3880"/>
    <cellStyle name="Normal 2 19 2" xfId="3881"/>
    <cellStyle name="Normal 2 19 3" xfId="3882"/>
    <cellStyle name="Normal 2 19 4" xfId="3883"/>
    <cellStyle name="Normal 2 19 5" xfId="3884"/>
    <cellStyle name="Normal 2 2" xfId="3885"/>
    <cellStyle name="Normal 2 2 10" xfId="3886"/>
    <cellStyle name="Normal 2 2 11" xfId="3887"/>
    <cellStyle name="Normal 2 2 12" xfId="3888"/>
    <cellStyle name="Normal 2 2 13" xfId="3889"/>
    <cellStyle name="Normal 2 2 13 2" xfId="3890"/>
    <cellStyle name="Normal 2 2 13 5 2" xfId="3891"/>
    <cellStyle name="Normal 2 2 2" xfId="3892"/>
    <cellStyle name="Normal 2 2 2 2" xfId="3893"/>
    <cellStyle name="Normal 2 2 2 3" xfId="3894"/>
    <cellStyle name="Normal 2 2 3" xfId="3895"/>
    <cellStyle name="Normal 2 2 3 2" xfId="3896"/>
    <cellStyle name="Normal 2 2 3 2 2" xfId="3897"/>
    <cellStyle name="Normal 2 2 3 2 3" xfId="3898"/>
    <cellStyle name="Normal 2 2 3 2 4" xfId="3899"/>
    <cellStyle name="Normal 2 2 3 2 5" xfId="3900"/>
    <cellStyle name="Normal 2 2 3 3" xfId="3901"/>
    <cellStyle name="Normal 2 2 3 4" xfId="3902"/>
    <cellStyle name="Normal 2 2 3 5" xfId="3903"/>
    <cellStyle name="Normal 2 2 4" xfId="3904"/>
    <cellStyle name="Normal 2 2 5" xfId="3905"/>
    <cellStyle name="Normal 2 2 6" xfId="3906"/>
    <cellStyle name="Normal 2 2 7" xfId="3907"/>
    <cellStyle name="Normal 2 2 8" xfId="3908"/>
    <cellStyle name="Normal 2 2 9" xfId="3909"/>
    <cellStyle name="Normal 2 2_EVALUASI AI &amp; J-PROC_2010 (EDIT)" xfId="3910"/>
    <cellStyle name="Normal 2 20" xfId="3911"/>
    <cellStyle name="Normal 2 21" xfId="3912"/>
    <cellStyle name="Normal 2 22" xfId="3913"/>
    <cellStyle name="Normal 2 23" xfId="3914"/>
    <cellStyle name="Normal 2 24" xfId="3915"/>
    <cellStyle name="Normal 2 24 2" xfId="3916"/>
    <cellStyle name="Normal 2 25" xfId="3917"/>
    <cellStyle name="Normal 2 26" xfId="3918"/>
    <cellStyle name="Normal 2 27" xfId="3919"/>
    <cellStyle name="Normal 2 28" xfId="3920"/>
    <cellStyle name="Normal 2 29" xfId="3921"/>
    <cellStyle name="Normal 2 3" xfId="3922"/>
    <cellStyle name="Normal 2 3 16" xfId="3923"/>
    <cellStyle name="Normal 2 3 16 2" xfId="3924"/>
    <cellStyle name="Normal 2 3 17" xfId="3925"/>
    <cellStyle name="Normal 2 3 2" xfId="3926"/>
    <cellStyle name="Normal 2 3 2 2" xfId="3927"/>
    <cellStyle name="Normal 2 3 3" xfId="3928"/>
    <cellStyle name="Normal 2 3 4" xfId="3929"/>
    <cellStyle name="Normal 2 3 5" xfId="3930"/>
    <cellStyle name="Normal 2 30" xfId="3931"/>
    <cellStyle name="Normal 2 31" xfId="3932"/>
    <cellStyle name="Normal 2 32" xfId="3933"/>
    <cellStyle name="Normal 2 33" xfId="3934"/>
    <cellStyle name="Normal 2 34" xfId="3935"/>
    <cellStyle name="Normal 2 35" xfId="3936"/>
    <cellStyle name="Normal 2 36" xfId="3937"/>
    <cellStyle name="Normal 2 37" xfId="3938"/>
    <cellStyle name="Normal 2 38" xfId="3939"/>
    <cellStyle name="Normal 2 39" xfId="3940"/>
    <cellStyle name="Normal 2 4" xfId="3941"/>
    <cellStyle name="Normal 2 4 2" xfId="3942"/>
    <cellStyle name="Normal 2 4 3" xfId="3943"/>
    <cellStyle name="Normal 2 4 4" xfId="3944"/>
    <cellStyle name="Normal 2 4 5" xfId="3945"/>
    <cellStyle name="Normal 2 40" xfId="3946"/>
    <cellStyle name="Normal 2 41" xfId="3947"/>
    <cellStyle name="Normal 2 41 3" xfId="3948"/>
    <cellStyle name="Normal 2 5" xfId="3949"/>
    <cellStyle name="Normal 2 5 2" xfId="3950"/>
    <cellStyle name="Normal 2 5 3" xfId="3951"/>
    <cellStyle name="Normal 2 5 4" xfId="3952"/>
    <cellStyle name="Normal 2 5 5" xfId="3953"/>
    <cellStyle name="Normal 2 5 6" xfId="3954"/>
    <cellStyle name="Normal 2 5 7" xfId="3955"/>
    <cellStyle name="Normal 2 6" xfId="3956"/>
    <cellStyle name="Normal 2 6 2" xfId="3957"/>
    <cellStyle name="Normal 2 6 3" xfId="3958"/>
    <cellStyle name="Normal 2 6 4" xfId="3959"/>
    <cellStyle name="Normal 2 6 5" xfId="3960"/>
    <cellStyle name="Normal 2 7" xfId="3961"/>
    <cellStyle name="Normal 2 7 2" xfId="3962"/>
    <cellStyle name="Normal 2 7 3" xfId="3963"/>
    <cellStyle name="Normal 2 7 4" xfId="3964"/>
    <cellStyle name="Normal 2 7 5" xfId="3965"/>
    <cellStyle name="Normal 2 8" xfId="3966"/>
    <cellStyle name="Normal 2 8 2" xfId="3967"/>
    <cellStyle name="Normal 2 8 3" xfId="3968"/>
    <cellStyle name="Normal 2 8 4" xfId="3969"/>
    <cellStyle name="Normal 2 8 5" xfId="3970"/>
    <cellStyle name="Normal 2 9" xfId="3971"/>
    <cellStyle name="Normal 2 9 2" xfId="3972"/>
    <cellStyle name="Normal 2 9 3" xfId="3973"/>
    <cellStyle name="Normal 2 9 4" xfId="3974"/>
    <cellStyle name="Normal 2 9 5" xfId="3975"/>
    <cellStyle name="Normal 2_011_REV_2_(001-004 Direvisi)_Terbit_AT_2009-L" xfId="3976"/>
    <cellStyle name="Normal 20" xfId="3977"/>
    <cellStyle name="Normal 20 2" xfId="3978"/>
    <cellStyle name="Normal 20 2 2" xfId="3979"/>
    <cellStyle name="Normal 20 3" xfId="3980"/>
    <cellStyle name="Normal 20 4" xfId="3981"/>
    <cellStyle name="Normal 20 5" xfId="3982"/>
    <cellStyle name="Normal 20 6" xfId="3983"/>
    <cellStyle name="Normal 20 7" xfId="3984"/>
    <cellStyle name="Normal 20 8" xfId="3985"/>
    <cellStyle name="Normal 21" xfId="3986"/>
    <cellStyle name="Normal 21 2" xfId="3987"/>
    <cellStyle name="Normal 22" xfId="3988"/>
    <cellStyle name="Normal 22 2" xfId="3989"/>
    <cellStyle name="Normal 22 2 2" xfId="3990"/>
    <cellStyle name="Normal 22 3" xfId="3991"/>
    <cellStyle name="Normal 22 4" xfId="3992"/>
    <cellStyle name="Normal 23" xfId="3993"/>
    <cellStyle name="Normal 23 2" xfId="3994"/>
    <cellStyle name="Normal 234" xfId="5962"/>
    <cellStyle name="Normal 24" xfId="3995"/>
    <cellStyle name="Normal 24 2" xfId="3996"/>
    <cellStyle name="Normal 25" xfId="3997"/>
    <cellStyle name="Normal 25 2" xfId="3998"/>
    <cellStyle name="Normal 26" xfId="3999"/>
    <cellStyle name="Normal 26 2" xfId="4000"/>
    <cellStyle name="Normal 27" xfId="4001"/>
    <cellStyle name="Normal 27 2" xfId="4002"/>
    <cellStyle name="Normal 28" xfId="4003"/>
    <cellStyle name="Normal 28 2" xfId="4004"/>
    <cellStyle name="Normal 29" xfId="4005"/>
    <cellStyle name="Normal 29 2" xfId="4006"/>
    <cellStyle name="Normal 3" xfId="4007"/>
    <cellStyle name="Normal 3 10" xfId="4008"/>
    <cellStyle name="Normal 3 11" xfId="4009"/>
    <cellStyle name="Normal 3 12" xfId="4010"/>
    <cellStyle name="Normal 3 13" xfId="4011"/>
    <cellStyle name="Normal 3 14" xfId="4012"/>
    <cellStyle name="Normal 3 15" xfId="4013"/>
    <cellStyle name="Normal 3 16" xfId="4014"/>
    <cellStyle name="Normal 3 17" xfId="4015"/>
    <cellStyle name="Normal 3 18" xfId="4016"/>
    <cellStyle name="Normal 3 19" xfId="4017"/>
    <cellStyle name="Normal 3 2" xfId="4018"/>
    <cellStyle name="Normal 3 2 2" xfId="4019"/>
    <cellStyle name="Normal 3 2 2 2" xfId="4020"/>
    <cellStyle name="Normal 3 2 2 2 2" xfId="4021"/>
    <cellStyle name="Normal 3 2 2 3" xfId="4022"/>
    <cellStyle name="Normal 3 2 2 4" xfId="4023"/>
    <cellStyle name="Normal 3 2 2 5" xfId="4024"/>
    <cellStyle name="Normal 3 2 2 6" xfId="4025"/>
    <cellStyle name="Normal 3 2 2 7" xfId="4026"/>
    <cellStyle name="Normal 3 2 3" xfId="4027"/>
    <cellStyle name="Normal 3 2 4" xfId="4028"/>
    <cellStyle name="Normal 3 2 5" xfId="4029"/>
    <cellStyle name="Normal 3 2 6" xfId="4030"/>
    <cellStyle name="Normal 3 2 7" xfId="4031"/>
    <cellStyle name="Normal 3 20" xfId="4032"/>
    <cellStyle name="Normal 3 3" xfId="4033"/>
    <cellStyle name="Normal 3 3 2" xfId="4034"/>
    <cellStyle name="Normal 3 3 2 2" xfId="4035"/>
    <cellStyle name="Normal 3 3 3" xfId="4036"/>
    <cellStyle name="Normal 3 3 4" xfId="4037"/>
    <cellStyle name="Normal 3 3 5" xfId="4038"/>
    <cellStyle name="Normal 3 30" xfId="4039"/>
    <cellStyle name="Normal 3 4" xfId="4040"/>
    <cellStyle name="Normal 3 4 10" xfId="4041"/>
    <cellStyle name="Normal 3 4 2" xfId="4042"/>
    <cellStyle name="Normal 3 4 3" xfId="4043"/>
    <cellStyle name="Normal 3 4 4" xfId="4044"/>
    <cellStyle name="Normal 3 4 5" xfId="4045"/>
    <cellStyle name="Normal 3 5" xfId="4046"/>
    <cellStyle name="Normal 3 6" xfId="4047"/>
    <cellStyle name="Normal 3 6 2" xfId="5"/>
    <cellStyle name="Normal 3 7" xfId="4048"/>
    <cellStyle name="Normal 3 8" xfId="4049"/>
    <cellStyle name="Normal 3 9" xfId="4050"/>
    <cellStyle name="Normal 3_APBN Rekap (Jakarta24Sep) (2)" xfId="4051"/>
    <cellStyle name="Normal 30" xfId="4052"/>
    <cellStyle name="Normal 30 2" xfId="4053"/>
    <cellStyle name="Normal 30 2 2" xfId="4054"/>
    <cellStyle name="Normal 30 3" xfId="4055"/>
    <cellStyle name="Normal 30 4" xfId="4056"/>
    <cellStyle name="Normal 31" xfId="4057"/>
    <cellStyle name="Normal 31 2" xfId="4058"/>
    <cellStyle name="Normal 32" xfId="4059"/>
    <cellStyle name="Normal 32 2" xfId="4060"/>
    <cellStyle name="Normal 33" xfId="4061"/>
    <cellStyle name="Normal 33 2" xfId="4062"/>
    <cellStyle name="Normal 34" xfId="4063"/>
    <cellStyle name="Normal 34 2" xfId="4064"/>
    <cellStyle name="Normal 35" xfId="4065"/>
    <cellStyle name="Normal 35 2" xfId="4066"/>
    <cellStyle name="Normal 36" xfId="4067"/>
    <cellStyle name="Normal 36 2" xfId="4068"/>
    <cellStyle name="Normal 37" xfId="4069"/>
    <cellStyle name="Normal 37 2" xfId="4070"/>
    <cellStyle name="Normal 37 2 2" xfId="4071"/>
    <cellStyle name="Normal 37 3" xfId="4072"/>
    <cellStyle name="Normal 37 4" xfId="4073"/>
    <cellStyle name="Normal 38" xfId="4074"/>
    <cellStyle name="Normal 38 2" xfId="4075"/>
    <cellStyle name="Normal 39" xfId="4076"/>
    <cellStyle name="Normal 39 2" xfId="4077"/>
    <cellStyle name="Normal 4" xfId="4078"/>
    <cellStyle name="Normal 4 10" xfId="4079"/>
    <cellStyle name="Normal 4 10 3" xfId="4080"/>
    <cellStyle name="Normal 4 11" xfId="4081"/>
    <cellStyle name="Normal 4 12" xfId="4082"/>
    <cellStyle name="Normal 4 13" xfId="4083"/>
    <cellStyle name="Normal 4 14" xfId="4084"/>
    <cellStyle name="Normal 4 15" xfId="4085"/>
    <cellStyle name="Normal 4 16" xfId="4086"/>
    <cellStyle name="Normal 4 17" xfId="4087"/>
    <cellStyle name="Normal 4 18" xfId="4088"/>
    <cellStyle name="Normal 4 19" xfId="4089"/>
    <cellStyle name="Normal 4 19 2" xfId="4090"/>
    <cellStyle name="Normal 4 2" xfId="4091"/>
    <cellStyle name="Normal 4 2 2" xfId="4092"/>
    <cellStyle name="Normal 4 2 3" xfId="4093"/>
    <cellStyle name="Normal 4 2 4" xfId="4094"/>
    <cellStyle name="Normal 4 2 5" xfId="4095"/>
    <cellStyle name="Normal 4 2 6" xfId="4096"/>
    <cellStyle name="Normal 4 3" xfId="4097"/>
    <cellStyle name="Normal 4 3 2" xfId="4098"/>
    <cellStyle name="Normal 4 4" xfId="4099"/>
    <cellStyle name="Normal 4 4 16" xfId="4100"/>
    <cellStyle name="Normal 4 5" xfId="4101"/>
    <cellStyle name="Normal 4 6" xfId="4102"/>
    <cellStyle name="Normal 4 7" xfId="4103"/>
    <cellStyle name="Normal 4 8" xfId="4104"/>
    <cellStyle name="Normal 4 9" xfId="4105"/>
    <cellStyle name="Normal 40" xfId="4106"/>
    <cellStyle name="Normal 40 2" xfId="4107"/>
    <cellStyle name="Normal 41" xfId="4108"/>
    <cellStyle name="Normal 41 2" xfId="4109"/>
    <cellStyle name="Normal 42" xfId="4110"/>
    <cellStyle name="Normal 42 2" xfId="4111"/>
    <cellStyle name="Normal 43" xfId="4112"/>
    <cellStyle name="Normal 43 2" xfId="4113"/>
    <cellStyle name="Normal 44" xfId="4114"/>
    <cellStyle name="Normal 44 2" xfId="4115"/>
    <cellStyle name="Normal 45" xfId="4116"/>
    <cellStyle name="Normal 45 2" xfId="4117"/>
    <cellStyle name="Normal 46" xfId="4118"/>
    <cellStyle name="Normal 46 2" xfId="4119"/>
    <cellStyle name="Normal 47" xfId="4120"/>
    <cellStyle name="Normal 47 2" xfId="4121"/>
    <cellStyle name="Normal 48" xfId="4122"/>
    <cellStyle name="Normal 48 2" xfId="4123"/>
    <cellStyle name="Normal 49" xfId="4124"/>
    <cellStyle name="Normal 49 2" xfId="4125"/>
    <cellStyle name="Normal 5" xfId="4126"/>
    <cellStyle name="Normal 5 10" xfId="4127"/>
    <cellStyle name="Normal 5 11" xfId="4128"/>
    <cellStyle name="Normal 5 12" xfId="4129"/>
    <cellStyle name="Normal 5 13" xfId="4130"/>
    <cellStyle name="Normal 5 14" xfId="4131"/>
    <cellStyle name="Normal 5 15" xfId="4132"/>
    <cellStyle name="Normal 5 16" xfId="4133"/>
    <cellStyle name="Normal 5 2" xfId="4134"/>
    <cellStyle name="Normal 5 2 2" xfId="4135"/>
    <cellStyle name="Normal 5 2 2 2" xfId="4136"/>
    <cellStyle name="Normal 5 2 3" xfId="4137"/>
    <cellStyle name="Normal 5 3" xfId="4138"/>
    <cellStyle name="Normal 5 3 2" xfId="4139"/>
    <cellStyle name="Normal 5 4" xfId="4140"/>
    <cellStyle name="Normal 5 5" xfId="4141"/>
    <cellStyle name="Normal 5 6" xfId="4142"/>
    <cellStyle name="Normal 5 7" xfId="4143"/>
    <cellStyle name="Normal 5 8" xfId="4144"/>
    <cellStyle name="Normal 5 9" xfId="4145"/>
    <cellStyle name="Normal 5_20091215 Pinjaman RKAP 2010-COD-8%-091215-triwulanan2" xfId="4146"/>
    <cellStyle name="Normal 50" xfId="4147"/>
    <cellStyle name="Normal 50 2" xfId="4148"/>
    <cellStyle name="Normal 51" xfId="4149"/>
    <cellStyle name="Normal 51 2" xfId="4150"/>
    <cellStyle name="Normal 52" xfId="4151"/>
    <cellStyle name="Normal 52 2" xfId="4152"/>
    <cellStyle name="Normal 53" xfId="4153"/>
    <cellStyle name="Normal 53 2" xfId="4154"/>
    <cellStyle name="Normal 54" xfId="4155"/>
    <cellStyle name="Normal 54 2" xfId="4156"/>
    <cellStyle name="Normal 55" xfId="4157"/>
    <cellStyle name="Normal 55 2" xfId="4158"/>
    <cellStyle name="Normal 56" xfId="4159"/>
    <cellStyle name="Normal 56 2" xfId="4160"/>
    <cellStyle name="Normal 57" xfId="4161"/>
    <cellStyle name="Normal 57 2" xfId="4162"/>
    <cellStyle name="Normal 58" xfId="4163"/>
    <cellStyle name="Normal 58 2" xfId="4164"/>
    <cellStyle name="Normal 59" xfId="4165"/>
    <cellStyle name="Normal 59 2" xfId="4166"/>
    <cellStyle name="Normal 6" xfId="4167"/>
    <cellStyle name="Normal 6 2" xfId="4168"/>
    <cellStyle name="Normal 6 2 2" xfId="4169"/>
    <cellStyle name="Normal 6 2 3" xfId="4170"/>
    <cellStyle name="Normal 6 2 4" xfId="4171"/>
    <cellStyle name="Normal 6 2 5" xfId="4172"/>
    <cellStyle name="Normal 6 3" xfId="4173"/>
    <cellStyle name="Normal 6 4" xfId="4174"/>
    <cellStyle name="Normal 6 5" xfId="4175"/>
    <cellStyle name="Normal 6 6" xfId="4176"/>
    <cellStyle name="Normal 6 7" xfId="4177"/>
    <cellStyle name="Normal 6 8" xfId="4178"/>
    <cellStyle name="Normal 6_APBN Rekap (Jakarta24Sep) (2)" xfId="4179"/>
    <cellStyle name="Normal 60" xfId="4180"/>
    <cellStyle name="Normal 60 2" xfId="4181"/>
    <cellStyle name="Normal 61" xfId="4182"/>
    <cellStyle name="Normal 61 2" xfId="4183"/>
    <cellStyle name="Normal 62" xfId="4184"/>
    <cellStyle name="Normal 62 2" xfId="4185"/>
    <cellStyle name="Normal 63" xfId="4186"/>
    <cellStyle name="Normal 63 2" xfId="4187"/>
    <cellStyle name="Normal 64" xfId="4188"/>
    <cellStyle name="Normal 65" xfId="4189"/>
    <cellStyle name="Normal 65 2" xfId="4190"/>
    <cellStyle name="Normal 65 3" xfId="4191"/>
    <cellStyle name="Normal 65 4" xfId="4192"/>
    <cellStyle name="Normal 66" xfId="4193"/>
    <cellStyle name="Normal 66 2" xfId="4194"/>
    <cellStyle name="Normal 67" xfId="4195"/>
    <cellStyle name="Normal 68" xfId="4196"/>
    <cellStyle name="Normal 69" xfId="4197"/>
    <cellStyle name="Normal 7" xfId="4198"/>
    <cellStyle name="Normal 7 10" xfId="4199"/>
    <cellStyle name="Normal 7 11" xfId="4200"/>
    <cellStyle name="Normal 7 12" xfId="4201"/>
    <cellStyle name="Normal 7 13" xfId="4202"/>
    <cellStyle name="Normal 7 14" xfId="4203"/>
    <cellStyle name="Normal 7 2" xfId="4204"/>
    <cellStyle name="Normal 7 3" xfId="4205"/>
    <cellStyle name="Normal 7 4" xfId="4206"/>
    <cellStyle name="Normal 7 5" xfId="4207"/>
    <cellStyle name="Normal 7 6" xfId="4208"/>
    <cellStyle name="Normal 7 7" xfId="4209"/>
    <cellStyle name="Normal 7 8" xfId="4210"/>
    <cellStyle name="Normal 7 9" xfId="4211"/>
    <cellStyle name="Normal 70" xfId="4212"/>
    <cellStyle name="Normal 71" xfId="4213"/>
    <cellStyle name="Normal 72" xfId="4214"/>
    <cellStyle name="Normal 73" xfId="4215"/>
    <cellStyle name="Normal 74" xfId="4216"/>
    <cellStyle name="Normal 74 2" xfId="4217"/>
    <cellStyle name="Normal 75" xfId="4218"/>
    <cellStyle name="Normal 75 2" xfId="4219"/>
    <cellStyle name="Normal 76" xfId="4220"/>
    <cellStyle name="Normal 76 2" xfId="4221"/>
    <cellStyle name="Normal 77" xfId="4222"/>
    <cellStyle name="Normal 77 2" xfId="4223"/>
    <cellStyle name="Normal 78" xfId="4224"/>
    <cellStyle name="Normal 78 2" xfId="4225"/>
    <cellStyle name="Normal 79" xfId="4226"/>
    <cellStyle name="Normal 79 2" xfId="4227"/>
    <cellStyle name="Normal 8" xfId="4228"/>
    <cellStyle name="Normal 8 2" xfId="4229"/>
    <cellStyle name="Normal 8 3" xfId="4230"/>
    <cellStyle name="Normal 8 4" xfId="4231"/>
    <cellStyle name="Normal 8 5" xfId="4232"/>
    <cellStyle name="Normal 80" xfId="4233"/>
    <cellStyle name="Normal 81" xfId="4234"/>
    <cellStyle name="Normal 82" xfId="4235"/>
    <cellStyle name="Normal 83" xfId="4236"/>
    <cellStyle name="Normal 84" xfId="4237"/>
    <cellStyle name="Normal 85" xfId="4238"/>
    <cellStyle name="Normal 86" xfId="4239"/>
    <cellStyle name="Normal 87" xfId="4240"/>
    <cellStyle name="Normal 88" xfId="4241"/>
    <cellStyle name="Normal 89" xfId="4242"/>
    <cellStyle name="Normal 9" xfId="4243"/>
    <cellStyle name="Normal 9 2" xfId="4244"/>
    <cellStyle name="Normal 9 3" xfId="4245"/>
    <cellStyle name="Normal 9 4" xfId="4246"/>
    <cellStyle name="Normal 9 5" xfId="4247"/>
    <cellStyle name="Normal 90" xfId="4248"/>
    <cellStyle name="Normal 91" xfId="4249"/>
    <cellStyle name="Normal 92" xfId="4250"/>
    <cellStyle name="Normal 93" xfId="4251"/>
    <cellStyle name="Normal 94" xfId="4252"/>
    <cellStyle name="Normal 95" xfId="4253"/>
    <cellStyle name="Normal 96" xfId="4254"/>
    <cellStyle name="Normal 97" xfId="4255"/>
    <cellStyle name="Normal 98" xfId="4256"/>
    <cellStyle name="Normal 99" xfId="4257"/>
    <cellStyle name="Normal_MASTER2000" xfId="4"/>
    <cellStyle name="Normal2" xfId="4258"/>
    <cellStyle name="Normale_pldt" xfId="4259"/>
    <cellStyle name="Note 10" xfId="4260"/>
    <cellStyle name="Note 10 10" xfId="4261"/>
    <cellStyle name="Note 10 11" xfId="4262"/>
    <cellStyle name="Note 10 12" xfId="4263"/>
    <cellStyle name="Note 10 13" xfId="4264"/>
    <cellStyle name="Note 10 2" xfId="4265"/>
    <cellStyle name="Note 10 2 2" xfId="4266"/>
    <cellStyle name="Note 10 2 3" xfId="4267"/>
    <cellStyle name="Note 10 2 4" xfId="4268"/>
    <cellStyle name="Note 10 2 5" xfId="4269"/>
    <cellStyle name="Note 10 2 6" xfId="4270"/>
    <cellStyle name="Note 10 2 7" xfId="4271"/>
    <cellStyle name="Note 10 2 8" xfId="4272"/>
    <cellStyle name="Note 10 2 9" xfId="4273"/>
    <cellStyle name="Note 10 3" xfId="4274"/>
    <cellStyle name="Note 10 3 2" xfId="4275"/>
    <cellStyle name="Note 10 3 3" xfId="4276"/>
    <cellStyle name="Note 10 3 4" xfId="4277"/>
    <cellStyle name="Note 10 3 5" xfId="4278"/>
    <cellStyle name="Note 10 3 6" xfId="4279"/>
    <cellStyle name="Note 10 3 7" xfId="4280"/>
    <cellStyle name="Note 10 3 8" xfId="4281"/>
    <cellStyle name="Note 10 3 9" xfId="4282"/>
    <cellStyle name="Note 10 4" xfId="4283"/>
    <cellStyle name="Note 10 4 2" xfId="4284"/>
    <cellStyle name="Note 10 4 3" xfId="4285"/>
    <cellStyle name="Note 10 4 4" xfId="4286"/>
    <cellStyle name="Note 10 4 5" xfId="4287"/>
    <cellStyle name="Note 10 4 6" xfId="4288"/>
    <cellStyle name="Note 10 4 7" xfId="4289"/>
    <cellStyle name="Note 10 4 8" xfId="4290"/>
    <cellStyle name="Note 10 4 9" xfId="4291"/>
    <cellStyle name="Note 10 5" xfId="4292"/>
    <cellStyle name="Note 10 5 2" xfId="4293"/>
    <cellStyle name="Note 10 5 3" xfId="4294"/>
    <cellStyle name="Note 10 5 4" xfId="4295"/>
    <cellStyle name="Note 10 5 5" xfId="4296"/>
    <cellStyle name="Note 10 5 6" xfId="4297"/>
    <cellStyle name="Note 10 5 7" xfId="4298"/>
    <cellStyle name="Note 10 5 8" xfId="4299"/>
    <cellStyle name="Note 10 5 9" xfId="4300"/>
    <cellStyle name="Note 10 6" xfId="4301"/>
    <cellStyle name="Note 10 7" xfId="4302"/>
    <cellStyle name="Note 10 8" xfId="4303"/>
    <cellStyle name="Note 10 9" xfId="4304"/>
    <cellStyle name="Note 11" xfId="4305"/>
    <cellStyle name="Note 11 10" xfId="4306"/>
    <cellStyle name="Note 11 11" xfId="4307"/>
    <cellStyle name="Note 11 12" xfId="4308"/>
    <cellStyle name="Note 11 13" xfId="4309"/>
    <cellStyle name="Note 11 2" xfId="4310"/>
    <cellStyle name="Note 11 2 2" xfId="4311"/>
    <cellStyle name="Note 11 2 3" xfId="4312"/>
    <cellStyle name="Note 11 2 4" xfId="4313"/>
    <cellStyle name="Note 11 2 5" xfId="4314"/>
    <cellStyle name="Note 11 2 6" xfId="4315"/>
    <cellStyle name="Note 11 2 7" xfId="4316"/>
    <cellStyle name="Note 11 2 8" xfId="4317"/>
    <cellStyle name="Note 11 2 9" xfId="4318"/>
    <cellStyle name="Note 11 3" xfId="4319"/>
    <cellStyle name="Note 11 3 2" xfId="4320"/>
    <cellStyle name="Note 11 3 3" xfId="4321"/>
    <cellStyle name="Note 11 3 4" xfId="4322"/>
    <cellStyle name="Note 11 3 5" xfId="4323"/>
    <cellStyle name="Note 11 3 6" xfId="4324"/>
    <cellStyle name="Note 11 3 7" xfId="4325"/>
    <cellStyle name="Note 11 3 8" xfId="4326"/>
    <cellStyle name="Note 11 3 9" xfId="4327"/>
    <cellStyle name="Note 11 4" xfId="4328"/>
    <cellStyle name="Note 11 4 2" xfId="4329"/>
    <cellStyle name="Note 11 4 3" xfId="4330"/>
    <cellStyle name="Note 11 4 4" xfId="4331"/>
    <cellStyle name="Note 11 4 5" xfId="4332"/>
    <cellStyle name="Note 11 4 6" xfId="4333"/>
    <cellStyle name="Note 11 4 7" xfId="4334"/>
    <cellStyle name="Note 11 4 8" xfId="4335"/>
    <cellStyle name="Note 11 4 9" xfId="4336"/>
    <cellStyle name="Note 11 5" xfId="4337"/>
    <cellStyle name="Note 11 5 2" xfId="4338"/>
    <cellStyle name="Note 11 5 3" xfId="4339"/>
    <cellStyle name="Note 11 5 4" xfId="4340"/>
    <cellStyle name="Note 11 5 5" xfId="4341"/>
    <cellStyle name="Note 11 5 6" xfId="4342"/>
    <cellStyle name="Note 11 5 7" xfId="4343"/>
    <cellStyle name="Note 11 5 8" xfId="4344"/>
    <cellStyle name="Note 11 5 9" xfId="4345"/>
    <cellStyle name="Note 11 6" xfId="4346"/>
    <cellStyle name="Note 11 7" xfId="4347"/>
    <cellStyle name="Note 11 8" xfId="4348"/>
    <cellStyle name="Note 11 9" xfId="4349"/>
    <cellStyle name="Note 12" xfId="4350"/>
    <cellStyle name="Note 12 10" xfId="4351"/>
    <cellStyle name="Note 12 11" xfId="4352"/>
    <cellStyle name="Note 12 12" xfId="4353"/>
    <cellStyle name="Note 12 13" xfId="4354"/>
    <cellStyle name="Note 12 2" xfId="4355"/>
    <cellStyle name="Note 12 2 2" xfId="4356"/>
    <cellStyle name="Note 12 2 3" xfId="4357"/>
    <cellStyle name="Note 12 2 4" xfId="4358"/>
    <cellStyle name="Note 12 2 5" xfId="4359"/>
    <cellStyle name="Note 12 2 6" xfId="4360"/>
    <cellStyle name="Note 12 2 7" xfId="4361"/>
    <cellStyle name="Note 12 2 8" xfId="4362"/>
    <cellStyle name="Note 12 2 9" xfId="4363"/>
    <cellStyle name="Note 12 3" xfId="4364"/>
    <cellStyle name="Note 12 3 2" xfId="4365"/>
    <cellStyle name="Note 12 3 3" xfId="4366"/>
    <cellStyle name="Note 12 3 4" xfId="4367"/>
    <cellStyle name="Note 12 3 5" xfId="4368"/>
    <cellStyle name="Note 12 3 6" xfId="4369"/>
    <cellStyle name="Note 12 3 7" xfId="4370"/>
    <cellStyle name="Note 12 3 8" xfId="4371"/>
    <cellStyle name="Note 12 3 9" xfId="4372"/>
    <cellStyle name="Note 12 4" xfId="4373"/>
    <cellStyle name="Note 12 4 2" xfId="4374"/>
    <cellStyle name="Note 12 4 3" xfId="4375"/>
    <cellStyle name="Note 12 4 4" xfId="4376"/>
    <cellStyle name="Note 12 4 5" xfId="4377"/>
    <cellStyle name="Note 12 4 6" xfId="4378"/>
    <cellStyle name="Note 12 4 7" xfId="4379"/>
    <cellStyle name="Note 12 4 8" xfId="4380"/>
    <cellStyle name="Note 12 4 9" xfId="4381"/>
    <cellStyle name="Note 12 5" xfId="4382"/>
    <cellStyle name="Note 12 5 2" xfId="4383"/>
    <cellStyle name="Note 12 5 3" xfId="4384"/>
    <cellStyle name="Note 12 5 4" xfId="4385"/>
    <cellStyle name="Note 12 5 5" xfId="4386"/>
    <cellStyle name="Note 12 5 6" xfId="4387"/>
    <cellStyle name="Note 12 5 7" xfId="4388"/>
    <cellStyle name="Note 12 5 8" xfId="4389"/>
    <cellStyle name="Note 12 5 9" xfId="4390"/>
    <cellStyle name="Note 12 6" xfId="4391"/>
    <cellStyle name="Note 12 7" xfId="4392"/>
    <cellStyle name="Note 12 8" xfId="4393"/>
    <cellStyle name="Note 12 9" xfId="4394"/>
    <cellStyle name="Note 13" xfId="4395"/>
    <cellStyle name="Note 13 10" xfId="4396"/>
    <cellStyle name="Note 13 11" xfId="4397"/>
    <cellStyle name="Note 13 12" xfId="4398"/>
    <cellStyle name="Note 13 13" xfId="4399"/>
    <cellStyle name="Note 13 2" xfId="4400"/>
    <cellStyle name="Note 13 2 2" xfId="4401"/>
    <cellStyle name="Note 13 2 3" xfId="4402"/>
    <cellStyle name="Note 13 2 4" xfId="4403"/>
    <cellStyle name="Note 13 2 5" xfId="4404"/>
    <cellStyle name="Note 13 2 6" xfId="4405"/>
    <cellStyle name="Note 13 2 7" xfId="4406"/>
    <cellStyle name="Note 13 2 8" xfId="4407"/>
    <cellStyle name="Note 13 2 9" xfId="4408"/>
    <cellStyle name="Note 13 3" xfId="4409"/>
    <cellStyle name="Note 13 3 2" xfId="4410"/>
    <cellStyle name="Note 13 3 3" xfId="4411"/>
    <cellStyle name="Note 13 3 4" xfId="4412"/>
    <cellStyle name="Note 13 3 5" xfId="4413"/>
    <cellStyle name="Note 13 3 6" xfId="4414"/>
    <cellStyle name="Note 13 3 7" xfId="4415"/>
    <cellStyle name="Note 13 3 8" xfId="4416"/>
    <cellStyle name="Note 13 3 9" xfId="4417"/>
    <cellStyle name="Note 13 4" xfId="4418"/>
    <cellStyle name="Note 13 4 2" xfId="4419"/>
    <cellStyle name="Note 13 4 3" xfId="4420"/>
    <cellStyle name="Note 13 4 4" xfId="4421"/>
    <cellStyle name="Note 13 4 5" xfId="4422"/>
    <cellStyle name="Note 13 4 6" xfId="4423"/>
    <cellStyle name="Note 13 4 7" xfId="4424"/>
    <cellStyle name="Note 13 4 8" xfId="4425"/>
    <cellStyle name="Note 13 4 9" xfId="4426"/>
    <cellStyle name="Note 13 5" xfId="4427"/>
    <cellStyle name="Note 13 5 2" xfId="4428"/>
    <cellStyle name="Note 13 5 3" xfId="4429"/>
    <cellStyle name="Note 13 5 4" xfId="4430"/>
    <cellStyle name="Note 13 5 5" xfId="4431"/>
    <cellStyle name="Note 13 5 6" xfId="4432"/>
    <cellStyle name="Note 13 5 7" xfId="4433"/>
    <cellStyle name="Note 13 5 8" xfId="4434"/>
    <cellStyle name="Note 13 5 9" xfId="4435"/>
    <cellStyle name="Note 13 6" xfId="4436"/>
    <cellStyle name="Note 13 7" xfId="4437"/>
    <cellStyle name="Note 13 8" xfId="4438"/>
    <cellStyle name="Note 13 9" xfId="4439"/>
    <cellStyle name="Note 14" xfId="4440"/>
    <cellStyle name="Note 14 10" xfId="4441"/>
    <cellStyle name="Note 14 11" xfId="4442"/>
    <cellStyle name="Note 14 12" xfId="4443"/>
    <cellStyle name="Note 14 13" xfId="4444"/>
    <cellStyle name="Note 14 2" xfId="4445"/>
    <cellStyle name="Note 14 2 2" xfId="4446"/>
    <cellStyle name="Note 14 2 3" xfId="4447"/>
    <cellStyle name="Note 14 2 4" xfId="4448"/>
    <cellStyle name="Note 14 2 5" xfId="4449"/>
    <cellStyle name="Note 14 2 6" xfId="4450"/>
    <cellStyle name="Note 14 2 7" xfId="4451"/>
    <cellStyle name="Note 14 2 8" xfId="4452"/>
    <cellStyle name="Note 14 2 9" xfId="4453"/>
    <cellStyle name="Note 14 3" xfId="4454"/>
    <cellStyle name="Note 14 3 2" xfId="4455"/>
    <cellStyle name="Note 14 3 3" xfId="4456"/>
    <cellStyle name="Note 14 3 4" xfId="4457"/>
    <cellStyle name="Note 14 3 5" xfId="4458"/>
    <cellStyle name="Note 14 3 6" xfId="4459"/>
    <cellStyle name="Note 14 3 7" xfId="4460"/>
    <cellStyle name="Note 14 3 8" xfId="4461"/>
    <cellStyle name="Note 14 3 9" xfId="4462"/>
    <cellStyle name="Note 14 4" xfId="4463"/>
    <cellStyle name="Note 14 4 2" xfId="4464"/>
    <cellStyle name="Note 14 4 3" xfId="4465"/>
    <cellStyle name="Note 14 4 4" xfId="4466"/>
    <cellStyle name="Note 14 4 5" xfId="4467"/>
    <cellStyle name="Note 14 4 6" xfId="4468"/>
    <cellStyle name="Note 14 4 7" xfId="4469"/>
    <cellStyle name="Note 14 4 8" xfId="4470"/>
    <cellStyle name="Note 14 4 9" xfId="4471"/>
    <cellStyle name="Note 14 5" xfId="4472"/>
    <cellStyle name="Note 14 5 2" xfId="4473"/>
    <cellStyle name="Note 14 5 3" xfId="4474"/>
    <cellStyle name="Note 14 5 4" xfId="4475"/>
    <cellStyle name="Note 14 5 5" xfId="4476"/>
    <cellStyle name="Note 14 5 6" xfId="4477"/>
    <cellStyle name="Note 14 5 7" xfId="4478"/>
    <cellStyle name="Note 14 5 8" xfId="4479"/>
    <cellStyle name="Note 14 5 9" xfId="4480"/>
    <cellStyle name="Note 14 6" xfId="4481"/>
    <cellStyle name="Note 14 7" xfId="4482"/>
    <cellStyle name="Note 14 8" xfId="4483"/>
    <cellStyle name="Note 14 9" xfId="4484"/>
    <cellStyle name="Note 15" xfId="4485"/>
    <cellStyle name="Note 15 10" xfId="4486"/>
    <cellStyle name="Note 15 11" xfId="4487"/>
    <cellStyle name="Note 15 12" xfId="4488"/>
    <cellStyle name="Note 15 13" xfId="4489"/>
    <cellStyle name="Note 15 2" xfId="4490"/>
    <cellStyle name="Note 15 2 2" xfId="4491"/>
    <cellStyle name="Note 15 2 3" xfId="4492"/>
    <cellStyle name="Note 15 2 4" xfId="4493"/>
    <cellStyle name="Note 15 2 5" xfId="4494"/>
    <cellStyle name="Note 15 2 6" xfId="4495"/>
    <cellStyle name="Note 15 2 7" xfId="4496"/>
    <cellStyle name="Note 15 2 8" xfId="4497"/>
    <cellStyle name="Note 15 2 9" xfId="4498"/>
    <cellStyle name="Note 15 3" xfId="4499"/>
    <cellStyle name="Note 15 3 2" xfId="4500"/>
    <cellStyle name="Note 15 3 3" xfId="4501"/>
    <cellStyle name="Note 15 3 4" xfId="4502"/>
    <cellStyle name="Note 15 3 5" xfId="4503"/>
    <cellStyle name="Note 15 3 6" xfId="4504"/>
    <cellStyle name="Note 15 3 7" xfId="4505"/>
    <cellStyle name="Note 15 3 8" xfId="4506"/>
    <cellStyle name="Note 15 3 9" xfId="4507"/>
    <cellStyle name="Note 15 4" xfId="4508"/>
    <cellStyle name="Note 15 4 2" xfId="4509"/>
    <cellStyle name="Note 15 4 3" xfId="4510"/>
    <cellStyle name="Note 15 4 4" xfId="4511"/>
    <cellStyle name="Note 15 4 5" xfId="4512"/>
    <cellStyle name="Note 15 4 6" xfId="4513"/>
    <cellStyle name="Note 15 4 7" xfId="4514"/>
    <cellStyle name="Note 15 4 8" xfId="4515"/>
    <cellStyle name="Note 15 4 9" xfId="4516"/>
    <cellStyle name="Note 15 5" xfId="4517"/>
    <cellStyle name="Note 15 5 2" xfId="4518"/>
    <cellStyle name="Note 15 5 3" xfId="4519"/>
    <cellStyle name="Note 15 5 4" xfId="4520"/>
    <cellStyle name="Note 15 5 5" xfId="4521"/>
    <cellStyle name="Note 15 5 6" xfId="4522"/>
    <cellStyle name="Note 15 5 7" xfId="4523"/>
    <cellStyle name="Note 15 5 8" xfId="4524"/>
    <cellStyle name="Note 15 5 9" xfId="4525"/>
    <cellStyle name="Note 15 6" xfId="4526"/>
    <cellStyle name="Note 15 7" xfId="4527"/>
    <cellStyle name="Note 15 8" xfId="4528"/>
    <cellStyle name="Note 15 9" xfId="4529"/>
    <cellStyle name="Note 16" xfId="4530"/>
    <cellStyle name="Note 16 10" xfId="4531"/>
    <cellStyle name="Note 16 11" xfId="4532"/>
    <cellStyle name="Note 16 12" xfId="4533"/>
    <cellStyle name="Note 16 13" xfId="4534"/>
    <cellStyle name="Note 16 2" xfId="4535"/>
    <cellStyle name="Note 16 2 2" xfId="4536"/>
    <cellStyle name="Note 16 2 3" xfId="4537"/>
    <cellStyle name="Note 16 2 4" xfId="4538"/>
    <cellStyle name="Note 16 2 5" xfId="4539"/>
    <cellStyle name="Note 16 2 6" xfId="4540"/>
    <cellStyle name="Note 16 2 7" xfId="4541"/>
    <cellStyle name="Note 16 2 8" xfId="4542"/>
    <cellStyle name="Note 16 2 9" xfId="4543"/>
    <cellStyle name="Note 16 3" xfId="4544"/>
    <cellStyle name="Note 16 3 2" xfId="4545"/>
    <cellStyle name="Note 16 3 3" xfId="4546"/>
    <cellStyle name="Note 16 3 4" xfId="4547"/>
    <cellStyle name="Note 16 3 5" xfId="4548"/>
    <cellStyle name="Note 16 3 6" xfId="4549"/>
    <cellStyle name="Note 16 3 7" xfId="4550"/>
    <cellStyle name="Note 16 3 8" xfId="4551"/>
    <cellStyle name="Note 16 3 9" xfId="4552"/>
    <cellStyle name="Note 16 4" xfId="4553"/>
    <cellStyle name="Note 16 4 2" xfId="4554"/>
    <cellStyle name="Note 16 4 3" xfId="4555"/>
    <cellStyle name="Note 16 4 4" xfId="4556"/>
    <cellStyle name="Note 16 4 5" xfId="4557"/>
    <cellStyle name="Note 16 4 6" xfId="4558"/>
    <cellStyle name="Note 16 4 7" xfId="4559"/>
    <cellStyle name="Note 16 4 8" xfId="4560"/>
    <cellStyle name="Note 16 4 9" xfId="4561"/>
    <cellStyle name="Note 16 5" xfId="4562"/>
    <cellStyle name="Note 16 5 2" xfId="4563"/>
    <cellStyle name="Note 16 5 3" xfId="4564"/>
    <cellStyle name="Note 16 5 4" xfId="4565"/>
    <cellStyle name="Note 16 5 5" xfId="4566"/>
    <cellStyle name="Note 16 5 6" xfId="4567"/>
    <cellStyle name="Note 16 5 7" xfId="4568"/>
    <cellStyle name="Note 16 5 8" xfId="4569"/>
    <cellStyle name="Note 16 5 9" xfId="4570"/>
    <cellStyle name="Note 16 6" xfId="4571"/>
    <cellStyle name="Note 16 7" xfId="4572"/>
    <cellStyle name="Note 16 8" xfId="4573"/>
    <cellStyle name="Note 16 9" xfId="4574"/>
    <cellStyle name="Note 17" xfId="4575"/>
    <cellStyle name="Note 17 10" xfId="4576"/>
    <cellStyle name="Note 17 11" xfId="4577"/>
    <cellStyle name="Note 17 12" xfId="4578"/>
    <cellStyle name="Note 17 13" xfId="4579"/>
    <cellStyle name="Note 17 2" xfId="4580"/>
    <cellStyle name="Note 17 2 2" xfId="4581"/>
    <cellStyle name="Note 17 2 3" xfId="4582"/>
    <cellStyle name="Note 17 2 4" xfId="4583"/>
    <cellStyle name="Note 17 2 5" xfId="4584"/>
    <cellStyle name="Note 17 2 6" xfId="4585"/>
    <cellStyle name="Note 17 2 7" xfId="4586"/>
    <cellStyle name="Note 17 2 8" xfId="4587"/>
    <cellStyle name="Note 17 2 9" xfId="4588"/>
    <cellStyle name="Note 17 3" xfId="4589"/>
    <cellStyle name="Note 17 3 2" xfId="4590"/>
    <cellStyle name="Note 17 3 3" xfId="4591"/>
    <cellStyle name="Note 17 3 4" xfId="4592"/>
    <cellStyle name="Note 17 3 5" xfId="4593"/>
    <cellStyle name="Note 17 3 6" xfId="4594"/>
    <cellStyle name="Note 17 3 7" xfId="4595"/>
    <cellStyle name="Note 17 3 8" xfId="4596"/>
    <cellStyle name="Note 17 3 9" xfId="4597"/>
    <cellStyle name="Note 17 4" xfId="4598"/>
    <cellStyle name="Note 17 4 2" xfId="4599"/>
    <cellStyle name="Note 17 4 3" xfId="4600"/>
    <cellStyle name="Note 17 4 4" xfId="4601"/>
    <cellStyle name="Note 17 4 5" xfId="4602"/>
    <cellStyle name="Note 17 4 6" xfId="4603"/>
    <cellStyle name="Note 17 4 7" xfId="4604"/>
    <cellStyle name="Note 17 4 8" xfId="4605"/>
    <cellStyle name="Note 17 4 9" xfId="4606"/>
    <cellStyle name="Note 17 5" xfId="4607"/>
    <cellStyle name="Note 17 5 2" xfId="4608"/>
    <cellStyle name="Note 17 5 3" xfId="4609"/>
    <cellStyle name="Note 17 5 4" xfId="4610"/>
    <cellStyle name="Note 17 5 5" xfId="4611"/>
    <cellStyle name="Note 17 5 6" xfId="4612"/>
    <cellStyle name="Note 17 5 7" xfId="4613"/>
    <cellStyle name="Note 17 5 8" xfId="4614"/>
    <cellStyle name="Note 17 5 9" xfId="4615"/>
    <cellStyle name="Note 17 6" xfId="4616"/>
    <cellStyle name="Note 17 7" xfId="4617"/>
    <cellStyle name="Note 17 8" xfId="4618"/>
    <cellStyle name="Note 17 9" xfId="4619"/>
    <cellStyle name="Note 18" xfId="4620"/>
    <cellStyle name="Note 18 10" xfId="4621"/>
    <cellStyle name="Note 18 11" xfId="4622"/>
    <cellStyle name="Note 18 12" xfId="4623"/>
    <cellStyle name="Note 18 13" xfId="4624"/>
    <cellStyle name="Note 18 2" xfId="4625"/>
    <cellStyle name="Note 18 2 2" xfId="4626"/>
    <cellStyle name="Note 18 2 3" xfId="4627"/>
    <cellStyle name="Note 18 2 4" xfId="4628"/>
    <cellStyle name="Note 18 2 5" xfId="4629"/>
    <cellStyle name="Note 18 2 6" xfId="4630"/>
    <cellStyle name="Note 18 2 7" xfId="4631"/>
    <cellStyle name="Note 18 2 8" xfId="4632"/>
    <cellStyle name="Note 18 2 9" xfId="4633"/>
    <cellStyle name="Note 18 3" xfId="4634"/>
    <cellStyle name="Note 18 3 2" xfId="4635"/>
    <cellStyle name="Note 18 3 3" xfId="4636"/>
    <cellStyle name="Note 18 3 4" xfId="4637"/>
    <cellStyle name="Note 18 3 5" xfId="4638"/>
    <cellStyle name="Note 18 3 6" xfId="4639"/>
    <cellStyle name="Note 18 3 7" xfId="4640"/>
    <cellStyle name="Note 18 3 8" xfId="4641"/>
    <cellStyle name="Note 18 3 9" xfId="4642"/>
    <cellStyle name="Note 18 4" xfId="4643"/>
    <cellStyle name="Note 18 4 2" xfId="4644"/>
    <cellStyle name="Note 18 4 3" xfId="4645"/>
    <cellStyle name="Note 18 4 4" xfId="4646"/>
    <cellStyle name="Note 18 4 5" xfId="4647"/>
    <cellStyle name="Note 18 4 6" xfId="4648"/>
    <cellStyle name="Note 18 4 7" xfId="4649"/>
    <cellStyle name="Note 18 4 8" xfId="4650"/>
    <cellStyle name="Note 18 4 9" xfId="4651"/>
    <cellStyle name="Note 18 5" xfId="4652"/>
    <cellStyle name="Note 18 5 2" xfId="4653"/>
    <cellStyle name="Note 18 5 3" xfId="4654"/>
    <cellStyle name="Note 18 5 4" xfId="4655"/>
    <cellStyle name="Note 18 5 5" xfId="4656"/>
    <cellStyle name="Note 18 5 6" xfId="4657"/>
    <cellStyle name="Note 18 5 7" xfId="4658"/>
    <cellStyle name="Note 18 5 8" xfId="4659"/>
    <cellStyle name="Note 18 5 9" xfId="4660"/>
    <cellStyle name="Note 18 6" xfId="4661"/>
    <cellStyle name="Note 18 7" xfId="4662"/>
    <cellStyle name="Note 18 8" xfId="4663"/>
    <cellStyle name="Note 18 9" xfId="4664"/>
    <cellStyle name="Note 19" xfId="4665"/>
    <cellStyle name="Note 19 10" xfId="4666"/>
    <cellStyle name="Note 19 11" xfId="4667"/>
    <cellStyle name="Note 19 12" xfId="4668"/>
    <cellStyle name="Note 19 13" xfId="4669"/>
    <cellStyle name="Note 19 2" xfId="4670"/>
    <cellStyle name="Note 19 2 2" xfId="4671"/>
    <cellStyle name="Note 19 2 3" xfId="4672"/>
    <cellStyle name="Note 19 2 4" xfId="4673"/>
    <cellStyle name="Note 19 2 5" xfId="4674"/>
    <cellStyle name="Note 19 2 6" xfId="4675"/>
    <cellStyle name="Note 19 2 7" xfId="4676"/>
    <cellStyle name="Note 19 2 8" xfId="4677"/>
    <cellStyle name="Note 19 2 9" xfId="4678"/>
    <cellStyle name="Note 19 3" xfId="4679"/>
    <cellStyle name="Note 19 3 2" xfId="4680"/>
    <cellStyle name="Note 19 3 3" xfId="4681"/>
    <cellStyle name="Note 19 3 4" xfId="4682"/>
    <cellStyle name="Note 19 3 5" xfId="4683"/>
    <cellStyle name="Note 19 3 6" xfId="4684"/>
    <cellStyle name="Note 19 3 7" xfId="4685"/>
    <cellStyle name="Note 19 3 8" xfId="4686"/>
    <cellStyle name="Note 19 3 9" xfId="4687"/>
    <cellStyle name="Note 19 4" xfId="4688"/>
    <cellStyle name="Note 19 4 2" xfId="4689"/>
    <cellStyle name="Note 19 4 3" xfId="4690"/>
    <cellStyle name="Note 19 4 4" xfId="4691"/>
    <cellStyle name="Note 19 4 5" xfId="4692"/>
    <cellStyle name="Note 19 4 6" xfId="4693"/>
    <cellStyle name="Note 19 4 7" xfId="4694"/>
    <cellStyle name="Note 19 4 8" xfId="4695"/>
    <cellStyle name="Note 19 4 9" xfId="4696"/>
    <cellStyle name="Note 19 5" xfId="4697"/>
    <cellStyle name="Note 19 5 2" xfId="4698"/>
    <cellStyle name="Note 19 5 3" xfId="4699"/>
    <cellStyle name="Note 19 5 4" xfId="4700"/>
    <cellStyle name="Note 19 5 5" xfId="4701"/>
    <cellStyle name="Note 19 5 6" xfId="4702"/>
    <cellStyle name="Note 19 5 7" xfId="4703"/>
    <cellStyle name="Note 19 5 8" xfId="4704"/>
    <cellStyle name="Note 19 5 9" xfId="4705"/>
    <cellStyle name="Note 19 6" xfId="4706"/>
    <cellStyle name="Note 19 7" xfId="4707"/>
    <cellStyle name="Note 19 8" xfId="4708"/>
    <cellStyle name="Note 19 9" xfId="4709"/>
    <cellStyle name="Note 2" xfId="4710"/>
    <cellStyle name="Note 2 10" xfId="4711"/>
    <cellStyle name="Note 2 11" xfId="4712"/>
    <cellStyle name="Note 2 12" xfId="4713"/>
    <cellStyle name="Note 2 13" xfId="4714"/>
    <cellStyle name="Note 2 14" xfId="4715"/>
    <cellStyle name="Note 2 2" xfId="4716"/>
    <cellStyle name="Note 2 2 10" xfId="4717"/>
    <cellStyle name="Note 2 2 2" xfId="4718"/>
    <cellStyle name="Note 2 2 2 2" xfId="4719"/>
    <cellStyle name="Note 2 2 2 3" xfId="4720"/>
    <cellStyle name="Note 2 2 2 4" xfId="4721"/>
    <cellStyle name="Note 2 2 2 5" xfId="4722"/>
    <cellStyle name="Note 2 2 2 6" xfId="4723"/>
    <cellStyle name="Note 2 2 2 7" xfId="4724"/>
    <cellStyle name="Note 2 2 2 8" xfId="4725"/>
    <cellStyle name="Note 2 2 2 9" xfId="4726"/>
    <cellStyle name="Note 2 2 3" xfId="4727"/>
    <cellStyle name="Note 2 2 4" xfId="4728"/>
    <cellStyle name="Note 2 2 5" xfId="4729"/>
    <cellStyle name="Note 2 2 6" xfId="4730"/>
    <cellStyle name="Note 2 2 7" xfId="4731"/>
    <cellStyle name="Note 2 2 8" xfId="4732"/>
    <cellStyle name="Note 2 2 9" xfId="4733"/>
    <cellStyle name="Note 2 3" xfId="4734"/>
    <cellStyle name="Note 2 3 2" xfId="4735"/>
    <cellStyle name="Note 2 3 3" xfId="4736"/>
    <cellStyle name="Note 2 3 4" xfId="4737"/>
    <cellStyle name="Note 2 3 5" xfId="4738"/>
    <cellStyle name="Note 2 3 6" xfId="4739"/>
    <cellStyle name="Note 2 3 7" xfId="4740"/>
    <cellStyle name="Note 2 3 8" xfId="4741"/>
    <cellStyle name="Note 2 3 9" xfId="4742"/>
    <cellStyle name="Note 2 4" xfId="4743"/>
    <cellStyle name="Note 2 4 2" xfId="4744"/>
    <cellStyle name="Note 2 4 3" xfId="4745"/>
    <cellStyle name="Note 2 4 4" xfId="4746"/>
    <cellStyle name="Note 2 4 5" xfId="4747"/>
    <cellStyle name="Note 2 4 6" xfId="4748"/>
    <cellStyle name="Note 2 4 7" xfId="4749"/>
    <cellStyle name="Note 2 4 8" xfId="4750"/>
    <cellStyle name="Note 2 4 9" xfId="4751"/>
    <cellStyle name="Note 2 5" xfId="4752"/>
    <cellStyle name="Note 2 5 2" xfId="4753"/>
    <cellStyle name="Note 2 5 3" xfId="4754"/>
    <cellStyle name="Note 2 5 4" xfId="4755"/>
    <cellStyle name="Note 2 5 5" xfId="4756"/>
    <cellStyle name="Note 2 5 6" xfId="4757"/>
    <cellStyle name="Note 2 5 7" xfId="4758"/>
    <cellStyle name="Note 2 5 8" xfId="4759"/>
    <cellStyle name="Note 2 5 9" xfId="4760"/>
    <cellStyle name="Note 2 6" xfId="4761"/>
    <cellStyle name="Note 2 6 2" xfId="4762"/>
    <cellStyle name="Note 2 6 3" xfId="4763"/>
    <cellStyle name="Note 2 6 4" xfId="4764"/>
    <cellStyle name="Note 2 6 5" xfId="4765"/>
    <cellStyle name="Note 2 6 6" xfId="4766"/>
    <cellStyle name="Note 2 6 7" xfId="4767"/>
    <cellStyle name="Note 2 6 8" xfId="4768"/>
    <cellStyle name="Note 2 6 9" xfId="4769"/>
    <cellStyle name="Note 2 7" xfId="4770"/>
    <cellStyle name="Note 2 8" xfId="4771"/>
    <cellStyle name="Note 2 9" xfId="4772"/>
    <cellStyle name="Note 20" xfId="4773"/>
    <cellStyle name="Note 21" xfId="4774"/>
    <cellStyle name="Note 22" xfId="4775"/>
    <cellStyle name="Note 3" xfId="4776"/>
    <cellStyle name="Note 3 10" xfId="4777"/>
    <cellStyle name="Note 3 11" xfId="4778"/>
    <cellStyle name="Note 3 12" xfId="4779"/>
    <cellStyle name="Note 3 13" xfId="4780"/>
    <cellStyle name="Note 3 2" xfId="4781"/>
    <cellStyle name="Note 3 2 2" xfId="4782"/>
    <cellStyle name="Note 3 2 3" xfId="4783"/>
    <cellStyle name="Note 3 2 4" xfId="4784"/>
    <cellStyle name="Note 3 2 5" xfId="4785"/>
    <cellStyle name="Note 3 2 6" xfId="4786"/>
    <cellStyle name="Note 3 2 7" xfId="4787"/>
    <cellStyle name="Note 3 2 8" xfId="4788"/>
    <cellStyle name="Note 3 2 9" xfId="4789"/>
    <cellStyle name="Note 3 3" xfId="4790"/>
    <cellStyle name="Note 3 3 2" xfId="4791"/>
    <cellStyle name="Note 3 3 3" xfId="4792"/>
    <cellStyle name="Note 3 3 4" xfId="4793"/>
    <cellStyle name="Note 3 3 5" xfId="4794"/>
    <cellStyle name="Note 3 3 6" xfId="4795"/>
    <cellStyle name="Note 3 3 7" xfId="4796"/>
    <cellStyle name="Note 3 3 8" xfId="4797"/>
    <cellStyle name="Note 3 3 9" xfId="4798"/>
    <cellStyle name="Note 3 4" xfId="4799"/>
    <cellStyle name="Note 3 4 2" xfId="4800"/>
    <cellStyle name="Note 3 4 3" xfId="4801"/>
    <cellStyle name="Note 3 4 4" xfId="4802"/>
    <cellStyle name="Note 3 4 5" xfId="4803"/>
    <cellStyle name="Note 3 4 6" xfId="4804"/>
    <cellStyle name="Note 3 4 7" xfId="4805"/>
    <cellStyle name="Note 3 4 8" xfId="4806"/>
    <cellStyle name="Note 3 4 9" xfId="4807"/>
    <cellStyle name="Note 3 5" xfId="4808"/>
    <cellStyle name="Note 3 5 2" xfId="4809"/>
    <cellStyle name="Note 3 5 3" xfId="4810"/>
    <cellStyle name="Note 3 5 4" xfId="4811"/>
    <cellStyle name="Note 3 5 5" xfId="4812"/>
    <cellStyle name="Note 3 5 6" xfId="4813"/>
    <cellStyle name="Note 3 5 7" xfId="4814"/>
    <cellStyle name="Note 3 5 8" xfId="4815"/>
    <cellStyle name="Note 3 5 9" xfId="4816"/>
    <cellStyle name="Note 3 6" xfId="4817"/>
    <cellStyle name="Note 3 7" xfId="4818"/>
    <cellStyle name="Note 3 8" xfId="4819"/>
    <cellStyle name="Note 3 9" xfId="4820"/>
    <cellStyle name="Note 4" xfId="4821"/>
    <cellStyle name="Note 4 10" xfId="4822"/>
    <cellStyle name="Note 4 11" xfId="4823"/>
    <cellStyle name="Note 4 12" xfId="4824"/>
    <cellStyle name="Note 4 13" xfId="4825"/>
    <cellStyle name="Note 4 2" xfId="4826"/>
    <cellStyle name="Note 4 2 2" xfId="4827"/>
    <cellStyle name="Note 4 2 3" xfId="4828"/>
    <cellStyle name="Note 4 2 4" xfId="4829"/>
    <cellStyle name="Note 4 2 5" xfId="4830"/>
    <cellStyle name="Note 4 2 6" xfId="4831"/>
    <cellStyle name="Note 4 2 7" xfId="4832"/>
    <cellStyle name="Note 4 2 8" xfId="4833"/>
    <cellStyle name="Note 4 2 9" xfId="4834"/>
    <cellStyle name="Note 4 3" xfId="4835"/>
    <cellStyle name="Note 4 3 2" xfId="4836"/>
    <cellStyle name="Note 4 3 3" xfId="4837"/>
    <cellStyle name="Note 4 3 4" xfId="4838"/>
    <cellStyle name="Note 4 3 5" xfId="4839"/>
    <cellStyle name="Note 4 3 6" xfId="4840"/>
    <cellStyle name="Note 4 3 7" xfId="4841"/>
    <cellStyle name="Note 4 3 8" xfId="4842"/>
    <cellStyle name="Note 4 3 9" xfId="4843"/>
    <cellStyle name="Note 4 4" xfId="4844"/>
    <cellStyle name="Note 4 4 2" xfId="4845"/>
    <cellStyle name="Note 4 4 3" xfId="4846"/>
    <cellStyle name="Note 4 4 4" xfId="4847"/>
    <cellStyle name="Note 4 4 5" xfId="4848"/>
    <cellStyle name="Note 4 4 6" xfId="4849"/>
    <cellStyle name="Note 4 4 7" xfId="4850"/>
    <cellStyle name="Note 4 4 8" xfId="4851"/>
    <cellStyle name="Note 4 4 9" xfId="4852"/>
    <cellStyle name="Note 4 5" xfId="4853"/>
    <cellStyle name="Note 4 5 2" xfId="4854"/>
    <cellStyle name="Note 4 5 3" xfId="4855"/>
    <cellStyle name="Note 4 5 4" xfId="4856"/>
    <cellStyle name="Note 4 5 5" xfId="4857"/>
    <cellStyle name="Note 4 5 6" xfId="4858"/>
    <cellStyle name="Note 4 5 7" xfId="4859"/>
    <cellStyle name="Note 4 5 8" xfId="4860"/>
    <cellStyle name="Note 4 5 9" xfId="4861"/>
    <cellStyle name="Note 4 6" xfId="4862"/>
    <cellStyle name="Note 4 7" xfId="4863"/>
    <cellStyle name="Note 4 8" xfId="4864"/>
    <cellStyle name="Note 4 9" xfId="4865"/>
    <cellStyle name="Note 5" xfId="4866"/>
    <cellStyle name="Note 5 10" xfId="4867"/>
    <cellStyle name="Note 5 11" xfId="4868"/>
    <cellStyle name="Note 5 12" xfId="4869"/>
    <cellStyle name="Note 5 13" xfId="4870"/>
    <cellStyle name="Note 5 2" xfId="4871"/>
    <cellStyle name="Note 5 2 2" xfId="4872"/>
    <cellStyle name="Note 5 2 3" xfId="4873"/>
    <cellStyle name="Note 5 2 4" xfId="4874"/>
    <cellStyle name="Note 5 2 5" xfId="4875"/>
    <cellStyle name="Note 5 2 6" xfId="4876"/>
    <cellStyle name="Note 5 2 7" xfId="4877"/>
    <cellStyle name="Note 5 2 8" xfId="4878"/>
    <cellStyle name="Note 5 2 9" xfId="4879"/>
    <cellStyle name="Note 5 3" xfId="4880"/>
    <cellStyle name="Note 5 3 2" xfId="4881"/>
    <cellStyle name="Note 5 3 3" xfId="4882"/>
    <cellStyle name="Note 5 3 4" xfId="4883"/>
    <cellStyle name="Note 5 3 5" xfId="4884"/>
    <cellStyle name="Note 5 3 6" xfId="4885"/>
    <cellStyle name="Note 5 3 7" xfId="4886"/>
    <cellStyle name="Note 5 3 8" xfId="4887"/>
    <cellStyle name="Note 5 3 9" xfId="4888"/>
    <cellStyle name="Note 5 4" xfId="4889"/>
    <cellStyle name="Note 5 4 2" xfId="4890"/>
    <cellStyle name="Note 5 4 3" xfId="4891"/>
    <cellStyle name="Note 5 4 4" xfId="4892"/>
    <cellStyle name="Note 5 4 5" xfId="4893"/>
    <cellStyle name="Note 5 4 6" xfId="4894"/>
    <cellStyle name="Note 5 4 7" xfId="4895"/>
    <cellStyle name="Note 5 4 8" xfId="4896"/>
    <cellStyle name="Note 5 4 9" xfId="4897"/>
    <cellStyle name="Note 5 5" xfId="4898"/>
    <cellStyle name="Note 5 5 2" xfId="4899"/>
    <cellStyle name="Note 5 5 3" xfId="4900"/>
    <cellStyle name="Note 5 5 4" xfId="4901"/>
    <cellStyle name="Note 5 5 5" xfId="4902"/>
    <cellStyle name="Note 5 5 6" xfId="4903"/>
    <cellStyle name="Note 5 5 7" xfId="4904"/>
    <cellStyle name="Note 5 5 8" xfId="4905"/>
    <cellStyle name="Note 5 5 9" xfId="4906"/>
    <cellStyle name="Note 5 6" xfId="4907"/>
    <cellStyle name="Note 5 7" xfId="4908"/>
    <cellStyle name="Note 5 8" xfId="4909"/>
    <cellStyle name="Note 5 9" xfId="4910"/>
    <cellStyle name="Note 6" xfId="4911"/>
    <cellStyle name="Note 6 10" xfId="4912"/>
    <cellStyle name="Note 6 11" xfId="4913"/>
    <cellStyle name="Note 6 12" xfId="4914"/>
    <cellStyle name="Note 6 13" xfId="4915"/>
    <cellStyle name="Note 6 2" xfId="4916"/>
    <cellStyle name="Note 6 2 2" xfId="4917"/>
    <cellStyle name="Note 6 2 3" xfId="4918"/>
    <cellStyle name="Note 6 2 4" xfId="4919"/>
    <cellStyle name="Note 6 2 5" xfId="4920"/>
    <cellStyle name="Note 6 2 6" xfId="4921"/>
    <cellStyle name="Note 6 2 7" xfId="4922"/>
    <cellStyle name="Note 6 2 8" xfId="4923"/>
    <cellStyle name="Note 6 2 9" xfId="4924"/>
    <cellStyle name="Note 6 3" xfId="4925"/>
    <cellStyle name="Note 6 3 2" xfId="4926"/>
    <cellStyle name="Note 6 3 3" xfId="4927"/>
    <cellStyle name="Note 6 3 4" xfId="4928"/>
    <cellStyle name="Note 6 3 5" xfId="4929"/>
    <cellStyle name="Note 6 3 6" xfId="4930"/>
    <cellStyle name="Note 6 3 7" xfId="4931"/>
    <cellStyle name="Note 6 3 8" xfId="4932"/>
    <cellStyle name="Note 6 3 9" xfId="4933"/>
    <cellStyle name="Note 6 4" xfId="4934"/>
    <cellStyle name="Note 6 4 2" xfId="4935"/>
    <cellStyle name="Note 6 4 3" xfId="4936"/>
    <cellStyle name="Note 6 4 4" xfId="4937"/>
    <cellStyle name="Note 6 4 5" xfId="4938"/>
    <cellStyle name="Note 6 4 6" xfId="4939"/>
    <cellStyle name="Note 6 4 7" xfId="4940"/>
    <cellStyle name="Note 6 4 8" xfId="4941"/>
    <cellStyle name="Note 6 4 9" xfId="4942"/>
    <cellStyle name="Note 6 5" xfId="4943"/>
    <cellStyle name="Note 6 5 2" xfId="4944"/>
    <cellStyle name="Note 6 5 3" xfId="4945"/>
    <cellStyle name="Note 6 5 4" xfId="4946"/>
    <cellStyle name="Note 6 5 5" xfId="4947"/>
    <cellStyle name="Note 6 5 6" xfId="4948"/>
    <cellStyle name="Note 6 5 7" xfId="4949"/>
    <cellStyle name="Note 6 5 8" xfId="4950"/>
    <cellStyle name="Note 6 5 9" xfId="4951"/>
    <cellStyle name="Note 6 6" xfId="4952"/>
    <cellStyle name="Note 6 7" xfId="4953"/>
    <cellStyle name="Note 6 8" xfId="4954"/>
    <cellStyle name="Note 6 9" xfId="4955"/>
    <cellStyle name="Note 7" xfId="4956"/>
    <cellStyle name="Note 7 10" xfId="4957"/>
    <cellStyle name="Note 7 11" xfId="4958"/>
    <cellStyle name="Note 7 12" xfId="4959"/>
    <cellStyle name="Note 7 13" xfId="4960"/>
    <cellStyle name="Note 7 2" xfId="4961"/>
    <cellStyle name="Note 7 2 2" xfId="4962"/>
    <cellStyle name="Note 7 2 3" xfId="4963"/>
    <cellStyle name="Note 7 2 4" xfId="4964"/>
    <cellStyle name="Note 7 2 5" xfId="4965"/>
    <cellStyle name="Note 7 2 6" xfId="4966"/>
    <cellStyle name="Note 7 2 7" xfId="4967"/>
    <cellStyle name="Note 7 2 8" xfId="4968"/>
    <cellStyle name="Note 7 2 9" xfId="4969"/>
    <cellStyle name="Note 7 3" xfId="4970"/>
    <cellStyle name="Note 7 3 2" xfId="4971"/>
    <cellStyle name="Note 7 3 3" xfId="4972"/>
    <cellStyle name="Note 7 3 4" xfId="4973"/>
    <cellStyle name="Note 7 3 5" xfId="4974"/>
    <cellStyle name="Note 7 3 6" xfId="4975"/>
    <cellStyle name="Note 7 3 7" xfId="4976"/>
    <cellStyle name="Note 7 3 8" xfId="4977"/>
    <cellStyle name="Note 7 3 9" xfId="4978"/>
    <cellStyle name="Note 7 4" xfId="4979"/>
    <cellStyle name="Note 7 4 2" xfId="4980"/>
    <cellStyle name="Note 7 4 3" xfId="4981"/>
    <cellStyle name="Note 7 4 4" xfId="4982"/>
    <cellStyle name="Note 7 4 5" xfId="4983"/>
    <cellStyle name="Note 7 4 6" xfId="4984"/>
    <cellStyle name="Note 7 4 7" xfId="4985"/>
    <cellStyle name="Note 7 4 8" xfId="4986"/>
    <cellStyle name="Note 7 4 9" xfId="4987"/>
    <cellStyle name="Note 7 5" xfId="4988"/>
    <cellStyle name="Note 7 5 2" xfId="4989"/>
    <cellStyle name="Note 7 5 3" xfId="4990"/>
    <cellStyle name="Note 7 5 4" xfId="4991"/>
    <cellStyle name="Note 7 5 5" xfId="4992"/>
    <cellStyle name="Note 7 5 6" xfId="4993"/>
    <cellStyle name="Note 7 5 7" xfId="4994"/>
    <cellStyle name="Note 7 5 8" xfId="4995"/>
    <cellStyle name="Note 7 5 9" xfId="4996"/>
    <cellStyle name="Note 7 6" xfId="4997"/>
    <cellStyle name="Note 7 7" xfId="4998"/>
    <cellStyle name="Note 7 8" xfId="4999"/>
    <cellStyle name="Note 7 9" xfId="5000"/>
    <cellStyle name="Note 8" xfId="5001"/>
    <cellStyle name="Note 8 10" xfId="5002"/>
    <cellStyle name="Note 8 11" xfId="5003"/>
    <cellStyle name="Note 8 12" xfId="5004"/>
    <cellStyle name="Note 8 13" xfId="5005"/>
    <cellStyle name="Note 8 2" xfId="5006"/>
    <cellStyle name="Note 8 2 2" xfId="5007"/>
    <cellStyle name="Note 8 2 3" xfId="5008"/>
    <cellStyle name="Note 8 2 4" xfId="5009"/>
    <cellStyle name="Note 8 2 5" xfId="5010"/>
    <cellStyle name="Note 8 2 6" xfId="5011"/>
    <cellStyle name="Note 8 2 7" xfId="5012"/>
    <cellStyle name="Note 8 2 8" xfId="5013"/>
    <cellStyle name="Note 8 2 9" xfId="5014"/>
    <cellStyle name="Note 8 3" xfId="5015"/>
    <cellStyle name="Note 8 3 2" xfId="5016"/>
    <cellStyle name="Note 8 3 3" xfId="5017"/>
    <cellStyle name="Note 8 3 4" xfId="5018"/>
    <cellStyle name="Note 8 3 5" xfId="5019"/>
    <cellStyle name="Note 8 3 6" xfId="5020"/>
    <cellStyle name="Note 8 3 7" xfId="5021"/>
    <cellStyle name="Note 8 3 8" xfId="5022"/>
    <cellStyle name="Note 8 3 9" xfId="5023"/>
    <cellStyle name="Note 8 4" xfId="5024"/>
    <cellStyle name="Note 8 4 2" xfId="5025"/>
    <cellStyle name="Note 8 4 3" xfId="5026"/>
    <cellStyle name="Note 8 4 4" xfId="5027"/>
    <cellStyle name="Note 8 4 5" xfId="5028"/>
    <cellStyle name="Note 8 4 6" xfId="5029"/>
    <cellStyle name="Note 8 4 7" xfId="5030"/>
    <cellStyle name="Note 8 4 8" xfId="5031"/>
    <cellStyle name="Note 8 4 9" xfId="5032"/>
    <cellStyle name="Note 8 5" xfId="5033"/>
    <cellStyle name="Note 8 5 2" xfId="5034"/>
    <cellStyle name="Note 8 5 3" xfId="5035"/>
    <cellStyle name="Note 8 5 4" xfId="5036"/>
    <cellStyle name="Note 8 5 5" xfId="5037"/>
    <cellStyle name="Note 8 5 6" xfId="5038"/>
    <cellStyle name="Note 8 5 7" xfId="5039"/>
    <cellStyle name="Note 8 5 8" xfId="5040"/>
    <cellStyle name="Note 8 5 9" xfId="5041"/>
    <cellStyle name="Note 8 6" xfId="5042"/>
    <cellStyle name="Note 8 7" xfId="5043"/>
    <cellStyle name="Note 8 8" xfId="5044"/>
    <cellStyle name="Note 8 9" xfId="5045"/>
    <cellStyle name="Note 9" xfId="5046"/>
    <cellStyle name="Note 9 10" xfId="5047"/>
    <cellStyle name="Note 9 11" xfId="5048"/>
    <cellStyle name="Note 9 12" xfId="5049"/>
    <cellStyle name="Note 9 13" xfId="5050"/>
    <cellStyle name="Note 9 2" xfId="5051"/>
    <cellStyle name="Note 9 2 2" xfId="5052"/>
    <cellStyle name="Note 9 2 3" xfId="5053"/>
    <cellStyle name="Note 9 2 4" xfId="5054"/>
    <cellStyle name="Note 9 2 5" xfId="5055"/>
    <cellStyle name="Note 9 2 6" xfId="5056"/>
    <cellStyle name="Note 9 2 7" xfId="5057"/>
    <cellStyle name="Note 9 2 8" xfId="5058"/>
    <cellStyle name="Note 9 2 9" xfId="5059"/>
    <cellStyle name="Note 9 3" xfId="5060"/>
    <cellStyle name="Note 9 3 2" xfId="5061"/>
    <cellStyle name="Note 9 3 3" xfId="5062"/>
    <cellStyle name="Note 9 3 4" xfId="5063"/>
    <cellStyle name="Note 9 3 5" xfId="5064"/>
    <cellStyle name="Note 9 3 6" xfId="5065"/>
    <cellStyle name="Note 9 3 7" xfId="5066"/>
    <cellStyle name="Note 9 3 8" xfId="5067"/>
    <cellStyle name="Note 9 3 9" xfId="5068"/>
    <cellStyle name="Note 9 4" xfId="5069"/>
    <cellStyle name="Note 9 4 2" xfId="5070"/>
    <cellStyle name="Note 9 4 3" xfId="5071"/>
    <cellStyle name="Note 9 4 4" xfId="5072"/>
    <cellStyle name="Note 9 4 5" xfId="5073"/>
    <cellStyle name="Note 9 4 6" xfId="5074"/>
    <cellStyle name="Note 9 4 7" xfId="5075"/>
    <cellStyle name="Note 9 4 8" xfId="5076"/>
    <cellStyle name="Note 9 4 9" xfId="5077"/>
    <cellStyle name="Note 9 5" xfId="5078"/>
    <cellStyle name="Note 9 5 2" xfId="5079"/>
    <cellStyle name="Note 9 5 3" xfId="5080"/>
    <cellStyle name="Note 9 5 4" xfId="5081"/>
    <cellStyle name="Note 9 5 5" xfId="5082"/>
    <cellStyle name="Note 9 5 6" xfId="5083"/>
    <cellStyle name="Note 9 5 7" xfId="5084"/>
    <cellStyle name="Note 9 5 8" xfId="5085"/>
    <cellStyle name="Note 9 5 9" xfId="5086"/>
    <cellStyle name="Note 9 6" xfId="5087"/>
    <cellStyle name="Note 9 7" xfId="5088"/>
    <cellStyle name="Note 9 8" xfId="5089"/>
    <cellStyle name="Note 9 9" xfId="5090"/>
    <cellStyle name="Œ…‹æØ‚è [0.00]_Region Orders (2)" xfId="5091"/>
    <cellStyle name="Œ…‹æØ‚è_Region Orders (2)" xfId="5092"/>
    <cellStyle name="Output 10" xfId="5093"/>
    <cellStyle name="Output 10 10" xfId="5094"/>
    <cellStyle name="Output 10 2" xfId="5095"/>
    <cellStyle name="Output 10 2 2" xfId="5096"/>
    <cellStyle name="Output 10 2 2 2" xfId="5097"/>
    <cellStyle name="Output 10 2 3" xfId="5098"/>
    <cellStyle name="Output 10 2 4" xfId="5099"/>
    <cellStyle name="Output 10 2 5" xfId="5100"/>
    <cellStyle name="Output 10 2 6" xfId="5101"/>
    <cellStyle name="Output 10 2 7" xfId="5102"/>
    <cellStyle name="Output 10 2 8" xfId="5103"/>
    <cellStyle name="Output 10 2 9" xfId="5104"/>
    <cellStyle name="Output 10 3" xfId="5105"/>
    <cellStyle name="Output 10 3 2" xfId="5106"/>
    <cellStyle name="Output 10 4" xfId="5107"/>
    <cellStyle name="Output 10 5" xfId="5108"/>
    <cellStyle name="Output 10 6" xfId="5109"/>
    <cellStyle name="Output 10 7" xfId="5110"/>
    <cellStyle name="Output 10 8" xfId="5111"/>
    <cellStyle name="Output 10 9" xfId="5112"/>
    <cellStyle name="Output 11" xfId="5113"/>
    <cellStyle name="Output 11 10" xfId="5114"/>
    <cellStyle name="Output 11 2" xfId="5115"/>
    <cellStyle name="Output 11 2 2" xfId="5116"/>
    <cellStyle name="Output 11 2 2 2" xfId="5117"/>
    <cellStyle name="Output 11 2 3" xfId="5118"/>
    <cellStyle name="Output 11 2 4" xfId="5119"/>
    <cellStyle name="Output 11 2 5" xfId="5120"/>
    <cellStyle name="Output 11 2 6" xfId="5121"/>
    <cellStyle name="Output 11 2 7" xfId="5122"/>
    <cellStyle name="Output 11 2 8" xfId="5123"/>
    <cellStyle name="Output 11 2 9" xfId="5124"/>
    <cellStyle name="Output 11 3" xfId="5125"/>
    <cellStyle name="Output 11 3 2" xfId="5126"/>
    <cellStyle name="Output 11 4" xfId="5127"/>
    <cellStyle name="Output 11 5" xfId="5128"/>
    <cellStyle name="Output 11 6" xfId="5129"/>
    <cellStyle name="Output 11 7" xfId="5130"/>
    <cellStyle name="Output 11 8" xfId="5131"/>
    <cellStyle name="Output 11 9" xfId="5132"/>
    <cellStyle name="Output 12" xfId="5133"/>
    <cellStyle name="Output 12 2" xfId="5134"/>
    <cellStyle name="Output 12 2 2" xfId="5135"/>
    <cellStyle name="Output 12 3" xfId="5136"/>
    <cellStyle name="Output 12 4" xfId="5137"/>
    <cellStyle name="Output 12 5" xfId="5138"/>
    <cellStyle name="Output 12 6" xfId="5139"/>
    <cellStyle name="Output 12 7" xfId="5140"/>
    <cellStyle name="Output 12 8" xfId="5141"/>
    <cellStyle name="Output 12 9" xfId="5142"/>
    <cellStyle name="Output 13" xfId="5143"/>
    <cellStyle name="Output 13 2" xfId="5144"/>
    <cellStyle name="Output 13 2 2" xfId="5145"/>
    <cellStyle name="Output 13 3" xfId="5146"/>
    <cellStyle name="Output 13 4" xfId="5147"/>
    <cellStyle name="Output 13 5" xfId="5148"/>
    <cellStyle name="Output 13 6" xfId="5149"/>
    <cellStyle name="Output 13 7" xfId="5150"/>
    <cellStyle name="Output 13 8" xfId="5151"/>
    <cellStyle name="Output 13 9" xfId="5152"/>
    <cellStyle name="Output 14" xfId="5153"/>
    <cellStyle name="Output 14 2" xfId="5154"/>
    <cellStyle name="Output 14 2 2" xfId="5155"/>
    <cellStyle name="Output 14 3" xfId="5156"/>
    <cellStyle name="Output 14 4" xfId="5157"/>
    <cellStyle name="Output 14 5" xfId="5158"/>
    <cellStyle name="Output 14 6" xfId="5159"/>
    <cellStyle name="Output 14 7" xfId="5160"/>
    <cellStyle name="Output 14 8" xfId="5161"/>
    <cellStyle name="Output 14 9" xfId="5162"/>
    <cellStyle name="Output 15" xfId="5163"/>
    <cellStyle name="Output 15 2" xfId="5164"/>
    <cellStyle name="Output 15 2 2" xfId="5165"/>
    <cellStyle name="Output 15 3" xfId="5166"/>
    <cellStyle name="Output 15 4" xfId="5167"/>
    <cellStyle name="Output 15 5" xfId="5168"/>
    <cellStyle name="Output 15 6" xfId="5169"/>
    <cellStyle name="Output 15 7" xfId="5170"/>
    <cellStyle name="Output 15 8" xfId="5171"/>
    <cellStyle name="Output 15 9" xfId="5172"/>
    <cellStyle name="Output 16" xfId="5173"/>
    <cellStyle name="Output 16 2" xfId="5174"/>
    <cellStyle name="Output 16 2 2" xfId="5175"/>
    <cellStyle name="Output 16 3" xfId="5176"/>
    <cellStyle name="Output 16 4" xfId="5177"/>
    <cellStyle name="Output 16 5" xfId="5178"/>
    <cellStyle name="Output 16 6" xfId="5179"/>
    <cellStyle name="Output 16 7" xfId="5180"/>
    <cellStyle name="Output 16 8" xfId="5181"/>
    <cellStyle name="Output 16 9" xfId="5182"/>
    <cellStyle name="Output 17" xfId="5183"/>
    <cellStyle name="Output 17 2" xfId="5184"/>
    <cellStyle name="Output 17 2 2" xfId="5185"/>
    <cellStyle name="Output 17 3" xfId="5186"/>
    <cellStyle name="Output 17 4" xfId="5187"/>
    <cellStyle name="Output 17 5" xfId="5188"/>
    <cellStyle name="Output 17 6" xfId="5189"/>
    <cellStyle name="Output 17 7" xfId="5190"/>
    <cellStyle name="Output 17 8" xfId="5191"/>
    <cellStyle name="Output 17 9" xfId="5192"/>
    <cellStyle name="Output 18" xfId="5193"/>
    <cellStyle name="Output 18 2" xfId="5194"/>
    <cellStyle name="Output 18 2 2" xfId="5195"/>
    <cellStyle name="Output 18 3" xfId="5196"/>
    <cellStyle name="Output 18 4" xfId="5197"/>
    <cellStyle name="Output 18 5" xfId="5198"/>
    <cellStyle name="Output 18 6" xfId="5199"/>
    <cellStyle name="Output 18 7" xfId="5200"/>
    <cellStyle name="Output 18 8" xfId="5201"/>
    <cellStyle name="Output 18 9" xfId="5202"/>
    <cellStyle name="Output 19" xfId="5203"/>
    <cellStyle name="Output 19 2" xfId="5204"/>
    <cellStyle name="Output 19 2 2" xfId="5205"/>
    <cellStyle name="Output 19 3" xfId="5206"/>
    <cellStyle name="Output 19 4" xfId="5207"/>
    <cellStyle name="Output 19 5" xfId="5208"/>
    <cellStyle name="Output 19 6" xfId="5209"/>
    <cellStyle name="Output 19 7" xfId="5210"/>
    <cellStyle name="Output 19 8" xfId="5211"/>
    <cellStyle name="Output 19 9" xfId="5212"/>
    <cellStyle name="Output 2" xfId="5213"/>
    <cellStyle name="Output 2 10" xfId="5214"/>
    <cellStyle name="Output 2 11" xfId="5215"/>
    <cellStyle name="Output 2 12" xfId="5216"/>
    <cellStyle name="Output 2 13" xfId="5217"/>
    <cellStyle name="Output 2 14" xfId="5218"/>
    <cellStyle name="Output 2 2" xfId="5219"/>
    <cellStyle name="Output 2 2 10" xfId="5220"/>
    <cellStyle name="Output 2 2 2" xfId="5221"/>
    <cellStyle name="Output 2 2 2 2" xfId="5222"/>
    <cellStyle name="Output 2 2 2 2 2" xfId="5223"/>
    <cellStyle name="Output 2 2 2 3" xfId="5224"/>
    <cellStyle name="Output 2 2 2 4" xfId="5225"/>
    <cellStyle name="Output 2 2 2 5" xfId="5226"/>
    <cellStyle name="Output 2 2 2 6" xfId="5227"/>
    <cellStyle name="Output 2 2 2 7" xfId="5228"/>
    <cellStyle name="Output 2 2 2 8" xfId="5229"/>
    <cellStyle name="Output 2 2 2 9" xfId="5230"/>
    <cellStyle name="Output 2 2 3" xfId="5231"/>
    <cellStyle name="Output 2 2 3 2" xfId="5232"/>
    <cellStyle name="Output 2 2 4" xfId="5233"/>
    <cellStyle name="Output 2 2 5" xfId="5234"/>
    <cellStyle name="Output 2 2 6" xfId="5235"/>
    <cellStyle name="Output 2 2 7" xfId="5236"/>
    <cellStyle name="Output 2 2 8" xfId="5237"/>
    <cellStyle name="Output 2 2 9" xfId="5238"/>
    <cellStyle name="Output 2 3" xfId="5239"/>
    <cellStyle name="Output 2 3 2" xfId="5240"/>
    <cellStyle name="Output 2 3 2 2" xfId="5241"/>
    <cellStyle name="Output 2 3 3" xfId="5242"/>
    <cellStyle name="Output 2 3 4" xfId="5243"/>
    <cellStyle name="Output 2 3 5" xfId="5244"/>
    <cellStyle name="Output 2 3 6" xfId="5245"/>
    <cellStyle name="Output 2 3 7" xfId="5246"/>
    <cellStyle name="Output 2 3 8" xfId="5247"/>
    <cellStyle name="Output 2 3 9" xfId="5248"/>
    <cellStyle name="Output 2 4" xfId="5249"/>
    <cellStyle name="Output 2 4 2" xfId="5250"/>
    <cellStyle name="Output 2 4 2 2" xfId="5251"/>
    <cellStyle name="Output 2 4 3" xfId="5252"/>
    <cellStyle name="Output 2 4 4" xfId="5253"/>
    <cellStyle name="Output 2 4 5" xfId="5254"/>
    <cellStyle name="Output 2 4 6" xfId="5255"/>
    <cellStyle name="Output 2 4 7" xfId="5256"/>
    <cellStyle name="Output 2 4 8" xfId="5257"/>
    <cellStyle name="Output 2 4 9" xfId="5258"/>
    <cellStyle name="Output 2 5" xfId="5259"/>
    <cellStyle name="Output 2 5 2" xfId="5260"/>
    <cellStyle name="Output 2 5 2 2" xfId="5261"/>
    <cellStyle name="Output 2 5 3" xfId="5262"/>
    <cellStyle name="Output 2 5 4" xfId="5263"/>
    <cellStyle name="Output 2 5 5" xfId="5264"/>
    <cellStyle name="Output 2 5 6" xfId="5265"/>
    <cellStyle name="Output 2 5 7" xfId="5266"/>
    <cellStyle name="Output 2 5 8" xfId="5267"/>
    <cellStyle name="Output 2 5 9" xfId="5268"/>
    <cellStyle name="Output 2 6" xfId="5269"/>
    <cellStyle name="Output 2 6 2" xfId="5270"/>
    <cellStyle name="Output 2 6 2 2" xfId="5271"/>
    <cellStyle name="Output 2 6 3" xfId="5272"/>
    <cellStyle name="Output 2 6 4" xfId="5273"/>
    <cellStyle name="Output 2 6 5" xfId="5274"/>
    <cellStyle name="Output 2 6 6" xfId="5275"/>
    <cellStyle name="Output 2 6 7" xfId="5276"/>
    <cellStyle name="Output 2 6 8" xfId="5277"/>
    <cellStyle name="Output 2 6 9" xfId="5278"/>
    <cellStyle name="Output 2 7" xfId="5279"/>
    <cellStyle name="Output 2 7 2" xfId="5280"/>
    <cellStyle name="Output 2 8" xfId="5281"/>
    <cellStyle name="Output 2 9" xfId="5282"/>
    <cellStyle name="Output 20" xfId="5283"/>
    <cellStyle name="Output 21" xfId="5284"/>
    <cellStyle name="Output 22" xfId="5285"/>
    <cellStyle name="Output 3" xfId="5286"/>
    <cellStyle name="Output 3 10" xfId="5287"/>
    <cellStyle name="Output 3 2" xfId="5288"/>
    <cellStyle name="Output 3 2 2" xfId="5289"/>
    <cellStyle name="Output 3 2 2 2" xfId="5290"/>
    <cellStyle name="Output 3 2 3" xfId="5291"/>
    <cellStyle name="Output 3 2 4" xfId="5292"/>
    <cellStyle name="Output 3 2 5" xfId="5293"/>
    <cellStyle name="Output 3 2 6" xfId="5294"/>
    <cellStyle name="Output 3 2 7" xfId="5295"/>
    <cellStyle name="Output 3 2 8" xfId="5296"/>
    <cellStyle name="Output 3 2 9" xfId="5297"/>
    <cellStyle name="Output 3 3" xfId="5298"/>
    <cellStyle name="Output 3 3 2" xfId="5299"/>
    <cellStyle name="Output 3 4" xfId="5300"/>
    <cellStyle name="Output 3 5" xfId="5301"/>
    <cellStyle name="Output 3 6" xfId="5302"/>
    <cellStyle name="Output 3 7" xfId="5303"/>
    <cellStyle name="Output 3 8" xfId="5304"/>
    <cellStyle name="Output 3 9" xfId="5305"/>
    <cellStyle name="Output 4" xfId="5306"/>
    <cellStyle name="Output 4 10" xfId="5307"/>
    <cellStyle name="Output 4 2" xfId="5308"/>
    <cellStyle name="Output 4 2 2" xfId="5309"/>
    <cellStyle name="Output 4 2 2 2" xfId="5310"/>
    <cellStyle name="Output 4 2 3" xfId="5311"/>
    <cellStyle name="Output 4 2 4" xfId="5312"/>
    <cellStyle name="Output 4 2 5" xfId="5313"/>
    <cellStyle name="Output 4 2 6" xfId="5314"/>
    <cellStyle name="Output 4 2 7" xfId="5315"/>
    <cellStyle name="Output 4 2 8" xfId="5316"/>
    <cellStyle name="Output 4 2 9" xfId="5317"/>
    <cellStyle name="Output 4 3" xfId="5318"/>
    <cellStyle name="Output 4 3 2" xfId="5319"/>
    <cellStyle name="Output 4 4" xfId="5320"/>
    <cellStyle name="Output 4 5" xfId="5321"/>
    <cellStyle name="Output 4 6" xfId="5322"/>
    <cellStyle name="Output 4 7" xfId="5323"/>
    <cellStyle name="Output 4 8" xfId="5324"/>
    <cellStyle name="Output 4 9" xfId="5325"/>
    <cellStyle name="Output 5" xfId="5326"/>
    <cellStyle name="Output 5 10" xfId="5327"/>
    <cellStyle name="Output 5 2" xfId="5328"/>
    <cellStyle name="Output 5 2 2" xfId="5329"/>
    <cellStyle name="Output 5 2 2 2" xfId="5330"/>
    <cellStyle name="Output 5 2 3" xfId="5331"/>
    <cellStyle name="Output 5 2 4" xfId="5332"/>
    <cellStyle name="Output 5 2 5" xfId="5333"/>
    <cellStyle name="Output 5 2 6" xfId="5334"/>
    <cellStyle name="Output 5 2 7" xfId="5335"/>
    <cellStyle name="Output 5 2 8" xfId="5336"/>
    <cellStyle name="Output 5 2 9" xfId="5337"/>
    <cellStyle name="Output 5 3" xfId="5338"/>
    <cellStyle name="Output 5 3 2" xfId="5339"/>
    <cellStyle name="Output 5 4" xfId="5340"/>
    <cellStyle name="Output 5 5" xfId="5341"/>
    <cellStyle name="Output 5 6" xfId="5342"/>
    <cellStyle name="Output 5 7" xfId="5343"/>
    <cellStyle name="Output 5 8" xfId="5344"/>
    <cellStyle name="Output 5 9" xfId="5345"/>
    <cellStyle name="Output 6" xfId="5346"/>
    <cellStyle name="Output 6 10" xfId="5347"/>
    <cellStyle name="Output 6 2" xfId="5348"/>
    <cellStyle name="Output 6 2 2" xfId="5349"/>
    <cellStyle name="Output 6 2 2 2" xfId="5350"/>
    <cellStyle name="Output 6 2 3" xfId="5351"/>
    <cellStyle name="Output 6 2 4" xfId="5352"/>
    <cellStyle name="Output 6 2 5" xfId="5353"/>
    <cellStyle name="Output 6 2 6" xfId="5354"/>
    <cellStyle name="Output 6 2 7" xfId="5355"/>
    <cellStyle name="Output 6 2 8" xfId="5356"/>
    <cellStyle name="Output 6 2 9" xfId="5357"/>
    <cellStyle name="Output 6 3" xfId="5358"/>
    <cellStyle name="Output 6 3 2" xfId="5359"/>
    <cellStyle name="Output 6 4" xfId="5360"/>
    <cellStyle name="Output 6 5" xfId="5361"/>
    <cellStyle name="Output 6 6" xfId="5362"/>
    <cellStyle name="Output 6 7" xfId="5363"/>
    <cellStyle name="Output 6 8" xfId="5364"/>
    <cellStyle name="Output 6 9" xfId="5365"/>
    <cellStyle name="Output 7" xfId="5366"/>
    <cellStyle name="Output 7 10" xfId="5367"/>
    <cellStyle name="Output 7 2" xfId="5368"/>
    <cellStyle name="Output 7 2 2" xfId="5369"/>
    <cellStyle name="Output 7 2 2 2" xfId="5370"/>
    <cellStyle name="Output 7 2 3" xfId="5371"/>
    <cellStyle name="Output 7 2 4" xfId="5372"/>
    <cellStyle name="Output 7 2 5" xfId="5373"/>
    <cellStyle name="Output 7 2 6" xfId="5374"/>
    <cellStyle name="Output 7 2 7" xfId="5375"/>
    <cellStyle name="Output 7 2 8" xfId="5376"/>
    <cellStyle name="Output 7 2 9" xfId="5377"/>
    <cellStyle name="Output 7 3" xfId="5378"/>
    <cellStyle name="Output 7 3 2" xfId="5379"/>
    <cellStyle name="Output 7 4" xfId="5380"/>
    <cellStyle name="Output 7 5" xfId="5381"/>
    <cellStyle name="Output 7 6" xfId="5382"/>
    <cellStyle name="Output 7 7" xfId="5383"/>
    <cellStyle name="Output 7 8" xfId="5384"/>
    <cellStyle name="Output 7 9" xfId="5385"/>
    <cellStyle name="Output 8" xfId="5386"/>
    <cellStyle name="Output 8 10" xfId="5387"/>
    <cellStyle name="Output 8 2" xfId="5388"/>
    <cellStyle name="Output 8 2 2" xfId="5389"/>
    <cellStyle name="Output 8 2 2 2" xfId="5390"/>
    <cellStyle name="Output 8 2 3" xfId="5391"/>
    <cellStyle name="Output 8 2 4" xfId="5392"/>
    <cellStyle name="Output 8 2 5" xfId="5393"/>
    <cellStyle name="Output 8 2 6" xfId="5394"/>
    <cellStyle name="Output 8 2 7" xfId="5395"/>
    <cellStyle name="Output 8 2 8" xfId="5396"/>
    <cellStyle name="Output 8 2 9" xfId="5397"/>
    <cellStyle name="Output 8 3" xfId="5398"/>
    <cellStyle name="Output 8 3 2" xfId="5399"/>
    <cellStyle name="Output 8 4" xfId="5400"/>
    <cellStyle name="Output 8 5" xfId="5401"/>
    <cellStyle name="Output 8 6" xfId="5402"/>
    <cellStyle name="Output 8 7" xfId="5403"/>
    <cellStyle name="Output 8 8" xfId="5404"/>
    <cellStyle name="Output 8 9" xfId="5405"/>
    <cellStyle name="Output 9" xfId="5406"/>
    <cellStyle name="Output 9 10" xfId="5407"/>
    <cellStyle name="Output 9 2" xfId="5408"/>
    <cellStyle name="Output 9 2 2" xfId="5409"/>
    <cellStyle name="Output 9 2 2 2" xfId="5410"/>
    <cellStyle name="Output 9 2 3" xfId="5411"/>
    <cellStyle name="Output 9 2 4" xfId="5412"/>
    <cellStyle name="Output 9 2 5" xfId="5413"/>
    <cellStyle name="Output 9 2 6" xfId="5414"/>
    <cellStyle name="Output 9 2 7" xfId="5415"/>
    <cellStyle name="Output 9 2 8" xfId="5416"/>
    <cellStyle name="Output 9 2 9" xfId="5417"/>
    <cellStyle name="Output 9 3" xfId="5418"/>
    <cellStyle name="Output 9 3 2" xfId="5419"/>
    <cellStyle name="Output 9 4" xfId="5420"/>
    <cellStyle name="Output 9 5" xfId="5421"/>
    <cellStyle name="Output 9 6" xfId="5422"/>
    <cellStyle name="Output 9 7" xfId="5423"/>
    <cellStyle name="Output 9 8" xfId="5424"/>
    <cellStyle name="Output 9 9" xfId="5425"/>
    <cellStyle name="per.style" xfId="5426"/>
    <cellStyle name="Percent [0]" xfId="5427"/>
    <cellStyle name="Percent [00]" xfId="5428"/>
    <cellStyle name="Percent [2]" xfId="5429"/>
    <cellStyle name="Percent [2] 2" xfId="5430"/>
    <cellStyle name="Percent [2] 3" xfId="5431"/>
    <cellStyle name="Percent [2] 4" xfId="5432"/>
    <cellStyle name="Percent [2] 5" xfId="5433"/>
    <cellStyle name="Percent 10" xfId="5434"/>
    <cellStyle name="Percent 11" xfId="5435"/>
    <cellStyle name="Percent 11 2" xfId="5436"/>
    <cellStyle name="Percent 12" xfId="5437"/>
    <cellStyle name="Percent 13" xfId="5438"/>
    <cellStyle name="Percent 16" xfId="5439"/>
    <cellStyle name="Percent 2" xfId="5440"/>
    <cellStyle name="Percent 2 10" xfId="5441"/>
    <cellStyle name="Percent 2 11" xfId="5442"/>
    <cellStyle name="Percent 2 12" xfId="5443"/>
    <cellStyle name="Percent 2 13" xfId="5444"/>
    <cellStyle name="Percent 2 14" xfId="5445"/>
    <cellStyle name="Percent 2 2" xfId="5446"/>
    <cellStyle name="Percent 2 2 2" xfId="5447"/>
    <cellStyle name="Percent 2 2 2 2" xfId="5448"/>
    <cellStyle name="Percent 2 2 2 3" xfId="5449"/>
    <cellStyle name="Percent 2 2 2 4" xfId="5450"/>
    <cellStyle name="Percent 2 2 2 5" xfId="5451"/>
    <cellStyle name="Percent 2 2 2 6" xfId="5452"/>
    <cellStyle name="Percent 2 2 3" xfId="5453"/>
    <cellStyle name="Percent 2 2 4" xfId="5454"/>
    <cellStyle name="Percent 2 2 5" xfId="5455"/>
    <cellStyle name="Percent 2 2 6" xfId="5456"/>
    <cellStyle name="Percent 2 3" xfId="5457"/>
    <cellStyle name="Percent 2 3 2" xfId="5458"/>
    <cellStyle name="Percent 2 4" xfId="5459"/>
    <cellStyle name="Percent 2 4 2" xfId="5460"/>
    <cellStyle name="Percent 2 5" xfId="5461"/>
    <cellStyle name="Percent 2 5 2" xfId="5462"/>
    <cellStyle name="Percent 2 6" xfId="5463"/>
    <cellStyle name="Percent 2 7" xfId="5464"/>
    <cellStyle name="Percent 2 8" xfId="5465"/>
    <cellStyle name="Percent 2 9" xfId="5466"/>
    <cellStyle name="Percent 3" xfId="5467"/>
    <cellStyle name="Percent 3 2" xfId="5468"/>
    <cellStyle name="Percent 3 3" xfId="5469"/>
    <cellStyle name="Percent 3 4" xfId="5470"/>
    <cellStyle name="Percent 3 5" xfId="5471"/>
    <cellStyle name="Percent 3 6" xfId="5472"/>
    <cellStyle name="Percent 4" xfId="5473"/>
    <cellStyle name="Percent 4 2" xfId="5474"/>
    <cellStyle name="Percent 4 3" xfId="5475"/>
    <cellStyle name="Percent 4 4" xfId="5476"/>
    <cellStyle name="Percent 4 5" xfId="5477"/>
    <cellStyle name="Percent 5" xfId="5478"/>
    <cellStyle name="Percent 5 2" xfId="5479"/>
    <cellStyle name="Percent 5 3" xfId="5480"/>
    <cellStyle name="Percent 5 4" xfId="5481"/>
    <cellStyle name="Percent 5 5" xfId="5482"/>
    <cellStyle name="Percent 5 6" xfId="5483"/>
    <cellStyle name="Percent 6" xfId="5484"/>
    <cellStyle name="Percent 6 2" xfId="5485"/>
    <cellStyle name="Percent 7" xfId="5486"/>
    <cellStyle name="Percent 7 2" xfId="5487"/>
    <cellStyle name="Percent 8" xfId="5488"/>
    <cellStyle name="Percent 8 2" xfId="5489"/>
    <cellStyle name="Percent 9" xfId="5490"/>
    <cellStyle name="PERCENTAGE" xfId="5491"/>
    <cellStyle name="Perhitungan" xfId="5492"/>
    <cellStyle name="Perhitungan 10" xfId="5493"/>
    <cellStyle name="Perhitungan 2" xfId="5494"/>
    <cellStyle name="Perhitungan 2 2" xfId="5495"/>
    <cellStyle name="Perhitungan 2 3" xfId="5496"/>
    <cellStyle name="Perhitungan 2 4" xfId="5497"/>
    <cellStyle name="Perhitungan 2 5" xfId="5498"/>
    <cellStyle name="Perhitungan 2 6" xfId="5499"/>
    <cellStyle name="Perhitungan 2 7" xfId="5500"/>
    <cellStyle name="Perhitungan 2 8" xfId="5501"/>
    <cellStyle name="Perhitungan 2 9" xfId="5502"/>
    <cellStyle name="Perhitungan 3" xfId="5503"/>
    <cellStyle name="Perhitungan 4" xfId="5504"/>
    <cellStyle name="Perhitungan 5" xfId="5505"/>
    <cellStyle name="Perhitungan 6" xfId="5506"/>
    <cellStyle name="Perhitungan 7" xfId="5507"/>
    <cellStyle name="Perhitungan 8" xfId="5508"/>
    <cellStyle name="Perhitungan 9" xfId="5509"/>
    <cellStyle name="Persen" xfId="5510"/>
    <cellStyle name="PrePop Currency (0)" xfId="5511"/>
    <cellStyle name="PrePop Currency (2)" xfId="5512"/>
    <cellStyle name="PrePop Units (0)" xfId="5513"/>
    <cellStyle name="PrePop Units (1)" xfId="5514"/>
    <cellStyle name="PrePop Units (2)" xfId="5515"/>
    <cellStyle name="pricing" xfId="5516"/>
    <cellStyle name="pricing 2" xfId="5517"/>
    <cellStyle name="PSChar" xfId="5518"/>
    <cellStyle name="Reset  - Style4" xfId="5519"/>
    <cellStyle name="Reset  - Style7" xfId="5520"/>
    <cellStyle name="Reset range style to defaults" xfId="5521"/>
    <cellStyle name="RevList" xfId="5522"/>
    <cellStyle name="RevList 2" xfId="5523"/>
    <cellStyle name="Ribu" xfId="5524"/>
    <cellStyle name="sbt2" xfId="5525"/>
    <cellStyle name="sbt2 2" xfId="5526"/>
    <cellStyle name="sbt2 2 2" xfId="5527"/>
    <cellStyle name="sbt2 2 3" xfId="5528"/>
    <cellStyle name="sbt2 2 4" xfId="5529"/>
    <cellStyle name="sbt2 2 5" xfId="5530"/>
    <cellStyle name="sbt2 2 6" xfId="5531"/>
    <cellStyle name="sbt2 2 7" xfId="5532"/>
    <cellStyle name="sbt2 2 8" xfId="5533"/>
    <cellStyle name="sbt2 3" xfId="5534"/>
    <cellStyle name="sbt2 4" xfId="5535"/>
    <cellStyle name="sbt2 5" xfId="5536"/>
    <cellStyle name="sbt2 6" xfId="5537"/>
    <cellStyle name="sbt2 7" xfId="5538"/>
    <cellStyle name="sbt2 8" xfId="5539"/>
    <cellStyle name="sbt2 9" xfId="5540"/>
    <cellStyle name="Sel Tertaut" xfId="5541"/>
    <cellStyle name="SHEET" xfId="5542"/>
    <cellStyle name="Sheet Title" xfId="5543"/>
    <cellStyle name="Sheet Title 2" xfId="5544"/>
    <cellStyle name="Sheet Title 3" xfId="5545"/>
    <cellStyle name="SPOl" xfId="5546"/>
    <cellStyle name="Standard_Share of ABB.XLS" xfId="5547"/>
    <cellStyle name="style" xfId="5548"/>
    <cellStyle name="Style 1" xfId="5549"/>
    <cellStyle name="style 10" xfId="5550"/>
    <cellStyle name="style 11" xfId="5551"/>
    <cellStyle name="style 12" xfId="5552"/>
    <cellStyle name="style 13" xfId="5553"/>
    <cellStyle name="style 14" xfId="5554"/>
    <cellStyle name="style 2" xfId="5555"/>
    <cellStyle name="style 3" xfId="5556"/>
    <cellStyle name="style 4" xfId="5557"/>
    <cellStyle name="style 5" xfId="5558"/>
    <cellStyle name="style 6" xfId="5559"/>
    <cellStyle name="style 7" xfId="5560"/>
    <cellStyle name="style 8" xfId="5561"/>
    <cellStyle name="style 9" xfId="5562"/>
    <cellStyle name="style1" xfId="5563"/>
    <cellStyle name="style2" xfId="5564"/>
    <cellStyle name="subt1" xfId="5565"/>
    <cellStyle name="subt1 2" xfId="5566"/>
    <cellStyle name="Subtotal" xfId="5567"/>
    <cellStyle name="Subtotal 2" xfId="5568"/>
    <cellStyle name="sum" xfId="5569"/>
    <cellStyle name="Table  - Style5" xfId="5570"/>
    <cellStyle name="Table  - Style6" xfId="5571"/>
    <cellStyle name="Table  - Style6 10" xfId="5572"/>
    <cellStyle name="Table  - Style6 2" xfId="5573"/>
    <cellStyle name="Table  - Style6 2 2" xfId="5574"/>
    <cellStyle name="Table  - Style6 2 3" xfId="5575"/>
    <cellStyle name="Table  - Style6 2 4" xfId="5576"/>
    <cellStyle name="Table  - Style6 2 5" xfId="5577"/>
    <cellStyle name="Table  - Style6 2 6" xfId="5578"/>
    <cellStyle name="Table  - Style6 2 7" xfId="5579"/>
    <cellStyle name="Table  - Style6 2 8" xfId="5580"/>
    <cellStyle name="Table  - Style6 2 9" xfId="5581"/>
    <cellStyle name="Table  - Style6 3" xfId="5582"/>
    <cellStyle name="Table  - Style6 4" xfId="5583"/>
    <cellStyle name="Table  - Style6 5" xfId="5584"/>
    <cellStyle name="Table  - Style6 6" xfId="5585"/>
    <cellStyle name="Table  - Style6 7" xfId="5586"/>
    <cellStyle name="Table  - Style6 8" xfId="5587"/>
    <cellStyle name="Table  - Style6 9" xfId="5588"/>
    <cellStyle name="tahap" xfId="5589"/>
    <cellStyle name="Tajuk 1" xfId="5590"/>
    <cellStyle name="Tajuk 2" xfId="5591"/>
    <cellStyle name="Tajuk 3" xfId="5592"/>
    <cellStyle name="Tajuk 4" xfId="5593"/>
    <cellStyle name="Teks Penjelasan" xfId="5594"/>
    <cellStyle name="Teks Peringatan" xfId="5595"/>
    <cellStyle name="Text Indent A" xfId="5596"/>
    <cellStyle name="Text Indent B" xfId="5597"/>
    <cellStyle name="Text Indent C" xfId="5598"/>
    <cellStyle name="þ_x001d_ð &amp;ý&amp;†ýG_x0008_ X&#10;_x0007__x0001__x0001_" xfId="5599"/>
    <cellStyle name="þ_x001d_ð+&amp;„ý›&amp;}ý_x000b__x0008__x0011__x000b_å_x000b__x0007__x0001__x0001_" xfId="5600"/>
    <cellStyle name="Title  - Style1" xfId="5601"/>
    <cellStyle name="Title  - Style6" xfId="5602"/>
    <cellStyle name="Title 10" xfId="5603"/>
    <cellStyle name="Title 11" xfId="5604"/>
    <cellStyle name="Title 12" xfId="5605"/>
    <cellStyle name="Title 13" xfId="5606"/>
    <cellStyle name="Title 14" xfId="5607"/>
    <cellStyle name="Title 15" xfId="5608"/>
    <cellStyle name="Title 16" xfId="5609"/>
    <cellStyle name="Title 17" xfId="5610"/>
    <cellStyle name="Title 18" xfId="5611"/>
    <cellStyle name="Title 19" xfId="5612"/>
    <cellStyle name="Title 2" xfId="5613"/>
    <cellStyle name="Title 2 2" xfId="5614"/>
    <cellStyle name="Title 2 3" xfId="5615"/>
    <cellStyle name="Title 2 4" xfId="5616"/>
    <cellStyle name="Title 20" xfId="5617"/>
    <cellStyle name="Title 21" xfId="5618"/>
    <cellStyle name="Title 22" xfId="5619"/>
    <cellStyle name="Title 3" xfId="5620"/>
    <cellStyle name="Title 4" xfId="5621"/>
    <cellStyle name="Title 5" xfId="5622"/>
    <cellStyle name="Title 6" xfId="5623"/>
    <cellStyle name="Title 7" xfId="5624"/>
    <cellStyle name="Title 8" xfId="5625"/>
    <cellStyle name="Title 9" xfId="5626"/>
    <cellStyle name="Total 10" xfId="5627"/>
    <cellStyle name="Total 10 10" xfId="5628"/>
    <cellStyle name="Total 10 2" xfId="5629"/>
    <cellStyle name="Total 10 2 2" xfId="5630"/>
    <cellStyle name="Total 10 2 3" xfId="5631"/>
    <cellStyle name="Total 10 2 4" xfId="5632"/>
    <cellStyle name="Total 10 2 5" xfId="5633"/>
    <cellStyle name="Total 10 2 6" xfId="5634"/>
    <cellStyle name="Total 10 2 7" xfId="5635"/>
    <cellStyle name="Total 10 2 8" xfId="5636"/>
    <cellStyle name="Total 10 2 9" xfId="5637"/>
    <cellStyle name="Total 10 3" xfId="5638"/>
    <cellStyle name="Total 10 4" xfId="5639"/>
    <cellStyle name="Total 10 5" xfId="5640"/>
    <cellStyle name="Total 10 6" xfId="5641"/>
    <cellStyle name="Total 10 7" xfId="5642"/>
    <cellStyle name="Total 10 8" xfId="5643"/>
    <cellStyle name="Total 10 9" xfId="5644"/>
    <cellStyle name="Total 11" xfId="5645"/>
    <cellStyle name="Total 11 10" xfId="5646"/>
    <cellStyle name="Total 11 2" xfId="5647"/>
    <cellStyle name="Total 11 2 2" xfId="5648"/>
    <cellStyle name="Total 11 2 3" xfId="5649"/>
    <cellStyle name="Total 11 2 4" xfId="5650"/>
    <cellStyle name="Total 11 2 5" xfId="5651"/>
    <cellStyle name="Total 11 2 6" xfId="5652"/>
    <cellStyle name="Total 11 2 7" xfId="5653"/>
    <cellStyle name="Total 11 2 8" xfId="5654"/>
    <cellStyle name="Total 11 2 9" xfId="5655"/>
    <cellStyle name="Total 11 3" xfId="5656"/>
    <cellStyle name="Total 11 4" xfId="5657"/>
    <cellStyle name="Total 11 5" xfId="5658"/>
    <cellStyle name="Total 11 6" xfId="5659"/>
    <cellStyle name="Total 11 7" xfId="5660"/>
    <cellStyle name="Total 11 8" xfId="5661"/>
    <cellStyle name="Total 11 9" xfId="5662"/>
    <cellStyle name="Total 12" xfId="5663"/>
    <cellStyle name="Total 12 2" xfId="5664"/>
    <cellStyle name="Total 13" xfId="5665"/>
    <cellStyle name="Total 13 2" xfId="5666"/>
    <cellStyle name="Total 14" xfId="5667"/>
    <cellStyle name="Total 14 2" xfId="5668"/>
    <cellStyle name="Total 15" xfId="5669"/>
    <cellStyle name="Total 15 2" xfId="5670"/>
    <cellStyle name="Total 16" xfId="5671"/>
    <cellStyle name="Total 16 2" xfId="5672"/>
    <cellStyle name="Total 17" xfId="5673"/>
    <cellStyle name="Total 17 2" xfId="5674"/>
    <cellStyle name="Total 18" xfId="5675"/>
    <cellStyle name="Total 18 2" xfId="5676"/>
    <cellStyle name="Total 19" xfId="5677"/>
    <cellStyle name="Total 19 2" xfId="5678"/>
    <cellStyle name="Total 2" xfId="5679"/>
    <cellStyle name="Total 2 10" xfId="5680"/>
    <cellStyle name="Total 2 10 2" xfId="5681"/>
    <cellStyle name="Total 2 11" xfId="5682"/>
    <cellStyle name="Total 2 11 2" xfId="5683"/>
    <cellStyle name="Total 2 12" xfId="5684"/>
    <cellStyle name="Total 2 12 2" xfId="5685"/>
    <cellStyle name="Total 2 13" xfId="5686"/>
    <cellStyle name="Total 2 13 2" xfId="5687"/>
    <cellStyle name="Total 2 14" xfId="5688"/>
    <cellStyle name="Total 2 14 2" xfId="5689"/>
    <cellStyle name="Total 2 15" xfId="5690"/>
    <cellStyle name="Total 2 16" xfId="5691"/>
    <cellStyle name="Total 2 17" xfId="5692"/>
    <cellStyle name="Total 2 18" xfId="5693"/>
    <cellStyle name="Total 2 19" xfId="5694"/>
    <cellStyle name="Total 2 2" xfId="5695"/>
    <cellStyle name="Total 2 2 10" xfId="5696"/>
    <cellStyle name="Total 2 2 2" xfId="5697"/>
    <cellStyle name="Total 2 2 2 2" xfId="5698"/>
    <cellStyle name="Total 2 2 2 3" xfId="5699"/>
    <cellStyle name="Total 2 2 2 4" xfId="5700"/>
    <cellStyle name="Total 2 2 2 5" xfId="5701"/>
    <cellStyle name="Total 2 2 2 6" xfId="5702"/>
    <cellStyle name="Total 2 2 2 7" xfId="5703"/>
    <cellStyle name="Total 2 2 2 8" xfId="5704"/>
    <cellStyle name="Total 2 2 2 9" xfId="5705"/>
    <cellStyle name="Total 2 2 3" xfId="5706"/>
    <cellStyle name="Total 2 2 4" xfId="5707"/>
    <cellStyle name="Total 2 2 5" xfId="5708"/>
    <cellStyle name="Total 2 2 6" xfId="5709"/>
    <cellStyle name="Total 2 2 7" xfId="5710"/>
    <cellStyle name="Total 2 2 8" xfId="5711"/>
    <cellStyle name="Total 2 2 9" xfId="5712"/>
    <cellStyle name="Total 2 20" xfId="5713"/>
    <cellStyle name="Total 2 21" xfId="5714"/>
    <cellStyle name="Total 2 22" xfId="5715"/>
    <cellStyle name="Total 2 3" xfId="5716"/>
    <cellStyle name="Total 2 3 2" xfId="5717"/>
    <cellStyle name="Total 2 4" xfId="5718"/>
    <cellStyle name="Total 2 4 2" xfId="5719"/>
    <cellStyle name="Total 2 5" xfId="5720"/>
    <cellStyle name="Total 2 5 2" xfId="5721"/>
    <cellStyle name="Total 2 6" xfId="5722"/>
    <cellStyle name="Total 2 6 2" xfId="5723"/>
    <cellStyle name="Total 2 6 3" xfId="5724"/>
    <cellStyle name="Total 2 6 4" xfId="5725"/>
    <cellStyle name="Total 2 6 5" xfId="5726"/>
    <cellStyle name="Total 2 6 6" xfId="5727"/>
    <cellStyle name="Total 2 6 7" xfId="5728"/>
    <cellStyle name="Total 2 6 8" xfId="5729"/>
    <cellStyle name="Total 2 6 9" xfId="5730"/>
    <cellStyle name="Total 2 7" xfId="5731"/>
    <cellStyle name="Total 2 7 2" xfId="5732"/>
    <cellStyle name="Total 2 7 3" xfId="5733"/>
    <cellStyle name="Total 2 7 4" xfId="5734"/>
    <cellStyle name="Total 2 7 5" xfId="5735"/>
    <cellStyle name="Total 2 7 6" xfId="5736"/>
    <cellStyle name="Total 2 7 7" xfId="5737"/>
    <cellStyle name="Total 2 7 8" xfId="5738"/>
    <cellStyle name="Total 2 7 9" xfId="5739"/>
    <cellStyle name="Total 2 8" xfId="5740"/>
    <cellStyle name="Total 2 8 2" xfId="5741"/>
    <cellStyle name="Total 2 9" xfId="5742"/>
    <cellStyle name="Total 2 9 2" xfId="5743"/>
    <cellStyle name="Total 20" xfId="5744"/>
    <cellStyle name="Total 20 2" xfId="5745"/>
    <cellStyle name="Total 20 2 2" xfId="5746"/>
    <cellStyle name="Total 20 3" xfId="5747"/>
    <cellStyle name="Total 20 3 2" xfId="5748"/>
    <cellStyle name="Total 20 4" xfId="5749"/>
    <cellStyle name="Total 20 4 2" xfId="5750"/>
    <cellStyle name="Total 20 5" xfId="5751"/>
    <cellStyle name="Total 20 5 2" xfId="5752"/>
    <cellStyle name="Total 20 6" xfId="5753"/>
    <cellStyle name="Total 20 6 2" xfId="5754"/>
    <cellStyle name="Total 20 7" xfId="5755"/>
    <cellStyle name="Total 21" xfId="5756"/>
    <cellStyle name="Total 21 2" xfId="5757"/>
    <cellStyle name="Total 22" xfId="5758"/>
    <cellStyle name="Total 22 2" xfId="5759"/>
    <cellStyle name="Total 23" xfId="5760"/>
    <cellStyle name="Total 23 2" xfId="5761"/>
    <cellStyle name="Total 24" xfId="5762"/>
    <cellStyle name="Total 24 2" xfId="5763"/>
    <cellStyle name="Total 25" xfId="5764"/>
    <cellStyle name="Total 25 2" xfId="5765"/>
    <cellStyle name="Total 26" xfId="5766"/>
    <cellStyle name="Total 26 2" xfId="5767"/>
    <cellStyle name="Total 3" xfId="5768"/>
    <cellStyle name="Total 3 10" xfId="5769"/>
    <cellStyle name="Total 3 2" xfId="5770"/>
    <cellStyle name="Total 3 2 2" xfId="5771"/>
    <cellStyle name="Total 3 2 3" xfId="5772"/>
    <cellStyle name="Total 3 2 4" xfId="5773"/>
    <cellStyle name="Total 3 2 5" xfId="5774"/>
    <cellStyle name="Total 3 2 6" xfId="5775"/>
    <cellStyle name="Total 3 2 7" xfId="5776"/>
    <cellStyle name="Total 3 2 8" xfId="5777"/>
    <cellStyle name="Total 3 2 9" xfId="5778"/>
    <cellStyle name="Total 3 3" xfId="5779"/>
    <cellStyle name="Total 3 4" xfId="5780"/>
    <cellStyle name="Total 3 5" xfId="5781"/>
    <cellStyle name="Total 3 6" xfId="5782"/>
    <cellStyle name="Total 3 7" xfId="5783"/>
    <cellStyle name="Total 3 8" xfId="5784"/>
    <cellStyle name="Total 3 9" xfId="5785"/>
    <cellStyle name="Total 4" xfId="5786"/>
    <cellStyle name="Total 4 10" xfId="5787"/>
    <cellStyle name="Total 4 2" xfId="5788"/>
    <cellStyle name="Total 4 2 2" xfId="5789"/>
    <cellStyle name="Total 4 2 3" xfId="5790"/>
    <cellStyle name="Total 4 2 4" xfId="5791"/>
    <cellStyle name="Total 4 2 5" xfId="5792"/>
    <cellStyle name="Total 4 2 6" xfId="5793"/>
    <cellStyle name="Total 4 2 7" xfId="5794"/>
    <cellStyle name="Total 4 2 8" xfId="5795"/>
    <cellStyle name="Total 4 2 9" xfId="5796"/>
    <cellStyle name="Total 4 3" xfId="5797"/>
    <cellStyle name="Total 4 4" xfId="5798"/>
    <cellStyle name="Total 4 5" xfId="5799"/>
    <cellStyle name="Total 4 6" xfId="5800"/>
    <cellStyle name="Total 4 7" xfId="5801"/>
    <cellStyle name="Total 4 8" xfId="5802"/>
    <cellStyle name="Total 4 9" xfId="5803"/>
    <cellStyle name="Total 5" xfId="5804"/>
    <cellStyle name="Total 5 10" xfId="5805"/>
    <cellStyle name="Total 5 2" xfId="5806"/>
    <cellStyle name="Total 5 2 2" xfId="5807"/>
    <cellStyle name="Total 5 2 3" xfId="5808"/>
    <cellStyle name="Total 5 2 4" xfId="5809"/>
    <cellStyle name="Total 5 2 5" xfId="5810"/>
    <cellStyle name="Total 5 2 6" xfId="5811"/>
    <cellStyle name="Total 5 2 7" xfId="5812"/>
    <cellStyle name="Total 5 2 8" xfId="5813"/>
    <cellStyle name="Total 5 2 9" xfId="5814"/>
    <cellStyle name="Total 5 3" xfId="5815"/>
    <cellStyle name="Total 5 4" xfId="5816"/>
    <cellStyle name="Total 5 5" xfId="5817"/>
    <cellStyle name="Total 5 6" xfId="5818"/>
    <cellStyle name="Total 5 7" xfId="5819"/>
    <cellStyle name="Total 5 8" xfId="5820"/>
    <cellStyle name="Total 5 9" xfId="5821"/>
    <cellStyle name="Total 6" xfId="5822"/>
    <cellStyle name="Total 6 10" xfId="5823"/>
    <cellStyle name="Total 6 2" xfId="5824"/>
    <cellStyle name="Total 6 2 2" xfId="5825"/>
    <cellStyle name="Total 6 2 3" xfId="5826"/>
    <cellStyle name="Total 6 2 4" xfId="5827"/>
    <cellStyle name="Total 6 2 5" xfId="5828"/>
    <cellStyle name="Total 6 2 6" xfId="5829"/>
    <cellStyle name="Total 6 2 7" xfId="5830"/>
    <cellStyle name="Total 6 2 8" xfId="5831"/>
    <cellStyle name="Total 6 2 9" xfId="5832"/>
    <cellStyle name="Total 6 3" xfId="5833"/>
    <cellStyle name="Total 6 4" xfId="5834"/>
    <cellStyle name="Total 6 5" xfId="5835"/>
    <cellStyle name="Total 6 6" xfId="5836"/>
    <cellStyle name="Total 6 7" xfId="5837"/>
    <cellStyle name="Total 6 8" xfId="5838"/>
    <cellStyle name="Total 6 9" xfId="5839"/>
    <cellStyle name="Total 7" xfId="5840"/>
    <cellStyle name="Total 7 10" xfId="5841"/>
    <cellStyle name="Total 7 2" xfId="5842"/>
    <cellStyle name="Total 7 2 2" xfId="5843"/>
    <cellStyle name="Total 7 2 3" xfId="5844"/>
    <cellStyle name="Total 7 2 4" xfId="5845"/>
    <cellStyle name="Total 7 2 5" xfId="5846"/>
    <cellStyle name="Total 7 2 6" xfId="5847"/>
    <cellStyle name="Total 7 2 7" xfId="5848"/>
    <cellStyle name="Total 7 2 8" xfId="5849"/>
    <cellStyle name="Total 7 2 9" xfId="5850"/>
    <cellStyle name="Total 7 3" xfId="5851"/>
    <cellStyle name="Total 7 4" xfId="5852"/>
    <cellStyle name="Total 7 5" xfId="5853"/>
    <cellStyle name="Total 7 6" xfId="5854"/>
    <cellStyle name="Total 7 7" xfId="5855"/>
    <cellStyle name="Total 7 8" xfId="5856"/>
    <cellStyle name="Total 7 9" xfId="5857"/>
    <cellStyle name="Total 8" xfId="5858"/>
    <cellStyle name="Total 8 10" xfId="5859"/>
    <cellStyle name="Total 8 2" xfId="5860"/>
    <cellStyle name="Total 8 2 2" xfId="5861"/>
    <cellStyle name="Total 8 2 3" xfId="5862"/>
    <cellStyle name="Total 8 2 4" xfId="5863"/>
    <cellStyle name="Total 8 2 5" xfId="5864"/>
    <cellStyle name="Total 8 2 6" xfId="5865"/>
    <cellStyle name="Total 8 2 7" xfId="5866"/>
    <cellStyle name="Total 8 2 8" xfId="5867"/>
    <cellStyle name="Total 8 2 9" xfId="5868"/>
    <cellStyle name="Total 8 3" xfId="5869"/>
    <cellStyle name="Total 8 4" xfId="5870"/>
    <cellStyle name="Total 8 5" xfId="5871"/>
    <cellStyle name="Total 8 6" xfId="5872"/>
    <cellStyle name="Total 8 7" xfId="5873"/>
    <cellStyle name="Total 8 8" xfId="5874"/>
    <cellStyle name="Total 8 9" xfId="5875"/>
    <cellStyle name="Total 9" xfId="5876"/>
    <cellStyle name="Total 9 10" xfId="5877"/>
    <cellStyle name="Total 9 2" xfId="5878"/>
    <cellStyle name="Total 9 2 2" xfId="5879"/>
    <cellStyle name="Total 9 2 3" xfId="5880"/>
    <cellStyle name="Total 9 2 4" xfId="5881"/>
    <cellStyle name="Total 9 2 5" xfId="5882"/>
    <cellStyle name="Total 9 2 6" xfId="5883"/>
    <cellStyle name="Total 9 2 7" xfId="5884"/>
    <cellStyle name="Total 9 2 8" xfId="5885"/>
    <cellStyle name="Total 9 2 9" xfId="5886"/>
    <cellStyle name="Total 9 3" xfId="5887"/>
    <cellStyle name="Total 9 4" xfId="5888"/>
    <cellStyle name="Total 9 5" xfId="5889"/>
    <cellStyle name="Total 9 6" xfId="5890"/>
    <cellStyle name="Total 9 7" xfId="5891"/>
    <cellStyle name="Total 9 8" xfId="5892"/>
    <cellStyle name="Total 9 9" xfId="5893"/>
    <cellStyle name="TotCol - Style5" xfId="5894"/>
    <cellStyle name="TotCol - Style5 2" xfId="5895"/>
    <cellStyle name="TotCol - Style5 2 2" xfId="5896"/>
    <cellStyle name="TotCol - Style5 3" xfId="5897"/>
    <cellStyle name="TotCol - Style7" xfId="5898"/>
    <cellStyle name="TotRow - Style4" xfId="5899"/>
    <cellStyle name="TotRow - Style4 10" xfId="5900"/>
    <cellStyle name="TotRow - Style4 2" xfId="5901"/>
    <cellStyle name="TotRow - Style4 2 2" xfId="5902"/>
    <cellStyle name="TotRow - Style4 2 3" xfId="5903"/>
    <cellStyle name="TotRow - Style4 2 4" xfId="5904"/>
    <cellStyle name="TotRow - Style4 2 5" xfId="5905"/>
    <cellStyle name="TotRow - Style4 2 6" xfId="5906"/>
    <cellStyle name="TotRow - Style4 2 7" xfId="5907"/>
    <cellStyle name="TotRow - Style4 2 8" xfId="5908"/>
    <cellStyle name="TotRow - Style4 2 9" xfId="5909"/>
    <cellStyle name="TotRow - Style4 3" xfId="5910"/>
    <cellStyle name="TotRow - Style4 4" xfId="5911"/>
    <cellStyle name="TotRow - Style4 5" xfId="5912"/>
    <cellStyle name="TotRow - Style4 6" xfId="5913"/>
    <cellStyle name="TotRow - Style4 7" xfId="5914"/>
    <cellStyle name="TotRow - Style4 8" xfId="5915"/>
    <cellStyle name="TotRow - Style4 9" xfId="5916"/>
    <cellStyle name="TotRow - Style8" xfId="5917"/>
    <cellStyle name="Tusental_NPV" xfId="5918"/>
    <cellStyle name="Unit" xfId="5919"/>
    <cellStyle name="Valuta (0)_pldt" xfId="5920"/>
    <cellStyle name="Valuta_NPV" xfId="5921"/>
    <cellStyle name="Warning Text 10" xfId="5922"/>
    <cellStyle name="Warning Text 11" xfId="5923"/>
    <cellStyle name="Warning Text 12" xfId="5924"/>
    <cellStyle name="Warning Text 13" xfId="5925"/>
    <cellStyle name="Warning Text 14" xfId="5926"/>
    <cellStyle name="Warning Text 15" xfId="5927"/>
    <cellStyle name="Warning Text 16" xfId="5928"/>
    <cellStyle name="Warning Text 17" xfId="5929"/>
    <cellStyle name="Warning Text 18" xfId="5930"/>
    <cellStyle name="Warning Text 19" xfId="5931"/>
    <cellStyle name="Warning Text 2" xfId="5932"/>
    <cellStyle name="Warning Text 2 2" xfId="5933"/>
    <cellStyle name="Warning Text 2 3" xfId="5934"/>
    <cellStyle name="Warning Text 2 4" xfId="5935"/>
    <cellStyle name="Warning Text 20" xfId="5936"/>
    <cellStyle name="Warning Text 21" xfId="5937"/>
    <cellStyle name="Warning Text 22" xfId="5938"/>
    <cellStyle name="Warning Text 3" xfId="5939"/>
    <cellStyle name="Warning Text 4" xfId="5940"/>
    <cellStyle name="Warning Text 5" xfId="5941"/>
    <cellStyle name="Warning Text 6" xfId="5942"/>
    <cellStyle name="Warning Text 7" xfId="5943"/>
    <cellStyle name="Warning Text 8" xfId="5944"/>
    <cellStyle name="Warning Text 9" xfId="5945"/>
    <cellStyle name="WHead - Style2" xfId="5946"/>
    <cellStyle name="똿뗦먛귟 [0.00]_PRODUCT DETAIL Q1" xfId="5947"/>
    <cellStyle name="똿뗦먛귟_PRODUCT DETAIL Q1" xfId="5948"/>
    <cellStyle name="믅됞 [0.00]_PRODUCT DETAIL Q1" xfId="5949"/>
    <cellStyle name="믅됞_PRODUCT DETAIL Q1" xfId="5950"/>
    <cellStyle name="백분율_HOBONG" xfId="5951"/>
    <cellStyle name="뷭?_BOOKSHIP" xfId="5952"/>
    <cellStyle name="쉼표_PAKET 10 HIPDS" xfId="5953"/>
    <cellStyle name="콤마 [0]_1202" xfId="5954"/>
    <cellStyle name="콤마_1202" xfId="5955"/>
    <cellStyle name="통화 [0]_1202" xfId="5956"/>
    <cellStyle name="통화_1202" xfId="5957"/>
    <cellStyle name="표준_(정보부문)월별인원계획" xfId="5958"/>
    <cellStyle name="桁区切り [0.00]_Cost Proposal Lahendong Local Consultant final 4" xfId="5959"/>
    <cellStyle name="桁区切り_Service Schedules Rev2004-06-28 draft" xfId="5960"/>
    <cellStyle name="標準_Cost Proposal Lahendong Local Consultant final 4" xfId="596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07" Type="http://schemas.openxmlformats.org/officeDocument/2006/relationships/styles" Target="styles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102" Type="http://schemas.openxmlformats.org/officeDocument/2006/relationships/externalLink" Target="externalLinks/externalLink101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103" Type="http://schemas.openxmlformats.org/officeDocument/2006/relationships/externalLink" Target="externalLinks/externalLink102.xml"/><Relationship Id="rId108" Type="http://schemas.openxmlformats.org/officeDocument/2006/relationships/sharedStrings" Target="sharedString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calcChain" Target="calcChain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renja\c\EXCEL\SMSTER\BAB2-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LISDES%20NEW%202017%20REVISI/BERAU%202017/MARATUA/RAB%20MARATUA.xlsx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LISDES%20NEW%202017%20REVISI/NUNUKAN%202017/TANJUNG%20KARYA%20KRAYAN/TANJUNG%20KARYA%20-%20KRAYAN.xlsx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LISDES%20NEW%202017%20REVISI/NUNUKAN/PAMTAS%20BUKIT%20KERAMAT%20+%20KMP.TEBOL%20SKITAR.xlsx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LISDES%20NEW%202017%20REVISI/NUNUKAN/PAMTAS%20BAMBANGAN.xlsx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%20DIS\Downloads\RAB%20DESA%20BELAWAN%20ARI(1).xlsx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LISDES%20NEW%202017%20REVISI/NUNUKAN%202017/PERLUASAN%20TULIN%20ONSOI/RAB%20TULIN%20ONSOI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3\e\LISDES%20NEW%202017%20REVISI\BERAU%202017\MARATUA\RAB%20MARATUA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LISDES%20NEW%202017%20REVISI/BERAU%202017/PERLUASAN%20JTM%20SUTR%20SMP%2041%20SUARAN/RAB%20SMP%2041%20SUARAN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3\e\LISDES%20NEW%202017%20REVISI\BERAU%202017\PERLUASAN%20JTM%20SUTR%20SMP%2041%20SUARAN\RAB%20SMP%2041%20SUARAN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LISDES%20NEW%202017%20REVISI/BERAU%202017/SUTM,%20SUTR,%20GARDU%20DS%20AMPEN%20MEDANG%20BATU%20PUTIH/JTM%20JTR%20GD%20KMP%20AMPE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3\e\LISDES%20NEW%202017%20REVISI\BERAU%202017\SUTM,%20SUTR,%20GARDU%20DS%20AMPEN%20MEDANG%20BATU%20PUTIH\JTM%20JTR%20GD%20KMP%20AMPEN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LISDES%20NEW%202017%20REVISI/BERAU%202017/SUTM,%20SUTR,%20GARDU%20MURJANI%20-%20PEMBANGUNAN/JTM%20JTR%20GD%20MURJANI%20-%20PEMBANGUNAN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3\e\LISDES%20NEW%202017%20REVISI\BERAU%202017\SUTM,%20SUTR,%20GARDU%20MURJANI%20-%20PEMBANGUNAN\JTM%20JTR%20GD%20MURJANI%20-%20PEMBANGUNAN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LISDES%20NEW%202017%20REVISI/BERAU%202017/SUTM,%20SUTR,%20GARDU%20JL.%20GARUDA%20SAMBALIUNG/JTM%20JTR%20GD%20BUKIT%20BERBUNG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3\e\LISDES%20NEW%202017%20REVISI\BERAU%202017\SUTM,%20SUTR,%20GARDU%20JL.%20GARUDA%20SAMBALIUNG\JTM%20JTR%20GD%20BUKIT%20BERBUNG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renja\c\EXCEL\p-bab4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LISDES%20NEW%202017%20REVISI/BERAU%202017/Usulan%20Penambahan%20Jaringan%20SUTR%20Tersebar%20Rayon%20TJR/2-2.%20SUTR%20SAMBALIUNG%20BUKIT%20BERBUNGA/SUTR%20sambaliung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3\e\LISDES%20NEW%202017%20REVISI\BERAU%202017\Usulan%20Penambahan%20Jaringan%20SUTR%20Tersebar%20Rayon%20TJR\2-2.%20SUTR%20SAMBALIUNG%20BUKIT%20BERBUNGA\SUTR%20sambaliung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LISDES%20NEW%202017%20REVISI/BERAU%202017/Usulan%20Penambahan%20Jaringan%20SUTR%20Tersebar%20Rayon%20TJR/2-6.%20SUTR%20LOKASI%20GUNTA,%20PRAPATAN/SUTR%20PARIBAU%20DAN%20PRAPATAN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3\e\LISDES%20NEW%202017%20REVISI\Lisdes%202017\Kab%20Berau\Penambahan%20Jaringan%20SUTM,%20SUTR,%20tersebar%20dilingkungan%20tanjung%20Redeb\2-6.%20SUTR%20LOKASI%20GUNTA,%20PRAPATAN\SUTR%20PARIBAU%20DAN%20PRAPATAN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3\USULAN%20LISDES%20tjr%202016\4.%20USULAN%20TR%20GUNUNG%20SARI\RAB%20TANJUNG%20BATU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LISDES%20NEW%202017%20REVISI/BERAU%202017/Usulan%20Penambahan%20Jaringan%20SUTR%20Tersebar%20Rayon%20TJR/4.%20USULAN%20TR%20GUNUNG%20SARI/RAB%20GUNUNG%20SARI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LISDES%20NEW%202017%20REVISI/BERAU%202017/Usulan%20Penambahan%20Jaringan%20SUTR%20Tersebar%20Rayon%20TJR/3.%20USULAN%20TR%20TANJUNG%20BATU/RAB%20TANJUNG%20BATU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3\e\LISDES%20NEW%202017%20REVISI\Lisdes%202017\Kab%20Berau\Penambahan%20Jaringan%20SUTM,%20SUTR,%20tersebar%20dilingkungan%20tanjung%20Redeb\3.%20USULAN%20TR%20TANJUNG%20BATU\RAB%20SUKAN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3\e\LISDES%20NEW%202017%20REVISI\Lisdes%202017\Kab%20Berau\Penambahan%20Jaringan%20SUTM,%20SUTR,%20tersebar%20dilingkungan%20tanjung%20Redeb\2.%20SUTR%20SUKAN\RAB%20SUKAN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LISDES%20NEW%202017%20REVISI/BERAU%202017/Usulan%20Penambahan%20Jaringan%20SUTR%20Tersebar%20Rayon%20TJR/2.%20SUTR%20SUKAN/RAB%20SUKA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shary\KERJA\KERJA%20DPD%202013\Monitoring\Hasil%20Balikpapan%20TW%20I\Bahan%20Rapat%20Kalimantan%20Balikpapan\Pak%20Trois\Bahan%208%20Juni%202011%20ok\PLN\Dina%20punya\Data2%20koe\Anggaran\RKAP%202005\Clients\PLN\PLN%20Budget\PLN%20budget%20forms\Lk200312-02-03-04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LISDES%20NEW%202017%20REVISI/BERAU%202017/Usulan%20Penambahan%20Jaringan%20SUTR%20Tersebar%20Rayon%20TJR/8.%20USULAN%20TR%20KEDAUNG,%20BANBAM,%20TASUK/SUTR%20KEDAUNG%20RINDING%20TASUK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LISDES%20NEW%202017%20REVISI/BERAU%202017/Usulan%20Penambahan%20Jaringan%20SUTR%20Tersebar%20Rayon%20TJR/7.%20USULAN%20TR%20MERANCANG/SUTR%20MERANCANG%20ULU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3\USULAN%20LISDES%20tjr%202016\7.%20USULAN%20TR%20MERANCANG\RAB%20TANJUNG%20BATU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LISDES%20NEW%202017%20REVISI/BERAU%202017/Usulan%20Penambahan%20Jaringan%20SUTR%20Tersebar%20Rayon%20TJR/2-8.%20SUTR%20KAMPUNG%20PARIBAU%20GG.%20PADAIDI/JTR-Paribau%20Tabur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3\e\LISDES%20NEW%202017%20REVISI\Lisdes%202017\Kab%20Berau\Penambahan%20Jaringan%20SUTM,%20SUTR,%20tersebar%20dilingkungan%20tanjung%20Redeb\2-8.%20SUTR%20KAMPUNG%20PARIBAU%20GG.%20PADAIDI\JTR-Paribau%20Tabur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LISDES%20NEW%202017%20REVISI/BERAU%202017/Usulan%20Penambahan%20Jaringan%20SUTR%20Tersebar%20Rayon%20TJR/2-9.%20SUTR%20BANGUN%20TRAN,%20CUT%20NYAKDIEN,%20SIDUUNG/SUTR%20BANGUN%20TRAN,%20CUT%20NYAKDIEN,%20SIDUUNG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3\e\LISDES%20NEW%202017%20REVISI\Lisdes%202017\Kab%20Berau\Penambahan%20Jaringan%20SUTM,%20SUTR,%20tersebar%20dilingkungan%20tanjung%20Redeb\2-9.%20SUTR%20BANGUN%20TRAN,%20CUT%20NYAKDIEN,%20SIDUUNG\SUTR%20tersebar%20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LISDES%20NEW%202017%20REVISI/BERAU%202017/Usulan%20Penambahan%20Jaringan%20SUTR%20Tersebar%20Rayon%20TJR/2-10.%20SUTR%20Belakang%20SMA%20Gunung%20Tabur/JTR-%20Belakang%20SMA%20Gunung%20Tabu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3\e\LISDES%20NEW%202017%20REVISI\Lisdes%202017\Kab%20Berau\Penambahan%20Jaringan%20SUTM,%20SUTR,%20tersebar%20dilingkungan%20tanjung%20Redeb\2-10.%20SUTR%20Belakang%20SMA%20Gunung%20Tabur\JTR-%20Belakang%20SMA%20Gunung%20Tabu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LISDES%20NEW%202017%20REVISI/BERAU%202017/Usulan%20Penambahan%20Jaringan%20SUTR%20Tersebar%20Rayon%20TJR/2-11.%20SUTR%20ALBINA,%20ARMED,%20SUKAN/SUTR%20Albina-Armed-Suk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shary\KERJA\KERJA%20DPD%202013\Monitoring\Hasil%20Balikpapan%20TW%20I\Bahan%20Rapat%20Kalimantan%20Balikpapan\Pak%20Trois\Bahan%208%20Juni%202011%20ok\PLN\Dina%20punya\Data2%20koe\Anggaran\RKAP%202005\unzipped\RKAP%20Laba_Rugi%201\LKTW201\@PJB\LKSEM2001PJB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3\e\LISDES%20NEW%202017%20REVISI\Lisdes%202017\Kab%20Berau\Penambahan%20Jaringan%20SUTM,%20SUTR,%20tersebar%20dilingkungan%20tanjung%20Redeb\2-11.%20SUTR%20ALBINA,%20ARMED,%20SUKAN\SUTR%20Albina-Armed-Sukan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LISDES%20NEW%202017%20REVISI/BERAU%202017/Usulan%20Penambahan%20Jaringan%20SUTR%20Tersebar%20Rayon%20TJR/2-12.%20SUTR%20DERAWAN/SUTR%20DERAWAN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3\e\LISDES%20NEW%202017%20REVISI\Lisdes%202017\Kab%20Berau\Penambahan%20Jaringan%20SUTM,%20SUTR,%20tersebar%20dilingkungan%20tanjung%20Redeb\2-12.%20SUTR%20DERAWAN\SUTR%20DERAWAN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LISDES%20NEW%202017%20REVISI/BERAU%202017/Usulan%20Penambahan%20Jaringan%20SUTR%20Tersebar%20Rayon%20TJR/2-14.%20SUTR,%20GARDU%20jagung%20-%20jagung%20Gunung%20Tabur/JTM%20JTR%20GD%20-%20Jagung2%20Gunta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3\e\LISDES%20NEW%202017%20REVISI\Lisdes%202017\Kab%20Berau\Penambahan%20Jaringan%20SUTM,%20SUTR,%20tersebar%20dilingkungan%20tanjung%20Redeb\2-14.%20SUTR,%20GARDU%20jagung%20-%20jagung%20Gunung%20Tabur\JTM%20JTR%20GD%20-%20Jagung2%20Gun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3\e\LISDES%20NEW%202017%20REVISI\Lisdes%202017\Kab%20Berau\Penambahan%20Jaringan%20SUTM,%20SUTR,%20tersebar%20dilingkungan%20tanjung%20Redeb\2-15.%20SUTR%20JL.%20SIRANUDDIN%20-%20JL.%20P%20DIULU\JTR%20-%20JL.%20SIRANUDDIN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LISDES%20NEW%202017%20REVISI/BERAU%202017/Usulan%20Penambahan%20Jaringan%20SUTR%20Tersebar%20Rayon%20TJR/2-17.%20SUTR%20SAMBURAKAT,%20SIRANUDIN,%20MUTIARA%20GUNTA/Samburakat%20dan%20Gunta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3\e\LISDES%20NEW%202017%20REVISI\Lisdes%202017\Kab%20Berau\Penambahan%20Jaringan%20SUTM,%20SUTR,%20tersebar%20dilingkungan%20tanjung%20Redeb\2-17.%20SUTR%20SAMBURAKAT,%20SIRANUDIN,%20MUTIARA%20GUNTA\Samburakat%20dan%20Gunta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LISDES%20NEW%202017%20REVISI/BERAU%202017/MERASA/RAB%20MERASA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3\e\LISDES%20NEW%202017%20REVISI\Lisdes%202017\Kab%20Berau\PLTD%20MERASA\RAB%20MERASA%20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lients\PLN\PLN%20Budget\PLN%20budget%20forms\Lk200312-02-03-04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3\e\LISDES%20NEW%202017%20REVISI\Lisdes%202017\Kab%20Malinau\RIAN%20-%20SAPARI%20&amp;%20RIAN%20RAYO%20(Autosaved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3\e\LISDES%20NEW%202017%20REVISI\MALINAU%202017\DESA%20KUALA%20LAPANG%20-%20JL.%20GRAHA%20PEMUDA\DESA%20KUALA%20LAPANG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3\e\LISDES%20NEW%202017%20REVISI\MALINAU%202017\DESA%20MALINAU%20KOTA%20-%20RT15%20JALAN%20BARU\DESA%20MALINAU%20KOTA%20-%20RT15%20JALAN%20BARU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3\e\LISDES%20NEW%202017%20REVISI\MALINAU%202017\DESA%20LUBAK%20MANIS%20-%20JL.%20SEMENGARIS%202\DESA%20LUBAK%20MANIS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3\e\LISDES%20NEW%202017%20REVISI\Lisdes%202017\Kab%20Malinau\RAB%20DESA%20BELAYAN%20ARI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3\e\LISDES%20NEW%202017%20REVISI\Lisdes%202017\Kab%20Malinau\DESA%20SESUA%20-%20RT%20II%20DAN%20RT%20V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3\e\LISDES%20NEW%202017%20REVISI\MALINAU%202017\DESA%20MALINAU%20HILIR%20-%20JL.%20TANI%20S.D%20SWADAYA\DESA%20MALINAU%20HILIR%20-%20JL.%20TANI%20S.D%20SWADAYA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3\e\LISDES%20NEW%202017%20REVISI\MALINAU%202017\DESA%20MALINAU%20KOTA%20-%20SIMPANG%204%20MANGGRIS%20ARAH%20HAULING\DESA%20MALINAU%20KOTA%20-%20SIMPANG%204%20MANGGRIS%20ARAH%20HAULING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3\e\LISDES%20NEW%202017%20REVISI\MALINAU%202017\DESA%20PUNAN%20BENGALUN%20-%20JL%20MANGKUASAR\DESA%20PUNAN%20BENGALUN%20-%20JL%20MANGKUASAR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3\e\LISDES%20NEW%202017%20REVISI\MALINAU%202017\DESA%20RESPEN%20TUBU%20-%20JL.%20POLTEK\DESA%20RESPEN%20TUBU%20-%20JL.%20POLTE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LISDES%20NEW%202017%20REVISI/BERAU%202017/KELAY/RAB%20KELAY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3\e\LISDES%20NEW%202017%20REVISI\MALINAU%202017\DESA%20SEMPAYANG%20-%20SEMPAYANG%20SEBERANG\DESA%20SEMPAYANG%20-%20SEMPAYANG%20SEBERANG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3\e\LISDES%20NEW%202017%20REVISI\MALINAU%202017\DESA%20SEMENGGOL%20-%20GANG%20ARGUMA\DESA%20SEMENGGOL%20-%20GANG%20ARGUMA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3\e\LISDES%20NEW%202017%20REVISI\Lisdes%202017\Kab%20Nunukan\DESA%20TEPIAN\RAB%20DESA%20TEPIAN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3\e\LISDES%20NEW%202017%20REVISI\Lisdes%202017\Kab%20Nunukan\KP%20BARU\RAB%20KP%20BARU%20TM%20TR%20GARDU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3\e\LISDES%20NEW%202017%20REVISI\Lisdes%202017\Kab%20Nunukan\Nunukan%20Tanjung%20Mentri\RAB%20TIANG%20TANJUNG%20MENTRI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3\e\LISDES%20NEW%202017%20REVISI\Lisdes%202017\Kab%20Nunukan\perluasan%20tulin%20onsoi\RAB%20TULIN%20ONSOI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3\e\LISDES%20NEW%202017%20REVISI\Lisdes%202017\Kab%20Nunukan\PAMTAS%20BUKIT%20KERAMAT%20+%20KMP.TEBOL%20SKITAR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3\e\LISDES%20NEW%202017%20REVISI\Lisdes%202017\Kab%20Nunukan\PAMTAS%20BAMBANGAN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3\e\LISDES%20NEW%202017%20REVISI\Lisdes%202017\Kab%20Nunukan\POS%20PAMTAS%20DESA%20SEKADUYANTAKA\RAB%20PAMTAS%20SEKAADUYANTAKA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3\e\LISDES%20NEW%202017%20REVISI\BULUNGAN%202017\PERLUASAN%20JL%20SABANAR%20LAMA-SABANAR%20BARU\PERLUASAN%20JL%20SABANAR%20LAMA-SABANAR%20BARU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3\e\LISDES%20NEW%202017%20REVISI\BERAU%202017\KELAY\RAB%20KELAY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3\e\LISDES%20NEW%202017%20REVISI\BULUNGAN%202017\PERLUASAN%20JALAN%20POROS%20SALIM%20BATU\PERLUASAN%20JALAN%20POROS%20SALIM%20BATU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3\e\LISDES%20NEW%202017%20REVISI\BULUNGAN%202017\PEJALIN\PEJALIN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3\e\LISDES%20NEW%202017%20REVISI\Lisdes%202017\Kab%20Bulungan\Perluasan%20Jaringan%20SUTM,%20SUTR%20tersebar%20dirayon%20tanjung%20selor\2%20Format%20Rencana%20AI%20Perluasan%202017%20RTJS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3\e\LISDES%20NEW%202017%20REVISI\Lisdes%202017\Kab%20Bulungan\Perluasan%20Jaringan%20SUTM,%20SUTR%20tersebar%20dirayon%20tanjung%20selor\Perluasan%20SUTM,%20SUTR,%20Gardu%20Tersebar%202017%20FIX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67\krayan\LONG%20MIDANG%20KRAYAN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67\krayan\TANJUNG%20KARYA%20-%20KRAYAN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LISDES%20NEW%202017%20REVISI/BERAU%202017/Usulan%20Penambahan%20Jaringan%20SUTR%20Tersebar%20Rayon%20TJR/2-15.%20SUTR%20JL.%20SIRANUDDIN%20-%20JL.%20P%20DIULU/JTR%20-%20JL.%20SIRANUDDIN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LISDES%20NEW%202017%20REVISI/BERAU%202017/Usulan%20Penambahan%20Jaringan%20SUTR%20Tersebar%20Rayon%20TJR/2-16.%20SUTR%20JL.%20PARIBAU%20DEPAN%20BENGKEL/JTR%20-%20JL.%20PARIBAU%20DEPAN%20BENGKEL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LISDES%20NEW%202017%20REVISI/BERAU%202017/Usulan%20Penambahan%20Jaringan%20SUTR%20Tersebar%20Rayon%20TJR/9.%20USULAN%20TR%20SKUDRON/SUTR%20SKUDRON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LISDES%20NEW%202017%20REVISI/BERAU%202017/Usulan%20Penambahan%20Jaringan%20SUTR%20Tersebar%20Rayon%20TJR/11.%20USULAN%20TR%20SIDUUNG%20UJUNG/SUTR%20SIDUUNG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LISDES%20NEW%202017%20REVISI/BERAU%202017/MANGKAJANG-MANTARITIP/MANTARTIP%202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LISDES%20NEW%202017%20REVISI/TANA%20TIDUNG%202017/RIAN%20-%20SAPARI%20&amp;%20RIAN%20RAYO/RIAN%20-%20SAPARI%20&amp;%20RIAN%20RAYO%20(Autosaved)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LISDES%20NEW%202017%20REVISI/MALINAU/DESA%20KELAPIS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LISDES%20NEW%202017%20REVISI/MALINAU/DESA%20KUALA%20LAPANG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LISDES%20NEW%202017%20REVISI/MALINAU/DESA%20MALINAU%20KOTA%20-%20RT15%20JALAN%20BARU.xlsx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LISDES%20NEW%202017%20REVISI/MALINAU%202017/DESA%20LUBAK%20MANIS%20-%20JL.%20SEMENGARIS%202/DESA%20LUBAK%20MANIS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LISDES%20NEW%202017%20REVISI/MALINAU%202017/DESA%20MALINAU%20HILIR%20-%20JL.%20TANI%20S.D%20SWADAYA/DESA%20MALINAU%20HILIR%20-%20JL.%20TANI%20S.D%20SWADAYA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LISDES%20NEW%202017%20REVISI/MALINAU%202017/DESA%20MALINAU%20KOTA%20-%20SIMPANG%204%20MANGGRIS%20ARAH%20HAULING/DESA%20MALINAU%20KOTA%20-%20SIMPANG%204%20MANGGRIS%20ARAH%20HAULING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LISDES%20NEW%202017%20REVISI/MALINAU%202017/DESA%20PUNAN%20BENGALUN%20-%20JL%20MANGKUASAR/DESA%20PUNAN%20BENGALUN%20-%20JL%20MANGKUASAR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LISDES%20NEW%202017%20REVISI/MALINAU%202017/DESA%20RESPEN%20TUBU%20-%20JL.%20POLTEK/DESA%20RESPEN%20TUBU%20-%20JL.%20POLTEK.xlsx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LISDES%20NEW%202017%20REVISI/MALINAU%202017/DESA%20SEMPAYANG%20-%20SEMPAYANG%20SEBERANG/DESA%20SEMPAYANG%20-%20SEMPAYANG%20SEBERANG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3\e\LISDES%20NEW%202017%20REVISI\BERAU%202017\MANGKAJANG-MANTARITIP\MANTARTIP%202.xlsx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LISDES%20NEW%202017%20REVISI/MALINAU%202017/DESA%20SEMENGGOL%20-%20GANG%20ARGUMA/DESA%20SEMENGGOL%20-%20GANG%20ARGUMA.xlsx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LISDES%20NEW%202017%20REVISI/MALINAU%202017/DESA%20SESUA%20-%20RT%20II%20DAN%20RT%20V/DESA%20SESUA%20-%20RT%20II%20DAN%20RT%20V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LISDES%20NEW%202017%20REVISI/NUNUKAN%202017/DESA%20TEPIAN/RAB%20DESA%20TEPIAN.xlsx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LISDES%20NEW%202017%20REVISI/NUNUKAN%202017/KP%20BARU/RAB%20KP%20BARU%20TM%20TR%20GARDU.xlsx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LISDES%20NEW%202017%20REVISI/NUNUKAN%202017/POS%20PAMTAS%20DESA%20SEKADUYANTAKA/RAB%20PAMTAS%20SEKAADUYANTAKA.xlsx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LISDES%20NEW%202017%20REVISI/BULUNGAN%202017/PERLUASAN%20JL%20SABANAR%20LAMA-SABANAR%20BARU/PERLUASAN%20JL%20SABANAR%20LAMA-SABANAR%20BARU.xlsx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LISDES%20NEW%202017%20REVISI/BULUNGAN%202017/PERLUASAN%20JALAN%20POROS%20SALIM%20BATU/PERLUASAN%20JALAN%20POROS%20SALIM%20BATU.xlsx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LISDES%20NEW%202017%20REVISI/BULUNGAN%202017/PEJALIN/PEJALIN.xlsx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LISDES%20NEW%202017%20REVISI/BULUNGAN%202017/Perluasan%20Jaringan%20SUTM,%20SUTR%20tersebar%20dirayon%20tanjung%20selor/Perluasan%20SUTM,%20SUTR,%20Gardu%20Tersebar%202017%20FIX.xlsx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LISDES%20NEW%202017%20REVISI/NUNUKAN%202017/LONG%20MIDANG%20KRAYAN/LONG%20MIDANG%20KRAYA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HN-6"/>
      <sheetName val="Current"/>
      <sheetName val="Resume"/>
    </sheetNames>
    <sheetDataSet>
      <sheetData sheetId="0">
        <row r="122">
          <cell r="D122" t="str">
            <v>Jam .mnt</v>
          </cell>
          <cell r="E122" t="str">
            <v>Jam .mnt</v>
          </cell>
          <cell r="F122" t="str">
            <v>Jam .mnt</v>
          </cell>
          <cell r="G122" t="str">
            <v>Jam .mnt</v>
          </cell>
          <cell r="H122" t="str">
            <v>Jam .mnt</v>
          </cell>
          <cell r="I122" t="str">
            <v>Jam .mnt</v>
          </cell>
        </row>
        <row r="137">
          <cell r="D137">
            <v>327.20999999999998</v>
          </cell>
          <cell r="E137">
            <v>327.05</v>
          </cell>
          <cell r="F137">
            <v>500</v>
          </cell>
          <cell r="G137">
            <v>338.21</v>
          </cell>
          <cell r="H137">
            <v>220.52</v>
          </cell>
          <cell r="I137">
            <v>274.5</v>
          </cell>
        </row>
      </sheetData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rumus TM"/>
      <sheetName val="SUTM"/>
      <sheetName val="GARDU"/>
      <sheetName val="RAB SUTR"/>
      <sheetName val="SLD"/>
      <sheetName val="SLD tanpa ukuran kabel"/>
      <sheetName val="GOOGLE EARTH"/>
    </sheetNames>
    <sheetDataSet>
      <sheetData sheetId="0" refreshError="1"/>
      <sheetData sheetId="1">
        <row r="16">
          <cell r="G16">
            <v>350</v>
          </cell>
        </row>
        <row r="17">
          <cell r="G17">
            <v>1077</v>
          </cell>
        </row>
        <row r="18">
          <cell r="G18">
            <v>282</v>
          </cell>
        </row>
        <row r="19">
          <cell r="G19">
            <v>54896.94</v>
          </cell>
        </row>
        <row r="21">
          <cell r="G21">
            <v>25</v>
          </cell>
        </row>
      </sheetData>
      <sheetData sheetId="2">
        <row r="17">
          <cell r="F17">
            <v>10</v>
          </cell>
        </row>
        <row r="18">
          <cell r="F18">
            <v>15</v>
          </cell>
        </row>
        <row r="19">
          <cell r="F19">
            <v>15</v>
          </cell>
        </row>
        <row r="20">
          <cell r="F20">
            <v>30</v>
          </cell>
        </row>
        <row r="26">
          <cell r="F26">
            <v>5</v>
          </cell>
        </row>
        <row r="32">
          <cell r="F32">
            <v>360</v>
          </cell>
        </row>
        <row r="33">
          <cell r="F33">
            <v>180</v>
          </cell>
        </row>
      </sheetData>
      <sheetData sheetId="3">
        <row r="12">
          <cell r="F12">
            <v>15156.45</v>
          </cell>
        </row>
        <row r="14">
          <cell r="F14">
            <v>99</v>
          </cell>
        </row>
        <row r="15">
          <cell r="F15">
            <v>6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00.xml><?xml version="1.0" encoding="utf-8"?>
<externalLink xmlns="http://schemas.openxmlformats.org/spreadsheetml/2006/main">
  <externalBook xmlns:r="http://schemas.openxmlformats.org/officeDocument/2006/relationships" r:id="rId1">
    <sheetNames>
      <sheetName val="rumus TM"/>
      <sheetName val="SUTM"/>
      <sheetName val="GARDU"/>
      <sheetName val="SUTR"/>
      <sheetName val="SLD"/>
      <sheetName val="SLD tanpa ukuran kabel"/>
      <sheetName val="GOOGLE EARTH"/>
      <sheetName val="REKAP"/>
    </sheetNames>
    <sheetDataSet>
      <sheetData sheetId="0" refreshError="1"/>
      <sheetData sheetId="1">
        <row r="16">
          <cell r="G16">
            <v>362</v>
          </cell>
        </row>
        <row r="17">
          <cell r="G17">
            <v>1089</v>
          </cell>
        </row>
        <row r="18">
          <cell r="G18">
            <v>294</v>
          </cell>
        </row>
        <row r="19">
          <cell r="G19">
            <v>57645</v>
          </cell>
        </row>
        <row r="21">
          <cell r="G21">
            <v>19</v>
          </cell>
        </row>
      </sheetData>
      <sheetData sheetId="2">
        <row r="16">
          <cell r="F16">
            <v>12</v>
          </cell>
        </row>
        <row r="17">
          <cell r="F17">
            <v>15</v>
          </cell>
        </row>
        <row r="18">
          <cell r="F18">
            <v>15</v>
          </cell>
        </row>
        <row r="19">
          <cell r="F19">
            <v>30</v>
          </cell>
        </row>
        <row r="25">
          <cell r="F25">
            <v>6</v>
          </cell>
        </row>
        <row r="31">
          <cell r="F31">
            <v>432</v>
          </cell>
        </row>
        <row r="32">
          <cell r="F32">
            <v>216</v>
          </cell>
        </row>
      </sheetData>
      <sheetData sheetId="3">
        <row r="15">
          <cell r="E15">
            <v>5857.95</v>
          </cell>
        </row>
        <row r="17">
          <cell r="F17">
            <v>8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01.xml><?xml version="1.0" encoding="utf-8"?>
<externalLink xmlns="http://schemas.openxmlformats.org/spreadsheetml/2006/main">
  <externalBook xmlns:r="http://schemas.openxmlformats.org/officeDocument/2006/relationships" r:id="rId1">
    <sheetNames>
      <sheetName val="rumus TM"/>
      <sheetName val="SUTM"/>
      <sheetName val="GARDU"/>
      <sheetName val="RAB SUTR"/>
      <sheetName val="SLD"/>
      <sheetName val="SLD tanpa ukuran kabel"/>
      <sheetName val="GOOGLE EARTH"/>
    </sheetNames>
    <sheetDataSet>
      <sheetData sheetId="0" refreshError="1"/>
      <sheetData sheetId="1">
        <row r="16">
          <cell r="G16">
            <v>136</v>
          </cell>
        </row>
        <row r="17">
          <cell r="G17">
            <v>457</v>
          </cell>
        </row>
        <row r="18">
          <cell r="G18">
            <v>99</v>
          </cell>
        </row>
        <row r="19">
          <cell r="G19">
            <v>21735</v>
          </cell>
        </row>
        <row r="21">
          <cell r="G21">
            <v>26</v>
          </cell>
        </row>
      </sheetData>
      <sheetData sheetId="2">
        <row r="17">
          <cell r="E17">
            <v>6</v>
          </cell>
        </row>
        <row r="18">
          <cell r="F18">
            <v>9</v>
          </cell>
        </row>
        <row r="19">
          <cell r="F19">
            <v>9</v>
          </cell>
        </row>
        <row r="20">
          <cell r="F20">
            <v>18</v>
          </cell>
        </row>
        <row r="26">
          <cell r="F26">
            <v>3</v>
          </cell>
        </row>
        <row r="32">
          <cell r="F32">
            <v>216</v>
          </cell>
        </row>
        <row r="33">
          <cell r="F33">
            <v>108</v>
          </cell>
        </row>
      </sheetData>
      <sheetData sheetId="3">
        <row r="12">
          <cell r="F12">
            <v>4681.3500000000004</v>
          </cell>
        </row>
        <row r="14">
          <cell r="F14">
            <v>26</v>
          </cell>
        </row>
        <row r="15">
          <cell r="E15">
            <v>1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02.xml><?xml version="1.0" encoding="utf-8"?>
<externalLink xmlns="http://schemas.openxmlformats.org/spreadsheetml/2006/main">
  <externalBook xmlns:r="http://schemas.openxmlformats.org/officeDocument/2006/relationships" r:id="rId1">
    <sheetNames>
      <sheetName val="rumus TM"/>
      <sheetName val="SUTM"/>
      <sheetName val="GARDU"/>
      <sheetName val="RAB SUTR"/>
      <sheetName val="SLD"/>
      <sheetName val="SLD tanpa ukuran kabel"/>
      <sheetName val="GOOGLE EARTH"/>
    </sheetNames>
    <sheetDataSet>
      <sheetData sheetId="0" refreshError="1"/>
      <sheetData sheetId="1">
        <row r="16">
          <cell r="G16">
            <v>10</v>
          </cell>
        </row>
        <row r="17">
          <cell r="G17">
            <v>25</v>
          </cell>
        </row>
        <row r="18">
          <cell r="G18">
            <v>12</v>
          </cell>
        </row>
        <row r="19">
          <cell r="G19">
            <v>3465</v>
          </cell>
        </row>
        <row r="21">
          <cell r="G21">
            <v>1</v>
          </cell>
        </row>
      </sheetData>
      <sheetData sheetId="2">
        <row r="17">
          <cell r="F17">
            <v>2</v>
          </cell>
        </row>
        <row r="18">
          <cell r="F18">
            <v>3</v>
          </cell>
        </row>
        <row r="19">
          <cell r="F19">
            <v>3</v>
          </cell>
        </row>
        <row r="20">
          <cell r="F20">
            <v>6</v>
          </cell>
        </row>
        <row r="26">
          <cell r="F26">
            <v>1</v>
          </cell>
        </row>
        <row r="32">
          <cell r="F32">
            <v>72</v>
          </cell>
        </row>
        <row r="33">
          <cell r="F33">
            <v>36</v>
          </cell>
        </row>
      </sheetData>
      <sheetData sheetId="3">
        <row r="12">
          <cell r="F12">
            <v>509.85</v>
          </cell>
        </row>
        <row r="14">
          <cell r="F14">
            <v>10</v>
          </cell>
        </row>
        <row r="15">
          <cell r="F15">
            <v>2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03.xml><?xml version="1.0" encoding="utf-8"?>
<externalLink xmlns="http://schemas.openxmlformats.org/spreadsheetml/2006/main">
  <externalBook xmlns:r="http://schemas.openxmlformats.org/officeDocument/2006/relationships" r:id="rId1">
    <sheetNames>
      <sheetName val="SUTM"/>
      <sheetName val="RAB SUTM"/>
      <sheetName val="RAB GARDU"/>
      <sheetName val="SUTR"/>
    </sheetNames>
    <sheetDataSet>
      <sheetData sheetId="0" refreshError="1"/>
      <sheetData sheetId="1">
        <row r="14">
          <cell r="E14">
            <v>23082.3</v>
          </cell>
        </row>
        <row r="15">
          <cell r="E15">
            <v>158</v>
          </cell>
        </row>
        <row r="16">
          <cell r="E16">
            <v>638</v>
          </cell>
        </row>
        <row r="17">
          <cell r="E17">
            <v>102</v>
          </cell>
        </row>
        <row r="18">
          <cell r="E18">
            <v>27</v>
          </cell>
        </row>
      </sheetData>
      <sheetData sheetId="2">
        <row r="14">
          <cell r="F14">
            <v>8</v>
          </cell>
        </row>
        <row r="15">
          <cell r="F15">
            <v>12</v>
          </cell>
        </row>
        <row r="16">
          <cell r="F16">
            <v>12</v>
          </cell>
        </row>
        <row r="17">
          <cell r="F17">
            <v>24</v>
          </cell>
        </row>
        <row r="23">
          <cell r="F23">
            <v>4</v>
          </cell>
        </row>
        <row r="29">
          <cell r="F29">
            <v>224</v>
          </cell>
        </row>
        <row r="30">
          <cell r="F30">
            <v>144</v>
          </cell>
        </row>
      </sheetData>
      <sheetData sheetId="3">
        <row r="14">
          <cell r="F14">
            <v>5237.55</v>
          </cell>
        </row>
        <row r="16">
          <cell r="E16">
            <v>11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>
  <externalBook xmlns:r="http://schemas.openxmlformats.org/officeDocument/2006/relationships" r:id="rId1">
    <sheetNames>
      <sheetName val="rumus TM"/>
      <sheetName val="SUTM"/>
      <sheetName val="GARDU"/>
      <sheetName val="RAB SUTR"/>
      <sheetName val="SLD"/>
      <sheetName val="SLD tanpa ukuran kabel"/>
      <sheetName val="GOOGLE EARTH"/>
    </sheetNames>
    <sheetDataSet>
      <sheetData sheetId="0" refreshError="1"/>
      <sheetData sheetId="1">
        <row r="16">
          <cell r="G16">
            <v>128</v>
          </cell>
        </row>
        <row r="17">
          <cell r="G17">
            <v>417</v>
          </cell>
        </row>
        <row r="18">
          <cell r="G18">
            <v>78</v>
          </cell>
        </row>
        <row r="19">
          <cell r="G19">
            <v>20790</v>
          </cell>
        </row>
        <row r="21">
          <cell r="G21">
            <v>11</v>
          </cell>
        </row>
      </sheetData>
      <sheetData sheetId="2">
        <row r="15">
          <cell r="F15">
            <v>4</v>
          </cell>
        </row>
        <row r="16">
          <cell r="F16">
            <v>9</v>
          </cell>
        </row>
        <row r="17">
          <cell r="F17">
            <v>9</v>
          </cell>
        </row>
        <row r="18">
          <cell r="F18">
            <v>18</v>
          </cell>
        </row>
        <row r="24">
          <cell r="F24">
            <v>3</v>
          </cell>
        </row>
        <row r="30">
          <cell r="F30">
            <v>216</v>
          </cell>
        </row>
        <row r="31">
          <cell r="F31">
            <v>108</v>
          </cell>
        </row>
      </sheetData>
      <sheetData sheetId="3">
        <row r="12">
          <cell r="F12">
            <v>6489</v>
          </cell>
        </row>
        <row r="14">
          <cell r="F14">
            <v>23</v>
          </cell>
        </row>
        <row r="15">
          <cell r="F15">
            <v>5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rumus TM"/>
      <sheetName val="SUTM"/>
      <sheetName val="GARDU"/>
      <sheetName val="RAB SUTR"/>
      <sheetName val="SLD"/>
      <sheetName val="SLD tanpa ukuran kabel"/>
      <sheetName val="GOOGLE EARTH"/>
    </sheetNames>
    <sheetDataSet>
      <sheetData sheetId="0" refreshError="1"/>
      <sheetData sheetId="1">
        <row r="51">
          <cell r="K51">
            <v>6983723469.8308001</v>
          </cell>
        </row>
      </sheetData>
      <sheetData sheetId="2">
        <row r="64">
          <cell r="J64">
            <v>673429839.5</v>
          </cell>
        </row>
      </sheetData>
      <sheetData sheetId="3">
        <row r="40">
          <cell r="K40">
            <v>1866958747.1424999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RAB SUTR"/>
      <sheetName val="GARDU"/>
    </sheetNames>
    <sheetDataSet>
      <sheetData sheetId="0">
        <row r="12">
          <cell r="F12">
            <v>978.5</v>
          </cell>
        </row>
        <row r="14">
          <cell r="E14">
            <v>7</v>
          </cell>
        </row>
        <row r="15">
          <cell r="F15">
            <v>1</v>
          </cell>
        </row>
      </sheetData>
      <sheetData sheetId="1">
        <row r="15">
          <cell r="F15">
            <v>4</v>
          </cell>
        </row>
        <row r="16">
          <cell r="F16">
            <v>3</v>
          </cell>
        </row>
        <row r="17">
          <cell r="F17">
            <v>3</v>
          </cell>
        </row>
        <row r="18">
          <cell r="F18">
            <v>6</v>
          </cell>
        </row>
        <row r="24">
          <cell r="F24">
            <v>1</v>
          </cell>
        </row>
        <row r="30">
          <cell r="F30">
            <v>72</v>
          </cell>
        </row>
        <row r="31">
          <cell r="F31">
            <v>36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RAB SUTR"/>
      <sheetName val="GARDU"/>
    </sheetNames>
    <sheetDataSet>
      <sheetData sheetId="0">
        <row r="40">
          <cell r="K40">
            <v>131006034.48900001</v>
          </cell>
        </row>
      </sheetData>
      <sheetData sheetId="1">
        <row r="60">
          <cell r="J60">
            <v>229716116.30000001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JTM"/>
      <sheetName val="Gardu"/>
      <sheetName val="SUTR"/>
      <sheetName val="Sheet1"/>
    </sheetNames>
    <sheetDataSet>
      <sheetData sheetId="0">
        <row r="17">
          <cell r="K17">
            <v>12240</v>
          </cell>
        </row>
        <row r="18">
          <cell r="K18">
            <v>60</v>
          </cell>
        </row>
        <row r="22">
          <cell r="K22">
            <v>166</v>
          </cell>
        </row>
        <row r="23">
          <cell r="K23">
            <v>33</v>
          </cell>
        </row>
      </sheetData>
      <sheetData sheetId="1">
        <row r="26">
          <cell r="K26">
            <v>4</v>
          </cell>
        </row>
        <row r="29">
          <cell r="K29">
            <v>12</v>
          </cell>
        </row>
        <row r="30">
          <cell r="K30">
            <v>6</v>
          </cell>
        </row>
        <row r="31">
          <cell r="K31">
            <v>6</v>
          </cell>
        </row>
        <row r="40">
          <cell r="K40">
            <v>2</v>
          </cell>
        </row>
        <row r="42">
          <cell r="K42">
            <v>72</v>
          </cell>
        </row>
        <row r="43">
          <cell r="K43">
            <v>154</v>
          </cell>
        </row>
      </sheetData>
      <sheetData sheetId="2">
        <row r="13">
          <cell r="AF13">
            <v>1545</v>
          </cell>
        </row>
        <row r="16">
          <cell r="AF16">
            <v>30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JTM"/>
      <sheetName val="Gardu"/>
      <sheetName val="SUTR"/>
      <sheetName val="Sheet1"/>
    </sheetNames>
    <sheetDataSet>
      <sheetData sheetId="0">
        <row r="100">
          <cell r="O100">
            <v>1234724399.7</v>
          </cell>
        </row>
      </sheetData>
      <sheetData sheetId="1">
        <row r="91">
          <cell r="O91">
            <v>352085980.39999998</v>
          </cell>
        </row>
      </sheetData>
      <sheetData sheetId="2">
        <row r="64">
          <cell r="AJ64">
            <v>269293503.38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rumus TM"/>
      <sheetName val="SUTM"/>
      <sheetName val="GARDU"/>
      <sheetName val="SUTR"/>
      <sheetName val="SLD"/>
      <sheetName val="SLD tanpa ukuran kabel"/>
      <sheetName val="GOOGLE EARTH"/>
    </sheetNames>
    <sheetDataSet>
      <sheetData sheetId="0" refreshError="1"/>
      <sheetData sheetId="1">
        <row r="16">
          <cell r="G16">
            <v>43</v>
          </cell>
        </row>
        <row r="17">
          <cell r="G17">
            <v>115</v>
          </cell>
        </row>
        <row r="18">
          <cell r="G18">
            <v>30</v>
          </cell>
        </row>
        <row r="19">
          <cell r="G19">
            <v>7245</v>
          </cell>
        </row>
        <row r="21">
          <cell r="G21">
            <v>2</v>
          </cell>
        </row>
      </sheetData>
      <sheetData sheetId="2">
        <row r="15">
          <cell r="F15">
            <v>4</v>
          </cell>
        </row>
        <row r="16">
          <cell r="F16">
            <v>6</v>
          </cell>
        </row>
        <row r="17">
          <cell r="F17">
            <v>6</v>
          </cell>
        </row>
        <row r="18">
          <cell r="F18">
            <v>12</v>
          </cell>
        </row>
        <row r="24">
          <cell r="F24">
            <v>2</v>
          </cell>
        </row>
        <row r="30">
          <cell r="F30">
            <v>144</v>
          </cell>
        </row>
        <row r="31">
          <cell r="F31">
            <v>72</v>
          </cell>
        </row>
      </sheetData>
      <sheetData sheetId="3">
        <row r="15">
          <cell r="F15">
            <v>2729.5</v>
          </cell>
        </row>
        <row r="17">
          <cell r="F17">
            <v>11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rumus TM"/>
      <sheetName val="SUTM"/>
      <sheetName val="GARDU"/>
      <sheetName val="SUTR"/>
      <sheetName val="SLD"/>
      <sheetName val="SLD tanpa ukuran kabel"/>
      <sheetName val="GOOGLE EARTH"/>
    </sheetNames>
    <sheetDataSet>
      <sheetData sheetId="0" refreshError="1"/>
      <sheetData sheetId="1">
        <row r="51">
          <cell r="K51">
            <v>862276804.39999998</v>
          </cell>
        </row>
      </sheetData>
      <sheetData sheetId="2">
        <row r="60">
          <cell r="J60">
            <v>271576872.60000002</v>
          </cell>
        </row>
      </sheetData>
      <sheetData sheetId="3">
        <row r="41">
          <cell r="J41">
            <v>297851944.86299998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JTM"/>
      <sheetName val="Gardu"/>
      <sheetName val="SUTR"/>
      <sheetName val="Sheet1"/>
    </sheetNames>
    <sheetDataSet>
      <sheetData sheetId="0">
        <row r="17">
          <cell r="K17">
            <v>5508</v>
          </cell>
        </row>
        <row r="18">
          <cell r="K18">
            <v>39</v>
          </cell>
        </row>
        <row r="23">
          <cell r="K23">
            <v>27</v>
          </cell>
        </row>
      </sheetData>
      <sheetData sheetId="1">
        <row r="20">
          <cell r="K20">
            <v>2</v>
          </cell>
        </row>
        <row r="23">
          <cell r="K23">
            <v>6</v>
          </cell>
        </row>
        <row r="24">
          <cell r="K24">
            <v>3</v>
          </cell>
        </row>
        <row r="25">
          <cell r="K25">
            <v>3</v>
          </cell>
        </row>
        <row r="34">
          <cell r="K34">
            <v>1</v>
          </cell>
        </row>
        <row r="36">
          <cell r="K36">
            <v>36</v>
          </cell>
        </row>
        <row r="37">
          <cell r="K37">
            <v>72</v>
          </cell>
        </row>
      </sheetData>
      <sheetData sheetId="2">
        <row r="15">
          <cell r="AE15">
            <v>2266</v>
          </cell>
        </row>
        <row r="18">
          <cell r="AE18">
            <v>5</v>
          </cell>
        </row>
      </sheetData>
      <sheetData sheetId="3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JTM"/>
      <sheetName val="Gardu"/>
      <sheetName val="SUTR"/>
      <sheetName val="Sheet1"/>
    </sheetNames>
    <sheetDataSet>
      <sheetData sheetId="0">
        <row r="99">
          <cell r="O99">
            <v>736895759.16000009</v>
          </cell>
        </row>
      </sheetData>
      <sheetData sheetId="1">
        <row r="85">
          <cell r="O85">
            <v>173102349.19999999</v>
          </cell>
        </row>
      </sheetData>
      <sheetData sheetId="2">
        <row r="66">
          <cell r="AI66">
            <v>181797266.41999999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HN-7"/>
      <sheetName val="TRANS"/>
      <sheetName val="FAS"/>
    </sheetNames>
    <sheetDataSet>
      <sheetData sheetId="0"/>
      <sheetData sheetId="1" refreshError="1"/>
      <sheetData sheetId="2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UTR"/>
    </sheetNames>
    <sheetDataSet>
      <sheetData sheetId="0">
        <row r="16">
          <cell r="AH16">
            <v>2029.1</v>
          </cell>
        </row>
        <row r="19">
          <cell r="AH19">
            <v>40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UTR"/>
    </sheetNames>
    <sheetDataSet>
      <sheetData sheetId="0">
        <row r="67">
          <cell r="AL67">
            <v>448019684.73900002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UTR"/>
    </sheetNames>
    <sheetDataSet>
      <sheetData sheetId="0">
        <row r="16">
          <cell r="AG16">
            <v>927</v>
          </cell>
        </row>
        <row r="19">
          <cell r="AG19">
            <v>18</v>
          </cell>
        </row>
        <row r="21">
          <cell r="AG21">
            <v>2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UTR"/>
    </sheetNames>
    <sheetDataSet>
      <sheetData sheetId="0">
        <row r="67">
          <cell r="AK67">
            <v>470144140.83999997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RAB SUTR"/>
    </sheetNames>
    <sheetDataSet>
      <sheetData sheetId="0">
        <row r="40">
          <cell r="L40">
            <v>172860920.23199999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RAB SUTR"/>
    </sheetNames>
    <sheetDataSet>
      <sheetData sheetId="0">
        <row r="12">
          <cell r="H12">
            <v>2163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RAB SUTR"/>
    </sheetNames>
    <sheetDataSet>
      <sheetData sheetId="0">
        <row r="12">
          <cell r="F12">
            <v>463.5</v>
          </cell>
        </row>
        <row r="14">
          <cell r="F14">
            <v>7</v>
          </cell>
        </row>
        <row r="15">
          <cell r="F15">
            <v>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RAB SUTR"/>
    </sheetNames>
    <sheetDataSet>
      <sheetData sheetId="0">
        <row r="40">
          <cell r="K40">
            <v>45311490.388999999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RAB SUTR"/>
    </sheetNames>
    <sheetDataSet>
      <sheetData sheetId="0">
        <row r="40">
          <cell r="K40">
            <v>97085969.474999994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RAB SUTR"/>
    </sheetNames>
    <sheetDataSet>
      <sheetData sheetId="0">
        <row r="12">
          <cell r="F12">
            <v>1287.5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RAB SUTR"/>
    </sheetNames>
    <sheetDataSet>
      <sheetData sheetId="0">
        <row r="14">
          <cell r="E14">
            <v>412</v>
          </cell>
          <cell r="F14">
            <v>772.5</v>
          </cell>
          <cell r="G14">
            <v>824</v>
          </cell>
        </row>
        <row r="16">
          <cell r="F16">
            <v>9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RAB SUTR"/>
    </sheetNames>
    <sheetDataSet>
      <sheetData sheetId="0">
        <row r="12">
          <cell r="F12">
            <v>824</v>
          </cell>
        </row>
        <row r="14">
          <cell r="F14">
            <v>16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RAB SUTR"/>
    </sheetNames>
    <sheetDataSet>
      <sheetData sheetId="0">
        <row r="40">
          <cell r="K40">
            <v>69747661.236000001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SUTR"/>
      <sheetName val="Sheet1"/>
    </sheetNames>
    <sheetDataSet>
      <sheetData sheetId="0">
        <row r="15">
          <cell r="AF15">
            <v>417.15000000000003</v>
          </cell>
        </row>
        <row r="18">
          <cell r="AF18">
            <v>9</v>
          </cell>
        </row>
      </sheetData>
      <sheetData sheetId="1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SUTR"/>
      <sheetName val="Sheet1"/>
    </sheetNames>
    <sheetDataSet>
      <sheetData sheetId="0">
        <row r="66">
          <cell r="AJ66">
            <v>103454889.55999999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SUTR"/>
    </sheetNames>
    <sheetDataSet>
      <sheetData sheetId="0">
        <row r="17">
          <cell r="E17">
            <v>807.5</v>
          </cell>
          <cell r="F17">
            <v>257.5</v>
          </cell>
          <cell r="G17">
            <v>515</v>
          </cell>
          <cell r="H17">
            <v>515</v>
          </cell>
        </row>
        <row r="20">
          <cell r="E20">
            <v>5</v>
          </cell>
          <cell r="F20">
            <v>5</v>
          </cell>
          <cell r="G20">
            <v>11</v>
          </cell>
          <cell r="H20">
            <v>11</v>
          </cell>
        </row>
        <row r="22">
          <cell r="F22">
            <v>1</v>
          </cell>
          <cell r="G22">
            <v>1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SUTR"/>
    </sheetNames>
    <sheetDataSet>
      <sheetData sheetId="0">
        <row r="67">
          <cell r="AM67">
            <v>351570978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SUTR"/>
      <sheetName val="Sheet1"/>
    </sheetNames>
    <sheetDataSet>
      <sheetData sheetId="0">
        <row r="15">
          <cell r="AF15">
            <v>417.15000000000003</v>
          </cell>
        </row>
        <row r="18">
          <cell r="AF18">
            <v>9</v>
          </cell>
        </row>
      </sheetData>
      <sheetData sheetId="1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SUTR"/>
      <sheetName val="Sheet1"/>
    </sheetNames>
    <sheetDataSet>
      <sheetData sheetId="0">
        <row r="65">
          <cell r="AJ65">
            <v>99109559.559999987</v>
          </cell>
        </row>
      </sheetData>
      <sheetData sheetId="1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SUTR"/>
    </sheetNames>
    <sheetDataSet>
      <sheetData sheetId="0">
        <row r="16">
          <cell r="E16">
            <v>875.5</v>
          </cell>
          <cell r="F16">
            <v>978.5</v>
          </cell>
          <cell r="G16">
            <v>1236</v>
          </cell>
        </row>
        <row r="19">
          <cell r="E19">
            <v>16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000000"/>
      <sheetName val="DAFISI"/>
      <sheetName val="Jelas"/>
      <sheetName val="Neraca"/>
      <sheetName val="LR"/>
      <sheetName val="LR_F"/>
      <sheetName val="Arus_Kas"/>
      <sheetName val="RE"/>
      <sheetName val="Cat"/>
      <sheetName val="BukuBesar"/>
      <sheetName val="L1_1"/>
      <sheetName val="L1_2"/>
      <sheetName val="L1_3"/>
      <sheetName val="L1_4"/>
      <sheetName val="L1_5"/>
      <sheetName val="L1_6"/>
      <sheetName val="L1_7"/>
      <sheetName val="L1_8"/>
      <sheetName val="L1_9"/>
      <sheetName val="L2_1"/>
      <sheetName val="L2_2"/>
      <sheetName val="L2_3"/>
      <sheetName val="L2_4"/>
      <sheetName val="L_2_4b"/>
      <sheetName val="L2_5"/>
      <sheetName val="L2_6"/>
      <sheetName val="L3_1"/>
      <sheetName val="L3_2"/>
      <sheetName val="L3_3"/>
      <sheetName val="L3_4"/>
      <sheetName val="L3_5"/>
      <sheetName val="L_4"/>
      <sheetName val="L_4_1"/>
      <sheetName val="L_5"/>
      <sheetName val="L_6"/>
      <sheetName val="L_7"/>
      <sheetName val="L_8a"/>
      <sheetName val="L_8b"/>
      <sheetName val="L_9"/>
      <sheetName val="L_10"/>
      <sheetName val="L_11"/>
      <sheetName val="L_12"/>
      <sheetName val="L_13"/>
      <sheetName val="L_14"/>
      <sheetName val="L_14b"/>
      <sheetName val="L_15"/>
      <sheetName val="L_16"/>
      <sheetName val="L_17"/>
      <sheetName val="L_18"/>
      <sheetName val="L_19"/>
      <sheetName val="L_20_1"/>
      <sheetName val="L_20_2"/>
      <sheetName val="L_21"/>
      <sheetName val="L_22"/>
      <sheetName val="L_23"/>
      <sheetName val="L_24"/>
      <sheetName val="L_25"/>
      <sheetName val="L_26"/>
      <sheetName val="L_27"/>
      <sheetName val="L_27_1"/>
      <sheetName val="L_27_2"/>
      <sheetName val="L_28a"/>
      <sheetName val="L_28b"/>
      <sheetName val="L_28c"/>
      <sheetName val="L_29"/>
      <sheetName val="GABUNGAN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SUTR"/>
    </sheetNames>
    <sheetDataSet>
      <sheetData sheetId="0">
        <row r="65">
          <cell r="AL65">
            <v>362872796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SUTR"/>
    </sheetNames>
    <sheetDataSet>
      <sheetData sheetId="0">
        <row r="16">
          <cell r="AF16">
            <v>206</v>
          </cell>
        </row>
        <row r="19">
          <cell r="AF19">
            <v>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SUTR"/>
    </sheetNames>
    <sheetDataSet>
      <sheetData sheetId="0">
        <row r="65">
          <cell r="AJ65">
            <v>61789380.399999999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Gardu"/>
      <sheetName val="SUTR"/>
      <sheetName val="Sheet1"/>
    </sheetNames>
    <sheetDataSet>
      <sheetData sheetId="0">
        <row r="17">
          <cell r="K17">
            <v>1</v>
          </cell>
        </row>
        <row r="23">
          <cell r="K23">
            <v>6</v>
          </cell>
        </row>
        <row r="24">
          <cell r="K24">
            <v>3</v>
          </cell>
        </row>
        <row r="25">
          <cell r="K25">
            <v>3</v>
          </cell>
        </row>
        <row r="34">
          <cell r="K34">
            <v>1</v>
          </cell>
        </row>
        <row r="36">
          <cell r="K36">
            <v>36</v>
          </cell>
        </row>
        <row r="37">
          <cell r="K37">
            <v>72</v>
          </cell>
        </row>
        <row r="85">
          <cell r="O85">
            <v>177507299.19999999</v>
          </cell>
        </row>
      </sheetData>
      <sheetData sheetId="1">
        <row r="15">
          <cell r="AF15">
            <v>2060</v>
          </cell>
        </row>
        <row r="18">
          <cell r="AF18">
            <v>20</v>
          </cell>
        </row>
      </sheetData>
      <sheetData sheetId="2" refreshError="1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Gardu"/>
      <sheetName val="SUTR"/>
      <sheetName val="Sheet1"/>
    </sheetNames>
    <sheetDataSet>
      <sheetData sheetId="0"/>
      <sheetData sheetId="1">
        <row r="64">
          <cell r="AJ64">
            <v>248501044</v>
          </cell>
        </row>
      </sheetData>
      <sheetData sheetId="2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SUTR"/>
      <sheetName val="Sheet1"/>
    </sheetNames>
    <sheetDataSet>
      <sheetData sheetId="0">
        <row r="66">
          <cell r="AJ66">
            <v>83928911.879999995</v>
          </cell>
        </row>
      </sheetData>
      <sheetData sheetId="1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SUTR"/>
    </sheetNames>
    <sheetDataSet>
      <sheetData sheetId="0">
        <row r="16">
          <cell r="E16">
            <v>772.5</v>
          </cell>
          <cell r="F16">
            <v>309</v>
          </cell>
          <cell r="G16">
            <v>309</v>
          </cell>
        </row>
        <row r="19">
          <cell r="E19">
            <v>15</v>
          </cell>
          <cell r="F19">
            <v>6</v>
          </cell>
          <cell r="G19">
            <v>6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SUTR"/>
    </sheetNames>
    <sheetDataSet>
      <sheetData sheetId="0">
        <row r="67">
          <cell r="AL67">
            <v>276920635.19999999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rumus TM"/>
      <sheetName val="SUTM"/>
      <sheetName val="GARDU"/>
      <sheetName val="RAB SUTR"/>
      <sheetName val="SLD"/>
      <sheetName val="SLD tanpa ukuran kabel"/>
      <sheetName val="GOOGLE EARTH"/>
    </sheetNames>
    <sheetDataSet>
      <sheetData sheetId="0" refreshError="1"/>
      <sheetData sheetId="1">
        <row r="16">
          <cell r="G16">
            <v>74</v>
          </cell>
        </row>
        <row r="17">
          <cell r="G17">
            <v>235</v>
          </cell>
        </row>
        <row r="18">
          <cell r="G18">
            <v>54</v>
          </cell>
        </row>
        <row r="19">
          <cell r="G19">
            <v>12600</v>
          </cell>
        </row>
        <row r="21">
          <cell r="G21">
            <v>7</v>
          </cell>
        </row>
      </sheetData>
      <sheetData sheetId="2">
        <row r="15">
          <cell r="F15">
            <v>4</v>
          </cell>
        </row>
        <row r="16">
          <cell r="F16">
            <v>9</v>
          </cell>
        </row>
        <row r="17">
          <cell r="F17">
            <v>9</v>
          </cell>
        </row>
        <row r="18">
          <cell r="F18">
            <v>18</v>
          </cell>
        </row>
        <row r="24">
          <cell r="F24">
            <v>3</v>
          </cell>
        </row>
        <row r="30">
          <cell r="F30">
            <v>216</v>
          </cell>
        </row>
        <row r="31">
          <cell r="F31">
            <v>108</v>
          </cell>
        </row>
      </sheetData>
      <sheetData sheetId="3">
        <row r="12">
          <cell r="F12">
            <v>3502</v>
          </cell>
        </row>
        <row r="14">
          <cell r="F14">
            <v>9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rumus TM"/>
      <sheetName val="SUTM"/>
      <sheetName val="GARDU"/>
      <sheetName val="RAB SUTR"/>
      <sheetName val="SLD"/>
      <sheetName val="SLD tanpa ukuran kabel"/>
      <sheetName val="GOOGLE EARTH"/>
    </sheetNames>
    <sheetDataSet>
      <sheetData sheetId="0"/>
      <sheetData sheetId="1">
        <row r="51">
          <cell r="K51">
            <v>1294179715.4000001</v>
          </cell>
        </row>
      </sheetData>
      <sheetData sheetId="2">
        <row r="60">
          <cell r="J60">
            <v>428318218.89999998</v>
          </cell>
        </row>
      </sheetData>
      <sheetData sheetId="3">
        <row r="40">
          <cell r="K40">
            <v>284376123.05300003</v>
          </cell>
        </row>
      </sheetData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HARGA SATUAN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THN-7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Code"/>
      <sheetName val="Da AN BRAT TWR"/>
      <sheetName val="Twr (15)"/>
      <sheetName val="Instalasi"/>
      <sheetName val="ACUAN"/>
      <sheetName val="GABLUARJAWA1 (2)"/>
      <sheetName val="W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rumus TM"/>
      <sheetName val="SUTM"/>
      <sheetName val="GARDU"/>
      <sheetName val="SUTR"/>
      <sheetName val="KUBIKASI"/>
    </sheetNames>
    <sheetDataSet>
      <sheetData sheetId="0"/>
      <sheetData sheetId="1">
        <row r="59">
          <cell r="K59">
            <v>8025155568.2649994</v>
          </cell>
        </row>
      </sheetData>
      <sheetData sheetId="2">
        <row r="60">
          <cell r="J60">
            <v>518066115.49460298</v>
          </cell>
        </row>
      </sheetData>
      <sheetData sheetId="3">
        <row r="43">
          <cell r="J43">
            <v>933985377.489236</v>
          </cell>
        </row>
      </sheetData>
      <sheetData sheetId="4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rumus TM"/>
      <sheetName val="SUTM"/>
      <sheetName val="GARDU"/>
      <sheetName val="RAB SUTR"/>
      <sheetName val="SLD"/>
      <sheetName val="SLD tanpa ukuran kabel"/>
      <sheetName val="GOOGLE EARTH"/>
    </sheetNames>
    <sheetDataSet>
      <sheetData sheetId="0" refreshError="1"/>
      <sheetData sheetId="1">
        <row r="51">
          <cell r="K51">
            <v>510783690.71465999</v>
          </cell>
        </row>
      </sheetData>
      <sheetData sheetId="2">
        <row r="64">
          <cell r="J64">
            <v>207563436.30000001</v>
          </cell>
        </row>
      </sheetData>
      <sheetData sheetId="3">
        <row r="40">
          <cell r="K40">
            <v>77192886.705000013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rumus TM"/>
      <sheetName val="SUTM"/>
      <sheetName val="GARDU"/>
      <sheetName val="RAB SUTR"/>
      <sheetName val="SLD"/>
      <sheetName val="SLD tanpa ukuran kabel"/>
      <sheetName val="GOOGLE EARTH"/>
    </sheetNames>
    <sheetDataSet>
      <sheetData sheetId="0" refreshError="1"/>
      <sheetData sheetId="1">
        <row r="52">
          <cell r="K52">
            <v>452314052.30000001</v>
          </cell>
        </row>
      </sheetData>
      <sheetData sheetId="2">
        <row r="64">
          <cell r="J64">
            <v>140463436.30000001</v>
          </cell>
        </row>
      </sheetData>
      <sheetData sheetId="3">
        <row r="40">
          <cell r="K40">
            <v>104771917.9375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rumus TM"/>
      <sheetName val="SUTM"/>
      <sheetName val="GARDU"/>
      <sheetName val="RAB SUTR"/>
      <sheetName val="SLD"/>
      <sheetName val="SLD tanpa ukuran kabel"/>
      <sheetName val="GOOGLE EARTH"/>
    </sheetNames>
    <sheetDataSet>
      <sheetData sheetId="0" refreshError="1"/>
      <sheetData sheetId="1">
        <row r="52">
          <cell r="K52">
            <v>301652160.58999997</v>
          </cell>
        </row>
      </sheetData>
      <sheetData sheetId="2">
        <row r="64">
          <cell r="J64">
            <v>140463436.30000001</v>
          </cell>
        </row>
      </sheetData>
      <sheetData sheetId="3">
        <row r="40">
          <cell r="K40">
            <v>113145798.70000002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SUTM"/>
      <sheetName val="RAB SUTM"/>
      <sheetName val="RAB GARDU"/>
      <sheetName val="SUTR"/>
    </sheetNames>
    <sheetDataSet>
      <sheetData sheetId="0" refreshError="1"/>
      <sheetData sheetId="1">
        <row r="46">
          <cell r="H46">
            <v>2824469326.5800004</v>
          </cell>
        </row>
      </sheetData>
      <sheetData sheetId="2">
        <row r="59">
          <cell r="J59">
            <v>476650649.19999999</v>
          </cell>
        </row>
      </sheetData>
      <sheetData sheetId="3">
        <row r="41">
          <cell r="J41">
            <v>422477597.82250011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SUTM"/>
      <sheetName val="RAB SUTM"/>
      <sheetName val="RAB GARDU"/>
      <sheetName val="SUTR"/>
    </sheetNames>
    <sheetDataSet>
      <sheetData sheetId="0" refreshError="1"/>
      <sheetData sheetId="1" refreshError="1">
        <row r="45">
          <cell r="H45">
            <v>730179791</v>
          </cell>
        </row>
      </sheetData>
      <sheetData sheetId="2" refreshError="1">
        <row r="58">
          <cell r="J58">
            <v>100941046.8</v>
          </cell>
        </row>
      </sheetData>
      <sheetData sheetId="3" refreshError="1">
        <row r="43">
          <cell r="J43">
            <v>161351838.33999997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SUTM"/>
      <sheetName val="RAB SUTM"/>
      <sheetName val="RAB GARDU"/>
      <sheetName val="SUTR"/>
    </sheetNames>
    <sheetDataSet>
      <sheetData sheetId="0" refreshError="1"/>
      <sheetData sheetId="1">
        <row r="43">
          <cell r="H43">
            <v>1698707326.8109999</v>
          </cell>
        </row>
      </sheetData>
      <sheetData sheetId="2"/>
      <sheetData sheetId="3">
        <row r="43">
          <cell r="J43">
            <v>476993817.79500008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SUTM"/>
      <sheetName val="RAB SUTM"/>
      <sheetName val="RAB GARDU"/>
      <sheetName val="SUTR"/>
    </sheetNames>
    <sheetDataSet>
      <sheetData sheetId="0" refreshError="1"/>
      <sheetData sheetId="1">
        <row r="44">
          <cell r="H44">
            <v>332781435.162</v>
          </cell>
        </row>
      </sheetData>
      <sheetData sheetId="2">
        <row r="58">
          <cell r="J58">
            <v>111807143.80000001</v>
          </cell>
        </row>
      </sheetData>
      <sheetData sheetId="3">
        <row r="43">
          <cell r="J43">
            <v>176451784.75100002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SUTM"/>
      <sheetName val="RAB SUTM"/>
      <sheetName val="RAB GARDU"/>
      <sheetName val="SUTR"/>
    </sheetNames>
    <sheetDataSet>
      <sheetData sheetId="0" refreshError="1"/>
      <sheetData sheetId="1">
        <row r="46">
          <cell r="H46">
            <v>5173368611.9499998</v>
          </cell>
        </row>
      </sheetData>
      <sheetData sheetId="2">
        <row r="57">
          <cell r="J57">
            <v>512277196.6400001</v>
          </cell>
        </row>
      </sheetData>
      <sheetData sheetId="3">
        <row r="43">
          <cell r="J43">
            <v>544139588.74000001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SUTM"/>
      <sheetName val="RAB SUTM"/>
      <sheetName val="RAB GARDU"/>
      <sheetName val="SUTR"/>
    </sheetNames>
    <sheetDataSet>
      <sheetData sheetId="0" refreshError="1"/>
      <sheetData sheetId="1">
        <row r="45">
          <cell r="H45">
            <v>1135232341.2320001</v>
          </cell>
        </row>
      </sheetData>
      <sheetData sheetId="2">
        <row r="58">
          <cell r="J58">
            <v>115419299.16000003</v>
          </cell>
        </row>
      </sheetData>
      <sheetData sheetId="3">
        <row r="43">
          <cell r="J43">
            <v>166020060.13999999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rumus TM"/>
      <sheetName val="SUTM"/>
      <sheetName val="GARDU"/>
      <sheetName val="SUTR"/>
      <sheetName val="SLD"/>
      <sheetName val="SLD tanpa ukuran kabel"/>
      <sheetName val="GOOGLE EARTH"/>
    </sheetNames>
    <sheetDataSet>
      <sheetData sheetId="0" refreshError="1"/>
      <sheetData sheetId="1">
        <row r="16">
          <cell r="G16">
            <v>125</v>
          </cell>
        </row>
        <row r="17">
          <cell r="G17">
            <v>404</v>
          </cell>
        </row>
        <row r="18">
          <cell r="G18">
            <v>96</v>
          </cell>
        </row>
        <row r="19">
          <cell r="G19">
            <v>20475</v>
          </cell>
        </row>
        <row r="21">
          <cell r="G21">
            <v>16</v>
          </cell>
        </row>
      </sheetData>
      <sheetData sheetId="2">
        <row r="15">
          <cell r="F15">
            <v>4</v>
          </cell>
        </row>
        <row r="16">
          <cell r="F16">
            <v>9</v>
          </cell>
        </row>
        <row r="17">
          <cell r="F17">
            <v>9</v>
          </cell>
        </row>
        <row r="18">
          <cell r="F18">
            <v>18</v>
          </cell>
        </row>
        <row r="24">
          <cell r="F24">
            <v>3</v>
          </cell>
        </row>
        <row r="30">
          <cell r="F30">
            <v>216</v>
          </cell>
        </row>
        <row r="31">
          <cell r="F31">
            <v>108</v>
          </cell>
        </row>
      </sheetData>
      <sheetData sheetId="3">
        <row r="15">
          <cell r="F15">
            <v>7622</v>
          </cell>
        </row>
        <row r="17">
          <cell r="F17">
            <v>23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rumus TM"/>
      <sheetName val="SUTM"/>
      <sheetName val="GARDU"/>
      <sheetName val="RAB SUTR"/>
      <sheetName val="SLD"/>
      <sheetName val="SLD tanpa ukuran kabel"/>
      <sheetName val="GOOGLE EARTH"/>
    </sheetNames>
    <sheetDataSet>
      <sheetData sheetId="0" refreshError="1"/>
      <sheetData sheetId="1">
        <row r="52">
          <cell r="K52">
            <v>157149541.89000002</v>
          </cell>
        </row>
      </sheetData>
      <sheetData sheetId="2" refreshError="1"/>
      <sheetData sheetId="3">
        <row r="40">
          <cell r="K40">
            <v>281591318.47000003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SUTM"/>
      <sheetName val="RAB SUTM"/>
      <sheetName val="RAB GARDU"/>
      <sheetName val="SUTR"/>
    </sheetNames>
    <sheetDataSet>
      <sheetData sheetId="0" refreshError="1"/>
      <sheetData sheetId="1">
        <row r="45">
          <cell r="H45">
            <v>695733626.07099998</v>
          </cell>
        </row>
      </sheetData>
      <sheetData sheetId="2">
        <row r="57">
          <cell r="J57">
            <v>222204538.16</v>
          </cell>
        </row>
      </sheetData>
      <sheetData sheetId="3">
        <row r="41">
          <cell r="J41">
            <v>351253472.12450004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rumus TM"/>
      <sheetName val="SUTM"/>
      <sheetName val="GARDU"/>
      <sheetName val="SUTR"/>
      <sheetName val="SLD"/>
      <sheetName val="SLD tanpa ukuran kabel"/>
      <sheetName val="GOOGLE EARTH"/>
    </sheetNames>
    <sheetDataSet>
      <sheetData sheetId="0"/>
      <sheetData sheetId="1">
        <row r="51">
          <cell r="K51">
            <v>3023870330.8000002</v>
          </cell>
        </row>
      </sheetData>
      <sheetData sheetId="2">
        <row r="64">
          <cell r="J64">
            <v>292509190.60000002</v>
          </cell>
        </row>
      </sheetData>
      <sheetData sheetId="3">
        <row r="41">
          <cell r="J41">
            <v>365830932.97299999</v>
          </cell>
        </row>
      </sheetData>
      <sheetData sheetId="4"/>
      <sheetData sheetId="5"/>
      <sheetData sheetId="6"/>
    </sheetDataSet>
  </externalBook>
</externalLink>
</file>

<file path=xl/externalLinks/externalLink63.xml><?xml version="1.0" encoding="utf-8"?>
<externalLink xmlns="http://schemas.openxmlformats.org/spreadsheetml/2006/main">
  <externalBook xmlns:r="http://schemas.openxmlformats.org/officeDocument/2006/relationships" r:id="rId1">
    <sheetNames>
      <sheetName val="rumus TM"/>
      <sheetName val="SUTM"/>
      <sheetName val="GARDU"/>
      <sheetName val="RAB SUTR"/>
      <sheetName val="SLD"/>
      <sheetName val="SLD tanpa ukuran kabel"/>
      <sheetName val="GOOGLE EARTH"/>
    </sheetNames>
    <sheetDataSet>
      <sheetData sheetId="0" refreshError="1"/>
      <sheetData sheetId="1">
        <row r="51">
          <cell r="K51">
            <v>831855318.79999995</v>
          </cell>
        </row>
      </sheetData>
      <sheetData sheetId="2">
        <row r="64">
          <cell r="J64">
            <v>192769745.30000001</v>
          </cell>
        </row>
      </sheetData>
      <sheetData sheetId="3">
        <row r="40">
          <cell r="K40">
            <v>318784760.22250003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64.xml><?xml version="1.0" encoding="utf-8"?>
<externalLink xmlns="http://schemas.openxmlformats.org/spreadsheetml/2006/main">
  <externalBook xmlns:r="http://schemas.openxmlformats.org/officeDocument/2006/relationships" r:id="rId1">
    <sheetNames>
      <sheetName val="SUTM"/>
      <sheetName val="RAB SUTM"/>
      <sheetName val="RAB GARDU"/>
      <sheetName val="SUTR"/>
    </sheetNames>
    <sheetDataSet>
      <sheetData sheetId="0"/>
      <sheetData sheetId="1">
        <row r="46">
          <cell r="H46">
            <v>551844552.60000002</v>
          </cell>
        </row>
      </sheetData>
      <sheetData sheetId="2">
        <row r="59">
          <cell r="J59">
            <v>186402241.30000001</v>
          </cell>
        </row>
      </sheetData>
      <sheetData sheetId="3">
        <row r="41">
          <cell r="J41">
            <v>233468401.1825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>
  <externalBook xmlns:r="http://schemas.openxmlformats.org/officeDocument/2006/relationships" r:id="rId1">
    <sheetNames>
      <sheetName val="rumus TM"/>
      <sheetName val="SUTM"/>
      <sheetName val="GARDU"/>
      <sheetName val="RAB SUTR"/>
      <sheetName val="SLD"/>
      <sheetName val="SLD tanpa ukuran kabel"/>
      <sheetName val="GOOGLE EARTH"/>
    </sheetNames>
    <sheetDataSet>
      <sheetData sheetId="0"/>
      <sheetData sheetId="1">
        <row r="51">
          <cell r="K51">
            <v>2362740086.3000002</v>
          </cell>
        </row>
      </sheetData>
      <sheetData sheetId="2">
        <row r="60">
          <cell r="J60">
            <v>428318218.89999998</v>
          </cell>
        </row>
      </sheetData>
      <sheetData sheetId="3">
        <row r="40">
          <cell r="K40">
            <v>662628004.36800003</v>
          </cell>
        </row>
      </sheetData>
      <sheetData sheetId="4"/>
      <sheetData sheetId="5"/>
      <sheetData sheetId="6"/>
    </sheetDataSet>
  </externalBook>
</externalLink>
</file>

<file path=xl/externalLinks/externalLink66.xml><?xml version="1.0" encoding="utf-8"?>
<externalLink xmlns="http://schemas.openxmlformats.org/spreadsheetml/2006/main">
  <externalBook xmlns:r="http://schemas.openxmlformats.org/officeDocument/2006/relationships" r:id="rId1">
    <sheetNames>
      <sheetName val="rumus TM"/>
      <sheetName val="SUTM"/>
      <sheetName val="GARDU"/>
      <sheetName val="RAB SUTR"/>
      <sheetName val="SLD"/>
      <sheetName val="SLD tanpa ukuran kabel"/>
      <sheetName val="GOOGLE EARTH"/>
    </sheetNames>
    <sheetDataSet>
      <sheetData sheetId="0" refreshError="1"/>
      <sheetData sheetId="1">
        <row r="51">
          <cell r="K51">
            <v>2648621299.5</v>
          </cell>
        </row>
      </sheetData>
      <sheetData sheetId="2">
        <row r="64">
          <cell r="J64">
            <v>433109235.89999998</v>
          </cell>
        </row>
      </sheetData>
      <sheetData sheetId="3">
        <row r="40">
          <cell r="K40">
            <v>542704782.61083329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67.xml><?xml version="1.0" encoding="utf-8"?>
<externalLink xmlns="http://schemas.openxmlformats.org/spreadsheetml/2006/main">
  <externalBook xmlns:r="http://schemas.openxmlformats.org/officeDocument/2006/relationships" r:id="rId1">
    <sheetNames>
      <sheetName val="rumus TM"/>
      <sheetName val="SUTM"/>
      <sheetName val="GARDU"/>
      <sheetName val="RAB SUTR"/>
      <sheetName val="SLD"/>
      <sheetName val="SLD tanpa ukuran kabel"/>
      <sheetName val="GOOGLE EARTH"/>
    </sheetNames>
    <sheetDataSet>
      <sheetData sheetId="0"/>
      <sheetData sheetId="1">
        <row r="51">
          <cell r="K51">
            <v>312911395.5</v>
          </cell>
        </row>
      </sheetData>
      <sheetData sheetId="2">
        <row r="64">
          <cell r="J64">
            <v>192769745.30000001</v>
          </cell>
        </row>
      </sheetData>
      <sheetData sheetId="3">
        <row r="40">
          <cell r="K40">
            <v>126393926.3125</v>
          </cell>
        </row>
      </sheetData>
      <sheetData sheetId="4"/>
      <sheetData sheetId="5"/>
      <sheetData sheetId="6"/>
    </sheetDataSet>
  </externalBook>
</externalLink>
</file>

<file path=xl/externalLinks/externalLink68.xml><?xml version="1.0" encoding="utf-8"?>
<externalLink xmlns="http://schemas.openxmlformats.org/spreadsheetml/2006/main">
  <externalBook xmlns:r="http://schemas.openxmlformats.org/officeDocument/2006/relationships" r:id="rId1">
    <sheetNames>
      <sheetName val="rumus TM"/>
      <sheetName val="SUTM"/>
      <sheetName val="GARDU"/>
      <sheetName val="SUTR"/>
      <sheetName val="SLD"/>
      <sheetName val="SLD tanpa ukuran kabel"/>
      <sheetName val="GOOGLE EARTH"/>
    </sheetNames>
    <sheetDataSet>
      <sheetData sheetId="0">
        <row r="11">
          <cell r="C11">
            <v>74</v>
          </cell>
        </row>
      </sheetData>
      <sheetData sheetId="1" refreshError="1">
        <row r="51">
          <cell r="K51">
            <v>13695067833.700001</v>
          </cell>
        </row>
      </sheetData>
      <sheetData sheetId="2">
        <row r="60">
          <cell r="J60">
            <v>428318218.89999998</v>
          </cell>
        </row>
      </sheetData>
      <sheetData sheetId="3">
        <row r="41">
          <cell r="J41">
            <v>433744583.59649998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69.xml><?xml version="1.0" encoding="utf-8"?>
<externalLink xmlns="http://schemas.openxmlformats.org/spreadsheetml/2006/main">
  <externalBook xmlns:r="http://schemas.openxmlformats.org/officeDocument/2006/relationships" r:id="rId1">
    <sheetNames>
      <sheetName val="rumus TM"/>
      <sheetName val="SUTM"/>
      <sheetName val="GARDU"/>
      <sheetName val="RAB SUTR"/>
      <sheetName val="SLD"/>
      <sheetName val="SLD tanpa ukuran kabel"/>
      <sheetName val="GOOGLE EARTH"/>
    </sheetNames>
    <sheetDataSet>
      <sheetData sheetId="0" refreshError="1"/>
      <sheetData sheetId="1">
        <row r="51">
          <cell r="K51">
            <v>751949813.45000005</v>
          </cell>
        </row>
      </sheetData>
      <sheetData sheetId="2">
        <row r="60">
          <cell r="J60">
            <v>197039406.30000001</v>
          </cell>
        </row>
      </sheetData>
      <sheetData sheetId="3">
        <row r="40">
          <cell r="K40">
            <v>59730752.795999996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rumus TM"/>
      <sheetName val="SUTM"/>
      <sheetName val="GARDU"/>
      <sheetName val="SUTR"/>
      <sheetName val="SLD"/>
      <sheetName val="SLD tanpa ukuran kabel"/>
      <sheetName val="GOOGLE EARTH"/>
    </sheetNames>
    <sheetDataSet>
      <sheetData sheetId="0"/>
      <sheetData sheetId="1">
        <row r="51">
          <cell r="K51">
            <v>2599771666.8000002</v>
          </cell>
        </row>
      </sheetData>
      <sheetData sheetId="2">
        <row r="60">
          <cell r="J60">
            <v>388237628.89999998</v>
          </cell>
        </row>
      </sheetData>
      <sheetData sheetId="3">
        <row r="41">
          <cell r="J41">
            <v>725466879.95466661</v>
          </cell>
        </row>
      </sheetData>
      <sheetData sheetId="4"/>
      <sheetData sheetId="5"/>
      <sheetData sheetId="6"/>
    </sheetDataSet>
  </externalBook>
</externalLink>
</file>

<file path=xl/externalLinks/externalLink70.xml><?xml version="1.0" encoding="utf-8"?>
<externalLink xmlns="http://schemas.openxmlformats.org/spreadsheetml/2006/main">
  <externalBook xmlns:r="http://schemas.openxmlformats.org/officeDocument/2006/relationships" r:id="rId1">
    <sheetNames>
      <sheetName val="rumus TM"/>
      <sheetName val="SUTM"/>
      <sheetName val="GARDU"/>
      <sheetName val="RAB SUTR"/>
      <sheetName val="SLD"/>
      <sheetName val="SLD tanpa ukuran kabel"/>
      <sheetName val="GOOGLE EARTH"/>
    </sheetNames>
    <sheetDataSet>
      <sheetData sheetId="0" refreshError="1"/>
      <sheetData sheetId="1">
        <row r="51">
          <cell r="K51">
            <v>891711849.49000001</v>
          </cell>
        </row>
      </sheetData>
      <sheetData sheetId="2">
        <row r="60">
          <cell r="J60">
            <v>275426872.60000002</v>
          </cell>
        </row>
      </sheetData>
      <sheetData sheetId="3">
        <row r="40">
          <cell r="K40">
            <v>225311397.21200001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71.xml><?xml version="1.0" encoding="utf-8"?>
<externalLink xmlns="http://schemas.openxmlformats.org/spreadsheetml/2006/main">
  <externalBook xmlns:r="http://schemas.openxmlformats.org/officeDocument/2006/relationships" r:id="rId1">
    <sheetNames>
      <sheetName val="rumus TM"/>
      <sheetName val="SUTM"/>
      <sheetName val="GARDU"/>
      <sheetName val="RAB SUTR"/>
      <sheetName val="SLD"/>
      <sheetName val="SLD tanpa ukuran kabel"/>
      <sheetName val="GOOGLE EARTH"/>
    </sheetNames>
    <sheetDataSet>
      <sheetData sheetId="0" refreshError="1"/>
      <sheetData sheetId="1">
        <row r="51">
          <cell r="K51">
            <v>1091624743</v>
          </cell>
        </row>
      </sheetData>
      <sheetData sheetId="2">
        <row r="60">
          <cell r="J60">
            <v>275426872.60000002</v>
          </cell>
        </row>
      </sheetData>
      <sheetData sheetId="3">
        <row r="40">
          <cell r="K40">
            <v>386671809.17200005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72.xml><?xml version="1.0" encoding="utf-8"?>
<externalLink xmlns="http://schemas.openxmlformats.org/spreadsheetml/2006/main">
  <externalBook xmlns:r="http://schemas.openxmlformats.org/officeDocument/2006/relationships" r:id="rId1">
    <sheetNames>
      <sheetName val="TRAFO"/>
      <sheetName val="SUTM-"/>
      <sheetName val="SUTM"/>
      <sheetName val="SUTR"/>
      <sheetName val="TANJUNG SELOR"/>
      <sheetName val="REKAP MDU INVESTASI 2017"/>
      <sheetName val="SUTM 1"/>
      <sheetName val="GARDU 1"/>
      <sheetName val="SUTR 1"/>
      <sheetName val="Gambar"/>
      <sheetName val="SKTM-"/>
      <sheetName val="MDU"/>
    </sheetNames>
    <sheetDataSet>
      <sheetData sheetId="0"/>
      <sheetData sheetId="1"/>
      <sheetData sheetId="2"/>
      <sheetData sheetId="3"/>
      <sheetData sheetId="4"/>
      <sheetData sheetId="5"/>
      <sheetData sheetId="6">
        <row r="151">
          <cell r="P151">
            <v>2023786395.4000001</v>
          </cell>
        </row>
      </sheetData>
      <sheetData sheetId="7"/>
      <sheetData sheetId="8">
        <row r="69">
          <cell r="O69">
            <v>357614699.18655562</v>
          </cell>
        </row>
      </sheetData>
      <sheetData sheetId="9"/>
      <sheetData sheetId="10"/>
      <sheetData sheetId="11"/>
    </sheetDataSet>
  </externalBook>
</externalLink>
</file>

<file path=xl/externalLinks/externalLink73.xml><?xml version="1.0" encoding="utf-8"?>
<externalLink xmlns="http://schemas.openxmlformats.org/spreadsheetml/2006/main">
  <externalBook xmlns:r="http://schemas.openxmlformats.org/officeDocument/2006/relationships" r:id="rId1">
    <sheetNames>
      <sheetName val="TRAFO"/>
      <sheetName val="SUTM-"/>
      <sheetName val="SUTM"/>
      <sheetName val="SUTR"/>
      <sheetName val="SKTM-"/>
      <sheetName val="GBR 1"/>
      <sheetName val="GBR 2"/>
      <sheetName val="MAPPING"/>
    </sheetNames>
    <sheetDataSet>
      <sheetData sheetId="0">
        <row r="119">
          <cell r="X119">
            <v>2158894554.3000002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74.xml><?xml version="1.0" encoding="utf-8"?>
<externalLink xmlns="http://schemas.openxmlformats.org/spreadsheetml/2006/main">
  <externalBook xmlns:r="http://schemas.openxmlformats.org/officeDocument/2006/relationships" r:id="rId1">
    <sheetNames>
      <sheetName val="rumus TM"/>
      <sheetName val="SUTM"/>
      <sheetName val="GARDU"/>
      <sheetName val="SUTR"/>
      <sheetName val="SLD"/>
      <sheetName val="SLD tanpa ukuran kabel"/>
      <sheetName val="GOOGLE EARTH"/>
    </sheetNames>
    <sheetDataSet>
      <sheetData sheetId="0" refreshError="1"/>
      <sheetData sheetId="1">
        <row r="51">
          <cell r="K51">
            <v>2407359490.3599997</v>
          </cell>
        </row>
      </sheetData>
      <sheetData sheetId="2">
        <row r="60">
          <cell r="J60">
            <v>333570416.30000001</v>
          </cell>
        </row>
      </sheetData>
      <sheetData sheetId="3">
        <row r="42">
          <cell r="J42">
            <v>325539171.61700004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75.xml><?xml version="1.0" encoding="utf-8"?>
<externalLink xmlns="http://schemas.openxmlformats.org/spreadsheetml/2006/main">
  <externalBook xmlns:r="http://schemas.openxmlformats.org/officeDocument/2006/relationships" r:id="rId1">
    <sheetNames>
      <sheetName val="rumus TM"/>
      <sheetName val="SUTM"/>
      <sheetName val="GARDU"/>
      <sheetName val="SUTR"/>
      <sheetName val="SLD"/>
      <sheetName val="SLD tanpa ukuran kabel"/>
      <sheetName val="GOOGLE EARTH"/>
      <sheetName val="REKAP"/>
    </sheetNames>
    <sheetDataSet>
      <sheetData sheetId="0"/>
      <sheetData sheetId="1">
        <row r="51">
          <cell r="K51">
            <v>5924205591.6999998</v>
          </cell>
        </row>
      </sheetData>
      <sheetData sheetId="2">
        <row r="62">
          <cell r="J62">
            <v>826871265</v>
          </cell>
        </row>
      </sheetData>
      <sheetData sheetId="3">
        <row r="42">
          <cell r="J42">
            <v>767411695.14845014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76.xml><?xml version="1.0" encoding="utf-8"?>
<externalLink xmlns="http://schemas.openxmlformats.org/spreadsheetml/2006/main">
  <externalBook xmlns:r="http://schemas.openxmlformats.org/officeDocument/2006/relationships" r:id="rId1">
    <sheetNames>
      <sheetName val="SUTR"/>
      <sheetName val="Sheet1"/>
    </sheetNames>
    <sheetDataSet>
      <sheetData sheetId="0">
        <row r="15">
          <cell r="AF15">
            <v>324.45</v>
          </cell>
        </row>
        <row r="18">
          <cell r="AF18">
            <v>7</v>
          </cell>
        </row>
      </sheetData>
      <sheetData sheetId="1" refreshError="1"/>
    </sheetDataSet>
  </externalBook>
</externalLink>
</file>

<file path=xl/externalLinks/externalLink77.xml><?xml version="1.0" encoding="utf-8"?>
<externalLink xmlns="http://schemas.openxmlformats.org/spreadsheetml/2006/main">
  <externalBook xmlns:r="http://schemas.openxmlformats.org/officeDocument/2006/relationships" r:id="rId1">
    <sheetNames>
      <sheetName val="SUTR"/>
      <sheetName val="Sheet1"/>
    </sheetNames>
    <sheetDataSet>
      <sheetData sheetId="0">
        <row r="15">
          <cell r="AF15">
            <v>309</v>
          </cell>
        </row>
        <row r="18">
          <cell r="AF18">
            <v>7</v>
          </cell>
        </row>
        <row r="66">
          <cell r="AJ66">
            <v>83107305.599999994</v>
          </cell>
        </row>
      </sheetData>
      <sheetData sheetId="1" refreshError="1"/>
    </sheetDataSet>
  </externalBook>
</externalLink>
</file>

<file path=xl/externalLinks/externalLink78.xml><?xml version="1.0" encoding="utf-8"?>
<externalLink xmlns="http://schemas.openxmlformats.org/spreadsheetml/2006/main">
  <externalBook xmlns:r="http://schemas.openxmlformats.org/officeDocument/2006/relationships" r:id="rId1">
    <sheetNames>
      <sheetName val="RAB SUTR"/>
    </sheetNames>
    <sheetDataSet>
      <sheetData sheetId="0">
        <row r="12">
          <cell r="F12">
            <v>257.5</v>
          </cell>
        </row>
        <row r="14">
          <cell r="F14">
            <v>5</v>
          </cell>
        </row>
        <row r="40">
          <cell r="K40">
            <v>58364471.604999997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>
  <externalBook xmlns:r="http://schemas.openxmlformats.org/officeDocument/2006/relationships" r:id="rId1">
    <sheetNames>
      <sheetName val="RAB SUTR"/>
    </sheetNames>
    <sheetDataSet>
      <sheetData sheetId="0">
        <row r="12">
          <cell r="F12">
            <v>1545</v>
          </cell>
        </row>
        <row r="14">
          <cell r="F14">
            <v>25</v>
          </cell>
        </row>
        <row r="40">
          <cell r="K40">
            <v>291777269.63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rumus TM"/>
      <sheetName val="SUTM"/>
      <sheetName val="GARDU"/>
      <sheetName val="RAB SUTR"/>
      <sheetName val="SLD"/>
      <sheetName val="SLD tanpa ukuran kabel"/>
      <sheetName val="GOOGLE EARTH"/>
    </sheetNames>
    <sheetDataSet>
      <sheetData sheetId="0" refreshError="1"/>
      <sheetData sheetId="1">
        <row r="16">
          <cell r="G16">
            <v>121</v>
          </cell>
        </row>
        <row r="17">
          <cell r="G17">
            <v>392</v>
          </cell>
        </row>
        <row r="18">
          <cell r="G18">
            <v>93</v>
          </cell>
        </row>
        <row r="19">
          <cell r="G19">
            <v>23310</v>
          </cell>
        </row>
        <row r="21">
          <cell r="G21">
            <v>16</v>
          </cell>
        </row>
      </sheetData>
      <sheetData sheetId="2">
        <row r="15">
          <cell r="F15">
            <v>6</v>
          </cell>
        </row>
        <row r="16">
          <cell r="F16">
            <v>9</v>
          </cell>
        </row>
        <row r="17">
          <cell r="F17">
            <v>9</v>
          </cell>
        </row>
        <row r="18">
          <cell r="F18">
            <v>18</v>
          </cell>
        </row>
        <row r="24">
          <cell r="F24">
            <v>3</v>
          </cell>
        </row>
        <row r="30">
          <cell r="F30">
            <v>216</v>
          </cell>
        </row>
        <row r="31">
          <cell r="F31">
            <v>108</v>
          </cell>
        </row>
      </sheetData>
      <sheetData sheetId="3">
        <row r="12">
          <cell r="G12">
            <v>4068.5</v>
          </cell>
        </row>
        <row r="14">
          <cell r="F14">
            <v>26</v>
          </cell>
        </row>
        <row r="15">
          <cell r="F15">
            <v>2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80.xml><?xml version="1.0" encoding="utf-8"?>
<externalLink xmlns="http://schemas.openxmlformats.org/spreadsheetml/2006/main">
  <externalBook xmlns:r="http://schemas.openxmlformats.org/officeDocument/2006/relationships" r:id="rId1">
    <sheetNames>
      <sheetName val="rumus TM"/>
      <sheetName val="SUTM"/>
      <sheetName val="GARDU"/>
      <sheetName val="SUTR"/>
      <sheetName val="KUBIKASI"/>
    </sheetNames>
    <sheetDataSet>
      <sheetData sheetId="0" refreshError="1"/>
      <sheetData sheetId="1">
        <row r="16">
          <cell r="G16">
            <v>410</v>
          </cell>
        </row>
        <row r="17">
          <cell r="G17">
            <v>1361</v>
          </cell>
        </row>
        <row r="18">
          <cell r="G18">
            <v>318</v>
          </cell>
        </row>
        <row r="19">
          <cell r="G19">
            <v>51833.25</v>
          </cell>
        </row>
        <row r="21">
          <cell r="G21">
            <v>98</v>
          </cell>
        </row>
      </sheetData>
      <sheetData sheetId="2">
        <row r="15">
          <cell r="F15">
            <v>8</v>
          </cell>
        </row>
        <row r="16">
          <cell r="F16">
            <v>12</v>
          </cell>
        </row>
        <row r="17">
          <cell r="F17">
            <v>12</v>
          </cell>
        </row>
        <row r="18">
          <cell r="F18">
            <v>24</v>
          </cell>
        </row>
        <row r="24">
          <cell r="F24">
            <v>4</v>
          </cell>
        </row>
        <row r="30">
          <cell r="F30">
            <v>288</v>
          </cell>
        </row>
        <row r="31">
          <cell r="F31">
            <v>144</v>
          </cell>
        </row>
      </sheetData>
      <sheetData sheetId="3">
        <row r="15">
          <cell r="F15">
            <v>5208</v>
          </cell>
        </row>
        <row r="17">
          <cell r="F17">
            <v>59</v>
          </cell>
        </row>
        <row r="18">
          <cell r="F18">
            <v>7</v>
          </cell>
        </row>
      </sheetData>
      <sheetData sheetId="4" refreshError="1"/>
    </sheetDataSet>
  </externalBook>
</externalLink>
</file>

<file path=xl/externalLinks/externalLink81.xml><?xml version="1.0" encoding="utf-8"?>
<externalLink xmlns="http://schemas.openxmlformats.org/spreadsheetml/2006/main">
  <externalBook xmlns:r="http://schemas.openxmlformats.org/officeDocument/2006/relationships" r:id="rId1">
    <sheetNames>
      <sheetName val="rumus TM"/>
      <sheetName val="SUTM"/>
      <sheetName val="GARDU"/>
      <sheetName val="RAB SUTR"/>
      <sheetName val="SLD"/>
      <sheetName val="SLD tanpa ukuran kabel"/>
      <sheetName val="GOOGLE EARTH"/>
    </sheetNames>
    <sheetDataSet>
      <sheetData sheetId="0" refreshError="1"/>
      <sheetData sheetId="1">
        <row r="16">
          <cell r="G16">
            <v>28</v>
          </cell>
        </row>
        <row r="17">
          <cell r="G17">
            <v>107</v>
          </cell>
        </row>
        <row r="18">
          <cell r="G18">
            <v>18</v>
          </cell>
        </row>
        <row r="19">
          <cell r="G19">
            <v>4725</v>
          </cell>
        </row>
        <row r="21">
          <cell r="G21">
            <v>4</v>
          </cell>
        </row>
        <row r="51">
          <cell r="K51">
            <v>615488665</v>
          </cell>
        </row>
      </sheetData>
      <sheetData sheetId="2">
        <row r="17">
          <cell r="F17">
            <v>2</v>
          </cell>
        </row>
        <row r="18">
          <cell r="F18">
            <v>3</v>
          </cell>
        </row>
        <row r="19">
          <cell r="F19">
            <v>3</v>
          </cell>
        </row>
        <row r="20">
          <cell r="F20">
            <v>6</v>
          </cell>
        </row>
        <row r="26">
          <cell r="F26">
            <v>1</v>
          </cell>
        </row>
        <row r="32">
          <cell r="F32">
            <v>72</v>
          </cell>
        </row>
        <row r="33">
          <cell r="F33">
            <v>36</v>
          </cell>
        </row>
        <row r="64">
          <cell r="J64">
            <v>192769745.30000001</v>
          </cell>
        </row>
      </sheetData>
      <sheetData sheetId="3">
        <row r="12">
          <cell r="F12">
            <v>1390.5</v>
          </cell>
        </row>
        <row r="40">
          <cell r="K40">
            <v>103220258.625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>
  <externalBook xmlns:r="http://schemas.openxmlformats.org/officeDocument/2006/relationships" r:id="rId1">
    <sheetNames>
      <sheetName val="rumus TM"/>
      <sheetName val="SUTM"/>
      <sheetName val="GARDU"/>
      <sheetName val="RAB SUTR"/>
      <sheetName val="SLD"/>
      <sheetName val="SLD tanpa ukuran kabel"/>
      <sheetName val="GOOGLE EARTH"/>
    </sheetNames>
    <sheetDataSet>
      <sheetData sheetId="0" refreshError="1"/>
      <sheetData sheetId="1">
        <row r="16">
          <cell r="G16">
            <v>20</v>
          </cell>
        </row>
        <row r="17">
          <cell r="G17">
            <v>68</v>
          </cell>
        </row>
        <row r="18">
          <cell r="G18">
            <v>18</v>
          </cell>
        </row>
        <row r="19">
          <cell r="G19">
            <v>3354.8130000000001</v>
          </cell>
        </row>
        <row r="21">
          <cell r="G21">
            <v>4</v>
          </cell>
        </row>
      </sheetData>
      <sheetData sheetId="2">
        <row r="17">
          <cell r="F17">
            <v>2</v>
          </cell>
        </row>
        <row r="18">
          <cell r="F18">
            <v>3</v>
          </cell>
        </row>
        <row r="19">
          <cell r="F19">
            <v>3</v>
          </cell>
        </row>
        <row r="20">
          <cell r="F20">
            <v>6</v>
          </cell>
        </row>
        <row r="26">
          <cell r="F26">
            <v>1</v>
          </cell>
        </row>
        <row r="32">
          <cell r="F32">
            <v>72</v>
          </cell>
        </row>
        <row r="33">
          <cell r="F33">
            <v>36</v>
          </cell>
        </row>
      </sheetData>
      <sheetData sheetId="3">
        <row r="12">
          <cell r="F12">
            <v>1019.7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83.xml><?xml version="1.0" encoding="utf-8"?>
<externalLink xmlns="http://schemas.openxmlformats.org/spreadsheetml/2006/main">
  <externalBook xmlns:r="http://schemas.openxmlformats.org/officeDocument/2006/relationships" r:id="rId1">
    <sheetNames>
      <sheetName val="rumus TM"/>
      <sheetName val="SUTM"/>
      <sheetName val="GARDU"/>
      <sheetName val="RAB SUTR"/>
      <sheetName val="SLD"/>
      <sheetName val="SLD tanpa ukuran kabel"/>
      <sheetName val="GOOGLE EARTH"/>
    </sheetNames>
    <sheetDataSet>
      <sheetData sheetId="0" refreshError="1"/>
      <sheetData sheetId="1">
        <row r="16">
          <cell r="G16">
            <v>23</v>
          </cell>
        </row>
        <row r="17">
          <cell r="G17">
            <v>64</v>
          </cell>
        </row>
        <row r="18">
          <cell r="G18">
            <v>9</v>
          </cell>
        </row>
        <row r="19">
          <cell r="G19">
            <v>3780</v>
          </cell>
        </row>
        <row r="21">
          <cell r="G21">
            <v>1</v>
          </cell>
        </row>
      </sheetData>
      <sheetData sheetId="2">
        <row r="17">
          <cell r="F17">
            <v>2</v>
          </cell>
        </row>
        <row r="18">
          <cell r="F18">
            <v>3</v>
          </cell>
        </row>
        <row r="19">
          <cell r="F19">
            <v>3</v>
          </cell>
        </row>
        <row r="20">
          <cell r="F20">
            <v>6</v>
          </cell>
        </row>
        <row r="26">
          <cell r="F26">
            <v>1</v>
          </cell>
        </row>
        <row r="32">
          <cell r="F32">
            <v>72</v>
          </cell>
        </row>
        <row r="33">
          <cell r="F33">
            <v>36</v>
          </cell>
        </row>
      </sheetData>
      <sheetData sheetId="3">
        <row r="12">
          <cell r="F12">
            <v>1158.75</v>
          </cell>
        </row>
        <row r="14">
          <cell r="E14">
            <v>2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84.xml><?xml version="1.0" encoding="utf-8"?>
<externalLink xmlns="http://schemas.openxmlformats.org/spreadsheetml/2006/main">
  <externalBook xmlns:r="http://schemas.openxmlformats.org/officeDocument/2006/relationships" r:id="rId1">
    <sheetNames>
      <sheetName val="rumus TM"/>
      <sheetName val="SUTM"/>
      <sheetName val="GARDU"/>
      <sheetName val="RAB SUTR"/>
      <sheetName val="SLD"/>
      <sheetName val="SLD tanpa ukuran kabel"/>
      <sheetName val="GOOGLE EARTH"/>
    </sheetNames>
    <sheetDataSet>
      <sheetData sheetId="0" refreshError="1"/>
      <sheetData sheetId="1">
        <row r="16">
          <cell r="G16">
            <v>13</v>
          </cell>
        </row>
        <row r="17">
          <cell r="G17">
            <v>35</v>
          </cell>
        </row>
        <row r="18">
          <cell r="G18">
            <v>18</v>
          </cell>
        </row>
        <row r="19">
          <cell r="G19">
            <v>2299.5</v>
          </cell>
        </row>
        <row r="21">
          <cell r="G21">
            <v>3</v>
          </cell>
        </row>
      </sheetData>
      <sheetData sheetId="2">
        <row r="17">
          <cell r="F17">
            <v>2</v>
          </cell>
        </row>
        <row r="18">
          <cell r="F18">
            <v>3</v>
          </cell>
        </row>
        <row r="19">
          <cell r="F19">
            <v>3</v>
          </cell>
        </row>
        <row r="20">
          <cell r="F20">
            <v>6</v>
          </cell>
        </row>
        <row r="26">
          <cell r="F26">
            <v>1</v>
          </cell>
        </row>
        <row r="32">
          <cell r="F32">
            <v>72</v>
          </cell>
        </row>
        <row r="33">
          <cell r="F33">
            <v>36</v>
          </cell>
        </row>
      </sheetData>
      <sheetData sheetId="3">
        <row r="12">
          <cell r="F12">
            <v>927</v>
          </cell>
        </row>
        <row r="14">
          <cell r="F14">
            <v>5</v>
          </cell>
        </row>
        <row r="15">
          <cell r="F15">
            <v>1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85.xml><?xml version="1.0" encoding="utf-8"?>
<externalLink xmlns="http://schemas.openxmlformats.org/spreadsheetml/2006/main">
  <externalBook xmlns:r="http://schemas.openxmlformats.org/officeDocument/2006/relationships" r:id="rId1">
    <sheetNames>
      <sheetName val="SUTM"/>
      <sheetName val="RAB SUTM"/>
      <sheetName val="RAB GARDU"/>
      <sheetName val="SUTR"/>
    </sheetNames>
    <sheetDataSet>
      <sheetData sheetId="0" refreshError="1"/>
      <sheetData sheetId="1">
        <row r="14">
          <cell r="E14">
            <v>11108.550000000001</v>
          </cell>
        </row>
        <row r="15">
          <cell r="E15">
            <v>87</v>
          </cell>
        </row>
        <row r="16">
          <cell r="E16">
            <v>265</v>
          </cell>
        </row>
        <row r="17">
          <cell r="E17">
            <v>54</v>
          </cell>
        </row>
        <row r="18">
          <cell r="E18">
            <v>8</v>
          </cell>
        </row>
      </sheetData>
      <sheetData sheetId="2">
        <row r="15">
          <cell r="F15">
            <v>9</v>
          </cell>
        </row>
        <row r="16">
          <cell r="F16">
            <v>9</v>
          </cell>
        </row>
        <row r="17">
          <cell r="F17">
            <v>18</v>
          </cell>
        </row>
        <row r="23">
          <cell r="F23">
            <v>3</v>
          </cell>
        </row>
        <row r="29">
          <cell r="F29">
            <v>168</v>
          </cell>
        </row>
        <row r="30">
          <cell r="F30">
            <v>108</v>
          </cell>
        </row>
      </sheetData>
      <sheetData sheetId="3">
        <row r="14">
          <cell r="E14">
            <v>5186.05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>
  <externalBook xmlns:r="http://schemas.openxmlformats.org/officeDocument/2006/relationships" r:id="rId1">
    <sheetNames>
      <sheetName val="SUTM"/>
      <sheetName val="RAB SUTM"/>
      <sheetName val="RAB GARDU"/>
      <sheetName val="SUTR"/>
    </sheetNames>
    <sheetDataSet>
      <sheetData sheetId="0" refreshError="1"/>
      <sheetData sheetId="1">
        <row r="14">
          <cell r="E14">
            <v>1514.1000000000001</v>
          </cell>
        </row>
        <row r="15">
          <cell r="E15">
            <v>15</v>
          </cell>
        </row>
        <row r="16">
          <cell r="E16">
            <v>63</v>
          </cell>
        </row>
        <row r="17">
          <cell r="E17">
            <v>12</v>
          </cell>
        </row>
        <row r="18">
          <cell r="E18">
            <v>1</v>
          </cell>
        </row>
      </sheetData>
      <sheetData sheetId="2">
        <row r="15">
          <cell r="F15">
            <v>3</v>
          </cell>
        </row>
        <row r="16">
          <cell r="F16">
            <v>3</v>
          </cell>
        </row>
        <row r="17">
          <cell r="F17">
            <v>6</v>
          </cell>
        </row>
        <row r="23">
          <cell r="F23">
            <v>1</v>
          </cell>
        </row>
        <row r="29">
          <cell r="F29">
            <v>56</v>
          </cell>
        </row>
        <row r="30">
          <cell r="F30">
            <v>36</v>
          </cell>
        </row>
      </sheetData>
      <sheetData sheetId="3">
        <row r="14">
          <cell r="E14">
            <v>916.7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>
  <externalBook xmlns:r="http://schemas.openxmlformats.org/officeDocument/2006/relationships" r:id="rId1">
    <sheetNames>
      <sheetName val="SUTM"/>
      <sheetName val="RAB SUTM"/>
      <sheetName val="RAB GARDU"/>
      <sheetName val="SUTR"/>
    </sheetNames>
    <sheetDataSet>
      <sheetData sheetId="0" refreshError="1"/>
      <sheetData sheetId="1">
        <row r="14">
          <cell r="E14">
            <v>33449.25</v>
          </cell>
        </row>
        <row r="15">
          <cell r="E15">
            <v>256</v>
          </cell>
        </row>
        <row r="16">
          <cell r="E16">
            <v>1016</v>
          </cell>
        </row>
        <row r="17">
          <cell r="E17">
            <v>144</v>
          </cell>
        </row>
        <row r="18">
          <cell r="E18">
            <v>51</v>
          </cell>
        </row>
      </sheetData>
      <sheetData sheetId="2">
        <row r="15">
          <cell r="F15">
            <v>12</v>
          </cell>
        </row>
        <row r="16">
          <cell r="F16">
            <v>12</v>
          </cell>
        </row>
        <row r="17">
          <cell r="F17">
            <v>24</v>
          </cell>
        </row>
        <row r="23">
          <cell r="F23">
            <v>4</v>
          </cell>
        </row>
        <row r="29">
          <cell r="E29">
            <v>224</v>
          </cell>
        </row>
        <row r="30">
          <cell r="F30">
            <v>144</v>
          </cell>
        </row>
      </sheetData>
      <sheetData sheetId="3">
        <row r="14">
          <cell r="E14">
            <v>6138.8</v>
          </cell>
        </row>
        <row r="16">
          <cell r="F16">
            <v>15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>
  <externalBook xmlns:r="http://schemas.openxmlformats.org/officeDocument/2006/relationships" r:id="rId1">
    <sheetNames>
      <sheetName val="SUTM"/>
      <sheetName val="RAB SUTM"/>
      <sheetName val="RAB GARDU"/>
      <sheetName val="SUTR"/>
    </sheetNames>
    <sheetDataSet>
      <sheetData sheetId="0" refreshError="1"/>
      <sheetData sheetId="1">
        <row r="14">
          <cell r="E14">
            <v>6612.6</v>
          </cell>
        </row>
        <row r="15">
          <cell r="E15">
            <v>55</v>
          </cell>
        </row>
        <row r="16">
          <cell r="E16">
            <v>224</v>
          </cell>
        </row>
        <row r="17">
          <cell r="E17">
            <v>36</v>
          </cell>
        </row>
        <row r="18">
          <cell r="E18">
            <v>12</v>
          </cell>
        </row>
      </sheetData>
      <sheetData sheetId="2">
        <row r="15">
          <cell r="F15">
            <v>3</v>
          </cell>
        </row>
        <row r="16">
          <cell r="F16">
            <v>3</v>
          </cell>
        </row>
        <row r="17">
          <cell r="F17">
            <v>6</v>
          </cell>
        </row>
        <row r="23">
          <cell r="F23">
            <v>1</v>
          </cell>
        </row>
        <row r="29">
          <cell r="F29">
            <v>56</v>
          </cell>
        </row>
        <row r="30">
          <cell r="F30">
            <v>36</v>
          </cell>
        </row>
      </sheetData>
      <sheetData sheetId="3">
        <row r="14">
          <cell r="E14">
            <v>2286.6</v>
          </cell>
        </row>
        <row r="16">
          <cell r="F16">
            <v>2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>
  <externalBook xmlns:r="http://schemas.openxmlformats.org/officeDocument/2006/relationships" r:id="rId1">
    <sheetNames>
      <sheetName val="rumus TM"/>
      <sheetName val="SUTM"/>
      <sheetName val="GARDU"/>
      <sheetName val="RAB SUTR"/>
      <sheetName val="SLD"/>
      <sheetName val="SLD tanpa ukuran kabel"/>
      <sheetName val="GOOGLE EARTH"/>
    </sheetNames>
    <sheetDataSet>
      <sheetData sheetId="0" refreshError="1"/>
      <sheetData sheetId="1">
        <row r="16">
          <cell r="G16">
            <v>3</v>
          </cell>
        </row>
        <row r="17">
          <cell r="G17">
            <v>9</v>
          </cell>
        </row>
        <row r="18">
          <cell r="G18">
            <v>6</v>
          </cell>
        </row>
        <row r="19">
          <cell r="G19">
            <v>2299.5</v>
          </cell>
        </row>
        <row r="21">
          <cell r="G21">
            <v>3</v>
          </cell>
        </row>
      </sheetData>
      <sheetData sheetId="2">
        <row r="17">
          <cell r="E17">
            <v>2</v>
          </cell>
        </row>
        <row r="18">
          <cell r="F18">
            <v>3</v>
          </cell>
        </row>
        <row r="19">
          <cell r="F19">
            <v>3</v>
          </cell>
        </row>
        <row r="20">
          <cell r="F20">
            <v>6</v>
          </cell>
        </row>
        <row r="26">
          <cell r="F26">
            <v>1</v>
          </cell>
        </row>
        <row r="32">
          <cell r="F32">
            <v>72</v>
          </cell>
        </row>
        <row r="33">
          <cell r="F33">
            <v>36</v>
          </cell>
        </row>
      </sheetData>
      <sheetData sheetId="3">
        <row r="12">
          <cell r="F12">
            <v>1297.8</v>
          </cell>
        </row>
        <row r="14">
          <cell r="F14">
            <v>23</v>
          </cell>
        </row>
        <row r="15">
          <cell r="F15">
            <v>2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rumus TM"/>
      <sheetName val="SUTM"/>
      <sheetName val="GARDU"/>
      <sheetName val="RAB SUTR"/>
      <sheetName val="SLD"/>
      <sheetName val="SLD tanpa ukuran kabel"/>
      <sheetName val="GOOGLE EARTH"/>
    </sheetNames>
    <sheetDataSet>
      <sheetData sheetId="0" refreshError="1"/>
      <sheetData sheetId="1">
        <row r="51">
          <cell r="K51">
            <v>2635459868.8000002</v>
          </cell>
        </row>
      </sheetData>
      <sheetData sheetId="2">
        <row r="60">
          <cell r="J60">
            <v>410390308.89999998</v>
          </cell>
        </row>
      </sheetData>
      <sheetData sheetId="3">
        <row r="40">
          <cell r="K40">
            <v>498646043.04900002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90.xml><?xml version="1.0" encoding="utf-8"?>
<externalLink xmlns="http://schemas.openxmlformats.org/spreadsheetml/2006/main">
  <externalBook xmlns:r="http://schemas.openxmlformats.org/officeDocument/2006/relationships" r:id="rId1">
    <sheetNames>
      <sheetName val="SUTM"/>
      <sheetName val="RAB SUTM"/>
      <sheetName val="RAB GARDU"/>
      <sheetName val="SUTR"/>
    </sheetNames>
    <sheetDataSet>
      <sheetData sheetId="0" refreshError="1"/>
      <sheetData sheetId="1">
        <row r="14">
          <cell r="E14">
            <v>4001.55</v>
          </cell>
        </row>
        <row r="15">
          <cell r="E15">
            <v>33</v>
          </cell>
        </row>
        <row r="16">
          <cell r="E16">
            <v>137</v>
          </cell>
        </row>
        <row r="17">
          <cell r="E17">
            <v>18</v>
          </cell>
        </row>
        <row r="18">
          <cell r="E18">
            <v>8</v>
          </cell>
        </row>
      </sheetData>
      <sheetData sheetId="2">
        <row r="14">
          <cell r="F14">
            <v>4</v>
          </cell>
        </row>
        <row r="15">
          <cell r="F15">
            <v>6</v>
          </cell>
        </row>
        <row r="16">
          <cell r="F16">
            <v>6</v>
          </cell>
        </row>
        <row r="17">
          <cell r="E17">
            <v>12</v>
          </cell>
        </row>
        <row r="23">
          <cell r="F23">
            <v>1</v>
          </cell>
        </row>
        <row r="29">
          <cell r="F29">
            <v>56</v>
          </cell>
        </row>
        <row r="30">
          <cell r="F30">
            <v>36</v>
          </cell>
        </row>
      </sheetData>
      <sheetData sheetId="3">
        <row r="14">
          <cell r="E14">
            <v>2322.65</v>
          </cell>
        </row>
        <row r="16">
          <cell r="F16">
            <v>25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>
  <externalBook xmlns:r="http://schemas.openxmlformats.org/officeDocument/2006/relationships" r:id="rId1">
    <sheetNames>
      <sheetName val="SUTM"/>
      <sheetName val="RAB SUTM"/>
      <sheetName val="RAB GARDU"/>
      <sheetName val="SUTR"/>
    </sheetNames>
    <sheetDataSet>
      <sheetData sheetId="0" refreshError="1"/>
      <sheetData sheetId="1">
        <row r="14">
          <cell r="E14">
            <v>6612.6</v>
          </cell>
        </row>
        <row r="15">
          <cell r="E15">
            <v>55</v>
          </cell>
        </row>
        <row r="16">
          <cell r="E16">
            <v>165</v>
          </cell>
        </row>
      </sheetData>
      <sheetData sheetId="2">
        <row r="15">
          <cell r="F15">
            <v>12</v>
          </cell>
        </row>
        <row r="16">
          <cell r="F16">
            <v>12</v>
          </cell>
        </row>
        <row r="17">
          <cell r="F17">
            <v>24</v>
          </cell>
        </row>
        <row r="23">
          <cell r="F23">
            <v>4</v>
          </cell>
        </row>
        <row r="29">
          <cell r="F29">
            <v>224</v>
          </cell>
        </row>
        <row r="30">
          <cell r="F30">
            <v>144</v>
          </cell>
        </row>
      </sheetData>
      <sheetData sheetId="3">
        <row r="14">
          <cell r="F14">
            <v>2286.6</v>
          </cell>
        </row>
        <row r="16">
          <cell r="E16">
            <v>2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>
  <externalBook xmlns:r="http://schemas.openxmlformats.org/officeDocument/2006/relationships" r:id="rId1">
    <sheetNames>
      <sheetName val="rumus TM"/>
      <sheetName val="SUTM"/>
      <sheetName val="GARDU"/>
      <sheetName val="SUTR"/>
      <sheetName val="SLD"/>
      <sheetName val="SLD tanpa ukuran kabel"/>
      <sheetName val="GOOGLE EARTH"/>
    </sheetNames>
    <sheetDataSet>
      <sheetData sheetId="0" refreshError="1"/>
      <sheetData sheetId="1">
        <row r="16">
          <cell r="G16">
            <v>169</v>
          </cell>
        </row>
        <row r="17">
          <cell r="G17">
            <v>494</v>
          </cell>
        </row>
        <row r="18">
          <cell r="G18">
            <v>132</v>
          </cell>
        </row>
        <row r="19">
          <cell r="G19">
            <v>27405</v>
          </cell>
        </row>
        <row r="21">
          <cell r="G21">
            <v>16</v>
          </cell>
        </row>
      </sheetData>
      <sheetData sheetId="2">
        <row r="17">
          <cell r="F17">
            <v>4</v>
          </cell>
        </row>
        <row r="18">
          <cell r="F18">
            <v>6</v>
          </cell>
        </row>
        <row r="19">
          <cell r="F19">
            <v>6</v>
          </cell>
        </row>
        <row r="20">
          <cell r="F20">
            <v>12</v>
          </cell>
        </row>
        <row r="26">
          <cell r="F26">
            <v>2</v>
          </cell>
        </row>
        <row r="32">
          <cell r="F32">
            <v>144</v>
          </cell>
        </row>
        <row r="33">
          <cell r="F33">
            <v>72</v>
          </cell>
        </row>
      </sheetData>
      <sheetData sheetId="3">
        <row r="15">
          <cell r="E15">
            <v>2008.5</v>
          </cell>
        </row>
        <row r="17">
          <cell r="F17">
            <v>30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93.xml><?xml version="1.0" encoding="utf-8"?>
<externalLink xmlns="http://schemas.openxmlformats.org/spreadsheetml/2006/main">
  <externalBook xmlns:r="http://schemas.openxmlformats.org/officeDocument/2006/relationships" r:id="rId1">
    <sheetNames>
      <sheetName val="rumus TM"/>
      <sheetName val="SUTM"/>
      <sheetName val="GARDU"/>
      <sheetName val="RAB SUTR"/>
      <sheetName val="SLD"/>
      <sheetName val="SLD tanpa ukuran kabel"/>
      <sheetName val="GOOGLE EARTH"/>
    </sheetNames>
    <sheetDataSet>
      <sheetData sheetId="0" refreshError="1"/>
      <sheetData sheetId="1">
        <row r="16">
          <cell r="G16">
            <v>42</v>
          </cell>
        </row>
        <row r="17">
          <cell r="G17">
            <v>117</v>
          </cell>
        </row>
        <row r="18">
          <cell r="G18">
            <v>48</v>
          </cell>
        </row>
        <row r="19">
          <cell r="G19">
            <v>6615</v>
          </cell>
        </row>
        <row r="21">
          <cell r="G21">
            <v>4</v>
          </cell>
        </row>
      </sheetData>
      <sheetData sheetId="2">
        <row r="17">
          <cell r="F17">
            <v>2</v>
          </cell>
        </row>
        <row r="18">
          <cell r="F18">
            <v>3</v>
          </cell>
        </row>
        <row r="19">
          <cell r="F19">
            <v>3</v>
          </cell>
        </row>
        <row r="20">
          <cell r="F20">
            <v>6</v>
          </cell>
        </row>
        <row r="26">
          <cell r="F26">
            <v>1</v>
          </cell>
        </row>
        <row r="32">
          <cell r="F32">
            <v>72</v>
          </cell>
        </row>
        <row r="33">
          <cell r="F33">
            <v>36</v>
          </cell>
        </row>
      </sheetData>
      <sheetData sheetId="3">
        <row r="12">
          <cell r="E12">
            <v>2734.65</v>
          </cell>
        </row>
        <row r="14">
          <cell r="F14">
            <v>16</v>
          </cell>
        </row>
        <row r="15">
          <cell r="F15">
            <v>1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94.xml><?xml version="1.0" encoding="utf-8"?>
<externalLink xmlns="http://schemas.openxmlformats.org/spreadsheetml/2006/main">
  <externalBook xmlns:r="http://schemas.openxmlformats.org/officeDocument/2006/relationships" r:id="rId1">
    <sheetNames>
      <sheetName val="rumus TM"/>
      <sheetName val="SUTM"/>
      <sheetName val="GARDU"/>
      <sheetName val="SUTR"/>
      <sheetName val="SLD"/>
      <sheetName val="SLD tanpa ukuran kabel"/>
      <sheetName val="GOOGLE EARTH"/>
    </sheetNames>
    <sheetDataSet>
      <sheetData sheetId="0" refreshError="1"/>
      <sheetData sheetId="1">
        <row r="16">
          <cell r="G16">
            <v>766</v>
          </cell>
        </row>
        <row r="17">
          <cell r="G17">
            <v>2461</v>
          </cell>
        </row>
        <row r="18">
          <cell r="G18">
            <v>504</v>
          </cell>
        </row>
        <row r="19">
          <cell r="G19">
            <v>120960</v>
          </cell>
        </row>
        <row r="21">
          <cell r="G21">
            <v>82</v>
          </cell>
        </row>
      </sheetData>
      <sheetData sheetId="2">
        <row r="15">
          <cell r="F15">
            <v>4</v>
          </cell>
        </row>
        <row r="16">
          <cell r="F16">
            <v>9</v>
          </cell>
        </row>
        <row r="17">
          <cell r="F17">
            <v>9</v>
          </cell>
        </row>
        <row r="18">
          <cell r="F18">
            <v>18</v>
          </cell>
        </row>
        <row r="24">
          <cell r="F24">
            <v>3</v>
          </cell>
        </row>
        <row r="30">
          <cell r="F30">
            <v>216</v>
          </cell>
        </row>
        <row r="31">
          <cell r="F31">
            <v>108</v>
          </cell>
        </row>
      </sheetData>
      <sheetData sheetId="3">
        <row r="15">
          <cell r="E15">
            <v>6813.45</v>
          </cell>
        </row>
        <row r="17">
          <cell r="F17">
            <v>1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95.xml><?xml version="1.0" encoding="utf-8"?>
<externalLink xmlns="http://schemas.openxmlformats.org/spreadsheetml/2006/main">
  <externalBook xmlns:r="http://schemas.openxmlformats.org/officeDocument/2006/relationships" r:id="rId1">
    <sheetNames>
      <sheetName val="rumus TM"/>
      <sheetName val="SUTM"/>
      <sheetName val="GARDU"/>
      <sheetName val="RAB SUTR"/>
      <sheetName val="SLD"/>
      <sheetName val="SLD tanpa ukuran kabel"/>
      <sheetName val="GOOGLE EARTH"/>
    </sheetNames>
    <sheetDataSet>
      <sheetData sheetId="0" refreshError="1"/>
      <sheetData sheetId="1">
        <row r="16">
          <cell r="G16">
            <v>39</v>
          </cell>
        </row>
        <row r="17">
          <cell r="G17">
            <v>110</v>
          </cell>
        </row>
        <row r="18">
          <cell r="G18">
            <v>27</v>
          </cell>
        </row>
        <row r="19">
          <cell r="G19">
            <v>6457.5</v>
          </cell>
        </row>
        <row r="21">
          <cell r="G21">
            <v>2</v>
          </cell>
        </row>
      </sheetData>
      <sheetData sheetId="2">
        <row r="15">
          <cell r="F15">
            <v>2</v>
          </cell>
        </row>
        <row r="16">
          <cell r="F16">
            <v>3</v>
          </cell>
        </row>
        <row r="17">
          <cell r="F17">
            <v>3</v>
          </cell>
        </row>
        <row r="18">
          <cell r="F18">
            <v>6</v>
          </cell>
        </row>
        <row r="24">
          <cell r="F24">
            <v>1</v>
          </cell>
        </row>
        <row r="30">
          <cell r="F30">
            <v>72</v>
          </cell>
        </row>
        <row r="31">
          <cell r="F31">
            <v>36</v>
          </cell>
        </row>
      </sheetData>
      <sheetData sheetId="3">
        <row r="12">
          <cell r="F12">
            <v>824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96.xml><?xml version="1.0" encoding="utf-8"?>
<externalLink xmlns="http://schemas.openxmlformats.org/spreadsheetml/2006/main">
  <externalBook xmlns:r="http://schemas.openxmlformats.org/officeDocument/2006/relationships" r:id="rId1">
    <sheetNames>
      <sheetName val="rumus TM"/>
      <sheetName val="SUTM"/>
      <sheetName val="GARDU"/>
      <sheetName val="RAB SUTR"/>
      <sheetName val="SLD"/>
      <sheetName val="SLD tanpa ukuran kabel"/>
      <sheetName val="GOOGLE EARTH"/>
    </sheetNames>
    <sheetDataSet>
      <sheetData sheetId="0" refreshError="1"/>
      <sheetData sheetId="1">
        <row r="16">
          <cell r="G16">
            <v>45</v>
          </cell>
        </row>
        <row r="17">
          <cell r="G17">
            <v>128</v>
          </cell>
        </row>
        <row r="18">
          <cell r="G18">
            <v>30</v>
          </cell>
        </row>
        <row r="19">
          <cell r="G19">
            <v>7339.5</v>
          </cell>
        </row>
        <row r="21">
          <cell r="G21">
            <v>2</v>
          </cell>
        </row>
      </sheetData>
      <sheetData sheetId="2">
        <row r="15">
          <cell r="F15">
            <v>4</v>
          </cell>
        </row>
        <row r="16">
          <cell r="F16">
            <v>6</v>
          </cell>
        </row>
        <row r="17">
          <cell r="F17">
            <v>6</v>
          </cell>
        </row>
        <row r="18">
          <cell r="F18">
            <v>12</v>
          </cell>
        </row>
        <row r="24">
          <cell r="F24">
            <v>2</v>
          </cell>
        </row>
        <row r="30">
          <cell r="F30">
            <v>144</v>
          </cell>
        </row>
        <row r="31">
          <cell r="F31">
            <v>72</v>
          </cell>
        </row>
      </sheetData>
      <sheetData sheetId="3">
        <row r="12">
          <cell r="F12">
            <v>2678</v>
          </cell>
        </row>
        <row r="14">
          <cell r="F14">
            <v>5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97.xml><?xml version="1.0" encoding="utf-8"?>
<externalLink xmlns="http://schemas.openxmlformats.org/spreadsheetml/2006/main">
  <externalBook xmlns:r="http://schemas.openxmlformats.org/officeDocument/2006/relationships" r:id="rId1">
    <sheetNames>
      <sheetName val="rumus TM"/>
      <sheetName val="SUTM"/>
      <sheetName val="GARDU"/>
      <sheetName val="RAB SUTR"/>
      <sheetName val="SLD"/>
      <sheetName val="SLD tanpa ukuran kabel"/>
      <sheetName val="GOOGLE EARTH"/>
    </sheetNames>
    <sheetDataSet>
      <sheetData sheetId="0" refreshError="1"/>
      <sheetData sheetId="1">
        <row r="16">
          <cell r="G16">
            <v>56</v>
          </cell>
        </row>
        <row r="17">
          <cell r="G17">
            <v>159</v>
          </cell>
        </row>
        <row r="18">
          <cell r="G18">
            <v>39</v>
          </cell>
        </row>
        <row r="19">
          <cell r="G19">
            <v>9135</v>
          </cell>
        </row>
        <row r="21">
          <cell r="G21">
            <v>1</v>
          </cell>
        </row>
      </sheetData>
      <sheetData sheetId="2">
        <row r="15">
          <cell r="F15">
            <v>4</v>
          </cell>
        </row>
        <row r="16">
          <cell r="F16">
            <v>6</v>
          </cell>
        </row>
        <row r="17">
          <cell r="F17">
            <v>6</v>
          </cell>
        </row>
        <row r="18">
          <cell r="F18">
            <v>12</v>
          </cell>
        </row>
        <row r="24">
          <cell r="F24">
            <v>2</v>
          </cell>
        </row>
        <row r="30">
          <cell r="F30">
            <v>144</v>
          </cell>
        </row>
        <row r="31">
          <cell r="F31">
            <v>72</v>
          </cell>
        </row>
      </sheetData>
      <sheetData sheetId="3">
        <row r="12">
          <cell r="E12">
            <v>3193</v>
          </cell>
        </row>
        <row r="14">
          <cell r="E14">
            <v>20</v>
          </cell>
        </row>
        <row r="15">
          <cell r="F15">
            <v>1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98.xml><?xml version="1.0" encoding="utf-8"?>
<externalLink xmlns="http://schemas.openxmlformats.org/spreadsheetml/2006/main">
  <externalBook xmlns:r="http://schemas.openxmlformats.org/officeDocument/2006/relationships" r:id="rId1">
    <sheetNames>
      <sheetName val="TRAFO"/>
      <sheetName val="SUTM-"/>
      <sheetName val="SUTM"/>
      <sheetName val="SUTR"/>
      <sheetName val="SKTM-"/>
      <sheetName val="GBR 1"/>
      <sheetName val="GBR 2"/>
      <sheetName val="MAPPING"/>
    </sheetNames>
    <sheetDataSet>
      <sheetData sheetId="0">
        <row r="33">
          <cell r="E33">
            <v>2</v>
          </cell>
        </row>
        <row r="57">
          <cell r="E57">
            <v>72</v>
          </cell>
          <cell r="F57">
            <v>72</v>
          </cell>
          <cell r="G57">
            <v>72</v>
          </cell>
          <cell r="H57">
            <v>72</v>
          </cell>
          <cell r="I57">
            <v>72</v>
          </cell>
        </row>
        <row r="59">
          <cell r="E59">
            <v>36</v>
          </cell>
          <cell r="F59">
            <v>36</v>
          </cell>
          <cell r="G59">
            <v>36</v>
          </cell>
          <cell r="H59">
            <v>36</v>
          </cell>
          <cell r="I59">
            <v>36</v>
          </cell>
        </row>
      </sheetData>
      <sheetData sheetId="1" refreshError="1"/>
      <sheetData sheetId="2">
        <row r="13">
          <cell r="D13">
            <v>0.48</v>
          </cell>
        </row>
        <row r="14">
          <cell r="D14">
            <v>0.35</v>
          </cell>
        </row>
        <row r="25">
          <cell r="E25">
            <v>1545</v>
          </cell>
          <cell r="F25">
            <v>1545</v>
          </cell>
          <cell r="G25">
            <v>618</v>
          </cell>
          <cell r="H25">
            <v>1081.5</v>
          </cell>
          <cell r="I25">
            <v>1483.2</v>
          </cell>
          <cell r="J25">
            <v>1081.5</v>
          </cell>
        </row>
        <row r="34">
          <cell r="E34">
            <v>10</v>
          </cell>
          <cell r="F34">
            <v>10</v>
          </cell>
          <cell r="G34">
            <v>5</v>
          </cell>
          <cell r="H34">
            <v>7</v>
          </cell>
          <cell r="I34">
            <v>9</v>
          </cell>
          <cell r="J34">
            <v>6</v>
          </cell>
        </row>
        <row r="37">
          <cell r="E37">
            <v>28</v>
          </cell>
          <cell r="F37">
            <v>28</v>
          </cell>
          <cell r="G37">
            <v>13</v>
          </cell>
          <cell r="H37">
            <v>22</v>
          </cell>
          <cell r="I37">
            <v>25</v>
          </cell>
          <cell r="J37">
            <v>19</v>
          </cell>
        </row>
        <row r="38">
          <cell r="E38">
            <v>6</v>
          </cell>
          <cell r="F38">
            <v>6</v>
          </cell>
          <cell r="G38">
            <v>3</v>
          </cell>
          <cell r="H38">
            <v>3</v>
          </cell>
          <cell r="I38">
            <v>12</v>
          </cell>
          <cell r="J38">
            <v>3</v>
          </cell>
        </row>
      </sheetData>
      <sheetData sheetId="3">
        <row r="14">
          <cell r="E14">
            <v>0.85</v>
          </cell>
        </row>
        <row r="21">
          <cell r="E21">
            <v>124.80000000000001</v>
          </cell>
          <cell r="F21">
            <v>572</v>
          </cell>
          <cell r="G21">
            <v>166.4</v>
          </cell>
          <cell r="H21">
            <v>218.4</v>
          </cell>
          <cell r="J21">
            <v>884</v>
          </cell>
        </row>
        <row r="23">
          <cell r="E23">
            <v>2</v>
          </cell>
          <cell r="G23">
            <v>4</v>
          </cell>
          <cell r="J23">
            <v>8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9.xml><?xml version="1.0" encoding="utf-8"?>
<externalLink xmlns="http://schemas.openxmlformats.org/spreadsheetml/2006/main">
  <externalBook xmlns:r="http://schemas.openxmlformats.org/officeDocument/2006/relationships" r:id="rId1">
    <sheetNames>
      <sheetName val="rumus TM"/>
      <sheetName val="SUTM"/>
      <sheetName val="GARDU"/>
      <sheetName val="SUTR"/>
      <sheetName val="SLD"/>
      <sheetName val="SLD tanpa ukuran kabel"/>
      <sheetName val="GOOGLE EARTH"/>
    </sheetNames>
    <sheetDataSet>
      <sheetData sheetId="0" refreshError="1"/>
      <sheetData sheetId="1">
        <row r="16">
          <cell r="G16">
            <v>145</v>
          </cell>
        </row>
        <row r="17">
          <cell r="G17">
            <v>446</v>
          </cell>
        </row>
        <row r="18">
          <cell r="G18">
            <v>126</v>
          </cell>
        </row>
        <row r="19">
          <cell r="G19">
            <v>22680</v>
          </cell>
        </row>
        <row r="21">
          <cell r="G21">
            <v>8</v>
          </cell>
        </row>
      </sheetData>
      <sheetData sheetId="2">
        <row r="15">
          <cell r="F15">
            <v>4</v>
          </cell>
        </row>
        <row r="16">
          <cell r="F16">
            <v>6</v>
          </cell>
        </row>
        <row r="17">
          <cell r="F17">
            <v>6</v>
          </cell>
        </row>
        <row r="18">
          <cell r="F18">
            <v>12</v>
          </cell>
        </row>
        <row r="24">
          <cell r="F24">
            <v>2</v>
          </cell>
        </row>
        <row r="30">
          <cell r="F30">
            <v>144</v>
          </cell>
        </row>
        <row r="31">
          <cell r="F31">
            <v>72</v>
          </cell>
        </row>
      </sheetData>
      <sheetData sheetId="3">
        <row r="15">
          <cell r="E15">
            <v>2037</v>
          </cell>
        </row>
        <row r="17">
          <cell r="F17">
            <v>2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F99"/>
  <sheetViews>
    <sheetView tabSelected="1" view="pageBreakPreview" topLeftCell="Q3" zoomScale="40" zoomScaleNormal="55" zoomScaleSheetLayoutView="40" zoomScalePageLayoutView="40" workbookViewId="0">
      <pane xSplit="2" ySplit="5" topLeftCell="S56" activePane="bottomRight" state="frozen"/>
      <selection activeCell="Q3" sqref="Q3"/>
      <selection pane="topRight" activeCell="S3" sqref="S3"/>
      <selection pane="bottomLeft" activeCell="Q8" sqref="Q8"/>
      <selection pane="bottomRight" activeCell="R58" sqref="R58"/>
    </sheetView>
  </sheetViews>
  <sheetFormatPr defaultColWidth="9.140625" defaultRowHeight="15"/>
  <cols>
    <col min="1" max="1" width="1.5703125" style="3" hidden="1" customWidth="1"/>
    <col min="2" max="2" width="8.5703125" style="4" hidden="1" customWidth="1"/>
    <col min="3" max="3" width="21.28515625" style="3" hidden="1" customWidth="1"/>
    <col min="4" max="4" width="44.28515625" style="3" hidden="1" customWidth="1"/>
    <col min="5" max="5" width="16.28515625" style="5" hidden="1" customWidth="1"/>
    <col min="6" max="6" width="5" style="3" hidden="1" customWidth="1"/>
    <col min="7" max="7" width="21.140625" style="3" hidden="1" customWidth="1"/>
    <col min="8" max="8" width="28" style="3" hidden="1" customWidth="1"/>
    <col min="9" max="9" width="15.42578125" style="6" hidden="1" customWidth="1"/>
    <col min="10" max="10" width="21.28515625" style="3" hidden="1" customWidth="1"/>
    <col min="11" max="11" width="50" style="3" hidden="1" customWidth="1"/>
    <col min="12" max="12" width="13.42578125" style="6" hidden="1" customWidth="1"/>
    <col min="13" max="13" width="7" style="4" hidden="1" customWidth="1"/>
    <col min="14" max="14" width="21.28515625" style="3" hidden="1" customWidth="1"/>
    <col min="15" max="15" width="53.5703125" style="3" hidden="1" customWidth="1"/>
    <col min="16" max="16" width="13" style="6" hidden="1" customWidth="1"/>
    <col min="17" max="17" width="7.5703125" style="3" customWidth="1"/>
    <col min="18" max="18" width="47.5703125" style="94" customWidth="1"/>
    <col min="19" max="19" width="21.85546875" style="94" customWidth="1"/>
    <col min="20" max="20" width="31.85546875" style="94" bestFit="1" customWidth="1"/>
    <col min="21" max="21" width="8.7109375" style="94" customWidth="1"/>
    <col min="22" max="22" width="68.7109375" style="95" customWidth="1"/>
    <col min="23" max="25" width="18.5703125" style="95" customWidth="1"/>
    <col min="26" max="26" width="16.85546875" style="95" customWidth="1"/>
    <col min="27" max="27" width="14.85546875" style="96" customWidth="1"/>
    <col min="28" max="28" width="15.85546875" style="96" customWidth="1"/>
    <col min="29" max="29" width="10" style="96" customWidth="1"/>
    <col min="30" max="30" width="11.140625" style="96" customWidth="1"/>
    <col min="31" max="31" width="11.42578125" style="96" customWidth="1"/>
    <col min="32" max="32" width="10.85546875" style="96" customWidth="1"/>
    <col min="33" max="33" width="12.5703125" style="96" customWidth="1"/>
    <col min="34" max="34" width="11.140625" style="94" customWidth="1"/>
    <col min="35" max="35" width="34.7109375" style="97" customWidth="1"/>
    <col min="36" max="36" width="31.7109375" style="97" customWidth="1"/>
    <col min="37" max="37" width="31.85546875" style="97" customWidth="1"/>
    <col min="38" max="38" width="34" style="97" customWidth="1"/>
    <col min="39" max="39" width="23.85546875" style="7" hidden="1" customWidth="1"/>
    <col min="40" max="40" width="28.140625" style="3" hidden="1" customWidth="1"/>
    <col min="41" max="41" width="13" style="3" hidden="1" customWidth="1"/>
    <col min="42" max="42" width="15.28515625" style="3" hidden="1" customWidth="1"/>
    <col min="43" max="46" width="9.140625" style="3" hidden="1" customWidth="1"/>
    <col min="47" max="47" width="15.140625" style="3" hidden="1" customWidth="1"/>
    <col min="48" max="48" width="14.28515625" style="3" hidden="1" customWidth="1"/>
    <col min="49" max="49" width="10.28515625" style="3" hidden="1" customWidth="1"/>
    <col min="50" max="50" width="9.85546875" style="3" hidden="1" customWidth="1"/>
    <col min="51" max="51" width="9.140625" style="3" hidden="1" customWidth="1"/>
    <col min="52" max="52" width="6.140625" style="3" hidden="1" customWidth="1"/>
    <col min="53" max="53" width="9.140625" style="3" hidden="1" customWidth="1"/>
    <col min="54" max="54" width="19.7109375" style="6" hidden="1" customWidth="1"/>
    <col min="55" max="55" width="10.28515625" style="3" hidden="1" customWidth="1"/>
    <col min="56" max="56" width="14.7109375" style="3" hidden="1" customWidth="1"/>
    <col min="57" max="57" width="14" style="3" hidden="1" customWidth="1"/>
    <col min="58" max="58" width="9.7109375" style="3" hidden="1" customWidth="1"/>
    <col min="59" max="60" width="9.140625" style="3" hidden="1" customWidth="1"/>
    <col min="61" max="61" width="11.5703125" style="3" hidden="1" customWidth="1"/>
    <col min="62" max="62" width="8.85546875" style="3" hidden="1" customWidth="1"/>
    <col min="63" max="63" width="20.7109375" style="3" hidden="1" customWidth="1"/>
    <col min="64" max="64" width="21.140625" style="3" customWidth="1"/>
    <col min="65" max="65" width="19.85546875" style="3" customWidth="1"/>
    <col min="66" max="66" width="16.85546875" style="3" customWidth="1"/>
    <col min="67" max="67" width="15.7109375" style="3" customWidth="1"/>
    <col min="68" max="68" width="18.85546875" style="3" customWidth="1"/>
    <col min="69" max="69" width="16.85546875" style="3" customWidth="1"/>
    <col min="70" max="70" width="15.140625" style="3" customWidth="1"/>
    <col min="71" max="71" width="14.140625" style="3" customWidth="1"/>
    <col min="72" max="72" width="13.28515625" style="3" customWidth="1"/>
    <col min="73" max="73" width="25.140625" style="3" customWidth="1"/>
    <col min="74" max="74" width="26" style="3" customWidth="1"/>
    <col min="75" max="75" width="26.42578125" style="3" customWidth="1"/>
    <col min="76" max="76" width="18.5703125" style="3" customWidth="1"/>
    <col min="77" max="77" width="11.28515625" style="3" bestFit="1" customWidth="1"/>
    <col min="78" max="78" width="14.42578125" style="3" customWidth="1"/>
    <col min="79" max="80" width="16.5703125" style="3" customWidth="1"/>
    <col min="81" max="81" width="16.28515625" style="3" customWidth="1"/>
    <col min="82" max="82" width="17.42578125" style="3" customWidth="1"/>
    <col min="83" max="83" width="13.5703125" style="3" customWidth="1"/>
    <col min="84" max="84" width="32.5703125" style="3" customWidth="1"/>
    <col min="85" max="16384" width="9.140625" style="3"/>
  </cols>
  <sheetData>
    <row r="2" spans="2:84" ht="26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14" t="s">
        <v>0</v>
      </c>
      <c r="R2" s="314"/>
      <c r="S2" s="314"/>
      <c r="T2" s="314"/>
      <c r="U2" s="314"/>
      <c r="V2" s="314"/>
      <c r="W2" s="314"/>
      <c r="X2" s="314"/>
      <c r="Y2" s="314"/>
      <c r="Z2" s="314"/>
      <c r="AA2" s="314"/>
      <c r="AB2" s="314"/>
      <c r="AC2" s="314"/>
      <c r="AD2" s="314"/>
      <c r="AE2" s="314"/>
      <c r="AF2" s="314"/>
      <c r="AG2" s="314"/>
      <c r="AH2" s="314"/>
      <c r="AI2" s="314"/>
      <c r="AJ2" s="314"/>
      <c r="AK2" s="314"/>
      <c r="AL2" s="314"/>
      <c r="AM2" s="314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2"/>
      <c r="BK2" s="2"/>
    </row>
    <row r="3" spans="2:84" ht="26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314" t="s">
        <v>173</v>
      </c>
      <c r="R3" s="314"/>
      <c r="S3" s="314"/>
      <c r="T3" s="314"/>
      <c r="U3" s="314"/>
      <c r="V3" s="314"/>
      <c r="W3" s="314"/>
      <c r="X3" s="314"/>
      <c r="Y3" s="314"/>
      <c r="Z3" s="314"/>
      <c r="AA3" s="314"/>
      <c r="AB3" s="314"/>
      <c r="AC3" s="314"/>
      <c r="AD3" s="314"/>
      <c r="AE3" s="314"/>
      <c r="AF3" s="314"/>
      <c r="AG3" s="314"/>
      <c r="AH3" s="314"/>
      <c r="AI3" s="314"/>
      <c r="AJ3" s="314"/>
      <c r="AK3" s="314"/>
      <c r="AL3" s="314"/>
      <c r="AM3" s="314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2"/>
      <c r="BK3" s="2"/>
    </row>
    <row r="4" spans="2:84" ht="23.25">
      <c r="Q4" s="118" t="s">
        <v>1</v>
      </c>
      <c r="R4" s="114"/>
      <c r="S4" s="114"/>
      <c r="T4" s="114"/>
      <c r="U4" s="114"/>
      <c r="V4" s="115"/>
      <c r="W4" s="115"/>
      <c r="X4" s="115"/>
      <c r="Y4" s="115"/>
      <c r="Z4" s="115"/>
      <c r="AA4" s="116"/>
      <c r="AB4" s="116"/>
      <c r="AC4" s="116"/>
      <c r="AD4" s="116"/>
      <c r="AE4" s="116"/>
      <c r="AF4" s="116"/>
      <c r="AG4" s="116"/>
      <c r="AH4" s="114"/>
      <c r="AI4" s="117"/>
      <c r="AJ4" s="117"/>
      <c r="AK4" s="117"/>
      <c r="AL4" s="117"/>
    </row>
    <row r="5" spans="2:84" ht="24.75" customHeight="1">
      <c r="B5" s="8" t="s">
        <v>2</v>
      </c>
      <c r="C5" s="8" t="s">
        <v>3</v>
      </c>
      <c r="D5" s="8" t="s">
        <v>4</v>
      </c>
      <c r="E5" s="9" t="s">
        <v>5</v>
      </c>
      <c r="F5" s="8" t="s">
        <v>2</v>
      </c>
      <c r="G5" s="8"/>
      <c r="H5" s="8"/>
      <c r="I5" s="9"/>
      <c r="J5" s="8" t="s">
        <v>3</v>
      </c>
      <c r="K5" s="8" t="s">
        <v>4</v>
      </c>
      <c r="L5" s="9" t="s">
        <v>5</v>
      </c>
      <c r="M5" s="8" t="s">
        <v>2</v>
      </c>
      <c r="N5" s="8" t="s">
        <v>3</v>
      </c>
      <c r="O5" s="8" t="s">
        <v>4</v>
      </c>
      <c r="P5" s="98" t="s">
        <v>5</v>
      </c>
      <c r="Q5" s="315" t="s">
        <v>2</v>
      </c>
      <c r="R5" s="317" t="s">
        <v>4</v>
      </c>
      <c r="S5" s="317" t="s">
        <v>6</v>
      </c>
      <c r="T5" s="317" t="s">
        <v>7</v>
      </c>
      <c r="U5" s="119"/>
      <c r="V5" s="317" t="s">
        <v>8</v>
      </c>
      <c r="W5" s="292" t="s">
        <v>243</v>
      </c>
      <c r="X5" s="293"/>
      <c r="Y5" s="293"/>
      <c r="Z5" s="294"/>
      <c r="AA5" s="292" t="s">
        <v>9</v>
      </c>
      <c r="AB5" s="293"/>
      <c r="AC5" s="292" t="s">
        <v>267</v>
      </c>
      <c r="AD5" s="293"/>
      <c r="AE5" s="293"/>
      <c r="AF5" s="293"/>
      <c r="AG5" s="293"/>
      <c r="AH5" s="294"/>
      <c r="AI5" s="120"/>
      <c r="AJ5" s="120"/>
      <c r="AK5" s="120"/>
      <c r="AL5" s="339" t="s">
        <v>10</v>
      </c>
      <c r="AM5" s="341" t="s">
        <v>5</v>
      </c>
      <c r="AN5" s="10" t="s">
        <v>11</v>
      </c>
      <c r="AO5" s="343"/>
      <c r="AP5" s="344"/>
      <c r="AQ5" s="345" t="s">
        <v>12</v>
      </c>
      <c r="AR5" s="346"/>
      <c r="AS5" s="346"/>
      <c r="AT5" s="347"/>
      <c r="AU5" s="348" t="s">
        <v>13</v>
      </c>
      <c r="AV5" s="346"/>
      <c r="AW5" s="347"/>
      <c r="AX5" s="349" t="s">
        <v>14</v>
      </c>
      <c r="AY5" s="350"/>
      <c r="AZ5" s="350"/>
      <c r="BA5" s="350"/>
      <c r="BB5" s="350"/>
      <c r="BC5" s="351"/>
      <c r="BD5" s="349" t="s">
        <v>15</v>
      </c>
      <c r="BE5" s="350"/>
      <c r="BF5" s="351"/>
      <c r="BG5" s="352" t="s">
        <v>16</v>
      </c>
      <c r="BH5" s="353"/>
      <c r="BI5" s="334" t="s">
        <v>17</v>
      </c>
      <c r="BJ5" s="335"/>
      <c r="BK5" s="11"/>
      <c r="BL5" s="289" t="s">
        <v>253</v>
      </c>
      <c r="BM5" s="289"/>
      <c r="BN5" s="289"/>
      <c r="BO5" s="289"/>
      <c r="BP5" s="289"/>
      <c r="BQ5" s="289"/>
      <c r="BR5" s="289"/>
      <c r="BS5" s="289"/>
      <c r="BT5" s="289"/>
      <c r="BU5" s="289"/>
      <c r="BV5" s="290" t="s">
        <v>254</v>
      </c>
      <c r="BW5" s="290"/>
      <c r="BX5" s="290" t="s">
        <v>255</v>
      </c>
      <c r="BY5" s="290" t="s">
        <v>256</v>
      </c>
      <c r="BZ5" s="290" t="s">
        <v>257</v>
      </c>
      <c r="CA5" s="290" t="s">
        <v>258</v>
      </c>
      <c r="CB5" s="291" t="s">
        <v>259</v>
      </c>
      <c r="CC5" s="291"/>
      <c r="CD5" s="291"/>
      <c r="CE5" s="290" t="s">
        <v>260</v>
      </c>
    </row>
    <row r="6" spans="2:84" ht="58.5" customHeight="1" thickBot="1">
      <c r="B6" s="12"/>
      <c r="C6" s="13"/>
      <c r="D6" s="13"/>
      <c r="E6" s="14"/>
      <c r="F6" s="13"/>
      <c r="G6" s="13"/>
      <c r="H6" s="13"/>
      <c r="I6" s="15"/>
      <c r="J6" s="13"/>
      <c r="K6" s="13"/>
      <c r="L6" s="15"/>
      <c r="M6" s="12"/>
      <c r="N6" s="13"/>
      <c r="O6" s="13"/>
      <c r="P6" s="99"/>
      <c r="Q6" s="316"/>
      <c r="R6" s="318"/>
      <c r="S6" s="318"/>
      <c r="T6" s="318"/>
      <c r="U6" s="121"/>
      <c r="V6" s="318"/>
      <c r="W6" s="270">
        <v>9</v>
      </c>
      <c r="X6" s="270">
        <v>11</v>
      </c>
      <c r="Y6" s="270">
        <v>13</v>
      </c>
      <c r="Z6" s="270">
        <v>14</v>
      </c>
      <c r="AA6" s="274" t="s">
        <v>18</v>
      </c>
      <c r="AB6" s="274" t="s">
        <v>19</v>
      </c>
      <c r="AC6" s="274" t="s">
        <v>20</v>
      </c>
      <c r="AD6" s="274" t="s">
        <v>21</v>
      </c>
      <c r="AE6" s="274" t="s">
        <v>22</v>
      </c>
      <c r="AF6" s="274" t="s">
        <v>92</v>
      </c>
      <c r="AG6" s="279" t="s">
        <v>23</v>
      </c>
      <c r="AH6" s="279" t="s">
        <v>24</v>
      </c>
      <c r="AI6" s="122" t="s">
        <v>25</v>
      </c>
      <c r="AJ6" s="122" t="s">
        <v>26</v>
      </c>
      <c r="AK6" s="122" t="s">
        <v>27</v>
      </c>
      <c r="AL6" s="340"/>
      <c r="AM6" s="342"/>
      <c r="AN6" s="16" t="s">
        <v>8</v>
      </c>
      <c r="AO6" s="17" t="s">
        <v>28</v>
      </c>
      <c r="AP6" s="18" t="s">
        <v>29</v>
      </c>
      <c r="AQ6" s="19" t="s">
        <v>30</v>
      </c>
      <c r="AR6" s="20" t="s">
        <v>31</v>
      </c>
      <c r="AS6" s="20" t="s">
        <v>32</v>
      </c>
      <c r="AT6" s="21" t="s">
        <v>33</v>
      </c>
      <c r="AU6" s="22" t="s">
        <v>34</v>
      </c>
      <c r="AV6" s="22" t="s">
        <v>35</v>
      </c>
      <c r="AW6" s="21" t="s">
        <v>33</v>
      </c>
      <c r="AX6" s="22" t="s">
        <v>36</v>
      </c>
      <c r="AY6" s="22" t="s">
        <v>37</v>
      </c>
      <c r="AZ6" s="22" t="s">
        <v>38</v>
      </c>
      <c r="BA6" s="22" t="s">
        <v>39</v>
      </c>
      <c r="BB6" s="23" t="s">
        <v>40</v>
      </c>
      <c r="BC6" s="22" t="s">
        <v>33</v>
      </c>
      <c r="BD6" s="24" t="s">
        <v>41</v>
      </c>
      <c r="BE6" s="24" t="s">
        <v>42</v>
      </c>
      <c r="BF6" s="22" t="s">
        <v>33</v>
      </c>
      <c r="BG6" s="24" t="s">
        <v>43</v>
      </c>
      <c r="BH6" s="22" t="s">
        <v>33</v>
      </c>
      <c r="BI6" s="25" t="s">
        <v>44</v>
      </c>
      <c r="BJ6" s="26" t="s">
        <v>33</v>
      </c>
      <c r="BK6" s="27"/>
      <c r="BL6" s="271" t="s">
        <v>244</v>
      </c>
      <c r="BM6" s="271" t="s">
        <v>245</v>
      </c>
      <c r="BN6" s="271" t="s">
        <v>246</v>
      </c>
      <c r="BO6" s="271" t="s">
        <v>247</v>
      </c>
      <c r="BP6" s="271" t="s">
        <v>248</v>
      </c>
      <c r="BQ6" s="271" t="s">
        <v>249</v>
      </c>
      <c r="BR6" s="271" t="s">
        <v>266</v>
      </c>
      <c r="BS6" s="271" t="s">
        <v>250</v>
      </c>
      <c r="BT6" s="271" t="s">
        <v>251</v>
      </c>
      <c r="BU6" s="271" t="s">
        <v>252</v>
      </c>
      <c r="BV6" s="271" t="s">
        <v>261</v>
      </c>
      <c r="BW6" s="271" t="s">
        <v>262</v>
      </c>
      <c r="BX6" s="290"/>
      <c r="BY6" s="290"/>
      <c r="BZ6" s="290"/>
      <c r="CA6" s="290"/>
      <c r="CB6" s="271" t="s">
        <v>263</v>
      </c>
      <c r="CC6" s="271" t="s">
        <v>264</v>
      </c>
      <c r="CD6" s="271" t="s">
        <v>265</v>
      </c>
      <c r="CE6" s="290"/>
      <c r="CF6" s="4" t="s">
        <v>277</v>
      </c>
    </row>
    <row r="7" spans="2:84" ht="21.75" thickBot="1">
      <c r="B7" s="28"/>
      <c r="C7" s="29"/>
      <c r="D7" s="29" t="s">
        <v>45</v>
      </c>
      <c r="E7" s="30"/>
      <c r="F7" s="336">
        <v>1</v>
      </c>
      <c r="G7" s="336" t="s">
        <v>46</v>
      </c>
      <c r="H7" s="337" t="s">
        <v>47</v>
      </c>
      <c r="I7" s="338">
        <v>8830054</v>
      </c>
      <c r="J7" s="336" t="s">
        <v>46</v>
      </c>
      <c r="K7" s="29" t="s">
        <v>48</v>
      </c>
      <c r="L7" s="338">
        <v>3723264</v>
      </c>
      <c r="M7" s="28"/>
      <c r="N7" s="29"/>
      <c r="O7" s="31"/>
      <c r="P7" s="354">
        <v>3723264</v>
      </c>
      <c r="Q7" s="123" t="s">
        <v>82</v>
      </c>
      <c r="R7" s="124"/>
      <c r="S7" s="124"/>
      <c r="T7" s="124"/>
      <c r="U7" s="124"/>
      <c r="V7" s="125"/>
      <c r="W7" s="125"/>
      <c r="X7" s="125"/>
      <c r="Y7" s="125"/>
      <c r="Z7" s="125"/>
      <c r="AA7" s="125"/>
      <c r="AB7" s="126"/>
      <c r="AC7" s="125"/>
      <c r="AD7" s="125"/>
      <c r="AE7" s="125"/>
      <c r="AF7" s="125"/>
      <c r="AG7" s="125"/>
      <c r="AH7" s="124"/>
      <c r="AI7" s="127">
        <f>SUM(AI8:AI88)</f>
        <v>75517596522.25647</v>
      </c>
      <c r="AJ7" s="127">
        <f>SUM(AJ8:AJ88)</f>
        <v>18099674139.84819</v>
      </c>
      <c r="AK7" s="127">
        <f>SUM(AK8:AK88)</f>
        <v>10645669150.811159</v>
      </c>
      <c r="AL7" s="127">
        <f>SUM(AI7:AK7)</f>
        <v>104262939812.91582</v>
      </c>
      <c r="AM7" s="32">
        <f>SUM(AM8:AM65)</f>
        <v>34645180</v>
      </c>
      <c r="AN7" s="33"/>
      <c r="AO7" s="34"/>
      <c r="AP7" s="35"/>
      <c r="AQ7" s="36"/>
      <c r="AR7" s="36"/>
      <c r="AS7" s="36"/>
      <c r="AT7" s="36"/>
      <c r="AU7" s="36"/>
      <c r="AV7" s="36"/>
      <c r="AW7" s="36"/>
      <c r="AX7" s="36"/>
      <c r="AY7" s="36"/>
      <c r="AZ7" s="29"/>
      <c r="BA7" s="29"/>
      <c r="BB7" s="37"/>
      <c r="BC7" s="356" t="s">
        <v>49</v>
      </c>
      <c r="BD7" s="29"/>
      <c r="BE7" s="29"/>
      <c r="BF7" s="29"/>
      <c r="BG7" s="29"/>
      <c r="BH7" s="29"/>
      <c r="BI7" s="29"/>
      <c r="BJ7" s="29"/>
      <c r="BK7" s="3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</row>
    <row r="8" spans="2:84" ht="42.75" thickBot="1">
      <c r="B8" s="28">
        <v>1</v>
      </c>
      <c r="C8" s="28" t="s">
        <v>46</v>
      </c>
      <c r="D8" s="29" t="s">
        <v>50</v>
      </c>
      <c r="E8" s="30">
        <v>8830054</v>
      </c>
      <c r="F8" s="336"/>
      <c r="G8" s="336"/>
      <c r="H8" s="337"/>
      <c r="I8" s="338"/>
      <c r="J8" s="336"/>
      <c r="K8" s="29" t="s">
        <v>51</v>
      </c>
      <c r="L8" s="338"/>
      <c r="M8" s="28">
        <v>1</v>
      </c>
      <c r="N8" s="28" t="s">
        <v>46</v>
      </c>
      <c r="O8" s="39" t="s">
        <v>52</v>
      </c>
      <c r="P8" s="354"/>
      <c r="Q8" s="128">
        <v>1</v>
      </c>
      <c r="R8" s="129" t="s">
        <v>88</v>
      </c>
      <c r="S8" s="130" t="s">
        <v>87</v>
      </c>
      <c r="T8" s="131" t="s">
        <v>89</v>
      </c>
      <c r="U8" s="131"/>
      <c r="V8" s="130" t="s">
        <v>195</v>
      </c>
      <c r="W8" s="130"/>
      <c r="X8" s="275">
        <f>[6]SUTR!$F$17+[6]SUTM!$G$21</f>
        <v>39</v>
      </c>
      <c r="Y8" s="275">
        <f>[6]SUTM!$G$16+[6]GARDU!$F$15</f>
        <v>129</v>
      </c>
      <c r="Z8" s="130"/>
      <c r="AA8" s="132">
        <f>20.475/3</f>
        <v>6.8250000000000002</v>
      </c>
      <c r="AB8" s="132">
        <v>7.62</v>
      </c>
      <c r="AC8" s="133"/>
      <c r="AD8" s="133">
        <v>3</v>
      </c>
      <c r="AE8" s="133"/>
      <c r="AF8" s="133"/>
      <c r="AG8" s="130">
        <f>+(AC8*50)+(AD8*100)+(AE8*160)+(AF8*200)</f>
        <v>300</v>
      </c>
      <c r="AH8" s="134">
        <f>+AC8+AD8+AE8+AF8</f>
        <v>3</v>
      </c>
      <c r="AI8" s="135">
        <f>[7]SUTM!$K$51</f>
        <v>2599771666.8000002</v>
      </c>
      <c r="AJ8" s="136">
        <v>725466879.95466661</v>
      </c>
      <c r="AK8" s="135">
        <f>[7]GARDU!$J$60</f>
        <v>388237628.89999998</v>
      </c>
      <c r="AL8" s="137">
        <f>+AI8+AJ8+AK8</f>
        <v>3713476175.6546669</v>
      </c>
      <c r="AM8" s="40">
        <v>3723264</v>
      </c>
      <c r="AN8" s="41" t="s">
        <v>53</v>
      </c>
      <c r="AO8" s="34"/>
      <c r="AP8" s="35"/>
      <c r="AQ8" s="36"/>
      <c r="AR8" s="36">
        <v>6</v>
      </c>
      <c r="AS8" s="36">
        <v>3</v>
      </c>
      <c r="AT8" s="36"/>
      <c r="AU8" s="36">
        <v>8331</v>
      </c>
      <c r="AV8" s="36">
        <v>19909</v>
      </c>
      <c r="AW8" s="36"/>
      <c r="AX8" s="36">
        <v>44</v>
      </c>
      <c r="AY8" s="36"/>
      <c r="AZ8" s="29">
        <v>1</v>
      </c>
      <c r="BA8" s="29">
        <v>14</v>
      </c>
      <c r="BB8" s="37">
        <f>+(AX8*8800000)+(AZ8*7500000)+(BA8*4455000)</f>
        <v>457070000</v>
      </c>
      <c r="BC8" s="356"/>
      <c r="BD8" s="29">
        <v>399</v>
      </c>
      <c r="BE8" s="29">
        <v>90</v>
      </c>
      <c r="BF8" s="29"/>
      <c r="BG8" s="29">
        <v>27</v>
      </c>
      <c r="BH8" s="29"/>
      <c r="BI8" s="29">
        <v>27</v>
      </c>
      <c r="BJ8" s="29"/>
      <c r="BK8" s="42"/>
      <c r="BL8" s="276">
        <f>[6]SUTM!$G$19</f>
        <v>20475</v>
      </c>
      <c r="BM8" s="176"/>
      <c r="BN8" s="176"/>
      <c r="BO8" s="176"/>
      <c r="BP8" s="176"/>
      <c r="BQ8" s="176"/>
      <c r="BR8" s="176">
        <f>[6]GARDU!$F$31</f>
        <v>108</v>
      </c>
      <c r="BS8" s="176"/>
      <c r="BT8" s="176">
        <f>[6]GARDU!$F$30</f>
        <v>216</v>
      </c>
      <c r="BU8" s="276">
        <f>[6]SUTR!$F$15</f>
        <v>7622</v>
      </c>
      <c r="BV8" s="176"/>
      <c r="BW8" s="176">
        <f>[6]GARDU!$F$24</f>
        <v>3</v>
      </c>
      <c r="BX8" s="276">
        <f>[6]SUTM!$G$18</f>
        <v>96</v>
      </c>
      <c r="BY8" s="276">
        <f>[6]GARDU!$F$18+[6]SUTM!$G$17</f>
        <v>422</v>
      </c>
      <c r="BZ8" s="176">
        <f>[6]GARDU!$F$17</f>
        <v>9</v>
      </c>
      <c r="CA8" s="176">
        <f>[6]GARDU!$F$16</f>
        <v>9</v>
      </c>
      <c r="CB8" s="176"/>
      <c r="CC8" s="176"/>
      <c r="CD8" s="176"/>
      <c r="CE8" s="176"/>
    </row>
    <row r="9" spans="2:84" ht="84.75" thickBot="1">
      <c r="B9" s="107"/>
      <c r="C9" s="107"/>
      <c r="D9" s="74"/>
      <c r="E9" s="79"/>
      <c r="F9" s="107"/>
      <c r="G9" s="107"/>
      <c r="H9" s="80"/>
      <c r="I9" s="79"/>
      <c r="J9" s="107"/>
      <c r="K9" s="74"/>
      <c r="L9" s="79"/>
      <c r="M9" s="107"/>
      <c r="N9" s="107"/>
      <c r="O9" s="110"/>
      <c r="P9" s="108"/>
      <c r="Q9" s="138">
        <v>2</v>
      </c>
      <c r="R9" s="139" t="s">
        <v>196</v>
      </c>
      <c r="S9" s="140" t="s">
        <v>87</v>
      </c>
      <c r="T9" s="141" t="s">
        <v>197</v>
      </c>
      <c r="U9" s="141"/>
      <c r="V9" s="141" t="s">
        <v>198</v>
      </c>
      <c r="W9" s="278">
        <f>'[8]RAB SUTR'!$F$15</f>
        <v>2</v>
      </c>
      <c r="X9" s="278">
        <f>[8]SUTM!$G$21+'[8]RAB SUTR'!$F$14</f>
        <v>42</v>
      </c>
      <c r="Y9" s="278">
        <f>[8]SUTM!$G$16+[8]GARDU!$F$15</f>
        <v>127</v>
      </c>
      <c r="Z9" s="272"/>
      <c r="AA9" s="143">
        <f>22.31/3</f>
        <v>7.4366666666666665</v>
      </c>
      <c r="AB9" s="143">
        <v>4.069</v>
      </c>
      <c r="AC9" s="144"/>
      <c r="AD9" s="144">
        <v>3</v>
      </c>
      <c r="AE9" s="144"/>
      <c r="AF9" s="145"/>
      <c r="AG9" s="130">
        <f>+(AC9*50)+(AD9*100)+(AE9*160)+(AF9*200)</f>
        <v>300</v>
      </c>
      <c r="AH9" s="134">
        <f>+AC9+AD9+AE9+AF9</f>
        <v>3</v>
      </c>
      <c r="AI9" s="146">
        <f>[9]SUTM!$K$51</f>
        <v>2635459868.8000002</v>
      </c>
      <c r="AJ9" s="146">
        <f>'[9]RAB SUTR'!$K$40</f>
        <v>498646043.04900002</v>
      </c>
      <c r="AK9" s="146">
        <f>[9]GARDU!$J$60</f>
        <v>410390308.89999998</v>
      </c>
      <c r="AL9" s="137">
        <f>+AI9+AJ9+AK9</f>
        <v>3544496220.7490001</v>
      </c>
      <c r="AM9" s="111"/>
      <c r="AN9" s="41"/>
      <c r="AO9" s="34"/>
      <c r="AP9" s="109"/>
      <c r="AQ9" s="112"/>
      <c r="AR9" s="112"/>
      <c r="AS9" s="112"/>
      <c r="AT9" s="112"/>
      <c r="AU9" s="112"/>
      <c r="AV9" s="112"/>
      <c r="AW9" s="112"/>
      <c r="AX9" s="112"/>
      <c r="AY9" s="112"/>
      <c r="AZ9" s="74"/>
      <c r="BA9" s="74"/>
      <c r="BB9" s="76"/>
      <c r="BC9" s="357"/>
      <c r="BD9" s="74"/>
      <c r="BE9" s="74"/>
      <c r="BF9" s="74"/>
      <c r="BG9" s="74"/>
      <c r="BH9" s="74"/>
      <c r="BI9" s="74"/>
      <c r="BJ9" s="74"/>
      <c r="BK9" s="42"/>
      <c r="BL9" s="276">
        <f>[8]SUTM!$G$19</f>
        <v>23310</v>
      </c>
      <c r="BM9" s="176"/>
      <c r="BN9" s="176"/>
      <c r="BO9" s="176"/>
      <c r="BP9" s="176"/>
      <c r="BQ9" s="176"/>
      <c r="BR9" s="176">
        <f>[8]GARDU!$F$31</f>
        <v>108</v>
      </c>
      <c r="BS9" s="176"/>
      <c r="BT9" s="176">
        <f>[8]GARDU!$F$30</f>
        <v>216</v>
      </c>
      <c r="BU9" s="276">
        <f>'[8]RAB SUTR'!$G$12</f>
        <v>4068.5</v>
      </c>
      <c r="BV9" s="176"/>
      <c r="BW9" s="176">
        <f>[8]GARDU!$F$24</f>
        <v>3</v>
      </c>
      <c r="BX9" s="276">
        <f>[8]SUTM!$G$18</f>
        <v>93</v>
      </c>
      <c r="BY9" s="276">
        <f>[8]SUTM!$G$17+[8]GARDU!$F$18</f>
        <v>410</v>
      </c>
      <c r="BZ9" s="176">
        <f>[8]GARDU!$F$17</f>
        <v>9</v>
      </c>
      <c r="CA9" s="176">
        <f>[8]GARDU!$F$16</f>
        <v>9</v>
      </c>
      <c r="CB9" s="176"/>
      <c r="CC9" s="176"/>
      <c r="CD9" s="176"/>
      <c r="CE9" s="176"/>
    </row>
    <row r="10" spans="2:84" ht="43.5" customHeight="1" thickBot="1">
      <c r="B10" s="28">
        <v>2</v>
      </c>
      <c r="C10" s="28" t="s">
        <v>54</v>
      </c>
      <c r="D10" s="29" t="s">
        <v>55</v>
      </c>
      <c r="E10" s="30">
        <v>4021047</v>
      </c>
      <c r="F10" s="28">
        <v>2</v>
      </c>
      <c r="G10" s="28" t="s">
        <v>54</v>
      </c>
      <c r="H10" s="43"/>
      <c r="I10" s="30"/>
      <c r="J10" s="28" t="s">
        <v>54</v>
      </c>
      <c r="K10" s="29" t="s">
        <v>55</v>
      </c>
      <c r="L10" s="37">
        <v>4021047</v>
      </c>
      <c r="M10" s="28">
        <v>2</v>
      </c>
      <c r="N10" s="28" t="s">
        <v>54</v>
      </c>
      <c r="O10" s="29" t="s">
        <v>55</v>
      </c>
      <c r="P10" s="100">
        <v>4021047</v>
      </c>
      <c r="Q10" s="147">
        <v>3</v>
      </c>
      <c r="R10" s="148" t="s">
        <v>90</v>
      </c>
      <c r="S10" s="140" t="s">
        <v>87</v>
      </c>
      <c r="T10" s="149" t="s">
        <v>91</v>
      </c>
      <c r="U10" s="150"/>
      <c r="V10" s="130" t="s">
        <v>213</v>
      </c>
      <c r="W10" s="280">
        <f>'[10]RAB SUTR'!$F$15</f>
        <v>6</v>
      </c>
      <c r="X10" s="280">
        <f>'[10]RAB SUTR'!$F$14+[10]SUTM!$G$21</f>
        <v>124</v>
      </c>
      <c r="Y10" s="280">
        <f>[10]SUTM!$G$16+[10]GARDU!$F$17</f>
        <v>360</v>
      </c>
      <c r="Z10" s="253"/>
      <c r="AA10" s="152">
        <f>54.89/3</f>
        <v>18.296666666666667</v>
      </c>
      <c r="AB10" s="153">
        <v>15.15</v>
      </c>
      <c r="AC10" s="154">
        <v>1</v>
      </c>
      <c r="AD10" s="154">
        <v>3</v>
      </c>
      <c r="AE10" s="154"/>
      <c r="AF10" s="155">
        <v>1</v>
      </c>
      <c r="AG10" s="130">
        <f>+(AC10*50)+(AD10*100)+(AE10*160)+(AF10*200)</f>
        <v>550</v>
      </c>
      <c r="AH10" s="140">
        <f>+AC10+AD10+AE10+AF10</f>
        <v>5</v>
      </c>
      <c r="AI10" s="156">
        <f>[11]SUTM!$K$51</f>
        <v>6983723469.8308001</v>
      </c>
      <c r="AJ10" s="156">
        <f>'[11]RAB SUTR'!$K$40</f>
        <v>1866958747.1424999</v>
      </c>
      <c r="AK10" s="156">
        <f>[11]GARDU!$J$64</f>
        <v>673429839.5</v>
      </c>
      <c r="AL10" s="137">
        <f>+AI10+AJ10+AK10</f>
        <v>9524112056.4733009</v>
      </c>
      <c r="AM10" s="46">
        <v>4021047</v>
      </c>
      <c r="AN10" s="47" t="s">
        <v>56</v>
      </c>
      <c r="AO10" s="48"/>
      <c r="AP10" s="44"/>
      <c r="AQ10" s="29"/>
      <c r="AR10" s="29">
        <v>1</v>
      </c>
      <c r="AS10" s="29"/>
      <c r="AT10" s="29"/>
      <c r="AU10" s="29">
        <v>349</v>
      </c>
      <c r="AV10" s="29">
        <v>9619</v>
      </c>
      <c r="AW10" s="29"/>
      <c r="AX10" s="29">
        <v>102</v>
      </c>
      <c r="AY10" s="29"/>
      <c r="AZ10" s="29">
        <v>6</v>
      </c>
      <c r="BA10" s="29">
        <v>12</v>
      </c>
      <c r="BB10" s="37">
        <f>+(AX10*8800000)+(AZ10*7500000)+(BA10*4455000)</f>
        <v>996060000</v>
      </c>
      <c r="BC10" s="356"/>
      <c r="BD10" s="29">
        <v>308</v>
      </c>
      <c r="BE10" s="29">
        <v>48</v>
      </c>
      <c r="BF10" s="29"/>
      <c r="BG10" s="29">
        <v>3</v>
      </c>
      <c r="BH10" s="29"/>
      <c r="BI10" s="29">
        <v>3</v>
      </c>
      <c r="BJ10" s="29"/>
      <c r="BK10" s="38"/>
      <c r="BL10" s="276">
        <f>[10]SUTM!$G$19</f>
        <v>54896.94</v>
      </c>
      <c r="BM10" s="176"/>
      <c r="BN10" s="176"/>
      <c r="BO10" s="176"/>
      <c r="BP10" s="176"/>
      <c r="BQ10" s="176"/>
      <c r="BR10" s="176">
        <f>[10]GARDU!$F$33</f>
        <v>180</v>
      </c>
      <c r="BS10" s="176"/>
      <c r="BT10" s="176">
        <f>[10]GARDU!$F$32</f>
        <v>360</v>
      </c>
      <c r="BU10" s="276">
        <f>'[10]RAB SUTR'!$F$12</f>
        <v>15156.45</v>
      </c>
      <c r="BV10" s="176"/>
      <c r="BW10" s="176">
        <f>[10]GARDU!$F$26</f>
        <v>5</v>
      </c>
      <c r="BX10" s="276">
        <f>[10]SUTM!$G$18</f>
        <v>282</v>
      </c>
      <c r="BY10" s="276">
        <f>[10]SUTM!$G$17+[10]GARDU!$F$20</f>
        <v>1107</v>
      </c>
      <c r="BZ10" s="176">
        <f>[10]GARDU!$F$19</f>
        <v>15</v>
      </c>
      <c r="CA10" s="176">
        <f>[10]GARDU!$F$18</f>
        <v>15</v>
      </c>
      <c r="CB10" s="176"/>
      <c r="CC10" s="176"/>
      <c r="CD10" s="176"/>
      <c r="CE10" s="176"/>
    </row>
    <row r="11" spans="2:84" ht="84">
      <c r="B11" s="107"/>
      <c r="C11" s="107"/>
      <c r="D11" s="74"/>
      <c r="E11" s="79"/>
      <c r="F11" s="107"/>
      <c r="G11" s="107"/>
      <c r="H11" s="80"/>
      <c r="I11" s="79"/>
      <c r="J11" s="107"/>
      <c r="K11" s="74"/>
      <c r="L11" s="76"/>
      <c r="M11" s="107"/>
      <c r="N11" s="107"/>
      <c r="O11" s="74"/>
      <c r="P11" s="44"/>
      <c r="Q11" s="147">
        <v>4</v>
      </c>
      <c r="R11" s="157" t="s">
        <v>199</v>
      </c>
      <c r="S11" s="158" t="s">
        <v>87</v>
      </c>
      <c r="T11" s="159" t="s">
        <v>200</v>
      </c>
      <c r="U11" s="160"/>
      <c r="V11" s="161" t="s">
        <v>201</v>
      </c>
      <c r="W11" s="281">
        <f>'[12]RAB SUTR'!$F$15</f>
        <v>1</v>
      </c>
      <c r="X11" s="282">
        <f>'[12]RAB SUTR'!$E$14</f>
        <v>7</v>
      </c>
      <c r="Y11" s="161">
        <f>[12]GARDU!$F$15</f>
        <v>4</v>
      </c>
      <c r="Z11" s="161"/>
      <c r="AA11" s="163"/>
      <c r="AB11" s="164">
        <v>0.97899999999999998</v>
      </c>
      <c r="AC11" s="165"/>
      <c r="AD11" s="165">
        <v>1</v>
      </c>
      <c r="AE11" s="165"/>
      <c r="AF11" s="166"/>
      <c r="AG11" s="130">
        <f>+(AC11*50)+(AD11*100)+(AE11*160)+(AF11*200)</f>
        <v>100</v>
      </c>
      <c r="AH11" s="140">
        <f>+AC11+AD11+AE11+AF11</f>
        <v>1</v>
      </c>
      <c r="AI11" s="167"/>
      <c r="AJ11" s="167">
        <f>'[13]RAB SUTR'!$K$40</f>
        <v>131006034.48900001</v>
      </c>
      <c r="AK11" s="167">
        <f>[13]GARDU!$J$60</f>
        <v>229716116.30000001</v>
      </c>
      <c r="AL11" s="137">
        <f>+AI11+AJ11+AK11</f>
        <v>360722150.78900003</v>
      </c>
      <c r="AM11" s="113"/>
      <c r="AN11" s="47"/>
      <c r="AO11" s="48"/>
      <c r="AP11" s="4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6"/>
      <c r="BC11" s="357"/>
      <c r="BD11" s="74"/>
      <c r="BE11" s="74"/>
      <c r="BF11" s="74"/>
      <c r="BG11" s="74"/>
      <c r="BH11" s="74"/>
      <c r="BI11" s="74"/>
      <c r="BJ11" s="74"/>
      <c r="BK11" s="38"/>
      <c r="BL11" s="176"/>
      <c r="BM11" s="176"/>
      <c r="BN11" s="176"/>
      <c r="BO11" s="176"/>
      <c r="BP11" s="176"/>
      <c r="BQ11" s="176"/>
      <c r="BR11" s="176">
        <f>[12]GARDU!$F$31</f>
        <v>36</v>
      </c>
      <c r="BS11" s="176"/>
      <c r="BT11" s="176">
        <f>[12]GARDU!$F$30</f>
        <v>72</v>
      </c>
      <c r="BU11" s="276">
        <f>'[12]RAB SUTR'!$F$12</f>
        <v>978.5</v>
      </c>
      <c r="BV11" s="176"/>
      <c r="BW11" s="176">
        <f xml:space="preserve"> [12]GARDU!$F$24</f>
        <v>1</v>
      </c>
      <c r="BX11" s="176"/>
      <c r="BY11" s="176">
        <f>[12]GARDU!$F$18</f>
        <v>6</v>
      </c>
      <c r="BZ11" s="176">
        <f>[12]GARDU!$F$17</f>
        <v>3</v>
      </c>
      <c r="CA11" s="176">
        <f>[12]GARDU!$F$16</f>
        <v>3</v>
      </c>
      <c r="CB11" s="176"/>
      <c r="CC11" s="176"/>
      <c r="CD11" s="176"/>
      <c r="CE11" s="176"/>
    </row>
    <row r="12" spans="2:84" ht="42">
      <c r="B12" s="28">
        <v>3</v>
      </c>
      <c r="C12" s="28" t="s">
        <v>57</v>
      </c>
      <c r="D12" s="29" t="s">
        <v>58</v>
      </c>
      <c r="E12" s="30">
        <v>1514101</v>
      </c>
      <c r="F12" s="28">
        <v>3</v>
      </c>
      <c r="G12" s="28" t="s">
        <v>57</v>
      </c>
      <c r="H12" s="337"/>
      <c r="I12" s="338"/>
      <c r="J12" s="28" t="s">
        <v>57</v>
      </c>
      <c r="K12" s="29" t="s">
        <v>58</v>
      </c>
      <c r="L12" s="37">
        <v>1514101</v>
      </c>
      <c r="M12" s="28">
        <v>3</v>
      </c>
      <c r="N12" s="28" t="s">
        <v>57</v>
      </c>
      <c r="O12" s="29" t="s">
        <v>58</v>
      </c>
      <c r="P12" s="100">
        <v>1514101</v>
      </c>
      <c r="Q12" s="168">
        <v>5</v>
      </c>
      <c r="R12" s="129" t="s">
        <v>172</v>
      </c>
      <c r="S12" s="134" t="s">
        <v>87</v>
      </c>
      <c r="T12" s="169" t="s">
        <v>93</v>
      </c>
      <c r="U12" s="169"/>
      <c r="V12" s="170" t="s">
        <v>214</v>
      </c>
      <c r="W12" s="276">
        <f>[14]SUTR!$AF$16</f>
        <v>30</v>
      </c>
      <c r="X12" s="176"/>
      <c r="Y12" s="276">
        <f>[14]Gardu!$K$26+[14]JTM!$K$18</f>
        <v>64</v>
      </c>
      <c r="Z12" s="176"/>
      <c r="AA12" s="170">
        <f>12.24/3</f>
        <v>4.08</v>
      </c>
      <c r="AB12" s="171">
        <v>1.54</v>
      </c>
      <c r="AC12" s="170"/>
      <c r="AD12" s="170">
        <v>2</v>
      </c>
      <c r="AE12" s="170"/>
      <c r="AF12" s="169"/>
      <c r="AG12" s="134">
        <f t="shared" ref="AG12:AG55" si="0">+(AC12*50)+(AD12*100)+(AE12*160)+(AF12*200)</f>
        <v>200</v>
      </c>
      <c r="AH12" s="134">
        <f t="shared" ref="AH12:AH55" si="1">+AC12+AD12+AE12+AF12</f>
        <v>2</v>
      </c>
      <c r="AI12" s="172">
        <f>[15]JTM!$O$100</f>
        <v>1234724399.7</v>
      </c>
      <c r="AJ12" s="172">
        <f>[15]SUTR!$AJ$64</f>
        <v>269293503.38</v>
      </c>
      <c r="AK12" s="172">
        <f>[15]Gardu!$O$91</f>
        <v>352085980.39999998</v>
      </c>
      <c r="AL12" s="173">
        <f t="shared" ref="AL12:AL58" si="2">+AI12+AJ12+AK12</f>
        <v>1856103883.48</v>
      </c>
      <c r="AM12" s="49">
        <v>1514101</v>
      </c>
      <c r="AN12" s="47" t="s">
        <v>59</v>
      </c>
      <c r="AO12" s="48"/>
      <c r="AP12" s="44"/>
      <c r="AQ12" s="29"/>
      <c r="AR12" s="29"/>
      <c r="AS12" s="29">
        <v>9</v>
      </c>
      <c r="AT12" s="29"/>
      <c r="AU12" s="29">
        <v>3160</v>
      </c>
      <c r="AV12" s="29">
        <v>0</v>
      </c>
      <c r="AW12" s="29"/>
      <c r="AX12" s="29">
        <v>20</v>
      </c>
      <c r="AY12" s="29"/>
      <c r="AZ12" s="29">
        <v>0</v>
      </c>
      <c r="BA12" s="29">
        <v>0</v>
      </c>
      <c r="BB12" s="37">
        <f>+(AX12*8800000)+(AZ12*7500000)+(BA12*4455000)</f>
        <v>176000000</v>
      </c>
      <c r="BC12" s="356"/>
      <c r="BD12" s="29">
        <v>18</v>
      </c>
      <c r="BE12" s="29"/>
      <c r="BF12" s="29"/>
      <c r="BG12" s="29">
        <v>27</v>
      </c>
      <c r="BH12" s="29"/>
      <c r="BI12" s="29">
        <v>27</v>
      </c>
      <c r="BJ12" s="29"/>
      <c r="BK12" s="38"/>
      <c r="BL12" s="277"/>
      <c r="BM12" s="276">
        <f>[14]JTM!$K$17</f>
        <v>12240</v>
      </c>
      <c r="BN12" s="176"/>
      <c r="BO12" s="176"/>
      <c r="BP12" s="176"/>
      <c r="BQ12" s="176"/>
      <c r="BR12" s="176"/>
      <c r="BS12" s="276">
        <f>[14]Gardu!$K$42</f>
        <v>72</v>
      </c>
      <c r="BT12" s="276">
        <f>[14]Gardu!$K$43</f>
        <v>154</v>
      </c>
      <c r="BU12" s="276">
        <f>[14]SUTR!$AF$13</f>
        <v>1545</v>
      </c>
      <c r="BV12" s="176"/>
      <c r="BW12" s="276">
        <f>[14]Gardu!$K$40</f>
        <v>2</v>
      </c>
      <c r="BX12" s="276">
        <f>[14]JTM!$K$23</f>
        <v>33</v>
      </c>
      <c r="BY12" s="276">
        <f>[14]Gardu!$K$29+[14]JTM!$K$22</f>
        <v>178</v>
      </c>
      <c r="BZ12" s="276">
        <f>[14]Gardu!$K$31</f>
        <v>6</v>
      </c>
      <c r="CA12" s="276">
        <f>[14]Gardu!$K$30</f>
        <v>6</v>
      </c>
      <c r="CB12" s="176"/>
      <c r="CC12" s="176"/>
      <c r="CD12" s="176"/>
      <c r="CE12" s="176"/>
    </row>
    <row r="13" spans="2:84" ht="84">
      <c r="B13" s="107"/>
      <c r="C13" s="107"/>
      <c r="D13" s="74"/>
      <c r="E13" s="79"/>
      <c r="F13" s="107"/>
      <c r="G13" s="107"/>
      <c r="H13" s="358"/>
      <c r="I13" s="359"/>
      <c r="J13" s="107"/>
      <c r="K13" s="74"/>
      <c r="L13" s="76"/>
      <c r="M13" s="107"/>
      <c r="N13" s="107"/>
      <c r="O13" s="74"/>
      <c r="P13" s="44"/>
      <c r="Q13" s="168">
        <v>6</v>
      </c>
      <c r="R13" s="174" t="s">
        <v>202</v>
      </c>
      <c r="S13" s="140" t="s">
        <v>87</v>
      </c>
      <c r="T13" s="175" t="s">
        <v>94</v>
      </c>
      <c r="U13" s="175"/>
      <c r="V13" s="176" t="s">
        <v>203</v>
      </c>
      <c r="W13" s="176"/>
      <c r="X13" s="276">
        <f>[16]SUTR!$F$17+[16]SUTM!$G$21</f>
        <v>13</v>
      </c>
      <c r="Y13" s="276">
        <f>[16]GARDU!$F$15+[16]SUTM!$G$16</f>
        <v>47</v>
      </c>
      <c r="Z13" s="176"/>
      <c r="AA13" s="176">
        <f>7.245/3</f>
        <v>2.415</v>
      </c>
      <c r="AB13" s="177">
        <v>2.73</v>
      </c>
      <c r="AC13" s="176"/>
      <c r="AD13" s="176">
        <v>2</v>
      </c>
      <c r="AE13" s="176"/>
      <c r="AF13" s="175"/>
      <c r="AG13" s="134">
        <f t="shared" ref="AG13" si="3">+(AC13*50)+(AD13*100)+(AE13*160)+(AF13*200)</f>
        <v>200</v>
      </c>
      <c r="AH13" s="134">
        <f t="shared" ref="AH13" si="4">+AC13+AD13+AE13+AF13</f>
        <v>2</v>
      </c>
      <c r="AI13" s="178">
        <f>[17]SUTM!$K$51</f>
        <v>862276804.39999998</v>
      </c>
      <c r="AJ13" s="178">
        <f>[17]SUTR!$J$41</f>
        <v>297851944.86299998</v>
      </c>
      <c r="AK13" s="178">
        <f>[17]GARDU!$J$60</f>
        <v>271576872.60000002</v>
      </c>
      <c r="AL13" s="173">
        <f t="shared" si="2"/>
        <v>1431705621.8629999</v>
      </c>
      <c r="AM13" s="113"/>
      <c r="AN13" s="47"/>
      <c r="AO13" s="48"/>
      <c r="AP13" s="4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6"/>
      <c r="BC13" s="357"/>
      <c r="BD13" s="74"/>
      <c r="BE13" s="74"/>
      <c r="BF13" s="74"/>
      <c r="BG13" s="74"/>
      <c r="BH13" s="74"/>
      <c r="BI13" s="74"/>
      <c r="BJ13" s="74"/>
      <c r="BK13" s="38"/>
      <c r="BL13" s="277"/>
      <c r="BM13" s="276">
        <f>[16]SUTM!$G$19</f>
        <v>7245</v>
      </c>
      <c r="BN13" s="176"/>
      <c r="BO13" s="176"/>
      <c r="BP13" s="176"/>
      <c r="BQ13" s="176"/>
      <c r="BR13" s="176">
        <f>[16]GARDU!$F$31</f>
        <v>72</v>
      </c>
      <c r="BS13" s="176"/>
      <c r="BT13" s="176">
        <f>[16]GARDU!$F$30</f>
        <v>144</v>
      </c>
      <c r="BU13" s="276">
        <f>[16]SUTR!$F$15</f>
        <v>2729.5</v>
      </c>
      <c r="BV13" s="176"/>
      <c r="BW13" s="176">
        <f>[16]GARDU!$F$24</f>
        <v>2</v>
      </c>
      <c r="BX13" s="276">
        <f>[16]SUTM!$G$18</f>
        <v>30</v>
      </c>
      <c r="BY13" s="276">
        <f>[16]GARDU!$F$18+[16]SUTM!$G$17</f>
        <v>127</v>
      </c>
      <c r="BZ13" s="176">
        <f>[16]GARDU!$F$17</f>
        <v>6</v>
      </c>
      <c r="CA13" s="176">
        <f>[16]GARDU!$F$16</f>
        <v>6</v>
      </c>
      <c r="CB13" s="176"/>
      <c r="CC13" s="176"/>
      <c r="CD13" s="176"/>
      <c r="CE13" s="176"/>
    </row>
    <row r="14" spans="2:84" ht="45.75" customHeight="1">
      <c r="B14" s="28"/>
      <c r="C14" s="29"/>
      <c r="D14" s="29" t="s">
        <v>60</v>
      </c>
      <c r="E14" s="30"/>
      <c r="F14" s="28"/>
      <c r="G14" s="29"/>
      <c r="H14" s="337"/>
      <c r="I14" s="338"/>
      <c r="J14" s="29"/>
      <c r="K14" s="29" t="s">
        <v>60</v>
      </c>
      <c r="L14" s="37"/>
      <c r="M14" s="28"/>
      <c r="N14" s="29"/>
      <c r="O14" s="29" t="s">
        <v>60</v>
      </c>
      <c r="P14" s="100"/>
      <c r="Q14" s="138">
        <v>7</v>
      </c>
      <c r="R14" s="179" t="s">
        <v>171</v>
      </c>
      <c r="S14" s="142" t="s">
        <v>87</v>
      </c>
      <c r="T14" s="180" t="s">
        <v>94</v>
      </c>
      <c r="U14" s="180"/>
      <c r="V14" s="176" t="s">
        <v>216</v>
      </c>
      <c r="W14" s="276">
        <f>[18]SUTR!$AE$18</f>
        <v>5</v>
      </c>
      <c r="X14" s="176"/>
      <c r="Y14" s="276">
        <f>[18]JTM!$K$18+[18]Gardu!$K$20</f>
        <v>41</v>
      </c>
      <c r="Z14" s="176"/>
      <c r="AA14" s="183">
        <f>5.508/3</f>
        <v>1.8360000000000001</v>
      </c>
      <c r="AB14" s="184">
        <v>2.266</v>
      </c>
      <c r="AC14" s="183"/>
      <c r="AD14" s="183">
        <v>1</v>
      </c>
      <c r="AE14" s="183"/>
      <c r="AF14" s="182"/>
      <c r="AG14" s="142">
        <f t="shared" si="0"/>
        <v>100</v>
      </c>
      <c r="AH14" s="142">
        <f t="shared" si="1"/>
        <v>1</v>
      </c>
      <c r="AI14" s="185">
        <f>[19]JTM!$O$99</f>
        <v>736895759.16000009</v>
      </c>
      <c r="AJ14" s="185">
        <f>[19]SUTR!$AI$66</f>
        <v>181797266.41999999</v>
      </c>
      <c r="AK14" s="185">
        <f>[19]Gardu!$O$85</f>
        <v>173102349.19999999</v>
      </c>
      <c r="AL14" s="186">
        <f t="shared" si="2"/>
        <v>1091795374.78</v>
      </c>
      <c r="AM14" s="50"/>
      <c r="AN14" s="47"/>
      <c r="AO14" s="48"/>
      <c r="AP14" s="44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37"/>
      <c r="BC14" s="356"/>
      <c r="BD14" s="29"/>
      <c r="BE14" s="29"/>
      <c r="BF14" s="29"/>
      <c r="BG14" s="29"/>
      <c r="BH14" s="29"/>
      <c r="BI14" s="29"/>
      <c r="BJ14" s="29"/>
      <c r="BK14" s="38"/>
      <c r="BL14" s="176"/>
      <c r="BM14" s="276">
        <f>[18]JTM!$K$17</f>
        <v>5508</v>
      </c>
      <c r="BN14" s="176"/>
      <c r="BO14" s="176"/>
      <c r="BP14" s="176"/>
      <c r="BQ14" s="176"/>
      <c r="BR14" s="176"/>
      <c r="BS14" s="276">
        <f>[18]Gardu!$K$36</f>
        <v>36</v>
      </c>
      <c r="BT14" s="276">
        <f>[18]Gardu!$K$37</f>
        <v>72</v>
      </c>
      <c r="BU14" s="276">
        <f>[18]SUTR!$AE$15</f>
        <v>2266</v>
      </c>
      <c r="BV14" s="176"/>
      <c r="BW14" s="276">
        <f>[18]Gardu!$K$34</f>
        <v>1</v>
      </c>
      <c r="BX14" s="276">
        <f>[18]JTM!$K$23</f>
        <v>27</v>
      </c>
      <c r="BY14" s="276">
        <f>[18]JTM!$K$23+[18]Gardu!$K$23</f>
        <v>33</v>
      </c>
      <c r="BZ14" s="276">
        <f>[18]Gardu!$K$25</f>
        <v>3</v>
      </c>
      <c r="CA14" s="276">
        <f>[18]Gardu!$K$24</f>
        <v>3</v>
      </c>
      <c r="CB14" s="176"/>
      <c r="CC14" s="176"/>
      <c r="CD14" s="176"/>
      <c r="CE14" s="176"/>
    </row>
    <row r="15" spans="2:84" ht="62.25" customHeight="1">
      <c r="B15" s="336">
        <v>4</v>
      </c>
      <c r="C15" s="336" t="s">
        <v>61</v>
      </c>
      <c r="D15" s="29" t="s">
        <v>45</v>
      </c>
      <c r="E15" s="338">
        <v>2278485</v>
      </c>
      <c r="F15" s="336">
        <v>4</v>
      </c>
      <c r="G15" s="336" t="s">
        <v>61</v>
      </c>
      <c r="H15" s="337" t="s">
        <v>62</v>
      </c>
      <c r="I15" s="338">
        <v>2278485</v>
      </c>
      <c r="J15" s="336" t="s">
        <v>61</v>
      </c>
      <c r="K15" s="29" t="s">
        <v>45</v>
      </c>
      <c r="L15" s="338">
        <v>2278485</v>
      </c>
      <c r="M15" s="336">
        <v>4</v>
      </c>
      <c r="N15" s="336" t="s">
        <v>61</v>
      </c>
      <c r="O15" s="29" t="s">
        <v>45</v>
      </c>
      <c r="P15" s="354">
        <v>2278485</v>
      </c>
      <c r="Q15" s="168">
        <v>8</v>
      </c>
      <c r="R15" s="129" t="s">
        <v>170</v>
      </c>
      <c r="S15" s="134" t="s">
        <v>87</v>
      </c>
      <c r="T15" s="169" t="s">
        <v>94</v>
      </c>
      <c r="U15" s="169"/>
      <c r="V15" s="181" t="s">
        <v>269</v>
      </c>
      <c r="W15" s="284">
        <f>[20]SUTR!$AH$19</f>
        <v>40</v>
      </c>
      <c r="X15" s="181"/>
      <c r="Y15" s="181"/>
      <c r="Z15" s="181"/>
      <c r="AA15" s="170"/>
      <c r="AB15" s="171">
        <v>2.0289999999999999</v>
      </c>
      <c r="AC15" s="170"/>
      <c r="AD15" s="170"/>
      <c r="AE15" s="170"/>
      <c r="AF15" s="169"/>
      <c r="AG15" s="134">
        <f t="shared" si="0"/>
        <v>0</v>
      </c>
      <c r="AH15" s="134">
        <f t="shared" si="1"/>
        <v>0</v>
      </c>
      <c r="AI15" s="172"/>
      <c r="AJ15" s="172">
        <f>[21]SUTR!$AL$67</f>
        <v>448019684.73900002</v>
      </c>
      <c r="AK15" s="172"/>
      <c r="AL15" s="173">
        <f t="shared" si="2"/>
        <v>448019684.73900002</v>
      </c>
      <c r="AM15" s="51">
        <v>2278485</v>
      </c>
      <c r="AN15" s="47" t="s">
        <v>63</v>
      </c>
      <c r="AO15" s="34"/>
      <c r="AP15" s="35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37"/>
      <c r="BC15" s="356"/>
      <c r="BD15" s="29"/>
      <c r="BE15" s="29"/>
      <c r="BF15" s="29"/>
      <c r="BG15" s="29"/>
      <c r="BH15" s="29"/>
      <c r="BI15" s="29"/>
      <c r="BJ15" s="29"/>
      <c r="BK15" s="38"/>
      <c r="BL15" s="176"/>
      <c r="BM15" s="176"/>
      <c r="BN15" s="176"/>
      <c r="BO15" s="176"/>
      <c r="BP15" s="176"/>
      <c r="BQ15" s="176"/>
      <c r="BR15" s="176"/>
      <c r="BS15" s="176"/>
      <c r="BT15" s="176"/>
      <c r="BU15" s="276">
        <f>[20]SUTR!$AH$16</f>
        <v>2029.1</v>
      </c>
      <c r="BV15" s="176"/>
      <c r="BW15" s="176"/>
      <c r="BX15" s="176"/>
      <c r="BY15" s="176"/>
      <c r="BZ15" s="176"/>
      <c r="CA15" s="176"/>
      <c r="CB15" s="176"/>
      <c r="CC15" s="176"/>
      <c r="CD15" s="176"/>
      <c r="CE15" s="176"/>
    </row>
    <row r="16" spans="2:84" ht="42">
      <c r="B16" s="336"/>
      <c r="C16" s="336"/>
      <c r="D16" s="29" t="s">
        <v>64</v>
      </c>
      <c r="E16" s="338"/>
      <c r="F16" s="336"/>
      <c r="G16" s="336"/>
      <c r="H16" s="337"/>
      <c r="I16" s="338"/>
      <c r="J16" s="336"/>
      <c r="K16" s="29" t="s">
        <v>64</v>
      </c>
      <c r="L16" s="338"/>
      <c r="M16" s="336"/>
      <c r="N16" s="336"/>
      <c r="O16" s="29" t="s">
        <v>64</v>
      </c>
      <c r="P16" s="354"/>
      <c r="Q16" s="168">
        <v>9</v>
      </c>
      <c r="R16" s="187" t="s">
        <v>270</v>
      </c>
      <c r="S16" s="134" t="s">
        <v>87</v>
      </c>
      <c r="T16" s="169" t="s">
        <v>93</v>
      </c>
      <c r="U16" s="169"/>
      <c r="V16" s="170" t="s">
        <v>217</v>
      </c>
      <c r="W16" s="276">
        <f>[22]SUTR!$AG$21</f>
        <v>2</v>
      </c>
      <c r="X16" s="276">
        <f>[22]SUTR!$AG$19</f>
        <v>18</v>
      </c>
      <c r="Y16" s="176"/>
      <c r="Z16" s="176"/>
      <c r="AA16" s="170"/>
      <c r="AB16" s="171">
        <v>0.92700000000000005</v>
      </c>
      <c r="AC16" s="170"/>
      <c r="AD16" s="170"/>
      <c r="AE16" s="170"/>
      <c r="AF16" s="169"/>
      <c r="AG16" s="134">
        <f t="shared" si="0"/>
        <v>0</v>
      </c>
      <c r="AH16" s="134">
        <f t="shared" si="1"/>
        <v>0</v>
      </c>
      <c r="AI16" s="172"/>
      <c r="AJ16" s="172">
        <f>[23]SUTR!$AK$67</f>
        <v>470144140.83999997</v>
      </c>
      <c r="AK16" s="172"/>
      <c r="AL16" s="173">
        <f t="shared" si="2"/>
        <v>470144140.83999997</v>
      </c>
      <c r="AM16" s="49"/>
      <c r="AN16" s="47" t="s">
        <v>65</v>
      </c>
      <c r="AO16" s="34"/>
      <c r="AP16" s="35"/>
      <c r="AQ16" s="29">
        <v>5</v>
      </c>
      <c r="AR16" s="29">
        <v>7</v>
      </c>
      <c r="AS16" s="29"/>
      <c r="AT16" s="29"/>
      <c r="AU16" s="29">
        <v>348</v>
      </c>
      <c r="AV16" s="29">
        <v>0</v>
      </c>
      <c r="AW16" s="29"/>
      <c r="AX16" s="29">
        <v>25</v>
      </c>
      <c r="AY16" s="29"/>
      <c r="AZ16" s="29">
        <v>0</v>
      </c>
      <c r="BA16" s="29">
        <v>7</v>
      </c>
      <c r="BB16" s="37">
        <f>+(AX16*8800000)+(AZ16*7500000)+(BA16*4455000)</f>
        <v>251185000</v>
      </c>
      <c r="BC16" s="356"/>
      <c r="BD16" s="29">
        <v>73</v>
      </c>
      <c r="BE16" s="29">
        <v>6</v>
      </c>
      <c r="BF16" s="29"/>
      <c r="BG16" s="29">
        <v>36</v>
      </c>
      <c r="BH16" s="29"/>
      <c r="BI16" s="29">
        <v>36</v>
      </c>
      <c r="BJ16" s="29"/>
      <c r="BK16" s="38"/>
      <c r="BL16" s="176"/>
      <c r="BM16" s="176"/>
      <c r="BN16" s="176"/>
      <c r="BO16" s="176"/>
      <c r="BP16" s="176"/>
      <c r="BQ16" s="176"/>
      <c r="BR16" s="176"/>
      <c r="BS16" s="176"/>
      <c r="BT16" s="176"/>
      <c r="BU16" s="276">
        <f>[22]SUTR!$AG$16</f>
        <v>927</v>
      </c>
      <c r="BV16" s="176"/>
      <c r="BW16" s="176"/>
      <c r="BX16" s="176"/>
      <c r="BY16" s="176"/>
      <c r="BZ16" s="176"/>
      <c r="CA16" s="176"/>
      <c r="CB16" s="176"/>
      <c r="CC16" s="176"/>
      <c r="CD16" s="176"/>
      <c r="CE16" s="176"/>
    </row>
    <row r="17" spans="2:83" ht="42">
      <c r="B17" s="336"/>
      <c r="C17" s="336"/>
      <c r="D17" s="29"/>
      <c r="E17" s="338"/>
      <c r="F17" s="336"/>
      <c r="G17" s="336"/>
      <c r="H17" s="337"/>
      <c r="I17" s="338"/>
      <c r="J17" s="336"/>
      <c r="K17" s="29"/>
      <c r="L17" s="338"/>
      <c r="M17" s="336"/>
      <c r="N17" s="336"/>
      <c r="O17" s="29"/>
      <c r="P17" s="355"/>
      <c r="Q17" s="188">
        <v>10</v>
      </c>
      <c r="R17" s="189" t="s">
        <v>188</v>
      </c>
      <c r="S17" s="140" t="s">
        <v>87</v>
      </c>
      <c r="T17" s="175" t="s">
        <v>93</v>
      </c>
      <c r="U17" s="175"/>
      <c r="V17" s="176" t="s">
        <v>271</v>
      </c>
      <c r="W17" s="176"/>
      <c r="X17" s="176"/>
      <c r="Y17" s="176"/>
      <c r="Z17" s="176"/>
      <c r="AA17" s="176"/>
      <c r="AB17" s="177">
        <v>2.1629999999999998</v>
      </c>
      <c r="AC17" s="176"/>
      <c r="AD17" s="176"/>
      <c r="AE17" s="176"/>
      <c r="AF17" s="175"/>
      <c r="AG17" s="140"/>
      <c r="AH17" s="140"/>
      <c r="AI17" s="178"/>
      <c r="AJ17" s="178">
        <f>'[24]RAB SUTR'!$L$40</f>
        <v>172860920.23199999</v>
      </c>
      <c r="AK17" s="178"/>
      <c r="AL17" s="173">
        <f t="shared" si="2"/>
        <v>172860920.23199999</v>
      </c>
      <c r="AM17" s="49"/>
      <c r="AN17" s="47"/>
      <c r="AO17" s="34"/>
      <c r="AP17" s="35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37"/>
      <c r="BC17" s="356"/>
      <c r="BD17" s="29"/>
      <c r="BE17" s="29"/>
      <c r="BF17" s="29"/>
      <c r="BG17" s="29"/>
      <c r="BH17" s="29"/>
      <c r="BI17" s="29"/>
      <c r="BJ17" s="29"/>
      <c r="BK17" s="38"/>
      <c r="BL17" s="176"/>
      <c r="BM17" s="176"/>
      <c r="BN17" s="176"/>
      <c r="BO17" s="176"/>
      <c r="BP17" s="176"/>
      <c r="BQ17" s="176"/>
      <c r="BR17" s="176"/>
      <c r="BS17" s="176"/>
      <c r="BT17" s="176"/>
      <c r="BU17" s="276">
        <f>'[25]RAB SUTR'!$H$12</f>
        <v>2163</v>
      </c>
      <c r="BV17" s="176"/>
      <c r="BW17" s="176"/>
      <c r="BX17" s="176"/>
      <c r="BY17" s="176"/>
      <c r="BZ17" s="176"/>
      <c r="CA17" s="176"/>
      <c r="CB17" s="176"/>
      <c r="CC17" s="176"/>
      <c r="CD17" s="176"/>
      <c r="CE17" s="176"/>
    </row>
    <row r="18" spans="2:83" ht="42">
      <c r="B18" s="336"/>
      <c r="C18" s="336"/>
      <c r="D18" s="29"/>
      <c r="E18" s="338"/>
      <c r="F18" s="336"/>
      <c r="G18" s="336"/>
      <c r="H18" s="337"/>
      <c r="I18" s="338"/>
      <c r="J18" s="336"/>
      <c r="K18" s="29"/>
      <c r="L18" s="338"/>
      <c r="M18" s="336"/>
      <c r="N18" s="336"/>
      <c r="O18" s="29"/>
      <c r="P18" s="355"/>
      <c r="Q18" s="188">
        <v>11</v>
      </c>
      <c r="R18" s="189" t="s">
        <v>187</v>
      </c>
      <c r="S18" s="140" t="s">
        <v>87</v>
      </c>
      <c r="T18" s="175" t="s">
        <v>107</v>
      </c>
      <c r="U18" s="175"/>
      <c r="V18" s="176" t="s">
        <v>218</v>
      </c>
      <c r="W18" s="276">
        <f>'[26]RAB SUTR'!$F$15</f>
        <v>1</v>
      </c>
      <c r="X18" s="276">
        <f>'[26]RAB SUTR'!$F$14</f>
        <v>7</v>
      </c>
      <c r="Y18" s="176"/>
      <c r="Z18" s="176"/>
      <c r="AA18" s="176"/>
      <c r="AB18" s="177">
        <v>0.46400000000000002</v>
      </c>
      <c r="AC18" s="176"/>
      <c r="AD18" s="176"/>
      <c r="AE18" s="176"/>
      <c r="AF18" s="175"/>
      <c r="AG18" s="140"/>
      <c r="AH18" s="140"/>
      <c r="AI18" s="178"/>
      <c r="AJ18" s="178">
        <f>'[27]RAB SUTR'!$K$40</f>
        <v>45311490.388999999</v>
      </c>
      <c r="AK18" s="178"/>
      <c r="AL18" s="173">
        <f t="shared" si="2"/>
        <v>45311490.388999999</v>
      </c>
      <c r="AM18" s="49"/>
      <c r="AN18" s="47"/>
      <c r="AO18" s="34"/>
      <c r="AP18" s="35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37"/>
      <c r="BC18" s="356"/>
      <c r="BD18" s="29"/>
      <c r="BE18" s="29"/>
      <c r="BF18" s="29"/>
      <c r="BG18" s="29"/>
      <c r="BH18" s="29"/>
      <c r="BI18" s="29"/>
      <c r="BJ18" s="29"/>
      <c r="BK18" s="38"/>
      <c r="BL18" s="176"/>
      <c r="BM18" s="176"/>
      <c r="BN18" s="176"/>
      <c r="BO18" s="176"/>
      <c r="BP18" s="176"/>
      <c r="BQ18" s="176"/>
      <c r="BR18" s="176"/>
      <c r="BS18" s="176"/>
      <c r="BT18" s="176"/>
      <c r="BU18" s="276">
        <f>'[26]RAB SUTR'!$F$12</f>
        <v>463.5</v>
      </c>
      <c r="BV18" s="176"/>
      <c r="BW18" s="176"/>
      <c r="BX18" s="176"/>
      <c r="BY18" s="176"/>
      <c r="BZ18" s="176"/>
      <c r="CA18" s="176"/>
      <c r="CB18" s="176"/>
      <c r="CC18" s="176"/>
      <c r="CD18" s="176"/>
      <c r="CE18" s="176"/>
    </row>
    <row r="19" spans="2:83" ht="42">
      <c r="B19" s="336"/>
      <c r="C19" s="336"/>
      <c r="D19" s="29"/>
      <c r="E19" s="338"/>
      <c r="F19" s="336"/>
      <c r="G19" s="336"/>
      <c r="H19" s="337"/>
      <c r="I19" s="338"/>
      <c r="J19" s="336"/>
      <c r="K19" s="29"/>
      <c r="L19" s="338"/>
      <c r="M19" s="336"/>
      <c r="N19" s="336"/>
      <c r="O19" s="29"/>
      <c r="P19" s="355"/>
      <c r="Q19" s="188">
        <v>12</v>
      </c>
      <c r="R19" s="189" t="s">
        <v>186</v>
      </c>
      <c r="S19" s="140" t="s">
        <v>87</v>
      </c>
      <c r="T19" s="175" t="s">
        <v>93</v>
      </c>
      <c r="U19" s="175"/>
      <c r="V19" s="176" t="s">
        <v>268</v>
      </c>
      <c r="W19" s="176"/>
      <c r="X19" s="176"/>
      <c r="Y19" s="176"/>
      <c r="Z19" s="176"/>
      <c r="AA19" s="176"/>
      <c r="AB19" s="177">
        <v>1.288</v>
      </c>
      <c r="AC19" s="176"/>
      <c r="AD19" s="176"/>
      <c r="AE19" s="176"/>
      <c r="AF19" s="175"/>
      <c r="AG19" s="140"/>
      <c r="AH19" s="140"/>
      <c r="AI19" s="178"/>
      <c r="AJ19" s="178">
        <f>'[28]RAB SUTR'!$K$40</f>
        <v>97085969.474999994</v>
      </c>
      <c r="AK19" s="178"/>
      <c r="AL19" s="173">
        <f t="shared" si="2"/>
        <v>97085969.474999994</v>
      </c>
      <c r="AM19" s="49"/>
      <c r="AN19" s="47"/>
      <c r="AO19" s="34"/>
      <c r="AP19" s="35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37"/>
      <c r="BC19" s="356"/>
      <c r="BD19" s="29"/>
      <c r="BE19" s="29"/>
      <c r="BF19" s="29"/>
      <c r="BG19" s="29"/>
      <c r="BH19" s="29"/>
      <c r="BI19" s="29"/>
      <c r="BJ19" s="29"/>
      <c r="BK19" s="38"/>
      <c r="BL19" s="176"/>
      <c r="BM19" s="176"/>
      <c r="BN19" s="176"/>
      <c r="BO19" s="176"/>
      <c r="BP19" s="176"/>
      <c r="BQ19" s="176"/>
      <c r="BR19" s="176"/>
      <c r="BS19" s="176"/>
      <c r="BT19" s="176"/>
      <c r="BU19" s="276">
        <f>'[29]RAB SUTR'!$F$12</f>
        <v>1287.5</v>
      </c>
      <c r="BV19" s="176"/>
      <c r="BW19" s="176"/>
      <c r="BX19" s="176"/>
      <c r="BY19" s="176"/>
      <c r="BZ19" s="176"/>
      <c r="CA19" s="176"/>
      <c r="CB19" s="176"/>
      <c r="CC19" s="176"/>
      <c r="CD19" s="176"/>
      <c r="CE19" s="176"/>
    </row>
    <row r="20" spans="2:83" ht="30" customHeight="1">
      <c r="B20" s="336"/>
      <c r="C20" s="336"/>
      <c r="D20" s="29"/>
      <c r="E20" s="338"/>
      <c r="F20" s="336"/>
      <c r="G20" s="336"/>
      <c r="H20" s="337"/>
      <c r="I20" s="338"/>
      <c r="J20" s="336"/>
      <c r="K20" s="29"/>
      <c r="L20" s="338"/>
      <c r="M20" s="336"/>
      <c r="N20" s="336"/>
      <c r="O20" s="29"/>
      <c r="P20" s="355"/>
      <c r="Q20" s="297">
        <v>13</v>
      </c>
      <c r="R20" s="369" t="s">
        <v>191</v>
      </c>
      <c r="S20" s="372" t="s">
        <v>87</v>
      </c>
      <c r="T20" s="375" t="s">
        <v>93</v>
      </c>
      <c r="U20" s="175">
        <v>1</v>
      </c>
      <c r="V20" s="176" t="s">
        <v>192</v>
      </c>
      <c r="W20" s="176"/>
      <c r="X20" s="176"/>
      <c r="Y20" s="176"/>
      <c r="Z20" s="176"/>
      <c r="AA20" s="176"/>
      <c r="AB20" s="177"/>
      <c r="AC20" s="176"/>
      <c r="AD20" s="176"/>
      <c r="AE20" s="176"/>
      <c r="AF20" s="175"/>
      <c r="AG20" s="140"/>
      <c r="AH20" s="140"/>
      <c r="AI20" s="178"/>
      <c r="AJ20" s="178"/>
      <c r="AK20" s="178"/>
      <c r="AL20" s="190"/>
      <c r="AM20" s="49"/>
      <c r="AN20" s="47"/>
      <c r="AO20" s="34"/>
      <c r="AP20" s="35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37"/>
      <c r="BC20" s="356"/>
      <c r="BD20" s="29"/>
      <c r="BE20" s="29"/>
      <c r="BF20" s="29"/>
      <c r="BG20" s="29"/>
      <c r="BH20" s="29"/>
      <c r="BI20" s="29"/>
      <c r="BJ20" s="29"/>
      <c r="BK20" s="38"/>
      <c r="BL20" s="176"/>
      <c r="BM20" s="176"/>
      <c r="BN20" s="176"/>
      <c r="BO20" s="176"/>
      <c r="BP20" s="176"/>
      <c r="BQ20" s="176"/>
      <c r="BR20" s="176"/>
      <c r="BS20" s="176"/>
      <c r="BT20" s="176"/>
      <c r="BU20" s="276">
        <f>'[30]RAB SUTR'!$E$14</f>
        <v>412</v>
      </c>
      <c r="BV20" s="176"/>
      <c r="BW20" s="176"/>
      <c r="BX20" s="176"/>
      <c r="BY20" s="176"/>
      <c r="BZ20" s="176"/>
      <c r="CA20" s="176"/>
      <c r="CB20" s="176"/>
      <c r="CC20" s="176"/>
      <c r="CD20" s="176"/>
      <c r="CE20" s="176"/>
    </row>
    <row r="21" spans="2:83" ht="21">
      <c r="B21" s="336"/>
      <c r="C21" s="336"/>
      <c r="D21" s="29"/>
      <c r="E21" s="338"/>
      <c r="F21" s="336"/>
      <c r="G21" s="336"/>
      <c r="H21" s="337"/>
      <c r="I21" s="338"/>
      <c r="J21" s="336"/>
      <c r="K21" s="29"/>
      <c r="L21" s="338"/>
      <c r="M21" s="336"/>
      <c r="N21" s="336"/>
      <c r="O21" s="29"/>
      <c r="P21" s="355"/>
      <c r="Q21" s="379"/>
      <c r="R21" s="370"/>
      <c r="S21" s="373"/>
      <c r="T21" s="376"/>
      <c r="U21" s="175">
        <v>2</v>
      </c>
      <c r="V21" s="176" t="s">
        <v>193</v>
      </c>
      <c r="W21" s="176"/>
      <c r="X21" s="276">
        <f>'[30]RAB SUTR'!$F$16</f>
        <v>9</v>
      </c>
      <c r="Y21" s="176"/>
      <c r="Z21" s="176"/>
      <c r="AA21" s="176"/>
      <c r="AB21" s="177"/>
      <c r="AC21" s="176"/>
      <c r="AD21" s="176"/>
      <c r="AE21" s="176"/>
      <c r="AF21" s="175"/>
      <c r="AG21" s="140"/>
      <c r="AH21" s="140"/>
      <c r="AI21" s="178"/>
      <c r="AJ21" s="178"/>
      <c r="AK21" s="178"/>
      <c r="AL21" s="190"/>
      <c r="AM21" s="49"/>
      <c r="AN21" s="47"/>
      <c r="AO21" s="34"/>
      <c r="AP21" s="35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37"/>
      <c r="BC21" s="356"/>
      <c r="BD21" s="29"/>
      <c r="BE21" s="29"/>
      <c r="BF21" s="29"/>
      <c r="BG21" s="29"/>
      <c r="BH21" s="29"/>
      <c r="BI21" s="29"/>
      <c r="BJ21" s="29"/>
      <c r="BK21" s="38"/>
      <c r="BL21" s="176"/>
      <c r="BM21" s="176"/>
      <c r="BN21" s="176"/>
      <c r="BO21" s="176"/>
      <c r="BP21" s="176"/>
      <c r="BQ21" s="176"/>
      <c r="BR21" s="176"/>
      <c r="BS21" s="176"/>
      <c r="BT21" s="176"/>
      <c r="BU21" s="276">
        <f>'[30]RAB SUTR'!$F$14</f>
        <v>772.5</v>
      </c>
      <c r="BV21" s="176"/>
      <c r="BW21" s="176"/>
      <c r="BX21" s="176"/>
      <c r="BY21" s="176"/>
      <c r="BZ21" s="176"/>
      <c r="CA21" s="176"/>
      <c r="CB21" s="176"/>
      <c r="CC21" s="176"/>
      <c r="CD21" s="176"/>
      <c r="CE21" s="176"/>
    </row>
    <row r="22" spans="2:83" ht="21.75" thickBot="1">
      <c r="B22" s="336"/>
      <c r="C22" s="336"/>
      <c r="D22" s="29"/>
      <c r="E22" s="338"/>
      <c r="F22" s="336"/>
      <c r="G22" s="336"/>
      <c r="H22" s="337"/>
      <c r="I22" s="338"/>
      <c r="J22" s="336"/>
      <c r="K22" s="29"/>
      <c r="L22" s="338"/>
      <c r="M22" s="336"/>
      <c r="N22" s="336"/>
      <c r="O22" s="29"/>
      <c r="P22" s="355"/>
      <c r="Q22" s="380"/>
      <c r="R22" s="371"/>
      <c r="S22" s="374"/>
      <c r="T22" s="377"/>
      <c r="U22" s="175">
        <v>3</v>
      </c>
      <c r="V22" s="176" t="s">
        <v>194</v>
      </c>
      <c r="W22" s="176"/>
      <c r="X22" s="176"/>
      <c r="Y22" s="176"/>
      <c r="Z22" s="176"/>
      <c r="AA22" s="176"/>
      <c r="AB22" s="177"/>
      <c r="AC22" s="176"/>
      <c r="AD22" s="176"/>
      <c r="AE22" s="176"/>
      <c r="AF22" s="175"/>
      <c r="AG22" s="140"/>
      <c r="AH22" s="140"/>
      <c r="AI22" s="178"/>
      <c r="AJ22" s="178"/>
      <c r="AK22" s="178"/>
      <c r="AL22" s="190"/>
      <c r="AM22" s="49"/>
      <c r="AN22" s="47"/>
      <c r="AO22" s="34"/>
      <c r="AP22" s="35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37"/>
      <c r="BC22" s="356"/>
      <c r="BD22" s="29"/>
      <c r="BE22" s="29"/>
      <c r="BF22" s="29"/>
      <c r="BG22" s="29"/>
      <c r="BH22" s="29"/>
      <c r="BI22" s="29"/>
      <c r="BJ22" s="29"/>
      <c r="BK22" s="38"/>
      <c r="BL22" s="176"/>
      <c r="BM22" s="176"/>
      <c r="BN22" s="176"/>
      <c r="BO22" s="176"/>
      <c r="BP22" s="176"/>
      <c r="BQ22" s="176"/>
      <c r="BR22" s="176"/>
      <c r="BS22" s="176"/>
      <c r="BT22" s="176"/>
      <c r="BU22" s="276">
        <f>'[30]RAB SUTR'!$G$14</f>
        <v>824</v>
      </c>
      <c r="BV22" s="176"/>
      <c r="BW22" s="176"/>
      <c r="BX22" s="176"/>
      <c r="BY22" s="176"/>
      <c r="BZ22" s="176"/>
      <c r="CA22" s="176"/>
      <c r="CB22" s="176"/>
      <c r="CC22" s="176"/>
      <c r="CD22" s="176"/>
      <c r="CE22" s="176"/>
    </row>
    <row r="23" spans="2:83" ht="42">
      <c r="B23" s="336"/>
      <c r="C23" s="336"/>
      <c r="D23" s="29"/>
      <c r="E23" s="338"/>
      <c r="F23" s="336"/>
      <c r="G23" s="336"/>
      <c r="H23" s="337"/>
      <c r="I23" s="338"/>
      <c r="J23" s="336"/>
      <c r="K23" s="29"/>
      <c r="L23" s="338"/>
      <c r="M23" s="336"/>
      <c r="N23" s="336"/>
      <c r="O23" s="29"/>
      <c r="P23" s="355"/>
      <c r="Q23" s="188">
        <v>14</v>
      </c>
      <c r="R23" s="189" t="s">
        <v>189</v>
      </c>
      <c r="S23" s="140" t="s">
        <v>87</v>
      </c>
      <c r="T23" s="175" t="s">
        <v>190</v>
      </c>
      <c r="U23" s="175"/>
      <c r="V23" s="191" t="s">
        <v>219</v>
      </c>
      <c r="W23" s="266"/>
      <c r="X23" s="285">
        <f>'[31]RAB SUTR'!$F$14</f>
        <v>16</v>
      </c>
      <c r="Y23" s="266"/>
      <c r="Z23" s="266"/>
      <c r="AA23" s="176"/>
      <c r="AB23" s="177">
        <v>0.82399999999999995</v>
      </c>
      <c r="AC23" s="176"/>
      <c r="AD23" s="176"/>
      <c r="AE23" s="176"/>
      <c r="AF23" s="175"/>
      <c r="AG23" s="140"/>
      <c r="AH23" s="140"/>
      <c r="AI23" s="178"/>
      <c r="AJ23" s="178">
        <f>'[32]RAB SUTR'!$K$40</f>
        <v>69747661.236000001</v>
      </c>
      <c r="AK23" s="178"/>
      <c r="AL23" s="173">
        <f t="shared" si="2"/>
        <v>69747661.236000001</v>
      </c>
      <c r="AM23" s="49"/>
      <c r="AN23" s="47"/>
      <c r="AO23" s="34"/>
      <c r="AP23" s="35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37"/>
      <c r="BC23" s="356"/>
      <c r="BD23" s="29"/>
      <c r="BE23" s="29"/>
      <c r="BF23" s="29"/>
      <c r="BG23" s="29"/>
      <c r="BH23" s="29"/>
      <c r="BI23" s="29"/>
      <c r="BJ23" s="29"/>
      <c r="BK23" s="38"/>
      <c r="BL23" s="176"/>
      <c r="BM23" s="176"/>
      <c r="BN23" s="176"/>
      <c r="BO23" s="176"/>
      <c r="BP23" s="176"/>
      <c r="BQ23" s="176"/>
      <c r="BR23" s="176"/>
      <c r="BS23" s="176"/>
      <c r="BT23" s="176"/>
      <c r="BU23" s="276">
        <f>'[31]RAB SUTR'!$F$12</f>
        <v>824</v>
      </c>
      <c r="BV23" s="176"/>
      <c r="BW23" s="176"/>
      <c r="BX23" s="176"/>
      <c r="BY23" s="176"/>
      <c r="BZ23" s="176"/>
      <c r="CA23" s="176"/>
      <c r="CB23" s="176"/>
      <c r="CC23" s="176"/>
      <c r="CD23" s="176"/>
      <c r="CE23" s="176"/>
    </row>
    <row r="24" spans="2:83" ht="42">
      <c r="B24" s="336"/>
      <c r="C24" s="336"/>
      <c r="D24" s="29" t="s">
        <v>66</v>
      </c>
      <c r="E24" s="338"/>
      <c r="F24" s="336"/>
      <c r="G24" s="336"/>
      <c r="H24" s="337"/>
      <c r="I24" s="338"/>
      <c r="J24" s="336"/>
      <c r="K24" s="29" t="s">
        <v>66</v>
      </c>
      <c r="L24" s="338"/>
      <c r="M24" s="336"/>
      <c r="N24" s="336"/>
      <c r="O24" s="29" t="s">
        <v>66</v>
      </c>
      <c r="P24" s="354"/>
      <c r="Q24" s="188">
        <v>15</v>
      </c>
      <c r="R24" s="187" t="s">
        <v>96</v>
      </c>
      <c r="S24" s="134" t="s">
        <v>87</v>
      </c>
      <c r="T24" s="169" t="s">
        <v>95</v>
      </c>
      <c r="U24" s="169"/>
      <c r="V24" s="170" t="s">
        <v>217</v>
      </c>
      <c r="W24" s="176"/>
      <c r="X24" s="276">
        <f>[33]SUTR!$AF$18</f>
        <v>9</v>
      </c>
      <c r="Y24" s="176"/>
      <c r="Z24" s="176"/>
      <c r="AA24" s="170"/>
      <c r="AB24" s="171">
        <v>0.41699999999999998</v>
      </c>
      <c r="AC24" s="170"/>
      <c r="AD24" s="170"/>
      <c r="AE24" s="170"/>
      <c r="AF24" s="169"/>
      <c r="AG24" s="134">
        <f t="shared" si="0"/>
        <v>0</v>
      </c>
      <c r="AH24" s="134">
        <f t="shared" si="1"/>
        <v>0</v>
      </c>
      <c r="AI24" s="172"/>
      <c r="AJ24" s="172">
        <f>[34]SUTR!$AJ$66</f>
        <v>103454889.55999999</v>
      </c>
      <c r="AK24" s="172"/>
      <c r="AL24" s="173">
        <f t="shared" si="2"/>
        <v>103454889.55999999</v>
      </c>
      <c r="AM24" s="49"/>
      <c r="AN24" s="47"/>
      <c r="AO24" s="34"/>
      <c r="AP24" s="35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37"/>
      <c r="BC24" s="356"/>
      <c r="BD24" s="29"/>
      <c r="BE24" s="29"/>
      <c r="BF24" s="29"/>
      <c r="BG24" s="29"/>
      <c r="BH24" s="29"/>
      <c r="BI24" s="29"/>
      <c r="BJ24" s="29"/>
      <c r="BK24" s="38"/>
      <c r="BL24" s="176"/>
      <c r="BM24" s="176"/>
      <c r="BN24" s="176"/>
      <c r="BO24" s="176"/>
      <c r="BP24" s="176"/>
      <c r="BQ24" s="176"/>
      <c r="BR24" s="176"/>
      <c r="BS24" s="176"/>
      <c r="BT24" s="176"/>
      <c r="BU24" s="276">
        <f>[33]SUTR!$AF$15</f>
        <v>417.15000000000003</v>
      </c>
      <c r="BV24" s="176"/>
      <c r="BW24" s="176"/>
      <c r="BX24" s="176"/>
      <c r="BY24" s="176"/>
      <c r="BZ24" s="176"/>
      <c r="CA24" s="176"/>
      <c r="CB24" s="176"/>
      <c r="CC24" s="176"/>
      <c r="CD24" s="176"/>
      <c r="CE24" s="176"/>
    </row>
    <row r="25" spans="2:83" ht="27.75" customHeight="1">
      <c r="B25" s="336"/>
      <c r="C25" s="336"/>
      <c r="D25" s="29" t="s">
        <v>67</v>
      </c>
      <c r="E25" s="338"/>
      <c r="F25" s="336"/>
      <c r="G25" s="336"/>
      <c r="H25" s="337"/>
      <c r="I25" s="338"/>
      <c r="J25" s="336"/>
      <c r="K25" s="29" t="s">
        <v>67</v>
      </c>
      <c r="L25" s="338"/>
      <c r="M25" s="336"/>
      <c r="N25" s="336"/>
      <c r="O25" s="29" t="s">
        <v>67</v>
      </c>
      <c r="P25" s="354"/>
      <c r="Q25" s="297">
        <v>16</v>
      </c>
      <c r="R25" s="303" t="s">
        <v>97</v>
      </c>
      <c r="S25" s="303" t="s">
        <v>87</v>
      </c>
      <c r="T25" s="303" t="s">
        <v>93</v>
      </c>
      <c r="U25" s="192">
        <v>1</v>
      </c>
      <c r="V25" s="193" t="s">
        <v>98</v>
      </c>
      <c r="W25" s="273"/>
      <c r="X25" s="286">
        <f>[35]SUTR!$E$20</f>
        <v>5</v>
      </c>
      <c r="Y25" s="273"/>
      <c r="Z25" s="273"/>
      <c r="AA25" s="303"/>
      <c r="AB25" s="300">
        <v>2.0950000000000002</v>
      </c>
      <c r="AC25" s="303"/>
      <c r="AD25" s="303"/>
      <c r="AE25" s="303"/>
      <c r="AF25" s="303"/>
      <c r="AG25" s="326">
        <v>0</v>
      </c>
      <c r="AH25" s="326">
        <v>0</v>
      </c>
      <c r="AI25" s="320"/>
      <c r="AJ25" s="320">
        <f>[36]SUTR!$AM$67</f>
        <v>351570978</v>
      </c>
      <c r="AK25" s="320"/>
      <c r="AL25" s="323">
        <f>+AI25+AJ25+AK25</f>
        <v>351570978</v>
      </c>
      <c r="AM25" s="50"/>
      <c r="AN25" s="47"/>
      <c r="AO25" s="34"/>
      <c r="AP25" s="35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37"/>
      <c r="BC25" s="356"/>
      <c r="BD25" s="29"/>
      <c r="BE25" s="29"/>
      <c r="BF25" s="29"/>
      <c r="BG25" s="29"/>
      <c r="BH25" s="29"/>
      <c r="BI25" s="29"/>
      <c r="BJ25" s="29"/>
      <c r="BK25" s="38"/>
      <c r="BL25" s="176"/>
      <c r="BM25" s="176"/>
      <c r="BN25" s="176"/>
      <c r="BO25" s="176"/>
      <c r="BP25" s="176"/>
      <c r="BQ25" s="176"/>
      <c r="BR25" s="176"/>
      <c r="BS25" s="176"/>
      <c r="BT25" s="176"/>
      <c r="BU25" s="276">
        <f>[35]SUTR!$E$17</f>
        <v>807.5</v>
      </c>
      <c r="BV25" s="176"/>
      <c r="BW25" s="176"/>
      <c r="BX25" s="176"/>
      <c r="BY25" s="176"/>
      <c r="BZ25" s="176"/>
      <c r="CA25" s="176"/>
      <c r="CB25" s="176"/>
      <c r="CC25" s="176"/>
      <c r="CD25" s="176"/>
      <c r="CE25" s="176"/>
    </row>
    <row r="26" spans="2:83" ht="22.5" customHeight="1">
      <c r="B26" s="74">
        <v>5</v>
      </c>
      <c r="C26" s="74" t="s">
        <v>68</v>
      </c>
      <c r="D26" s="29" t="s">
        <v>45</v>
      </c>
      <c r="E26" s="76">
        <v>6587314</v>
      </c>
      <c r="F26" s="74">
        <v>5</v>
      </c>
      <c r="G26" s="74" t="s">
        <v>68</v>
      </c>
      <c r="H26" s="77" t="s">
        <v>69</v>
      </c>
      <c r="I26" s="76">
        <v>6587314</v>
      </c>
      <c r="J26" s="74" t="s">
        <v>68</v>
      </c>
      <c r="K26" s="29" t="s">
        <v>45</v>
      </c>
      <c r="L26" s="76">
        <v>6587314</v>
      </c>
      <c r="M26" s="74">
        <v>5</v>
      </c>
      <c r="N26" s="74" t="s">
        <v>68</v>
      </c>
      <c r="O26" s="29" t="s">
        <v>45</v>
      </c>
      <c r="P26" s="100">
        <v>6587314</v>
      </c>
      <c r="Q26" s="298"/>
      <c r="R26" s="304"/>
      <c r="S26" s="304"/>
      <c r="T26" s="304"/>
      <c r="U26" s="169">
        <v>2</v>
      </c>
      <c r="V26" s="194" t="s">
        <v>99</v>
      </c>
      <c r="W26" s="283">
        <f>[35]SUTR!$F$22</f>
        <v>1</v>
      </c>
      <c r="X26" s="283">
        <f>[35]SUTR!$F$20</f>
        <v>5</v>
      </c>
      <c r="Y26" s="211"/>
      <c r="Z26" s="211"/>
      <c r="AA26" s="304"/>
      <c r="AB26" s="301"/>
      <c r="AC26" s="304"/>
      <c r="AD26" s="304"/>
      <c r="AE26" s="304"/>
      <c r="AF26" s="304"/>
      <c r="AG26" s="327"/>
      <c r="AH26" s="327"/>
      <c r="AI26" s="321"/>
      <c r="AJ26" s="321"/>
      <c r="AK26" s="321"/>
      <c r="AL26" s="324"/>
      <c r="AM26" s="49">
        <v>6587314</v>
      </c>
      <c r="AN26" s="47"/>
      <c r="AO26" s="368" t="s">
        <v>70</v>
      </c>
      <c r="AP26" s="52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37"/>
      <c r="BC26" s="356"/>
      <c r="BD26" s="29"/>
      <c r="BE26" s="29"/>
      <c r="BF26" s="29"/>
      <c r="BG26" s="29"/>
      <c r="BH26" s="29"/>
      <c r="BI26" s="29"/>
      <c r="BJ26" s="29"/>
      <c r="BK26" s="38"/>
      <c r="BL26" s="176"/>
      <c r="BM26" s="176"/>
      <c r="BN26" s="176"/>
      <c r="BO26" s="176"/>
      <c r="BP26" s="176"/>
      <c r="BQ26" s="176"/>
      <c r="BR26" s="176"/>
      <c r="BS26" s="176"/>
      <c r="BT26" s="176"/>
      <c r="BU26" s="276">
        <f>[35]SUTR!$F$17</f>
        <v>257.5</v>
      </c>
      <c r="BV26" s="176"/>
      <c r="BW26" s="176"/>
      <c r="BX26" s="176"/>
      <c r="BY26" s="176"/>
      <c r="BZ26" s="176"/>
      <c r="CA26" s="176"/>
      <c r="CB26" s="176"/>
      <c r="CC26" s="176"/>
      <c r="CD26" s="176"/>
      <c r="CE26" s="176"/>
    </row>
    <row r="27" spans="2:83" ht="28.5" customHeight="1">
      <c r="B27" s="74"/>
      <c r="C27" s="74"/>
      <c r="D27" s="29" t="s">
        <v>71</v>
      </c>
      <c r="E27" s="76"/>
      <c r="F27" s="74"/>
      <c r="G27" s="74"/>
      <c r="H27" s="77"/>
      <c r="I27" s="76"/>
      <c r="J27" s="74"/>
      <c r="K27" s="29" t="s">
        <v>71</v>
      </c>
      <c r="L27" s="76"/>
      <c r="M27" s="74"/>
      <c r="N27" s="74"/>
      <c r="O27" s="29" t="s">
        <v>71</v>
      </c>
      <c r="P27" s="100"/>
      <c r="Q27" s="298"/>
      <c r="R27" s="304"/>
      <c r="S27" s="304"/>
      <c r="T27" s="304"/>
      <c r="U27" s="169">
        <v>3</v>
      </c>
      <c r="V27" s="194" t="s">
        <v>100</v>
      </c>
      <c r="W27" s="283">
        <f>[35]SUTR!$G$22</f>
        <v>1</v>
      </c>
      <c r="X27" s="283">
        <f>[35]SUTR!$G$20</f>
        <v>11</v>
      </c>
      <c r="Y27" s="211"/>
      <c r="Z27" s="211"/>
      <c r="AA27" s="304"/>
      <c r="AB27" s="301"/>
      <c r="AC27" s="304"/>
      <c r="AD27" s="304"/>
      <c r="AE27" s="304"/>
      <c r="AF27" s="304"/>
      <c r="AG27" s="327"/>
      <c r="AH27" s="327"/>
      <c r="AI27" s="321"/>
      <c r="AJ27" s="321"/>
      <c r="AK27" s="321"/>
      <c r="AL27" s="324"/>
      <c r="AM27" s="49"/>
      <c r="AN27" s="47"/>
      <c r="AO27" s="368"/>
      <c r="AP27" s="367">
        <v>2176734</v>
      </c>
      <c r="AQ27" s="29"/>
      <c r="AR27" s="29">
        <v>3</v>
      </c>
      <c r="AS27" s="29"/>
      <c r="AT27" s="29"/>
      <c r="AU27" s="29">
        <v>2120</v>
      </c>
      <c r="AV27" s="29">
        <v>40943</v>
      </c>
      <c r="AW27" s="29"/>
      <c r="AX27" s="29">
        <v>265</v>
      </c>
      <c r="AY27" s="29"/>
      <c r="AZ27" s="29">
        <v>25</v>
      </c>
      <c r="BA27" s="29">
        <v>17</v>
      </c>
      <c r="BB27" s="37">
        <f>+(AX27*8800000)+(AZ27*7500000)+(BA27*4455000)</f>
        <v>2595235000</v>
      </c>
      <c r="BC27" s="356"/>
      <c r="BD27" s="29">
        <v>807</v>
      </c>
      <c r="BE27" s="29">
        <v>174</v>
      </c>
      <c r="BF27" s="29"/>
      <c r="BG27" s="29">
        <v>9</v>
      </c>
      <c r="BH27" s="29"/>
      <c r="BI27" s="29">
        <v>9</v>
      </c>
      <c r="BJ27" s="29"/>
      <c r="BK27" s="38"/>
      <c r="BL27" s="176"/>
      <c r="BM27" s="176"/>
      <c r="BN27" s="176"/>
      <c r="BO27" s="176"/>
      <c r="BP27" s="176"/>
      <c r="BQ27" s="176"/>
      <c r="BR27" s="176"/>
      <c r="BS27" s="176"/>
      <c r="BT27" s="176"/>
      <c r="BU27" s="276">
        <f>[35]SUTR!$G$17</f>
        <v>515</v>
      </c>
      <c r="BV27" s="176"/>
      <c r="BW27" s="176"/>
      <c r="BX27" s="176"/>
      <c r="BY27" s="176"/>
      <c r="BZ27" s="176"/>
      <c r="CA27" s="176"/>
      <c r="CB27" s="176"/>
      <c r="CC27" s="176"/>
      <c r="CD27" s="176"/>
      <c r="CE27" s="176"/>
    </row>
    <row r="28" spans="2:83" ht="21.75" thickBot="1">
      <c r="B28" s="74"/>
      <c r="C28" s="74"/>
      <c r="D28" s="29" t="s">
        <v>72</v>
      </c>
      <c r="E28" s="76"/>
      <c r="F28" s="74"/>
      <c r="G28" s="74"/>
      <c r="H28" s="77"/>
      <c r="I28" s="76"/>
      <c r="J28" s="74"/>
      <c r="K28" s="29" t="s">
        <v>72</v>
      </c>
      <c r="L28" s="76"/>
      <c r="M28" s="74"/>
      <c r="N28" s="74"/>
      <c r="O28" s="29" t="s">
        <v>72</v>
      </c>
      <c r="P28" s="100"/>
      <c r="Q28" s="299"/>
      <c r="R28" s="305"/>
      <c r="S28" s="305"/>
      <c r="T28" s="305"/>
      <c r="U28" s="169">
        <v>4</v>
      </c>
      <c r="V28" s="194" t="s">
        <v>101</v>
      </c>
      <c r="W28" s="283"/>
      <c r="X28" s="283">
        <f>[35]SUTR!$H$20</f>
        <v>11</v>
      </c>
      <c r="Y28" s="211"/>
      <c r="Z28" s="211"/>
      <c r="AA28" s="305"/>
      <c r="AB28" s="302"/>
      <c r="AC28" s="305"/>
      <c r="AD28" s="305"/>
      <c r="AE28" s="305"/>
      <c r="AF28" s="305"/>
      <c r="AG28" s="378"/>
      <c r="AH28" s="328"/>
      <c r="AI28" s="322"/>
      <c r="AJ28" s="322"/>
      <c r="AK28" s="322"/>
      <c r="AL28" s="325"/>
      <c r="AM28" s="50"/>
      <c r="AN28" s="47"/>
      <c r="AO28" s="368"/>
      <c r="AP28" s="367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37"/>
      <c r="BC28" s="356"/>
      <c r="BD28" s="29"/>
      <c r="BE28" s="29"/>
      <c r="BF28" s="29"/>
      <c r="BG28" s="29"/>
      <c r="BH28" s="29"/>
      <c r="BI28" s="29"/>
      <c r="BJ28" s="29"/>
      <c r="BK28" s="38"/>
      <c r="BL28" s="176"/>
      <c r="BM28" s="176"/>
      <c r="BN28" s="176"/>
      <c r="BO28" s="176"/>
      <c r="BP28" s="176"/>
      <c r="BQ28" s="176"/>
      <c r="BR28" s="176"/>
      <c r="BS28" s="176"/>
      <c r="BT28" s="176"/>
      <c r="BU28" s="276">
        <f>[35]SUTR!$H$17</f>
        <v>515</v>
      </c>
      <c r="BV28" s="176"/>
      <c r="BW28" s="176"/>
      <c r="BX28" s="176"/>
      <c r="BY28" s="176"/>
      <c r="BZ28" s="176"/>
      <c r="CA28" s="176"/>
      <c r="CB28" s="176"/>
      <c r="CC28" s="176"/>
      <c r="CD28" s="176"/>
      <c r="CE28" s="176"/>
    </row>
    <row r="29" spans="2:83" ht="40.5" customHeight="1">
      <c r="B29" s="28">
        <v>6</v>
      </c>
      <c r="C29" s="28" t="s">
        <v>73</v>
      </c>
      <c r="D29" s="29" t="s">
        <v>45</v>
      </c>
      <c r="E29" s="30">
        <v>694325</v>
      </c>
      <c r="F29" s="28">
        <v>6</v>
      </c>
      <c r="G29" s="28" t="s">
        <v>73</v>
      </c>
      <c r="H29" s="43" t="s">
        <v>74</v>
      </c>
      <c r="I29" s="30">
        <v>694325</v>
      </c>
      <c r="J29" s="28" t="s">
        <v>73</v>
      </c>
      <c r="K29" s="29" t="s">
        <v>75</v>
      </c>
      <c r="L29" s="30">
        <v>6954072</v>
      </c>
      <c r="M29" s="28">
        <v>6</v>
      </c>
      <c r="N29" s="28" t="s">
        <v>73</v>
      </c>
      <c r="O29" s="29" t="s">
        <v>75</v>
      </c>
      <c r="P29" s="101">
        <v>6954072</v>
      </c>
      <c r="Q29" s="168">
        <v>17</v>
      </c>
      <c r="R29" s="195" t="s">
        <v>169</v>
      </c>
      <c r="S29" s="150" t="s">
        <v>87</v>
      </c>
      <c r="T29" s="150" t="s">
        <v>95</v>
      </c>
      <c r="U29" s="150">
        <v>1</v>
      </c>
      <c r="V29" s="196" t="s">
        <v>102</v>
      </c>
      <c r="W29" s="161"/>
      <c r="X29" s="281">
        <f>[37]SUTR!$AF$18</f>
        <v>9</v>
      </c>
      <c r="Y29" s="161"/>
      <c r="Z29" s="161"/>
      <c r="AA29" s="152"/>
      <c r="AB29" s="152">
        <v>0.41699999999999998</v>
      </c>
      <c r="AC29" s="153"/>
      <c r="AD29" s="153"/>
      <c r="AE29" s="153"/>
      <c r="AF29" s="153"/>
      <c r="AG29" s="197">
        <f t="shared" si="0"/>
        <v>0</v>
      </c>
      <c r="AH29" s="198">
        <f t="shared" si="1"/>
        <v>0</v>
      </c>
      <c r="AI29" s="156"/>
      <c r="AJ29" s="156">
        <f>[38]SUTR!$AJ$65</f>
        <v>99109559.559999987</v>
      </c>
      <c r="AK29" s="156"/>
      <c r="AL29" s="137">
        <f t="shared" si="2"/>
        <v>99109559.559999987</v>
      </c>
      <c r="AM29" s="46">
        <v>6954072</v>
      </c>
      <c r="AN29" s="47"/>
      <c r="AO29" s="34"/>
      <c r="AP29" s="35"/>
      <c r="AQ29" s="29">
        <v>1</v>
      </c>
      <c r="AR29" s="29">
        <v>4</v>
      </c>
      <c r="AS29" s="29">
        <v>2</v>
      </c>
      <c r="AT29" s="29"/>
      <c r="AU29" s="29">
        <v>3151</v>
      </c>
      <c r="AV29" s="29">
        <v>5689</v>
      </c>
      <c r="AW29" s="29"/>
      <c r="AX29" s="29">
        <v>135</v>
      </c>
      <c r="AY29" s="29"/>
      <c r="AZ29" s="29">
        <v>22</v>
      </c>
      <c r="BA29" s="29">
        <v>74</v>
      </c>
      <c r="BB29" s="37">
        <f>+(AX29*8800000)+(AZ29*7500000)+(BA29*4455000)</f>
        <v>1682670000</v>
      </c>
      <c r="BC29" s="356"/>
      <c r="BD29" s="29">
        <v>406</v>
      </c>
      <c r="BE29" s="29">
        <v>105</v>
      </c>
      <c r="BF29" s="29"/>
      <c r="BG29" s="29">
        <v>21</v>
      </c>
      <c r="BH29" s="29"/>
      <c r="BI29" s="29">
        <v>21</v>
      </c>
      <c r="BJ29" s="29"/>
      <c r="BK29" s="42"/>
      <c r="BL29" s="176"/>
      <c r="BM29" s="176"/>
      <c r="BN29" s="176"/>
      <c r="BO29" s="176"/>
      <c r="BP29" s="176"/>
      <c r="BQ29" s="176"/>
      <c r="BR29" s="176"/>
      <c r="BS29" s="176"/>
      <c r="BT29" s="176"/>
      <c r="BU29" s="276">
        <f>[37]SUTR!$AF$15</f>
        <v>417.15000000000003</v>
      </c>
      <c r="BV29" s="176"/>
      <c r="BW29" s="176"/>
      <c r="BX29" s="176"/>
      <c r="BY29" s="176"/>
      <c r="BZ29" s="176"/>
      <c r="CA29" s="176"/>
      <c r="CB29" s="176"/>
      <c r="CC29" s="176"/>
      <c r="CD29" s="176"/>
      <c r="CE29" s="176"/>
    </row>
    <row r="30" spans="2:83" ht="21">
      <c r="B30" s="28">
        <v>7</v>
      </c>
      <c r="C30" s="28" t="s">
        <v>76</v>
      </c>
      <c r="D30" s="29" t="s">
        <v>77</v>
      </c>
      <c r="E30" s="30">
        <v>8217510</v>
      </c>
      <c r="F30" s="28">
        <v>7</v>
      </c>
      <c r="G30" s="28" t="s">
        <v>76</v>
      </c>
      <c r="H30" s="43"/>
      <c r="I30" s="30"/>
      <c r="J30" s="28" t="s">
        <v>76</v>
      </c>
      <c r="K30" s="29" t="s">
        <v>77</v>
      </c>
      <c r="L30" s="37">
        <v>8217510</v>
      </c>
      <c r="M30" s="28">
        <v>7</v>
      </c>
      <c r="N30" s="28" t="s">
        <v>76</v>
      </c>
      <c r="O30" s="29" t="s">
        <v>77</v>
      </c>
      <c r="P30" s="100">
        <v>8217510</v>
      </c>
      <c r="Q30" s="297">
        <v>18</v>
      </c>
      <c r="R30" s="381" t="s">
        <v>97</v>
      </c>
      <c r="S30" s="303" t="s">
        <v>87</v>
      </c>
      <c r="T30" s="303" t="s">
        <v>93</v>
      </c>
      <c r="U30" s="199">
        <v>1</v>
      </c>
      <c r="V30" s="194" t="s">
        <v>103</v>
      </c>
      <c r="W30" s="211"/>
      <c r="X30" s="283">
        <f>[39]SUTR!$E$19</f>
        <v>16</v>
      </c>
      <c r="Y30" s="211"/>
      <c r="Z30" s="211"/>
      <c r="AA30" s="307"/>
      <c r="AB30" s="300">
        <v>3.1</v>
      </c>
      <c r="AC30" s="331"/>
      <c r="AD30" s="331"/>
      <c r="AE30" s="331"/>
      <c r="AF30" s="331"/>
      <c r="AG30" s="366">
        <v>0</v>
      </c>
      <c r="AH30" s="366">
        <v>0</v>
      </c>
      <c r="AI30" s="365"/>
      <c r="AJ30" s="365">
        <f>[40]SUTR!$AL$65</f>
        <v>362872796</v>
      </c>
      <c r="AK30" s="365"/>
      <c r="AL30" s="329">
        <f t="shared" si="2"/>
        <v>362872796</v>
      </c>
      <c r="AM30" s="46">
        <v>8217510</v>
      </c>
      <c r="AN30" s="47"/>
      <c r="AO30" s="48"/>
      <c r="AP30" s="44"/>
      <c r="AQ30" s="29">
        <v>3</v>
      </c>
      <c r="AR30" s="29"/>
      <c r="AS30" s="29"/>
      <c r="AT30" s="29">
        <v>1</v>
      </c>
      <c r="AU30" s="29">
        <v>6355</v>
      </c>
      <c r="AV30" s="29">
        <v>33372</v>
      </c>
      <c r="AW30" s="29"/>
      <c r="AX30" s="29">
        <v>240</v>
      </c>
      <c r="AY30" s="29"/>
      <c r="AZ30" s="29">
        <v>22</v>
      </c>
      <c r="BA30" s="29">
        <v>45</v>
      </c>
      <c r="BB30" s="37">
        <f>+(AX30*8800000)+(AZ30*7500000)+(BA30*4455000)</f>
        <v>2477475000</v>
      </c>
      <c r="BC30" s="356"/>
      <c r="BD30" s="29">
        <v>713</v>
      </c>
      <c r="BE30" s="29">
        <v>138</v>
      </c>
      <c r="BF30" s="29"/>
      <c r="BG30" s="29">
        <v>12</v>
      </c>
      <c r="BH30" s="29"/>
      <c r="BI30" s="29">
        <v>12</v>
      </c>
      <c r="BJ30" s="29"/>
      <c r="BK30" s="42"/>
      <c r="BL30" s="176"/>
      <c r="BM30" s="176"/>
      <c r="BN30" s="176"/>
      <c r="BO30" s="176"/>
      <c r="BP30" s="176"/>
      <c r="BQ30" s="176"/>
      <c r="BR30" s="176"/>
      <c r="BS30" s="176"/>
      <c r="BT30" s="176"/>
      <c r="BU30" s="276">
        <f>[39]SUTR!$E$16</f>
        <v>875.5</v>
      </c>
      <c r="BV30" s="176"/>
      <c r="BW30" s="176"/>
      <c r="BX30" s="176"/>
      <c r="BY30" s="176"/>
      <c r="BZ30" s="176"/>
      <c r="CA30" s="176"/>
      <c r="CB30" s="176"/>
      <c r="CC30" s="176"/>
      <c r="CD30" s="176"/>
      <c r="CE30" s="176"/>
    </row>
    <row r="31" spans="2:83" ht="21">
      <c r="B31" s="75"/>
      <c r="C31" s="75"/>
      <c r="D31" s="74"/>
      <c r="E31" s="79"/>
      <c r="F31" s="75"/>
      <c r="G31" s="75"/>
      <c r="H31" s="80"/>
      <c r="I31" s="79"/>
      <c r="J31" s="75"/>
      <c r="K31" s="74"/>
      <c r="L31" s="76"/>
      <c r="M31" s="75"/>
      <c r="N31" s="75"/>
      <c r="O31" s="74"/>
      <c r="P31" s="48"/>
      <c r="Q31" s="298"/>
      <c r="R31" s="360"/>
      <c r="S31" s="304"/>
      <c r="T31" s="304"/>
      <c r="U31" s="199">
        <v>2</v>
      </c>
      <c r="V31" s="194" t="s">
        <v>104</v>
      </c>
      <c r="W31" s="211"/>
      <c r="X31" s="211"/>
      <c r="Y31" s="211"/>
      <c r="Z31" s="211"/>
      <c r="AA31" s="307"/>
      <c r="AB31" s="301"/>
      <c r="AC31" s="331"/>
      <c r="AD31" s="331"/>
      <c r="AE31" s="331"/>
      <c r="AF31" s="331"/>
      <c r="AG31" s="366"/>
      <c r="AH31" s="366"/>
      <c r="AI31" s="365"/>
      <c r="AJ31" s="365"/>
      <c r="AK31" s="365"/>
      <c r="AL31" s="329"/>
      <c r="AM31" s="81"/>
      <c r="AN31" s="47"/>
      <c r="AO31" s="48"/>
      <c r="AP31" s="48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6"/>
      <c r="BC31" s="357"/>
      <c r="BD31" s="74"/>
      <c r="BE31" s="74"/>
      <c r="BF31" s="74"/>
      <c r="BG31" s="74"/>
      <c r="BH31" s="74"/>
      <c r="BI31" s="74"/>
      <c r="BJ31" s="74"/>
      <c r="BK31" s="42"/>
      <c r="BL31" s="176"/>
      <c r="BM31" s="176"/>
      <c r="BN31" s="176"/>
      <c r="BO31" s="176"/>
      <c r="BP31" s="176"/>
      <c r="BQ31" s="176"/>
      <c r="BR31" s="176"/>
      <c r="BS31" s="176"/>
      <c r="BT31" s="176"/>
      <c r="BU31" s="276">
        <f>[39]SUTR!$F$16</f>
        <v>978.5</v>
      </c>
      <c r="BV31" s="176"/>
      <c r="BW31" s="176"/>
      <c r="BX31" s="176"/>
      <c r="BY31" s="176"/>
      <c r="BZ31" s="176"/>
      <c r="CA31" s="176"/>
      <c r="CB31" s="176"/>
      <c r="CC31" s="176"/>
      <c r="CD31" s="176"/>
      <c r="CE31" s="176"/>
    </row>
    <row r="32" spans="2:83" ht="21.75" thickBot="1">
      <c r="B32" s="75"/>
      <c r="C32" s="75"/>
      <c r="D32" s="74"/>
      <c r="E32" s="79"/>
      <c r="F32" s="75"/>
      <c r="G32" s="75"/>
      <c r="H32" s="80"/>
      <c r="I32" s="79"/>
      <c r="J32" s="75"/>
      <c r="K32" s="74"/>
      <c r="L32" s="76"/>
      <c r="M32" s="75"/>
      <c r="N32" s="75"/>
      <c r="O32" s="74"/>
      <c r="P32" s="48"/>
      <c r="Q32" s="299"/>
      <c r="R32" s="361"/>
      <c r="S32" s="305"/>
      <c r="T32" s="305"/>
      <c r="U32" s="199">
        <v>3</v>
      </c>
      <c r="V32" s="194" t="s">
        <v>105</v>
      </c>
      <c r="W32" s="211"/>
      <c r="X32" s="211"/>
      <c r="Y32" s="211"/>
      <c r="Z32" s="211"/>
      <c r="AA32" s="307"/>
      <c r="AB32" s="302"/>
      <c r="AC32" s="331"/>
      <c r="AD32" s="331"/>
      <c r="AE32" s="331"/>
      <c r="AF32" s="331"/>
      <c r="AG32" s="366"/>
      <c r="AH32" s="366"/>
      <c r="AI32" s="365"/>
      <c r="AJ32" s="365"/>
      <c r="AK32" s="365"/>
      <c r="AL32" s="329"/>
      <c r="AM32" s="81"/>
      <c r="AN32" s="47"/>
      <c r="AO32" s="48"/>
      <c r="AP32" s="48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6"/>
      <c r="BC32" s="357"/>
      <c r="BD32" s="74"/>
      <c r="BE32" s="74"/>
      <c r="BF32" s="74"/>
      <c r="BG32" s="74"/>
      <c r="BH32" s="74"/>
      <c r="BI32" s="74"/>
      <c r="BJ32" s="74"/>
      <c r="BK32" s="42"/>
      <c r="BL32" s="176"/>
      <c r="BM32" s="176"/>
      <c r="BN32" s="176"/>
      <c r="BO32" s="176"/>
      <c r="BP32" s="176"/>
      <c r="BQ32" s="176"/>
      <c r="BR32" s="176"/>
      <c r="BS32" s="176"/>
      <c r="BT32" s="176"/>
      <c r="BU32" s="276">
        <f>[39]SUTR!$G$16</f>
        <v>1236</v>
      </c>
      <c r="BV32" s="176"/>
      <c r="BW32" s="176"/>
      <c r="BX32" s="176"/>
      <c r="BY32" s="176"/>
      <c r="BZ32" s="176"/>
      <c r="CA32" s="176"/>
      <c r="CB32" s="176"/>
      <c r="CC32" s="176"/>
      <c r="CD32" s="176"/>
      <c r="CE32" s="176"/>
    </row>
    <row r="33" spans="1:83" ht="42.75" thickBot="1">
      <c r="B33" s="75"/>
      <c r="C33" s="75"/>
      <c r="D33" s="74"/>
      <c r="E33" s="79"/>
      <c r="F33" s="75"/>
      <c r="G33" s="75"/>
      <c r="H33" s="80"/>
      <c r="I33" s="79"/>
      <c r="J33" s="75"/>
      <c r="K33" s="74"/>
      <c r="L33" s="76"/>
      <c r="M33" s="75"/>
      <c r="N33" s="75"/>
      <c r="O33" s="74"/>
      <c r="P33" s="48"/>
      <c r="Q33" s="138">
        <v>19</v>
      </c>
      <c r="R33" s="195" t="s">
        <v>106</v>
      </c>
      <c r="S33" s="151" t="s">
        <v>87</v>
      </c>
      <c r="T33" s="151" t="s">
        <v>107</v>
      </c>
      <c r="U33" s="200"/>
      <c r="V33" s="201" t="s">
        <v>220</v>
      </c>
      <c r="W33" s="267"/>
      <c r="X33" s="287">
        <f>[41]SUTR!$AF$19</f>
        <v>5</v>
      </c>
      <c r="Y33" s="267"/>
      <c r="Z33" s="267"/>
      <c r="AA33" s="202"/>
      <c r="AB33" s="152">
        <v>0.20599999999999999</v>
      </c>
      <c r="AC33" s="151"/>
      <c r="AD33" s="151"/>
      <c r="AE33" s="151"/>
      <c r="AF33" s="151"/>
      <c r="AG33" s="197">
        <f t="shared" si="0"/>
        <v>0</v>
      </c>
      <c r="AH33" s="134">
        <f t="shared" si="1"/>
        <v>0</v>
      </c>
      <c r="AI33" s="203"/>
      <c r="AJ33" s="203">
        <f>[42]SUTR!$AJ$65</f>
        <v>61789380.399999999</v>
      </c>
      <c r="AK33" s="203"/>
      <c r="AL33" s="204">
        <f t="shared" si="2"/>
        <v>61789380.399999999</v>
      </c>
      <c r="AM33" s="81"/>
      <c r="AN33" s="47"/>
      <c r="AO33" s="48"/>
      <c r="AP33" s="48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6"/>
      <c r="BC33" s="357"/>
      <c r="BD33" s="74"/>
      <c r="BE33" s="74"/>
      <c r="BF33" s="74"/>
      <c r="BG33" s="74"/>
      <c r="BH33" s="74"/>
      <c r="BI33" s="74"/>
      <c r="BJ33" s="74"/>
      <c r="BK33" s="42"/>
      <c r="BL33" s="176"/>
      <c r="BM33" s="176"/>
      <c r="BN33" s="176"/>
      <c r="BO33" s="176"/>
      <c r="BP33" s="176"/>
      <c r="BQ33" s="176"/>
      <c r="BR33" s="176"/>
      <c r="BS33" s="176"/>
      <c r="BT33" s="176"/>
      <c r="BU33" s="276">
        <f>[41]SUTR!$AF$16</f>
        <v>206</v>
      </c>
      <c r="BV33" s="176"/>
      <c r="BW33" s="176"/>
      <c r="BX33" s="176"/>
      <c r="BY33" s="176"/>
      <c r="BZ33" s="176"/>
      <c r="CA33" s="176"/>
      <c r="CB33" s="176"/>
      <c r="CC33" s="176"/>
      <c r="CD33" s="176"/>
      <c r="CE33" s="176"/>
    </row>
    <row r="34" spans="1:83" ht="63.75" thickBot="1">
      <c r="A34" s="62"/>
      <c r="B34" s="45"/>
      <c r="C34" s="45"/>
      <c r="D34" s="62"/>
      <c r="E34" s="83"/>
      <c r="F34" s="45"/>
      <c r="G34" s="45"/>
      <c r="H34" s="84"/>
      <c r="I34" s="83"/>
      <c r="J34" s="45"/>
      <c r="K34" s="62"/>
      <c r="L34" s="78"/>
      <c r="M34" s="45"/>
      <c r="N34" s="45"/>
      <c r="O34" s="62"/>
      <c r="P34" s="102"/>
      <c r="Q34" s="168">
        <v>20</v>
      </c>
      <c r="R34" s="129" t="s">
        <v>108</v>
      </c>
      <c r="S34" s="169" t="s">
        <v>87</v>
      </c>
      <c r="T34" s="169" t="s">
        <v>93</v>
      </c>
      <c r="U34" s="199"/>
      <c r="V34" s="194" t="s">
        <v>215</v>
      </c>
      <c r="W34" s="211"/>
      <c r="X34" s="283">
        <f>[43]SUTR!$AF$18</f>
        <v>20</v>
      </c>
      <c r="Y34" s="211"/>
      <c r="Z34" s="211"/>
      <c r="AA34" s="205"/>
      <c r="AB34" s="171">
        <v>0.20599999999999999</v>
      </c>
      <c r="AC34" s="169"/>
      <c r="AD34" s="288">
        <f>[43]Gardu!$K$17</f>
        <v>1</v>
      </c>
      <c r="AE34" s="169"/>
      <c r="AF34" s="169"/>
      <c r="AG34" s="197">
        <f t="shared" si="0"/>
        <v>100</v>
      </c>
      <c r="AH34" s="134">
        <f t="shared" si="1"/>
        <v>1</v>
      </c>
      <c r="AI34" s="206"/>
      <c r="AJ34" s="206">
        <f>[44]SUTR!$AJ$64</f>
        <v>248501044</v>
      </c>
      <c r="AK34" s="206">
        <f>[43]Gardu!$O$85</f>
        <v>177507299.19999999</v>
      </c>
      <c r="AL34" s="207">
        <f>+AI34+AJ34+AK34</f>
        <v>426008343.19999999</v>
      </c>
      <c r="AM34" s="81"/>
      <c r="AN34" s="47"/>
      <c r="AO34" s="48"/>
      <c r="AP34" s="48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6"/>
      <c r="BC34" s="357"/>
      <c r="BD34" s="74"/>
      <c r="BE34" s="74"/>
      <c r="BF34" s="74"/>
      <c r="BG34" s="74"/>
      <c r="BH34" s="74"/>
      <c r="BI34" s="74"/>
      <c r="BJ34" s="74"/>
      <c r="BK34" s="42"/>
      <c r="BL34" s="176"/>
      <c r="BM34" s="176"/>
      <c r="BN34" s="176"/>
      <c r="BO34" s="176"/>
      <c r="BP34" s="176"/>
      <c r="BQ34" s="176"/>
      <c r="BR34" s="176"/>
      <c r="BS34" s="276">
        <f>[43]Gardu!$K$36</f>
        <v>36</v>
      </c>
      <c r="BT34" s="276">
        <f>[43]Gardu!$K$37</f>
        <v>72</v>
      </c>
      <c r="BU34" s="276">
        <f>[43]SUTR!$AF$15</f>
        <v>2060</v>
      </c>
      <c r="BV34" s="176"/>
      <c r="BW34" s="276">
        <f>[43]Gardu!$K$34</f>
        <v>1</v>
      </c>
      <c r="BX34" s="176"/>
      <c r="BY34" s="276">
        <f>[43]Gardu!$K$23</f>
        <v>6</v>
      </c>
      <c r="BZ34" s="276">
        <f>[43]Gardu!$K$25</f>
        <v>3</v>
      </c>
      <c r="CA34" s="276">
        <f>[43]Gardu!$K$24</f>
        <v>3</v>
      </c>
      <c r="CB34" s="176"/>
      <c r="CC34" s="176"/>
      <c r="CD34" s="176"/>
      <c r="CE34" s="176"/>
    </row>
    <row r="35" spans="1:83" ht="63">
      <c r="B35" s="75"/>
      <c r="C35" s="75"/>
      <c r="D35" s="74"/>
      <c r="E35" s="79"/>
      <c r="F35" s="75"/>
      <c r="G35" s="75"/>
      <c r="H35" s="80"/>
      <c r="I35" s="79"/>
      <c r="J35" s="75"/>
      <c r="K35" s="74"/>
      <c r="L35" s="76"/>
      <c r="M35" s="75"/>
      <c r="N35" s="75"/>
      <c r="O35" s="74"/>
      <c r="P35" s="48"/>
      <c r="Q35" s="147">
        <v>21</v>
      </c>
      <c r="R35" s="254" t="s">
        <v>109</v>
      </c>
      <c r="S35" s="151" t="s">
        <v>87</v>
      </c>
      <c r="T35" s="151" t="s">
        <v>93</v>
      </c>
      <c r="U35" s="200"/>
      <c r="V35" s="201" t="s">
        <v>229</v>
      </c>
      <c r="W35" s="267"/>
      <c r="X35" s="287">
        <f>[76]SUTR!$AF$18</f>
        <v>7</v>
      </c>
      <c r="Y35" s="267"/>
      <c r="Z35" s="267"/>
      <c r="AA35" s="202"/>
      <c r="AB35" s="152">
        <v>0.32400000000000001</v>
      </c>
      <c r="AC35" s="151"/>
      <c r="AD35" s="151"/>
      <c r="AE35" s="151"/>
      <c r="AF35" s="151"/>
      <c r="AG35" s="197">
        <f t="shared" si="0"/>
        <v>0</v>
      </c>
      <c r="AH35" s="134">
        <f t="shared" si="1"/>
        <v>0</v>
      </c>
      <c r="AI35" s="203"/>
      <c r="AJ35" s="203">
        <f>[45]SUTR!$AJ$66</f>
        <v>83928911.879999995</v>
      </c>
      <c r="AK35" s="203"/>
      <c r="AL35" s="204">
        <f t="shared" si="2"/>
        <v>83928911.879999995</v>
      </c>
      <c r="AM35" s="81"/>
      <c r="AN35" s="47"/>
      <c r="AO35" s="48"/>
      <c r="AP35" s="48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6"/>
      <c r="BC35" s="357"/>
      <c r="BD35" s="74"/>
      <c r="BE35" s="74"/>
      <c r="BF35" s="74"/>
      <c r="BG35" s="74"/>
      <c r="BH35" s="74"/>
      <c r="BI35" s="74"/>
      <c r="BJ35" s="74"/>
      <c r="BK35" s="42"/>
      <c r="BL35" s="176"/>
      <c r="BM35" s="176"/>
      <c r="BN35" s="176"/>
      <c r="BO35" s="176"/>
      <c r="BP35" s="176"/>
      <c r="BQ35" s="176"/>
      <c r="BR35" s="176"/>
      <c r="BS35" s="176"/>
      <c r="BT35" s="176"/>
      <c r="BU35" s="276">
        <f>[76]SUTR!$AF$15</f>
        <v>324.45</v>
      </c>
      <c r="BV35" s="176"/>
      <c r="BW35" s="176"/>
      <c r="BX35" s="176"/>
      <c r="BY35" s="176"/>
      <c r="BZ35" s="176"/>
      <c r="CA35" s="176"/>
      <c r="CB35" s="176"/>
      <c r="CC35" s="176"/>
      <c r="CD35" s="176"/>
      <c r="CE35" s="176"/>
    </row>
    <row r="36" spans="1:83" ht="21">
      <c r="A36" s="62"/>
      <c r="B36" s="45"/>
      <c r="C36" s="45"/>
      <c r="D36" s="62"/>
      <c r="E36" s="83"/>
      <c r="F36" s="45"/>
      <c r="G36" s="45"/>
      <c r="H36" s="84"/>
      <c r="I36" s="83"/>
      <c r="J36" s="45"/>
      <c r="K36" s="62"/>
      <c r="L36" s="78"/>
      <c r="M36" s="45"/>
      <c r="N36" s="45"/>
      <c r="O36" s="62"/>
      <c r="P36" s="102"/>
      <c r="Q36" s="306">
        <v>22</v>
      </c>
      <c r="R36" s="332" t="s">
        <v>110</v>
      </c>
      <c r="S36" s="331" t="s">
        <v>87</v>
      </c>
      <c r="T36" s="331" t="s">
        <v>93</v>
      </c>
      <c r="U36" s="199">
        <v>1</v>
      </c>
      <c r="V36" s="194" t="s">
        <v>111</v>
      </c>
      <c r="W36" s="211"/>
      <c r="X36" s="283">
        <f>[46]SUTR!$E$19</f>
        <v>15</v>
      </c>
      <c r="Y36" s="211"/>
      <c r="Z36" s="211"/>
      <c r="AA36" s="307"/>
      <c r="AB36" s="309">
        <v>1.391</v>
      </c>
      <c r="AC36" s="331"/>
      <c r="AD36" s="331"/>
      <c r="AE36" s="331"/>
      <c r="AF36" s="331"/>
      <c r="AG36" s="366">
        <v>0</v>
      </c>
      <c r="AH36" s="366">
        <v>0</v>
      </c>
      <c r="AI36" s="365"/>
      <c r="AJ36" s="365">
        <f>[47]SUTR!$AL$67</f>
        <v>276920635.19999999</v>
      </c>
      <c r="AK36" s="365"/>
      <c r="AL36" s="329">
        <f t="shared" si="2"/>
        <v>276920635.19999999</v>
      </c>
      <c r="AM36" s="81"/>
      <c r="AN36" s="47"/>
      <c r="AO36" s="48"/>
      <c r="AP36" s="48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6"/>
      <c r="BC36" s="357"/>
      <c r="BD36" s="74"/>
      <c r="BE36" s="74"/>
      <c r="BF36" s="74"/>
      <c r="BG36" s="74"/>
      <c r="BH36" s="74"/>
      <c r="BI36" s="74"/>
      <c r="BJ36" s="74"/>
      <c r="BK36" s="42"/>
      <c r="BL36" s="176"/>
      <c r="BM36" s="176"/>
      <c r="BN36" s="176"/>
      <c r="BO36" s="176"/>
      <c r="BP36" s="176"/>
      <c r="BQ36" s="176"/>
      <c r="BR36" s="176"/>
      <c r="BS36" s="176"/>
      <c r="BT36" s="176"/>
      <c r="BU36" s="276">
        <f>[46]SUTR!$E$16</f>
        <v>772.5</v>
      </c>
      <c r="BV36" s="176"/>
      <c r="BW36" s="176"/>
      <c r="BX36" s="176"/>
      <c r="BY36" s="176"/>
      <c r="BZ36" s="176"/>
      <c r="CA36" s="176"/>
      <c r="CB36" s="176"/>
      <c r="CC36" s="176"/>
      <c r="CD36" s="176"/>
      <c r="CE36" s="176"/>
    </row>
    <row r="37" spans="1:83" ht="21">
      <c r="A37" s="62"/>
      <c r="B37" s="45"/>
      <c r="C37" s="45"/>
      <c r="D37" s="62"/>
      <c r="E37" s="83"/>
      <c r="F37" s="45"/>
      <c r="G37" s="45"/>
      <c r="H37" s="84"/>
      <c r="I37" s="83"/>
      <c r="J37" s="45"/>
      <c r="K37" s="62"/>
      <c r="L37" s="78"/>
      <c r="M37" s="45"/>
      <c r="N37" s="45"/>
      <c r="O37" s="62"/>
      <c r="P37" s="102"/>
      <c r="Q37" s="306"/>
      <c r="R37" s="332"/>
      <c r="S37" s="331"/>
      <c r="T37" s="331"/>
      <c r="U37" s="199">
        <v>2</v>
      </c>
      <c r="V37" s="194" t="s">
        <v>112</v>
      </c>
      <c r="W37" s="211"/>
      <c r="X37" s="283">
        <f>[46]SUTR!$F$19</f>
        <v>6</v>
      </c>
      <c r="Y37" s="211"/>
      <c r="Z37" s="211"/>
      <c r="AA37" s="307"/>
      <c r="AB37" s="301"/>
      <c r="AC37" s="331"/>
      <c r="AD37" s="331"/>
      <c r="AE37" s="331"/>
      <c r="AF37" s="331"/>
      <c r="AG37" s="366"/>
      <c r="AH37" s="366"/>
      <c r="AI37" s="365"/>
      <c r="AJ37" s="365"/>
      <c r="AK37" s="365"/>
      <c r="AL37" s="329"/>
      <c r="AM37" s="81"/>
      <c r="AN37" s="47"/>
      <c r="AO37" s="48"/>
      <c r="AP37" s="48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6"/>
      <c r="BC37" s="357"/>
      <c r="BD37" s="74"/>
      <c r="BE37" s="74"/>
      <c r="BF37" s="74"/>
      <c r="BG37" s="74"/>
      <c r="BH37" s="74"/>
      <c r="BI37" s="74"/>
      <c r="BJ37" s="74"/>
      <c r="BK37" s="42"/>
      <c r="BL37" s="176"/>
      <c r="BM37" s="176"/>
      <c r="BN37" s="176"/>
      <c r="BO37" s="176"/>
      <c r="BP37" s="176"/>
      <c r="BQ37" s="176"/>
      <c r="BR37" s="176"/>
      <c r="BS37" s="176"/>
      <c r="BT37" s="176"/>
      <c r="BU37" s="276">
        <f>[46]SUTR!$F$16</f>
        <v>309</v>
      </c>
      <c r="BV37" s="176"/>
      <c r="BW37" s="176"/>
      <c r="BX37" s="176"/>
      <c r="BY37" s="176"/>
      <c r="BZ37" s="176"/>
      <c r="CA37" s="176"/>
      <c r="CB37" s="176"/>
      <c r="CC37" s="176"/>
      <c r="CD37" s="176"/>
      <c r="CE37" s="176"/>
    </row>
    <row r="38" spans="1:83" ht="21">
      <c r="A38" s="62"/>
      <c r="B38" s="45"/>
      <c r="C38" s="45"/>
      <c r="D38" s="62"/>
      <c r="E38" s="83"/>
      <c r="F38" s="45"/>
      <c r="G38" s="45"/>
      <c r="H38" s="84"/>
      <c r="I38" s="83"/>
      <c r="J38" s="45"/>
      <c r="K38" s="62"/>
      <c r="L38" s="78"/>
      <c r="M38" s="45"/>
      <c r="N38" s="45"/>
      <c r="O38" s="62"/>
      <c r="P38" s="102"/>
      <c r="Q38" s="297"/>
      <c r="R38" s="333"/>
      <c r="S38" s="313"/>
      <c r="T38" s="313"/>
      <c r="U38" s="208">
        <v>3</v>
      </c>
      <c r="V38" s="209" t="s">
        <v>113</v>
      </c>
      <c r="W38" s="267"/>
      <c r="X38" s="287">
        <f>[46]SUTR!$G$19</f>
        <v>6</v>
      </c>
      <c r="Y38" s="267"/>
      <c r="Z38" s="267"/>
      <c r="AA38" s="308"/>
      <c r="AB38" s="310"/>
      <c r="AC38" s="313"/>
      <c r="AD38" s="313"/>
      <c r="AE38" s="313"/>
      <c r="AF38" s="313"/>
      <c r="AG38" s="363"/>
      <c r="AH38" s="363"/>
      <c r="AI38" s="382"/>
      <c r="AJ38" s="382"/>
      <c r="AK38" s="382"/>
      <c r="AL38" s="330"/>
      <c r="AM38" s="81"/>
      <c r="AN38" s="47"/>
      <c r="AO38" s="48"/>
      <c r="AP38" s="48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6"/>
      <c r="BC38" s="357"/>
      <c r="BD38" s="74"/>
      <c r="BE38" s="74"/>
      <c r="BF38" s="74"/>
      <c r="BG38" s="74"/>
      <c r="BH38" s="74"/>
      <c r="BI38" s="74"/>
      <c r="BJ38" s="74"/>
      <c r="BK38" s="42"/>
      <c r="BL38" s="176"/>
      <c r="BM38" s="176"/>
      <c r="BN38" s="176"/>
      <c r="BO38" s="176"/>
      <c r="BP38" s="176"/>
      <c r="BQ38" s="176"/>
      <c r="BR38" s="176"/>
      <c r="BS38" s="176"/>
      <c r="BT38" s="176"/>
      <c r="BU38" s="276">
        <f>[46]SUTR!$G$16</f>
        <v>309</v>
      </c>
      <c r="BV38" s="176"/>
      <c r="BW38" s="176"/>
      <c r="BX38" s="176"/>
      <c r="BY38" s="176"/>
      <c r="BZ38" s="176"/>
      <c r="CA38" s="176"/>
      <c r="CB38" s="176"/>
      <c r="CC38" s="176"/>
      <c r="CD38" s="176"/>
      <c r="CE38" s="176"/>
    </row>
    <row r="39" spans="1:83" ht="48" customHeight="1">
      <c r="A39" s="38"/>
      <c r="B39" s="107"/>
      <c r="C39" s="107"/>
      <c r="D39" s="74"/>
      <c r="E39" s="259"/>
      <c r="F39" s="107"/>
      <c r="G39" s="107"/>
      <c r="H39" s="258"/>
      <c r="I39" s="259"/>
      <c r="J39" s="107"/>
      <c r="K39" s="74"/>
      <c r="L39" s="76"/>
      <c r="M39" s="107"/>
      <c r="N39" s="107"/>
      <c r="O39" s="74"/>
      <c r="P39" s="48"/>
      <c r="Q39" s="257">
        <v>23</v>
      </c>
      <c r="R39" s="384" t="s">
        <v>272</v>
      </c>
      <c r="S39" s="385" t="s">
        <v>87</v>
      </c>
      <c r="T39" s="256" t="s">
        <v>93</v>
      </c>
      <c r="U39" s="391">
        <v>1</v>
      </c>
      <c r="V39" s="387" t="s">
        <v>217</v>
      </c>
      <c r="W39" s="387"/>
      <c r="X39" s="388">
        <f>[77]SUTR!$AF$18</f>
        <v>7</v>
      </c>
      <c r="Y39" s="387"/>
      <c r="Z39" s="387"/>
      <c r="AA39" s="389"/>
      <c r="AB39" s="265">
        <v>0.3</v>
      </c>
      <c r="AC39" s="385"/>
      <c r="AD39" s="385"/>
      <c r="AE39" s="385"/>
      <c r="AF39" s="385"/>
      <c r="AG39" s="263">
        <v>0</v>
      </c>
      <c r="AH39" s="263">
        <v>0</v>
      </c>
      <c r="AI39" s="390"/>
      <c r="AJ39" s="390">
        <f>[77]SUTR!$AJ$66</f>
        <v>83107305.599999994</v>
      </c>
      <c r="AK39" s="390"/>
      <c r="AL39" s="392">
        <f t="shared" si="2"/>
        <v>83107305.599999994</v>
      </c>
      <c r="AM39" s="85"/>
      <c r="AN39" s="47"/>
      <c r="AO39" s="48"/>
      <c r="AP39" s="48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6"/>
      <c r="BC39" s="357"/>
      <c r="BD39" s="74"/>
      <c r="BE39" s="74"/>
      <c r="BF39" s="74"/>
      <c r="BG39" s="74"/>
      <c r="BH39" s="74"/>
      <c r="BI39" s="74"/>
      <c r="BJ39" s="74"/>
      <c r="BK39" s="42"/>
      <c r="BL39" s="176"/>
      <c r="BM39" s="176"/>
      <c r="BN39" s="176"/>
      <c r="BO39" s="176"/>
      <c r="BP39" s="176"/>
      <c r="BQ39" s="176"/>
      <c r="BR39" s="176"/>
      <c r="BS39" s="176"/>
      <c r="BT39" s="176"/>
      <c r="BU39" s="276">
        <f>[77]SUTR!$AF$15</f>
        <v>309</v>
      </c>
      <c r="BV39" s="176"/>
      <c r="BW39" s="176"/>
      <c r="BX39" s="176"/>
      <c r="BY39" s="176"/>
      <c r="BZ39" s="176"/>
      <c r="CA39" s="176"/>
      <c r="CB39" s="176"/>
      <c r="CC39" s="176"/>
      <c r="CD39" s="176"/>
      <c r="CE39" s="176"/>
    </row>
    <row r="40" spans="1:83" ht="40.5" customHeight="1">
      <c r="A40" s="38"/>
      <c r="B40" s="107"/>
      <c r="C40" s="107"/>
      <c r="D40" s="74"/>
      <c r="E40" s="259"/>
      <c r="F40" s="107"/>
      <c r="G40" s="107"/>
      <c r="H40" s="258"/>
      <c r="I40" s="259"/>
      <c r="J40" s="107"/>
      <c r="K40" s="74"/>
      <c r="L40" s="76"/>
      <c r="M40" s="107"/>
      <c r="N40" s="107"/>
      <c r="O40" s="74"/>
      <c r="P40" s="48"/>
      <c r="Q40" s="383">
        <v>24</v>
      </c>
      <c r="R40" s="384" t="s">
        <v>273</v>
      </c>
      <c r="S40" s="385" t="s">
        <v>87</v>
      </c>
      <c r="T40" s="256" t="s">
        <v>93</v>
      </c>
      <c r="U40" s="386">
        <v>1</v>
      </c>
      <c r="V40" s="194" t="s">
        <v>275</v>
      </c>
      <c r="W40" s="387"/>
      <c r="X40" s="388">
        <f>'[78]RAB SUTR'!$F$14</f>
        <v>5</v>
      </c>
      <c r="Y40" s="387"/>
      <c r="Z40" s="387"/>
      <c r="AA40" s="389"/>
      <c r="AB40" s="265">
        <v>0.26</v>
      </c>
      <c r="AC40" s="385"/>
      <c r="AD40" s="385"/>
      <c r="AE40" s="385"/>
      <c r="AF40" s="385"/>
      <c r="AG40" s="263">
        <v>0</v>
      </c>
      <c r="AH40" s="263">
        <v>0</v>
      </c>
      <c r="AI40" s="390"/>
      <c r="AJ40" s="390">
        <f>'[78]RAB SUTR'!$K$40</f>
        <v>58364471.604999997</v>
      </c>
      <c r="AK40" s="390"/>
      <c r="AL40" s="392">
        <f t="shared" si="2"/>
        <v>58364471.604999997</v>
      </c>
      <c r="AM40" s="85"/>
      <c r="AN40" s="47"/>
      <c r="AO40" s="48"/>
      <c r="AP40" s="48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6"/>
      <c r="BC40" s="357"/>
      <c r="BD40" s="74"/>
      <c r="BE40" s="74"/>
      <c r="BF40" s="74"/>
      <c r="BG40" s="74"/>
      <c r="BH40" s="74"/>
      <c r="BI40" s="74"/>
      <c r="BJ40" s="74"/>
      <c r="BK40" s="42"/>
      <c r="BL40" s="176"/>
      <c r="BM40" s="176"/>
      <c r="BN40" s="176"/>
      <c r="BO40" s="176"/>
      <c r="BP40" s="176"/>
      <c r="BQ40" s="176"/>
      <c r="BR40" s="176"/>
      <c r="BS40" s="176"/>
      <c r="BT40" s="176"/>
      <c r="BU40" s="276">
        <f>'[78]RAB SUTR'!$F$12</f>
        <v>257.5</v>
      </c>
      <c r="BV40" s="176"/>
      <c r="BW40" s="176"/>
      <c r="BX40" s="176"/>
      <c r="BY40" s="176"/>
      <c r="BZ40" s="176"/>
      <c r="CA40" s="176"/>
      <c r="CB40" s="176"/>
      <c r="CC40" s="176"/>
      <c r="CD40" s="176"/>
      <c r="CE40" s="176"/>
    </row>
    <row r="41" spans="1:83" ht="45" customHeight="1">
      <c r="A41" s="38"/>
      <c r="B41" s="107"/>
      <c r="C41" s="107"/>
      <c r="D41" s="74"/>
      <c r="E41" s="259"/>
      <c r="F41" s="107"/>
      <c r="G41" s="107"/>
      <c r="H41" s="258"/>
      <c r="I41" s="259"/>
      <c r="J41" s="107"/>
      <c r="K41" s="74"/>
      <c r="L41" s="76"/>
      <c r="M41" s="107"/>
      <c r="N41" s="107"/>
      <c r="O41" s="74"/>
      <c r="P41" s="48"/>
      <c r="Q41" s="257">
        <v>25</v>
      </c>
      <c r="R41" s="384" t="s">
        <v>274</v>
      </c>
      <c r="S41" s="385" t="s">
        <v>87</v>
      </c>
      <c r="T41" s="256" t="s">
        <v>93</v>
      </c>
      <c r="U41" s="391">
        <v>1</v>
      </c>
      <c r="V41" s="194" t="s">
        <v>276</v>
      </c>
      <c r="W41" s="387"/>
      <c r="X41" s="388">
        <f>'[79]RAB SUTR'!$F$14</f>
        <v>25</v>
      </c>
      <c r="Y41" s="387"/>
      <c r="Z41" s="387"/>
      <c r="AA41" s="389"/>
      <c r="AB41" s="265">
        <v>1.55</v>
      </c>
      <c r="AC41" s="385"/>
      <c r="AD41" s="385"/>
      <c r="AE41" s="385"/>
      <c r="AF41" s="385"/>
      <c r="AG41" s="263">
        <v>0</v>
      </c>
      <c r="AH41" s="263">
        <v>0</v>
      </c>
      <c r="AI41" s="390"/>
      <c r="AJ41" s="390">
        <f>'[79]RAB SUTR'!$K$40</f>
        <v>291777269.63</v>
      </c>
      <c r="AK41" s="390"/>
      <c r="AL41" s="392">
        <f t="shared" si="2"/>
        <v>291777269.63</v>
      </c>
      <c r="AM41" s="85"/>
      <c r="AN41" s="47"/>
      <c r="AO41" s="48"/>
      <c r="AP41" s="48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6"/>
      <c r="BC41" s="357"/>
      <c r="BD41" s="74"/>
      <c r="BE41" s="74"/>
      <c r="BF41" s="74"/>
      <c r="BG41" s="74"/>
      <c r="BH41" s="74"/>
      <c r="BI41" s="74"/>
      <c r="BJ41" s="74"/>
      <c r="BK41" s="42"/>
      <c r="BL41" s="176"/>
      <c r="BM41" s="176"/>
      <c r="BN41" s="176"/>
      <c r="BO41" s="176"/>
      <c r="BP41" s="176"/>
      <c r="BQ41" s="176"/>
      <c r="BR41" s="176"/>
      <c r="BS41" s="176"/>
      <c r="BT41" s="176"/>
      <c r="BU41" s="276">
        <f>'[79]RAB SUTR'!$F$12</f>
        <v>1545</v>
      </c>
      <c r="BV41" s="176"/>
      <c r="BW41" s="176"/>
      <c r="BX41" s="176"/>
      <c r="BY41" s="176"/>
      <c r="BZ41" s="176"/>
      <c r="CA41" s="176"/>
      <c r="CB41" s="176"/>
      <c r="CC41" s="176"/>
      <c r="CD41" s="176"/>
      <c r="CE41" s="176"/>
    </row>
    <row r="42" spans="1:83" ht="42">
      <c r="B42" s="75"/>
      <c r="C42" s="75"/>
      <c r="D42" s="74"/>
      <c r="E42" s="79"/>
      <c r="F42" s="75"/>
      <c r="G42" s="75"/>
      <c r="H42" s="80"/>
      <c r="I42" s="79"/>
      <c r="J42" s="75"/>
      <c r="K42" s="74"/>
      <c r="L42" s="76"/>
      <c r="M42" s="75"/>
      <c r="N42" s="75"/>
      <c r="O42" s="74"/>
      <c r="P42" s="48"/>
      <c r="Q42" s="383">
        <v>26</v>
      </c>
      <c r="R42" s="174" t="s">
        <v>115</v>
      </c>
      <c r="S42" s="175" t="s">
        <v>87</v>
      </c>
      <c r="T42" s="175" t="s">
        <v>114</v>
      </c>
      <c r="U42" s="210"/>
      <c r="V42" s="211" t="s">
        <v>228</v>
      </c>
      <c r="W42" s="283">
        <f>[48]SUTM!$G$21+'[48]RAB SUTR'!$F$14</f>
        <v>16</v>
      </c>
      <c r="X42" s="283">
        <f>[48]GARDU!$F$15+[48]SUTM!$G$16</f>
        <v>78</v>
      </c>
      <c r="Y42" s="211"/>
      <c r="Z42" s="211"/>
      <c r="AA42" s="212">
        <f>12.6/3</f>
        <v>4.2</v>
      </c>
      <c r="AB42" s="177">
        <v>3.2450000000000001</v>
      </c>
      <c r="AC42" s="175"/>
      <c r="AD42" s="175">
        <v>3</v>
      </c>
      <c r="AE42" s="175"/>
      <c r="AF42" s="175"/>
      <c r="AG42" s="140">
        <f t="shared" si="0"/>
        <v>300</v>
      </c>
      <c r="AH42" s="140">
        <f t="shared" si="1"/>
        <v>3</v>
      </c>
      <c r="AI42" s="213">
        <f>[49]SUTM!$K$51</f>
        <v>1294179715.4000001</v>
      </c>
      <c r="AJ42" s="213">
        <f>'[49]RAB SUTR'!$K$40</f>
        <v>284376123.05300003</v>
      </c>
      <c r="AK42" s="213">
        <f>[49]GARDU!$J$60</f>
        <v>428318218.89999998</v>
      </c>
      <c r="AL42" s="214">
        <f t="shared" si="2"/>
        <v>2006874057.3530002</v>
      </c>
      <c r="AM42" s="81"/>
      <c r="AN42" s="47"/>
      <c r="AO42" s="48"/>
      <c r="AP42" s="48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6"/>
      <c r="BC42" s="357"/>
      <c r="BD42" s="74"/>
      <c r="BE42" s="74"/>
      <c r="BF42" s="74"/>
      <c r="BG42" s="74"/>
      <c r="BH42" s="74"/>
      <c r="BI42" s="74"/>
      <c r="BJ42" s="74"/>
      <c r="BK42" s="42"/>
      <c r="BL42" s="276">
        <f>[48]SUTM!$G$19</f>
        <v>12600</v>
      </c>
      <c r="BM42" s="176"/>
      <c r="BN42" s="176"/>
      <c r="BO42" s="176"/>
      <c r="BP42" s="176"/>
      <c r="BQ42" s="176"/>
      <c r="BR42" s="176">
        <f>[48]GARDU!$F$31</f>
        <v>108</v>
      </c>
      <c r="BS42" s="176"/>
      <c r="BT42" s="176">
        <f>[48]GARDU!$F$30</f>
        <v>216</v>
      </c>
      <c r="BU42" s="276">
        <f>'[48]RAB SUTR'!$F$12</f>
        <v>3502</v>
      </c>
      <c r="BV42" s="176"/>
      <c r="BW42" s="176">
        <f>[48]GARDU!$F$24</f>
        <v>3</v>
      </c>
      <c r="BX42" s="276">
        <f>[48]SUTM!$G$18</f>
        <v>54</v>
      </c>
      <c r="BY42" s="276">
        <f>[48]GARDU!$F$18+[48]SUTM!$G$17</f>
        <v>253</v>
      </c>
      <c r="BZ42" s="176">
        <f>[48]GARDU!$F$17</f>
        <v>9</v>
      </c>
      <c r="CA42" s="176">
        <f>[48]GARDU!$F$16</f>
        <v>9</v>
      </c>
      <c r="CB42" s="176"/>
      <c r="CC42" s="176"/>
      <c r="CD42" s="176"/>
      <c r="CE42" s="176"/>
    </row>
    <row r="43" spans="1:83" ht="42">
      <c r="B43" s="75"/>
      <c r="C43" s="75"/>
      <c r="D43" s="74"/>
      <c r="E43" s="79"/>
      <c r="F43" s="75"/>
      <c r="G43" s="75"/>
      <c r="H43" s="80"/>
      <c r="I43" s="79"/>
      <c r="J43" s="75"/>
      <c r="K43" s="74"/>
      <c r="L43" s="76"/>
      <c r="M43" s="75"/>
      <c r="N43" s="75"/>
      <c r="O43" s="74"/>
      <c r="P43" s="48"/>
      <c r="Q43" s="168">
        <v>27</v>
      </c>
      <c r="R43" s="174" t="s">
        <v>167</v>
      </c>
      <c r="S43" s="175" t="s">
        <v>117</v>
      </c>
      <c r="T43" s="175" t="s">
        <v>117</v>
      </c>
      <c r="U43" s="210"/>
      <c r="V43" s="211" t="s">
        <v>168</v>
      </c>
      <c r="W43" s="283">
        <f>[80]SUTR!$F$18</f>
        <v>7</v>
      </c>
      <c r="X43" s="283">
        <f>[80]SUTR!$F$17+[80]SUTM!$G$21</f>
        <v>157</v>
      </c>
      <c r="Y43" s="283">
        <f>[80]GARDU!$F$15+[80]SUTM!$G$16</f>
        <v>418</v>
      </c>
      <c r="Z43" s="211"/>
      <c r="AA43" s="212">
        <f>51.833/3</f>
        <v>17.277666666666665</v>
      </c>
      <c r="AB43" s="177">
        <v>5.2080000000000002</v>
      </c>
      <c r="AC43" s="175"/>
      <c r="AD43" s="175">
        <v>4</v>
      </c>
      <c r="AE43" s="175"/>
      <c r="AF43" s="175"/>
      <c r="AG43" s="140">
        <f t="shared" si="0"/>
        <v>400</v>
      </c>
      <c r="AH43" s="140">
        <f t="shared" si="1"/>
        <v>4</v>
      </c>
      <c r="AI43" s="213">
        <f>[50]SUTM!$K$59</f>
        <v>8025155568.2649994</v>
      </c>
      <c r="AJ43" s="213">
        <f>[50]SUTR!$J$43</f>
        <v>933985377.489236</v>
      </c>
      <c r="AK43" s="213">
        <f>[50]GARDU!$J$60</f>
        <v>518066115.49460298</v>
      </c>
      <c r="AL43" s="214">
        <f t="shared" si="2"/>
        <v>9477207061.2488384</v>
      </c>
      <c r="AM43" s="85"/>
      <c r="AN43" s="47"/>
      <c r="AO43" s="48"/>
      <c r="AP43" s="48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6"/>
      <c r="BC43" s="357"/>
      <c r="BD43" s="74"/>
      <c r="BE43" s="74"/>
      <c r="BF43" s="74"/>
      <c r="BG43" s="74"/>
      <c r="BH43" s="74"/>
      <c r="BI43" s="74"/>
      <c r="BJ43" s="74"/>
      <c r="BK43" s="42"/>
      <c r="BL43" s="176"/>
      <c r="BM43" s="276">
        <f>[80]SUTM!$G$19</f>
        <v>51833.25</v>
      </c>
      <c r="BN43" s="176"/>
      <c r="BO43" s="176"/>
      <c r="BP43" s="176"/>
      <c r="BQ43" s="176"/>
      <c r="BR43" s="176">
        <f>[80]GARDU!$F$31</f>
        <v>144</v>
      </c>
      <c r="BS43" s="176"/>
      <c r="BT43" s="176">
        <f>[80]GARDU!$F$30</f>
        <v>288</v>
      </c>
      <c r="BU43" s="276">
        <f>[80]SUTR!$F$15</f>
        <v>5208</v>
      </c>
      <c r="BV43" s="176"/>
      <c r="BW43" s="176">
        <f>[80]GARDU!$F$24</f>
        <v>4</v>
      </c>
      <c r="BX43" s="276">
        <f>[80]SUTM!$G$18</f>
        <v>318</v>
      </c>
      <c r="BY43" s="276">
        <f>[80]SUTM!$G$17+[80]GARDU!$F$18</f>
        <v>1385</v>
      </c>
      <c r="BZ43" s="176">
        <f>[80]GARDU!$F$17</f>
        <v>12</v>
      </c>
      <c r="CA43" s="176">
        <f>[80]GARDU!$F$16</f>
        <v>12</v>
      </c>
      <c r="CB43" s="176"/>
      <c r="CC43" s="176"/>
      <c r="CD43" s="176"/>
      <c r="CE43" s="176"/>
    </row>
    <row r="44" spans="1:83" ht="63">
      <c r="B44" s="75"/>
      <c r="C44" s="75"/>
      <c r="D44" s="74"/>
      <c r="E44" s="79"/>
      <c r="F44" s="75"/>
      <c r="G44" s="75"/>
      <c r="H44" s="80"/>
      <c r="I44" s="79"/>
      <c r="J44" s="75"/>
      <c r="K44" s="74"/>
      <c r="L44" s="76"/>
      <c r="M44" s="75"/>
      <c r="N44" s="75"/>
      <c r="O44" s="74"/>
      <c r="P44" s="48"/>
      <c r="Q44" s="257">
        <v>28</v>
      </c>
      <c r="R44" s="174" t="s">
        <v>126</v>
      </c>
      <c r="S44" s="175" t="s">
        <v>118</v>
      </c>
      <c r="T44" s="175" t="s">
        <v>118</v>
      </c>
      <c r="U44" s="210"/>
      <c r="V44" s="211" t="s">
        <v>127</v>
      </c>
      <c r="W44" s="211"/>
      <c r="X44" s="283">
        <f>[81]SUTM!$G$21</f>
        <v>4</v>
      </c>
      <c r="Y44" s="283">
        <f>[81]SUTM!$G$16+[81]GARDU!$F$17</f>
        <v>30</v>
      </c>
      <c r="Z44" s="211"/>
      <c r="AA44" s="212">
        <f>4.725/3</f>
        <v>1.575</v>
      </c>
      <c r="AB44" s="177">
        <v>1.391</v>
      </c>
      <c r="AC44" s="175"/>
      <c r="AD44" s="175">
        <v>1</v>
      </c>
      <c r="AE44" s="175"/>
      <c r="AF44" s="175"/>
      <c r="AG44" s="140">
        <f t="shared" si="0"/>
        <v>100</v>
      </c>
      <c r="AH44" s="140">
        <f t="shared" si="1"/>
        <v>1</v>
      </c>
      <c r="AI44" s="213">
        <f>[81]SUTM!$K$51</f>
        <v>615488665</v>
      </c>
      <c r="AJ44" s="213">
        <f>'[81]RAB SUTR'!$K$40</f>
        <v>103220258.625</v>
      </c>
      <c r="AK44" s="213">
        <f>[81]GARDU!$J$64</f>
        <v>192769745.30000001</v>
      </c>
      <c r="AL44" s="214">
        <f t="shared" si="2"/>
        <v>911478668.92499995</v>
      </c>
      <c r="AM44" s="85"/>
      <c r="AN44" s="47"/>
      <c r="AO44" s="48"/>
      <c r="AP44" s="48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6"/>
      <c r="BC44" s="357"/>
      <c r="BD44" s="74"/>
      <c r="BE44" s="74"/>
      <c r="BF44" s="74"/>
      <c r="BG44" s="74"/>
      <c r="BH44" s="74"/>
      <c r="BI44" s="74"/>
      <c r="BJ44" s="74"/>
      <c r="BK44" s="42"/>
      <c r="BL44" s="276">
        <f>[81]SUTM!$G$19</f>
        <v>4725</v>
      </c>
      <c r="BM44" s="176"/>
      <c r="BN44" s="176"/>
      <c r="BO44" s="176"/>
      <c r="BP44" s="176"/>
      <c r="BQ44" s="176"/>
      <c r="BR44" s="176">
        <f>[81]GARDU!$F$33</f>
        <v>36</v>
      </c>
      <c r="BS44" s="176"/>
      <c r="BT44" s="176">
        <f>[81]GARDU!$F$32</f>
        <v>72</v>
      </c>
      <c r="BU44" s="276">
        <f>'[81]RAB SUTR'!$F$12</f>
        <v>1390.5</v>
      </c>
      <c r="BV44" s="176"/>
      <c r="BW44" s="176">
        <f>[81]GARDU!$F$26</f>
        <v>1</v>
      </c>
      <c r="BX44" s="276">
        <f>[81]SUTM!$G$18</f>
        <v>18</v>
      </c>
      <c r="BY44" s="276">
        <f>[81]GARDU!$F$20+[81]SUTM!$G$17</f>
        <v>113</v>
      </c>
      <c r="BZ44" s="176">
        <f>[81]GARDU!$F$19</f>
        <v>3</v>
      </c>
      <c r="CA44" s="176">
        <f>[81]GARDU!$F$18</f>
        <v>3</v>
      </c>
      <c r="CB44" s="176"/>
      <c r="CC44" s="176"/>
      <c r="CD44" s="176"/>
      <c r="CE44" s="176"/>
    </row>
    <row r="45" spans="1:83" ht="63">
      <c r="B45" s="75"/>
      <c r="C45" s="75"/>
      <c r="D45" s="74"/>
      <c r="E45" s="79"/>
      <c r="F45" s="75"/>
      <c r="G45" s="75"/>
      <c r="H45" s="80"/>
      <c r="I45" s="79"/>
      <c r="J45" s="75"/>
      <c r="K45" s="74"/>
      <c r="L45" s="76"/>
      <c r="M45" s="75"/>
      <c r="N45" s="75"/>
      <c r="O45" s="74"/>
      <c r="P45" s="48"/>
      <c r="Q45" s="383">
        <v>29</v>
      </c>
      <c r="R45" s="174" t="s">
        <v>128</v>
      </c>
      <c r="S45" s="175" t="s">
        <v>118</v>
      </c>
      <c r="T45" s="175" t="s">
        <v>118</v>
      </c>
      <c r="U45" s="210"/>
      <c r="V45" s="211" t="s">
        <v>129</v>
      </c>
      <c r="W45" s="211"/>
      <c r="X45" s="283">
        <f>[82]SUTM!$G$21</f>
        <v>4</v>
      </c>
      <c r="Y45" s="283">
        <f>[82]SUTM!$G$16+[82]GARDU!$F$17</f>
        <v>22</v>
      </c>
      <c r="Z45" s="211"/>
      <c r="AA45" s="212">
        <f>3.365/3</f>
        <v>1.1216666666666668</v>
      </c>
      <c r="AB45" s="177">
        <v>1.02</v>
      </c>
      <c r="AC45" s="175"/>
      <c r="AD45" s="175">
        <v>1</v>
      </c>
      <c r="AE45" s="175"/>
      <c r="AF45" s="175"/>
      <c r="AG45" s="140">
        <f t="shared" si="0"/>
        <v>100</v>
      </c>
      <c r="AH45" s="140">
        <f t="shared" si="1"/>
        <v>1</v>
      </c>
      <c r="AI45" s="213">
        <f>[51]SUTM!$K$51</f>
        <v>510783690.71465999</v>
      </c>
      <c r="AJ45" s="213">
        <f>'[51]RAB SUTR'!$K$40</f>
        <v>77192886.705000013</v>
      </c>
      <c r="AK45" s="213">
        <f>[51]GARDU!$J$64</f>
        <v>207563436.30000001</v>
      </c>
      <c r="AL45" s="214">
        <f t="shared" si="2"/>
        <v>795540013.71966004</v>
      </c>
      <c r="AM45" s="85"/>
      <c r="AN45" s="47"/>
      <c r="AO45" s="48"/>
      <c r="AP45" s="48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6"/>
      <c r="BC45" s="357"/>
      <c r="BD45" s="74"/>
      <c r="BE45" s="74"/>
      <c r="BF45" s="74"/>
      <c r="BG45" s="74"/>
      <c r="BH45" s="74"/>
      <c r="BI45" s="74"/>
      <c r="BJ45" s="74"/>
      <c r="BK45" s="42"/>
      <c r="BL45" s="276">
        <f>[82]SUTM!$G$19</f>
        <v>3354.8130000000001</v>
      </c>
      <c r="BM45" s="176"/>
      <c r="BN45" s="176"/>
      <c r="BO45" s="176"/>
      <c r="BP45" s="176"/>
      <c r="BQ45" s="176"/>
      <c r="BR45" s="176">
        <f>[82]GARDU!$F$33</f>
        <v>36</v>
      </c>
      <c r="BS45" s="176"/>
      <c r="BT45" s="176">
        <f>[82]GARDU!$F$32</f>
        <v>72</v>
      </c>
      <c r="BU45" s="276">
        <f>'[82]RAB SUTR'!$F$12</f>
        <v>1019.7</v>
      </c>
      <c r="BV45" s="176"/>
      <c r="BW45" s="176">
        <f>[82]GARDU!$F$26</f>
        <v>1</v>
      </c>
      <c r="BX45" s="276">
        <f>[82]SUTM!$G$18</f>
        <v>18</v>
      </c>
      <c r="BY45" s="276">
        <f>[82]SUTM!$G$17+[82]GARDU!$F$20</f>
        <v>74</v>
      </c>
      <c r="BZ45" s="176">
        <f>[82]GARDU!$F$19</f>
        <v>3</v>
      </c>
      <c r="CA45" s="176">
        <f>[82]GARDU!$F$18</f>
        <v>3</v>
      </c>
      <c r="CB45" s="176"/>
      <c r="CC45" s="176"/>
      <c r="CD45" s="176"/>
      <c r="CE45" s="176"/>
    </row>
    <row r="46" spans="1:83" ht="63">
      <c r="B46" s="106"/>
      <c r="C46" s="106"/>
      <c r="D46" s="74"/>
      <c r="E46" s="79"/>
      <c r="F46" s="106"/>
      <c r="G46" s="106"/>
      <c r="H46" s="80"/>
      <c r="I46" s="79"/>
      <c r="J46" s="106"/>
      <c r="K46" s="74"/>
      <c r="L46" s="76"/>
      <c r="M46" s="106"/>
      <c r="N46" s="106"/>
      <c r="O46" s="74"/>
      <c r="P46" s="48"/>
      <c r="Q46" s="264">
        <v>30</v>
      </c>
      <c r="R46" s="174" t="s">
        <v>177</v>
      </c>
      <c r="S46" s="175" t="s">
        <v>118</v>
      </c>
      <c r="T46" s="175" t="s">
        <v>118</v>
      </c>
      <c r="U46" s="210"/>
      <c r="V46" s="211" t="s">
        <v>178</v>
      </c>
      <c r="W46" s="211"/>
      <c r="X46" s="283">
        <f>'[83]RAB SUTR'!$E$14+[83]SUTM!$G$21</f>
        <v>3</v>
      </c>
      <c r="Y46" s="283">
        <f>[83]SUTM!$G$16+[83]GARDU!$F$17</f>
        <v>25</v>
      </c>
      <c r="Z46" s="211"/>
      <c r="AA46" s="212">
        <f>3.78/3</f>
        <v>1.26</v>
      </c>
      <c r="AB46" s="177">
        <v>1.159</v>
      </c>
      <c r="AC46" s="175"/>
      <c r="AD46" s="175">
        <v>1</v>
      </c>
      <c r="AE46" s="175"/>
      <c r="AF46" s="175"/>
      <c r="AG46" s="140">
        <f t="shared" si="0"/>
        <v>100</v>
      </c>
      <c r="AH46" s="140">
        <f t="shared" si="1"/>
        <v>1</v>
      </c>
      <c r="AI46" s="213">
        <f>[52]SUTM!$K$52</f>
        <v>452314052.30000001</v>
      </c>
      <c r="AJ46" s="213">
        <f>'[52]RAB SUTR'!$K$40</f>
        <v>104771917.9375</v>
      </c>
      <c r="AK46" s="213">
        <f>[52]GARDU!$J$64</f>
        <v>140463436.30000001</v>
      </c>
      <c r="AL46" s="214">
        <f t="shared" si="2"/>
        <v>697549406.5374999</v>
      </c>
      <c r="AM46" s="85"/>
      <c r="AN46" s="47"/>
      <c r="AO46" s="48"/>
      <c r="AP46" s="48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6"/>
      <c r="BC46" s="357"/>
      <c r="BD46" s="74"/>
      <c r="BE46" s="74"/>
      <c r="BF46" s="74"/>
      <c r="BG46" s="74"/>
      <c r="BH46" s="74"/>
      <c r="BI46" s="74"/>
      <c r="BJ46" s="74"/>
      <c r="BK46" s="42"/>
      <c r="BL46" s="276">
        <f>[83]SUTM!$G$19</f>
        <v>3780</v>
      </c>
      <c r="BM46" s="176"/>
      <c r="BN46" s="176"/>
      <c r="BO46" s="176"/>
      <c r="BP46" s="176"/>
      <c r="BQ46" s="176"/>
      <c r="BR46" s="176">
        <f>[83]GARDU!$F$33</f>
        <v>36</v>
      </c>
      <c r="BS46" s="176"/>
      <c r="BT46" s="176">
        <f>[83]GARDU!$F$32</f>
        <v>72</v>
      </c>
      <c r="BU46" s="276">
        <f>'[83]RAB SUTR'!$F$12</f>
        <v>1158.75</v>
      </c>
      <c r="BV46" s="176"/>
      <c r="BW46" s="176">
        <f>[83]GARDU!$F$26</f>
        <v>1</v>
      </c>
      <c r="BX46" s="276">
        <f>[83]SUTM!$G$18</f>
        <v>9</v>
      </c>
      <c r="BY46" s="276">
        <f>[83]SUTM!$G$17+[83]GARDU!$F$20</f>
        <v>70</v>
      </c>
      <c r="BZ46" s="176">
        <f>[83]GARDU!$F$19</f>
        <v>3</v>
      </c>
      <c r="CA46" s="176">
        <f>[83]GARDU!$F$18</f>
        <v>3</v>
      </c>
      <c r="CB46" s="176"/>
      <c r="CC46" s="176"/>
      <c r="CD46" s="176"/>
      <c r="CE46" s="176"/>
    </row>
    <row r="47" spans="1:83" ht="84">
      <c r="B47" s="75"/>
      <c r="C47" s="75"/>
      <c r="D47" s="74"/>
      <c r="E47" s="79"/>
      <c r="F47" s="75"/>
      <c r="G47" s="75"/>
      <c r="H47" s="80"/>
      <c r="I47" s="79"/>
      <c r="J47" s="75"/>
      <c r="K47" s="74"/>
      <c r="L47" s="76"/>
      <c r="M47" s="75"/>
      <c r="N47" s="75"/>
      <c r="O47" s="74"/>
      <c r="P47" s="48"/>
      <c r="Q47" s="257">
        <v>31</v>
      </c>
      <c r="R47" s="174" t="s">
        <v>130</v>
      </c>
      <c r="S47" s="175" t="s">
        <v>118</v>
      </c>
      <c r="T47" s="175" t="s">
        <v>118</v>
      </c>
      <c r="U47" s="210"/>
      <c r="V47" s="211" t="s">
        <v>131</v>
      </c>
      <c r="W47" s="283">
        <f>'[84]RAB SUTR'!$F$15</f>
        <v>1</v>
      </c>
      <c r="X47" s="283">
        <f>'[84]RAB SUTR'!$F$14+[84]SUTM!$G$21</f>
        <v>8</v>
      </c>
      <c r="Y47" s="283">
        <f>[84]SUTM!$G$16+[84]GARDU!$F$17</f>
        <v>15</v>
      </c>
      <c r="Z47" s="211"/>
      <c r="AA47" s="212">
        <f>2.3/3</f>
        <v>0.76666666666666661</v>
      </c>
      <c r="AB47" s="177">
        <v>0.92700000000000005</v>
      </c>
      <c r="AC47" s="175"/>
      <c r="AD47" s="175">
        <v>1</v>
      </c>
      <c r="AE47" s="175"/>
      <c r="AF47" s="175"/>
      <c r="AG47" s="140">
        <f t="shared" si="0"/>
        <v>100</v>
      </c>
      <c r="AH47" s="140">
        <f t="shared" si="1"/>
        <v>1</v>
      </c>
      <c r="AI47" s="213">
        <f>[53]SUTM!$K$52</f>
        <v>301652160.58999997</v>
      </c>
      <c r="AJ47" s="213">
        <f>'[53]RAB SUTR'!$K$40</f>
        <v>113145798.70000002</v>
      </c>
      <c r="AK47" s="213">
        <f>[53]GARDU!$J$64</f>
        <v>140463436.30000001</v>
      </c>
      <c r="AL47" s="214">
        <f t="shared" si="2"/>
        <v>555261395.58999991</v>
      </c>
      <c r="AM47" s="85"/>
      <c r="AN47" s="47"/>
      <c r="AO47" s="48"/>
      <c r="AP47" s="48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6"/>
      <c r="BC47" s="357"/>
      <c r="BD47" s="74"/>
      <c r="BE47" s="74"/>
      <c r="BF47" s="74"/>
      <c r="BG47" s="74"/>
      <c r="BH47" s="74"/>
      <c r="BI47" s="74"/>
      <c r="BJ47" s="74"/>
      <c r="BK47" s="42"/>
      <c r="BL47" s="276">
        <f>[84]SUTM!$G$19</f>
        <v>2299.5</v>
      </c>
      <c r="BM47" s="176"/>
      <c r="BN47" s="176"/>
      <c r="BO47" s="176"/>
      <c r="BP47" s="176"/>
      <c r="BQ47" s="176"/>
      <c r="BR47" s="176">
        <f>[84]GARDU!$F$33</f>
        <v>36</v>
      </c>
      <c r="BS47" s="176"/>
      <c r="BT47" s="176">
        <f>[84]GARDU!$F$32</f>
        <v>72</v>
      </c>
      <c r="BU47" s="276">
        <f>'[84]RAB SUTR'!$F$12</f>
        <v>927</v>
      </c>
      <c r="BV47" s="176"/>
      <c r="BW47" s="176">
        <f>[84]GARDU!$F$26</f>
        <v>1</v>
      </c>
      <c r="BX47" s="276">
        <f>[84]SUTM!$G$18</f>
        <v>18</v>
      </c>
      <c r="BY47" s="276">
        <f>[84]SUTM!$G$17+[84]GARDU!$F$20</f>
        <v>41</v>
      </c>
      <c r="BZ47" s="176">
        <f>[84]GARDU!$F$19</f>
        <v>3</v>
      </c>
      <c r="CA47" s="176">
        <f>[84]GARDU!$F$18</f>
        <v>3</v>
      </c>
      <c r="CB47" s="176"/>
      <c r="CC47" s="176"/>
      <c r="CD47" s="176"/>
      <c r="CE47" s="176"/>
    </row>
    <row r="48" spans="1:83" s="406" customFormat="1" ht="42">
      <c r="B48" s="407"/>
      <c r="C48" s="407"/>
      <c r="D48" s="408"/>
      <c r="E48" s="409"/>
      <c r="F48" s="407"/>
      <c r="G48" s="407"/>
      <c r="H48" s="410"/>
      <c r="I48" s="409"/>
      <c r="J48" s="407"/>
      <c r="K48" s="408"/>
      <c r="L48" s="411"/>
      <c r="M48" s="407"/>
      <c r="N48" s="407"/>
      <c r="O48" s="408"/>
      <c r="P48" s="412"/>
      <c r="Q48" s="413">
        <v>32</v>
      </c>
      <c r="R48" s="260" t="s">
        <v>116</v>
      </c>
      <c r="S48" s="414" t="s">
        <v>118</v>
      </c>
      <c r="T48" s="414" t="s">
        <v>117</v>
      </c>
      <c r="U48" s="415"/>
      <c r="V48" s="416" t="s">
        <v>230</v>
      </c>
      <c r="W48" s="466">
        <f>[103]SUTR!$E$16</f>
        <v>11</v>
      </c>
      <c r="X48" s="425">
        <f>'[103]RAB SUTM'!$E$18</f>
        <v>27</v>
      </c>
      <c r="Y48" s="425">
        <f>'[103]RAB SUTM'!$E$15+'[103]RAB GARDU'!$F$14</f>
        <v>166</v>
      </c>
      <c r="Z48" s="417"/>
      <c r="AA48" s="418">
        <f>23.082/3</f>
        <v>7.694</v>
      </c>
      <c r="AB48" s="419">
        <v>5.2380000000000004</v>
      </c>
      <c r="AC48" s="414"/>
      <c r="AD48" s="414">
        <v>4</v>
      </c>
      <c r="AE48" s="414"/>
      <c r="AF48" s="414"/>
      <c r="AG48" s="420">
        <f t="shared" si="0"/>
        <v>400</v>
      </c>
      <c r="AH48" s="420">
        <f t="shared" si="1"/>
        <v>4</v>
      </c>
      <c r="AI48" s="255">
        <f>'[54]RAB SUTM'!$H$46</f>
        <v>2824469326.5800004</v>
      </c>
      <c r="AJ48" s="255">
        <f>[54]SUTR!$J$41</f>
        <v>422477597.82250011</v>
      </c>
      <c r="AK48" s="255">
        <f>'[54]RAB GARDU'!$J$59</f>
        <v>476650649.19999999</v>
      </c>
      <c r="AL48" s="207">
        <f t="shared" si="2"/>
        <v>3723597573.6025004</v>
      </c>
      <c r="AM48" s="81"/>
      <c r="AN48" s="421"/>
      <c r="AO48" s="412"/>
      <c r="AP48" s="412"/>
      <c r="AQ48" s="408"/>
      <c r="AR48" s="408"/>
      <c r="AS48" s="408"/>
      <c r="AT48" s="408"/>
      <c r="AU48" s="408"/>
      <c r="AV48" s="408"/>
      <c r="AW48" s="408"/>
      <c r="AX48" s="408"/>
      <c r="AY48" s="408"/>
      <c r="AZ48" s="408"/>
      <c r="BA48" s="408"/>
      <c r="BB48" s="411"/>
      <c r="BC48" s="357"/>
      <c r="BD48" s="408"/>
      <c r="BE48" s="408"/>
      <c r="BF48" s="408"/>
      <c r="BG48" s="408"/>
      <c r="BH48" s="408"/>
      <c r="BI48" s="408"/>
      <c r="BJ48" s="408"/>
      <c r="BK48" s="422"/>
      <c r="BL48" s="423"/>
      <c r="BM48" s="426">
        <f>'[103]RAB SUTM'!$E$14</f>
        <v>23082.3</v>
      </c>
      <c r="BN48" s="423"/>
      <c r="BO48" s="423"/>
      <c r="BP48" s="423"/>
      <c r="BQ48" s="423"/>
      <c r="BR48" s="423"/>
      <c r="BS48" s="423">
        <f>'[103]RAB GARDU'!$F$30</f>
        <v>144</v>
      </c>
      <c r="BT48" s="423">
        <f>'[103]RAB GARDU'!$F$29</f>
        <v>224</v>
      </c>
      <c r="BU48" s="426">
        <f>[103]SUTR!$F$14</f>
        <v>5237.55</v>
      </c>
      <c r="BV48" s="423"/>
      <c r="BW48" s="423">
        <f>'[103]RAB GARDU'!$F$23</f>
        <v>4</v>
      </c>
      <c r="BX48" s="426">
        <f>'[103]RAB SUTM'!$E$17</f>
        <v>102</v>
      </c>
      <c r="BY48" s="426">
        <f>'[103]RAB SUTM'!$E$16+'[103]RAB GARDU'!$F$17</f>
        <v>662</v>
      </c>
      <c r="BZ48" s="423">
        <f>'[103]RAB GARDU'!$F$16</f>
        <v>12</v>
      </c>
      <c r="CA48" s="423">
        <f>'[103]RAB GARDU'!$F$15</f>
        <v>12</v>
      </c>
      <c r="CB48" s="423"/>
      <c r="CC48" s="423"/>
      <c r="CD48" s="423"/>
      <c r="CE48" s="423"/>
    </row>
    <row r="49" spans="1:83" s="406" customFormat="1" ht="63">
      <c r="B49" s="407"/>
      <c r="C49" s="407"/>
      <c r="D49" s="408"/>
      <c r="E49" s="409"/>
      <c r="F49" s="407"/>
      <c r="G49" s="407"/>
      <c r="H49" s="410"/>
      <c r="I49" s="409"/>
      <c r="J49" s="407"/>
      <c r="K49" s="408"/>
      <c r="L49" s="411"/>
      <c r="M49" s="407"/>
      <c r="N49" s="407"/>
      <c r="O49" s="408"/>
      <c r="P49" s="412"/>
      <c r="Q49" s="424">
        <v>33</v>
      </c>
      <c r="R49" s="260" t="s">
        <v>119</v>
      </c>
      <c r="S49" s="414" t="s">
        <v>118</v>
      </c>
      <c r="T49" s="414" t="s">
        <v>120</v>
      </c>
      <c r="U49" s="415"/>
      <c r="V49" s="416" t="s">
        <v>121</v>
      </c>
      <c r="W49" s="425">
        <f>[91]SUTR!$E$16</f>
        <v>2</v>
      </c>
      <c r="X49" s="417"/>
      <c r="Y49" s="425">
        <f>'[91]RAB SUTM'!$E$15</f>
        <v>55</v>
      </c>
      <c r="Z49" s="417"/>
      <c r="AA49" s="418">
        <f>6.613/3</f>
        <v>2.2043333333333335</v>
      </c>
      <c r="AB49" s="419">
        <v>2.2869999999999999</v>
      </c>
      <c r="AC49" s="414"/>
      <c r="AD49" s="414">
        <v>1</v>
      </c>
      <c r="AE49" s="414"/>
      <c r="AF49" s="414"/>
      <c r="AG49" s="420">
        <f t="shared" si="0"/>
        <v>100</v>
      </c>
      <c r="AH49" s="420">
        <f t="shared" si="1"/>
        <v>1</v>
      </c>
      <c r="AI49" s="255">
        <f>'[55]RAB SUTM'!$H$45</f>
        <v>730179791</v>
      </c>
      <c r="AJ49" s="255">
        <f>[55]SUTR!$J$43</f>
        <v>161351838.33999997</v>
      </c>
      <c r="AK49" s="255">
        <f>'[55]RAB GARDU'!$J$58</f>
        <v>100941046.8</v>
      </c>
      <c r="AL49" s="207">
        <f t="shared" si="2"/>
        <v>992472676.13999987</v>
      </c>
      <c r="AM49" s="81"/>
      <c r="AN49" s="421"/>
      <c r="AO49" s="412"/>
      <c r="AP49" s="412"/>
      <c r="AQ49" s="408"/>
      <c r="AR49" s="408"/>
      <c r="AS49" s="408"/>
      <c r="AT49" s="408"/>
      <c r="AU49" s="408"/>
      <c r="AV49" s="408"/>
      <c r="AW49" s="408"/>
      <c r="AX49" s="408"/>
      <c r="AY49" s="408"/>
      <c r="AZ49" s="408"/>
      <c r="BA49" s="408"/>
      <c r="BB49" s="411"/>
      <c r="BC49" s="357"/>
      <c r="BD49" s="408"/>
      <c r="BE49" s="408"/>
      <c r="BF49" s="408"/>
      <c r="BG49" s="408"/>
      <c r="BH49" s="408"/>
      <c r="BI49" s="408"/>
      <c r="BJ49" s="408"/>
      <c r="BK49" s="422"/>
      <c r="BL49" s="423"/>
      <c r="BM49" s="426">
        <f>'[91]RAB SUTM'!$E$14</f>
        <v>6612.6</v>
      </c>
      <c r="BN49" s="423"/>
      <c r="BO49" s="423"/>
      <c r="BP49" s="423"/>
      <c r="BQ49" s="423"/>
      <c r="BR49" s="423"/>
      <c r="BS49" s="423">
        <f>'[91]RAB GARDU'!$F$30</f>
        <v>144</v>
      </c>
      <c r="BT49" s="423">
        <f>'[91]RAB GARDU'!$F$29</f>
        <v>224</v>
      </c>
      <c r="BU49" s="426">
        <f>[91]SUTR!$F$14</f>
        <v>2286.6</v>
      </c>
      <c r="BV49" s="423"/>
      <c r="BW49" s="423">
        <f>'[91]RAB GARDU'!$F$23</f>
        <v>4</v>
      </c>
      <c r="BX49" s="423"/>
      <c r="BY49" s="426">
        <f>'[91]RAB GARDU'!$F$17+'[91]RAB SUTM'!$E$16</f>
        <v>189</v>
      </c>
      <c r="BZ49" s="423">
        <f>'[91]RAB GARDU'!$F$16</f>
        <v>12</v>
      </c>
      <c r="CA49" s="423">
        <f>'[91]RAB GARDU'!$F$15</f>
        <v>12</v>
      </c>
      <c r="CB49" s="423"/>
      <c r="CC49" s="423"/>
      <c r="CD49" s="423"/>
      <c r="CE49" s="423"/>
    </row>
    <row r="50" spans="1:83" ht="57" customHeight="1">
      <c r="B50" s="75"/>
      <c r="C50" s="75"/>
      <c r="D50" s="74"/>
      <c r="E50" s="79"/>
      <c r="F50" s="75"/>
      <c r="G50" s="75"/>
      <c r="H50" s="80"/>
      <c r="I50" s="79"/>
      <c r="J50" s="75"/>
      <c r="K50" s="74"/>
      <c r="L50" s="76"/>
      <c r="M50" s="75"/>
      <c r="N50" s="75"/>
      <c r="O50" s="74"/>
      <c r="P50" s="48"/>
      <c r="Q50" s="264">
        <v>34</v>
      </c>
      <c r="R50" s="129" t="s">
        <v>122</v>
      </c>
      <c r="S50" s="169" t="s">
        <v>118</v>
      </c>
      <c r="T50" s="169" t="s">
        <v>221</v>
      </c>
      <c r="U50" s="199"/>
      <c r="V50" s="194" t="s">
        <v>222</v>
      </c>
      <c r="W50" s="211"/>
      <c r="X50" s="283">
        <f>'[85]RAB SUTM'!$E$18</f>
        <v>8</v>
      </c>
      <c r="Y50" s="283">
        <f>'[85]RAB SUTM'!$E$15</f>
        <v>87</v>
      </c>
      <c r="Z50" s="211"/>
      <c r="AA50" s="205">
        <f>11.109/3</f>
        <v>3.7029999999999998</v>
      </c>
      <c r="AB50" s="171">
        <v>5.1859999999999999</v>
      </c>
      <c r="AC50" s="169"/>
      <c r="AD50" s="169">
        <v>3</v>
      </c>
      <c r="AE50" s="169"/>
      <c r="AF50" s="169"/>
      <c r="AG50" s="134">
        <f t="shared" si="0"/>
        <v>300</v>
      </c>
      <c r="AH50" s="134">
        <f t="shared" si="1"/>
        <v>3</v>
      </c>
      <c r="AI50" s="206">
        <f>'[56]RAB SUTM'!$H$43</f>
        <v>1698707326.8109999</v>
      </c>
      <c r="AJ50" s="206">
        <f>[56]SUTR!$J$43</f>
        <v>476993817.79500008</v>
      </c>
      <c r="AK50" s="206">
        <f>'[55]RAB GARDU'!$J$58</f>
        <v>100941046.8</v>
      </c>
      <c r="AL50" s="207">
        <f t="shared" si="2"/>
        <v>2276642191.4060001</v>
      </c>
      <c r="AM50" s="81"/>
      <c r="AN50" s="47"/>
      <c r="AO50" s="48"/>
      <c r="AP50" s="48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6"/>
      <c r="BC50" s="357"/>
      <c r="BD50" s="74"/>
      <c r="BE50" s="74"/>
      <c r="BF50" s="74"/>
      <c r="BG50" s="74"/>
      <c r="BH50" s="74"/>
      <c r="BI50" s="74"/>
      <c r="BJ50" s="74"/>
      <c r="BK50" s="42"/>
      <c r="BL50" s="176"/>
      <c r="BM50" s="276">
        <f>'[85]RAB SUTM'!$E$14</f>
        <v>11108.550000000001</v>
      </c>
      <c r="BN50" s="176"/>
      <c r="BO50" s="176"/>
      <c r="BP50" s="176"/>
      <c r="BQ50" s="176"/>
      <c r="BR50" s="176"/>
      <c r="BS50" s="176">
        <f>'[85]RAB GARDU'!$F$30</f>
        <v>108</v>
      </c>
      <c r="BT50" s="176">
        <f>'[85]RAB GARDU'!$F$29</f>
        <v>168</v>
      </c>
      <c r="BU50" s="276">
        <f>[85]SUTR!$E$14</f>
        <v>5186.05</v>
      </c>
      <c r="BV50" s="176"/>
      <c r="BW50" s="176">
        <f>'[85]RAB GARDU'!$F$23</f>
        <v>3</v>
      </c>
      <c r="BX50" s="276">
        <f>'[85]RAB SUTM'!$E$17</f>
        <v>54</v>
      </c>
      <c r="BY50" s="276">
        <f>'[85]RAB SUTM'!$E$16+'[85]RAB GARDU'!$F$17</f>
        <v>283</v>
      </c>
      <c r="BZ50" s="176">
        <f>'[85]RAB GARDU'!$F$16</f>
        <v>9</v>
      </c>
      <c r="CA50" s="176">
        <f>'[85]RAB GARDU'!$F$15</f>
        <v>9</v>
      </c>
      <c r="CB50" s="176"/>
      <c r="CC50" s="176"/>
      <c r="CD50" s="176"/>
      <c r="CE50" s="176"/>
    </row>
    <row r="51" spans="1:83" ht="84">
      <c r="B51" s="75"/>
      <c r="C51" s="75"/>
      <c r="D51" s="74"/>
      <c r="E51" s="79"/>
      <c r="F51" s="75"/>
      <c r="G51" s="75"/>
      <c r="H51" s="80"/>
      <c r="I51" s="79"/>
      <c r="J51" s="75"/>
      <c r="K51" s="74"/>
      <c r="L51" s="76"/>
      <c r="M51" s="75"/>
      <c r="N51" s="75"/>
      <c r="O51" s="74"/>
      <c r="P51" s="48"/>
      <c r="Q51" s="257">
        <v>35</v>
      </c>
      <c r="R51" s="195" t="s">
        <v>123</v>
      </c>
      <c r="S51" s="151" t="s">
        <v>118</v>
      </c>
      <c r="T51" s="151" t="s">
        <v>223</v>
      </c>
      <c r="U51" s="200"/>
      <c r="V51" s="201" t="s">
        <v>224</v>
      </c>
      <c r="W51" s="267"/>
      <c r="X51" s="287">
        <f>'[86]RAB SUTM'!$E$18</f>
        <v>1</v>
      </c>
      <c r="Y51" s="287">
        <f>'[86]RAB SUTM'!$E$15</f>
        <v>15</v>
      </c>
      <c r="Z51" s="267"/>
      <c r="AA51" s="202">
        <f>1.514/3</f>
        <v>0.50466666666666671</v>
      </c>
      <c r="AB51" s="152">
        <v>0.91700000000000004</v>
      </c>
      <c r="AC51" s="151"/>
      <c r="AD51" s="151">
        <v>1</v>
      </c>
      <c r="AE51" s="151"/>
      <c r="AF51" s="151"/>
      <c r="AG51" s="198">
        <f t="shared" si="0"/>
        <v>100</v>
      </c>
      <c r="AH51" s="198">
        <f t="shared" si="1"/>
        <v>1</v>
      </c>
      <c r="AI51" s="203">
        <f>'[57]RAB SUTM'!$H$44</f>
        <v>332781435.162</v>
      </c>
      <c r="AJ51" s="203">
        <f>[57]SUTR!$J$43</f>
        <v>176451784.75100002</v>
      </c>
      <c r="AK51" s="203">
        <f>'[57]RAB GARDU'!$J$58</f>
        <v>111807143.80000001</v>
      </c>
      <c r="AL51" s="204">
        <f t="shared" si="2"/>
        <v>621040363.71300006</v>
      </c>
      <c r="AM51" s="81"/>
      <c r="AN51" s="47"/>
      <c r="AO51" s="48"/>
      <c r="AP51" s="48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6"/>
      <c r="BC51" s="357"/>
      <c r="BD51" s="74"/>
      <c r="BE51" s="74"/>
      <c r="BF51" s="74"/>
      <c r="BG51" s="74"/>
      <c r="BH51" s="74"/>
      <c r="BI51" s="74"/>
      <c r="BJ51" s="74"/>
      <c r="BK51" s="42"/>
      <c r="BL51" s="176"/>
      <c r="BM51" s="276">
        <f>'[86]RAB SUTM'!$E$14</f>
        <v>1514.1000000000001</v>
      </c>
      <c r="BN51" s="176"/>
      <c r="BO51" s="176"/>
      <c r="BP51" s="176"/>
      <c r="BQ51" s="176"/>
      <c r="BR51" s="176"/>
      <c r="BS51" s="176">
        <f>'[86]RAB GARDU'!$F$30</f>
        <v>36</v>
      </c>
      <c r="BT51" s="176">
        <f>'[86]RAB GARDU'!$F$29</f>
        <v>56</v>
      </c>
      <c r="BU51" s="276">
        <f>[86]SUTR!$E$14</f>
        <v>916.7</v>
      </c>
      <c r="BV51" s="176"/>
      <c r="BW51" s="176">
        <f>'[86]RAB GARDU'!$F$23</f>
        <v>1</v>
      </c>
      <c r="BX51" s="276">
        <f>'[86]RAB SUTM'!$E$17</f>
        <v>12</v>
      </c>
      <c r="BY51" s="276">
        <f>'[86]RAB SUTM'!$E$16+'[86]RAB GARDU'!$F$17</f>
        <v>69</v>
      </c>
      <c r="BZ51" s="176">
        <f>'[86]RAB GARDU'!$F$16</f>
        <v>3</v>
      </c>
      <c r="CA51" s="176">
        <f>'[86]RAB GARDU'!$F$15</f>
        <v>3</v>
      </c>
      <c r="CB51" s="176"/>
      <c r="CC51" s="176"/>
      <c r="CD51" s="176"/>
      <c r="CE51" s="176"/>
    </row>
    <row r="52" spans="1:83" ht="63">
      <c r="A52" s="62"/>
      <c r="B52" s="45"/>
      <c r="C52" s="45"/>
      <c r="D52" s="62"/>
      <c r="E52" s="83"/>
      <c r="F52" s="45"/>
      <c r="G52" s="45"/>
      <c r="H52" s="84"/>
      <c r="I52" s="83"/>
      <c r="J52" s="45"/>
      <c r="K52" s="62"/>
      <c r="L52" s="78"/>
      <c r="M52" s="45"/>
      <c r="N52" s="45"/>
      <c r="O52" s="62"/>
      <c r="P52" s="102"/>
      <c r="Q52" s="383">
        <v>36</v>
      </c>
      <c r="R52" s="129" t="s">
        <v>124</v>
      </c>
      <c r="S52" s="169" t="s">
        <v>118</v>
      </c>
      <c r="T52" s="169" t="s">
        <v>118</v>
      </c>
      <c r="U52" s="199"/>
      <c r="V52" s="194" t="s">
        <v>225</v>
      </c>
      <c r="W52" s="211"/>
      <c r="X52" s="283">
        <f>[87]SUTR!$F$16+'[87]RAB SUTM'!$E$18</f>
        <v>66</v>
      </c>
      <c r="Y52" s="283">
        <f>'[87]RAB SUTM'!$E$15</f>
        <v>256</v>
      </c>
      <c r="Z52" s="211"/>
      <c r="AA52" s="205">
        <f>33.449/3</f>
        <v>11.149666666666667</v>
      </c>
      <c r="AB52" s="171">
        <v>6.1390000000000002</v>
      </c>
      <c r="AC52" s="169"/>
      <c r="AD52" s="169">
        <v>3</v>
      </c>
      <c r="AE52" s="169"/>
      <c r="AF52" s="169"/>
      <c r="AG52" s="134">
        <f t="shared" si="0"/>
        <v>300</v>
      </c>
      <c r="AH52" s="134">
        <f t="shared" si="1"/>
        <v>3</v>
      </c>
      <c r="AI52" s="206">
        <f>'[58]RAB SUTM'!$H$46</f>
        <v>5173368611.9499998</v>
      </c>
      <c r="AJ52" s="206">
        <f>[58]SUTR!$J$43</f>
        <v>544139588.74000001</v>
      </c>
      <c r="AK52" s="206">
        <f>'[58]RAB GARDU'!$J$57</f>
        <v>512277196.6400001</v>
      </c>
      <c r="AL52" s="207">
        <f t="shared" si="2"/>
        <v>6229785397.3299999</v>
      </c>
      <c r="AM52" s="81"/>
      <c r="AN52" s="47"/>
      <c r="AO52" s="48"/>
      <c r="AP52" s="48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6"/>
      <c r="BC52" s="357"/>
      <c r="BD52" s="74"/>
      <c r="BE52" s="74"/>
      <c r="BF52" s="74"/>
      <c r="BG52" s="74"/>
      <c r="BH52" s="74"/>
      <c r="BI52" s="74"/>
      <c r="BJ52" s="74"/>
      <c r="BK52" s="42"/>
      <c r="BL52" s="176"/>
      <c r="BM52" s="276">
        <f>'[87]RAB SUTM'!$E$14</f>
        <v>33449.25</v>
      </c>
      <c r="BN52" s="176"/>
      <c r="BO52" s="176"/>
      <c r="BP52" s="176"/>
      <c r="BQ52" s="176"/>
      <c r="BR52" s="176"/>
      <c r="BS52" s="176">
        <f>'[87]RAB GARDU'!$F$30</f>
        <v>144</v>
      </c>
      <c r="BT52" s="176">
        <f>'[87]RAB GARDU'!$E$29</f>
        <v>224</v>
      </c>
      <c r="BU52" s="276">
        <f>[87]SUTR!$E$14</f>
        <v>6138.8</v>
      </c>
      <c r="BV52" s="176"/>
      <c r="BW52" s="176">
        <f>'[87]RAB GARDU'!$F$23</f>
        <v>4</v>
      </c>
      <c r="BX52" s="276">
        <f>'[87]RAB SUTM'!$E$17</f>
        <v>144</v>
      </c>
      <c r="BY52" s="276">
        <f>'[87]RAB SUTM'!$E$16+'[87]RAB GARDU'!$F$17</f>
        <v>1040</v>
      </c>
      <c r="BZ52" s="176">
        <f>'[87]RAB GARDU'!$F$16</f>
        <v>12</v>
      </c>
      <c r="CA52" s="176">
        <f>'[87]RAB GARDU'!$F$15</f>
        <v>12</v>
      </c>
      <c r="CB52" s="176"/>
      <c r="CC52" s="176"/>
      <c r="CD52" s="176"/>
      <c r="CE52" s="176"/>
    </row>
    <row r="53" spans="1:83" ht="42">
      <c r="A53" s="62"/>
      <c r="B53" s="45"/>
      <c r="C53" s="45"/>
      <c r="D53" s="62"/>
      <c r="E53" s="83"/>
      <c r="F53" s="45"/>
      <c r="G53" s="45"/>
      <c r="H53" s="84"/>
      <c r="I53" s="83"/>
      <c r="J53" s="45"/>
      <c r="K53" s="62"/>
      <c r="L53" s="78"/>
      <c r="M53" s="45"/>
      <c r="N53" s="45"/>
      <c r="O53" s="62"/>
      <c r="P53" s="102"/>
      <c r="Q53" s="257">
        <v>37</v>
      </c>
      <c r="R53" s="129" t="s">
        <v>179</v>
      </c>
      <c r="S53" s="169" t="s">
        <v>118</v>
      </c>
      <c r="T53" s="169" t="s">
        <v>226</v>
      </c>
      <c r="U53" s="199"/>
      <c r="V53" s="194" t="s">
        <v>180</v>
      </c>
      <c r="W53" s="283">
        <f>[88]SUTR!$F$16</f>
        <v>2</v>
      </c>
      <c r="X53" s="283">
        <f>'[88]RAB SUTM'!$E$18</f>
        <v>12</v>
      </c>
      <c r="Y53" s="283">
        <f>'[88]RAB SUTM'!$E$15</f>
        <v>55</v>
      </c>
      <c r="Z53" s="211"/>
      <c r="AA53" s="205">
        <f>6.613/3</f>
        <v>2.2043333333333335</v>
      </c>
      <c r="AB53" s="171">
        <v>2.2869999999999999</v>
      </c>
      <c r="AC53" s="169"/>
      <c r="AD53" s="169">
        <v>1</v>
      </c>
      <c r="AE53" s="169"/>
      <c r="AF53" s="169"/>
      <c r="AG53" s="134">
        <f t="shared" si="0"/>
        <v>100</v>
      </c>
      <c r="AH53" s="134">
        <f t="shared" si="1"/>
        <v>1</v>
      </c>
      <c r="AI53" s="206">
        <f>'[59]RAB SUTM'!$H$45</f>
        <v>1135232341.2320001</v>
      </c>
      <c r="AJ53" s="206">
        <f>[59]SUTR!$J$43</f>
        <v>166020060.13999999</v>
      </c>
      <c r="AK53" s="206">
        <f>'[59]RAB GARDU'!$J$58</f>
        <v>115419299.16000003</v>
      </c>
      <c r="AL53" s="207">
        <f t="shared" si="2"/>
        <v>1416671700.5320003</v>
      </c>
      <c r="AM53" s="81"/>
      <c r="AN53" s="47"/>
      <c r="AO53" s="48"/>
      <c r="AP53" s="48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6"/>
      <c r="BC53" s="357"/>
      <c r="BD53" s="74"/>
      <c r="BE53" s="74"/>
      <c r="BF53" s="74"/>
      <c r="BG53" s="74"/>
      <c r="BH53" s="74"/>
      <c r="BI53" s="74"/>
      <c r="BJ53" s="74"/>
      <c r="BK53" s="42"/>
      <c r="BL53" s="176"/>
      <c r="BM53" s="276">
        <f>'[88]RAB SUTM'!$E$14</f>
        <v>6612.6</v>
      </c>
      <c r="BN53" s="176"/>
      <c r="BO53" s="176"/>
      <c r="BP53" s="176"/>
      <c r="BQ53" s="176"/>
      <c r="BR53" s="176"/>
      <c r="BS53" s="176">
        <f>'[88]RAB GARDU'!$F$30</f>
        <v>36</v>
      </c>
      <c r="BT53" s="176">
        <f>'[88]RAB GARDU'!$F$29</f>
        <v>56</v>
      </c>
      <c r="BU53" s="276">
        <f>[88]SUTR!$E$14</f>
        <v>2286.6</v>
      </c>
      <c r="BV53" s="176"/>
      <c r="BW53" s="176">
        <f>'[88]RAB GARDU'!$F$23</f>
        <v>1</v>
      </c>
      <c r="BX53" s="276">
        <f>'[88]RAB SUTM'!$E$17</f>
        <v>36</v>
      </c>
      <c r="BY53" s="276">
        <f>'[88]RAB SUTM'!$E$16+'[88]RAB GARDU'!$F$17</f>
        <v>230</v>
      </c>
      <c r="BZ53" s="176">
        <f>'[88]RAB GARDU'!$F$16</f>
        <v>3</v>
      </c>
      <c r="CA53" s="176">
        <f>'[88]RAB GARDU'!$F$15</f>
        <v>3</v>
      </c>
      <c r="CB53" s="176"/>
      <c r="CC53" s="176"/>
      <c r="CD53" s="176"/>
      <c r="CE53" s="176"/>
    </row>
    <row r="54" spans="1:83" ht="63">
      <c r="A54" s="88"/>
      <c r="B54" s="105"/>
      <c r="C54" s="105"/>
      <c r="D54" s="88"/>
      <c r="E54" s="87"/>
      <c r="F54" s="105"/>
      <c r="G54" s="105"/>
      <c r="H54" s="89"/>
      <c r="I54" s="87"/>
      <c r="J54" s="105"/>
      <c r="K54" s="88"/>
      <c r="L54" s="90"/>
      <c r="M54" s="105"/>
      <c r="N54" s="105"/>
      <c r="O54" s="88"/>
      <c r="P54" s="102"/>
      <c r="Q54" s="383">
        <v>38</v>
      </c>
      <c r="R54" s="174" t="s">
        <v>181</v>
      </c>
      <c r="S54" s="175" t="s">
        <v>118</v>
      </c>
      <c r="T54" s="175" t="s">
        <v>118</v>
      </c>
      <c r="U54" s="210"/>
      <c r="V54" s="211" t="s">
        <v>182</v>
      </c>
      <c r="W54" s="283">
        <f>'[89]RAB SUTR'!$F$15</f>
        <v>2</v>
      </c>
      <c r="X54" s="283">
        <f>'[89]RAB SUTR'!$F$14+[89]SUTM!$G$21</f>
        <v>26</v>
      </c>
      <c r="Y54" s="283">
        <f>[89]SUTM!$G$16+[89]GARDU!$E$17</f>
        <v>5</v>
      </c>
      <c r="Z54" s="211"/>
      <c r="AA54" s="212">
        <f>2.3/3</f>
        <v>0.76666666666666661</v>
      </c>
      <c r="AB54" s="177">
        <v>1.298</v>
      </c>
      <c r="AC54" s="175"/>
      <c r="AD54" s="175">
        <v>1</v>
      </c>
      <c r="AE54" s="175"/>
      <c r="AF54" s="175"/>
      <c r="AG54" s="140">
        <f t="shared" si="0"/>
        <v>100</v>
      </c>
      <c r="AH54" s="140">
        <f t="shared" si="1"/>
        <v>1</v>
      </c>
      <c r="AI54" s="213">
        <f>[60]SUTM!$K$52</f>
        <v>157149541.89000002</v>
      </c>
      <c r="AJ54" s="213">
        <f>'[60]RAB SUTR'!$K$40</f>
        <v>281591318.47000003</v>
      </c>
      <c r="AK54" s="213">
        <f>'[60]RAB SUTR'!$K$40</f>
        <v>281591318.47000003</v>
      </c>
      <c r="AL54" s="207">
        <f t="shared" si="2"/>
        <v>720332178.83000004</v>
      </c>
      <c r="AM54" s="85"/>
      <c r="AN54" s="47"/>
      <c r="AO54" s="48"/>
      <c r="AP54" s="48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6"/>
      <c r="BC54" s="357"/>
      <c r="BD54" s="74"/>
      <c r="BE54" s="74"/>
      <c r="BF54" s="74"/>
      <c r="BG54" s="74"/>
      <c r="BH54" s="74"/>
      <c r="BI54" s="74"/>
      <c r="BJ54" s="74"/>
      <c r="BK54" s="42"/>
      <c r="BL54" s="276">
        <f>[89]SUTM!$G$19</f>
        <v>2299.5</v>
      </c>
      <c r="BM54" s="176"/>
      <c r="BN54" s="176"/>
      <c r="BO54" s="176"/>
      <c r="BP54" s="176"/>
      <c r="BQ54" s="176"/>
      <c r="BR54" s="176">
        <f>[89]GARDU!$F$33</f>
        <v>36</v>
      </c>
      <c r="BS54" s="176"/>
      <c r="BT54" s="176">
        <f>[89]GARDU!$F$32</f>
        <v>72</v>
      </c>
      <c r="BU54" s="276">
        <f>'[89]RAB SUTR'!$F$12</f>
        <v>1297.8</v>
      </c>
      <c r="BV54" s="176"/>
      <c r="BW54" s="176">
        <f>[89]GARDU!$F$26</f>
        <v>1</v>
      </c>
      <c r="BX54" s="276">
        <f>[89]SUTM!$G$18</f>
        <v>6</v>
      </c>
      <c r="BY54" s="276">
        <f>[89]SUTM!$G$17+[89]GARDU!$F$20</f>
        <v>15</v>
      </c>
      <c r="BZ54" s="176">
        <f>[89]GARDU!$F$19</f>
        <v>3</v>
      </c>
      <c r="CA54" s="176">
        <f>[89]GARDU!$F$18</f>
        <v>3</v>
      </c>
      <c r="CB54" s="176"/>
      <c r="CC54" s="176"/>
      <c r="CD54" s="176"/>
      <c r="CE54" s="176"/>
    </row>
    <row r="55" spans="1:83" ht="63">
      <c r="A55" s="62"/>
      <c r="B55" s="45"/>
      <c r="C55" s="45"/>
      <c r="D55" s="62"/>
      <c r="E55" s="83"/>
      <c r="F55" s="45"/>
      <c r="G55" s="45"/>
      <c r="H55" s="84"/>
      <c r="I55" s="83"/>
      <c r="J55" s="45"/>
      <c r="K55" s="62"/>
      <c r="L55" s="78"/>
      <c r="M55" s="45"/>
      <c r="N55" s="45"/>
      <c r="O55" s="62"/>
      <c r="P55" s="102"/>
      <c r="Q55" s="264">
        <v>39</v>
      </c>
      <c r="R55" s="129" t="s">
        <v>125</v>
      </c>
      <c r="S55" s="169" t="s">
        <v>118</v>
      </c>
      <c r="T55" s="175" t="s">
        <v>118</v>
      </c>
      <c r="U55" s="199"/>
      <c r="V55" s="194" t="s">
        <v>227</v>
      </c>
      <c r="W55" s="211"/>
      <c r="X55" s="283">
        <f>[90]SUTR!$F$16+'[90]RAB SUTM'!$E$18</f>
        <v>33</v>
      </c>
      <c r="Y55" s="283">
        <f>'[90]RAB GARDU'!$F$14+'[90]RAB SUTM'!$E$15</f>
        <v>37</v>
      </c>
      <c r="Z55" s="211"/>
      <c r="AA55" s="205">
        <f>4.002/3</f>
        <v>1.3339999999999999</v>
      </c>
      <c r="AB55" s="171">
        <v>2.323</v>
      </c>
      <c r="AC55" s="169"/>
      <c r="AD55" s="169">
        <v>2</v>
      </c>
      <c r="AE55" s="169"/>
      <c r="AF55" s="169"/>
      <c r="AG55" s="134">
        <f t="shared" si="0"/>
        <v>200</v>
      </c>
      <c r="AH55" s="134">
        <f t="shared" si="1"/>
        <v>2</v>
      </c>
      <c r="AI55" s="206">
        <f>'[61]RAB SUTM'!$H$45</f>
        <v>695733626.07099998</v>
      </c>
      <c r="AJ55" s="206">
        <f>[61]SUTR!$J$41</f>
        <v>351253472.12450004</v>
      </c>
      <c r="AK55" s="206">
        <f>'[61]RAB GARDU'!$J$57</f>
        <v>222204538.16</v>
      </c>
      <c r="AL55" s="207">
        <f t="shared" si="2"/>
        <v>1269191636.3555</v>
      </c>
      <c r="AM55" s="81"/>
      <c r="AN55" s="47"/>
      <c r="AO55" s="48"/>
      <c r="AP55" s="48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6"/>
      <c r="BC55" s="357"/>
      <c r="BD55" s="74"/>
      <c r="BE55" s="74"/>
      <c r="BF55" s="74"/>
      <c r="BG55" s="74"/>
      <c r="BH55" s="74"/>
      <c r="BI55" s="74"/>
      <c r="BJ55" s="74"/>
      <c r="BK55" s="42"/>
      <c r="BL55" s="176"/>
      <c r="BM55" s="276">
        <f>'[90]RAB SUTM'!$E$14</f>
        <v>4001.55</v>
      </c>
      <c r="BN55" s="176"/>
      <c r="BO55" s="176"/>
      <c r="BP55" s="176"/>
      <c r="BQ55" s="176"/>
      <c r="BR55" s="176"/>
      <c r="BS55" s="176">
        <f>'[90]RAB GARDU'!$F$30</f>
        <v>36</v>
      </c>
      <c r="BT55" s="176">
        <f>'[90]RAB GARDU'!$F$29</f>
        <v>56</v>
      </c>
      <c r="BU55" s="276">
        <f>[90]SUTR!$E$14</f>
        <v>2322.65</v>
      </c>
      <c r="BV55" s="176"/>
      <c r="BW55" s="176">
        <f>'[90]RAB GARDU'!$F$23</f>
        <v>1</v>
      </c>
      <c r="BX55" s="276">
        <f>'[90]RAB SUTM'!$E$17</f>
        <v>18</v>
      </c>
      <c r="BY55" s="276">
        <f>'[90]RAB SUTM'!$E$16+'[90]RAB GARDU'!$E$17</f>
        <v>149</v>
      </c>
      <c r="BZ55" s="176">
        <f>'[90]RAB GARDU'!$F$16</f>
        <v>6</v>
      </c>
      <c r="CA55" s="176">
        <f>'[90]RAB GARDU'!$F$15</f>
        <v>6</v>
      </c>
      <c r="CB55" s="176"/>
      <c r="CC55" s="176"/>
      <c r="CD55" s="176"/>
      <c r="CE55" s="176"/>
    </row>
    <row r="56" spans="1:83" ht="63">
      <c r="B56" s="75"/>
      <c r="C56" s="75"/>
      <c r="D56" s="74"/>
      <c r="E56" s="79"/>
      <c r="F56" s="75"/>
      <c r="G56" s="75"/>
      <c r="H56" s="80"/>
      <c r="I56" s="79"/>
      <c r="J56" s="75"/>
      <c r="K56" s="74"/>
      <c r="L56" s="76"/>
      <c r="M56" s="75"/>
      <c r="N56" s="75"/>
      <c r="O56" s="74"/>
      <c r="P56" s="48"/>
      <c r="Q56" s="257">
        <v>40</v>
      </c>
      <c r="R56" s="215" t="s">
        <v>132</v>
      </c>
      <c r="S56" s="216" t="s">
        <v>133</v>
      </c>
      <c r="T56" s="216" t="s">
        <v>134</v>
      </c>
      <c r="U56" s="208"/>
      <c r="V56" s="209" t="s">
        <v>233</v>
      </c>
      <c r="W56" s="267"/>
      <c r="X56" s="287">
        <f>[92]SUTM!$G$21+[92]SUTR!$F$17</f>
        <v>46</v>
      </c>
      <c r="Y56" s="287">
        <f>[92]SUTM!$G$16+[92]GARDU!$F$17</f>
        <v>173</v>
      </c>
      <c r="Z56" s="267"/>
      <c r="AA56" s="217">
        <f>27.405/3</f>
        <v>9.1349999999999998</v>
      </c>
      <c r="AB56" s="218">
        <v>2.0089999999999999</v>
      </c>
      <c r="AC56" s="216">
        <v>2</v>
      </c>
      <c r="AD56" s="216"/>
      <c r="AE56" s="216"/>
      <c r="AF56" s="216"/>
      <c r="AG56" s="219">
        <f t="shared" ref="AG56" si="5">+(AC56*50)+(AD56*100)+(AE56*160)+(AF56*200)</f>
        <v>100</v>
      </c>
      <c r="AH56" s="219">
        <f t="shared" ref="AH56" si="6">+AC56+AD56+AE56+AF56</f>
        <v>2</v>
      </c>
      <c r="AI56" s="220">
        <f>[62]SUTM!$K$51</f>
        <v>3023870330.8000002</v>
      </c>
      <c r="AJ56" s="220">
        <f>[62]SUTR!$J$41</f>
        <v>365830932.97299999</v>
      </c>
      <c r="AK56" s="220">
        <f>[62]GARDU!$J$64</f>
        <v>292509190.60000002</v>
      </c>
      <c r="AL56" s="221">
        <f t="shared" si="2"/>
        <v>3682210454.3730001</v>
      </c>
      <c r="AM56" s="81"/>
      <c r="AN56" s="47"/>
      <c r="AO56" s="48"/>
      <c r="AP56" s="48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6"/>
      <c r="BC56" s="357"/>
      <c r="BD56" s="74"/>
      <c r="BE56" s="74"/>
      <c r="BF56" s="74"/>
      <c r="BG56" s="74"/>
      <c r="BH56" s="74"/>
      <c r="BI56" s="74"/>
      <c r="BJ56" s="74"/>
      <c r="BK56" s="42"/>
      <c r="BL56" s="176"/>
      <c r="BM56" s="276">
        <f>[92]SUTM!$G$19</f>
        <v>27405</v>
      </c>
      <c r="BN56" s="176"/>
      <c r="BO56" s="176"/>
      <c r="BP56" s="176"/>
      <c r="BQ56" s="176"/>
      <c r="BR56" s="176">
        <f>[92]GARDU!$F$33</f>
        <v>72</v>
      </c>
      <c r="BS56" s="176"/>
      <c r="BT56" s="176">
        <f>[92]GARDU!$F$32</f>
        <v>144</v>
      </c>
      <c r="BU56" s="276">
        <f>[92]SUTR!$E$15</f>
        <v>2008.5</v>
      </c>
      <c r="BV56" s="176"/>
      <c r="BW56" s="176">
        <f>[92]GARDU!$F$26</f>
        <v>2</v>
      </c>
      <c r="BX56" s="276">
        <f>[92]SUTM!$G$18</f>
        <v>132</v>
      </c>
      <c r="BY56" s="276">
        <f>[92]SUTM!$G$17+[92]GARDU!$F$20</f>
        <v>506</v>
      </c>
      <c r="BZ56" s="176">
        <f>[92]GARDU!$F$19</f>
        <v>6</v>
      </c>
      <c r="CA56" s="176">
        <f>[92]GARDU!$F$18</f>
        <v>6</v>
      </c>
      <c r="CB56" s="176"/>
      <c r="CC56" s="176"/>
      <c r="CD56" s="176"/>
      <c r="CE56" s="176"/>
    </row>
    <row r="57" spans="1:83" ht="84">
      <c r="A57" s="88"/>
      <c r="B57" s="86"/>
      <c r="C57" s="86"/>
      <c r="D57" s="88"/>
      <c r="E57" s="87"/>
      <c r="F57" s="86"/>
      <c r="G57" s="86"/>
      <c r="H57" s="89"/>
      <c r="I57" s="87"/>
      <c r="J57" s="86"/>
      <c r="K57" s="88"/>
      <c r="L57" s="90"/>
      <c r="M57" s="86"/>
      <c r="N57" s="86"/>
      <c r="O57" s="88"/>
      <c r="P57" s="102"/>
      <c r="Q57" s="383">
        <v>41</v>
      </c>
      <c r="R57" s="174" t="s">
        <v>135</v>
      </c>
      <c r="S57" s="175" t="s">
        <v>133</v>
      </c>
      <c r="T57" s="175" t="s">
        <v>136</v>
      </c>
      <c r="U57" s="210"/>
      <c r="V57" s="211" t="s">
        <v>137</v>
      </c>
      <c r="W57" s="283">
        <f>'[93]RAB SUTR'!$F$15</f>
        <v>1</v>
      </c>
      <c r="X57" s="283">
        <f>[93]SUTM!$G$21+'[93]RAB SUTR'!$F$14</f>
        <v>20</v>
      </c>
      <c r="Y57" s="283">
        <f>[93]SUTM!$G$16+[93]GARDU!$F$17</f>
        <v>44</v>
      </c>
      <c r="Z57" s="211"/>
      <c r="AA57" s="212">
        <f>6.815/3</f>
        <v>2.2716666666666669</v>
      </c>
      <c r="AB57" s="177">
        <v>2.7349999999999999</v>
      </c>
      <c r="AC57" s="175"/>
      <c r="AD57" s="175">
        <v>1</v>
      </c>
      <c r="AE57" s="175"/>
      <c r="AF57" s="175"/>
      <c r="AG57" s="140">
        <f t="shared" ref="AG57:AG58" si="7">+(AC57*50)+(AD57*100)+(AE57*160)+(AF57*200)</f>
        <v>100</v>
      </c>
      <c r="AH57" s="140">
        <f t="shared" ref="AH57:AH58" si="8">+AC57+AD57+AE57+AF57</f>
        <v>1</v>
      </c>
      <c r="AI57" s="213">
        <f>[63]SUTM!$K$51</f>
        <v>831855318.79999995</v>
      </c>
      <c r="AJ57" s="213">
        <f>'[63]RAB SUTR'!$K$40</f>
        <v>318784760.22250003</v>
      </c>
      <c r="AK57" s="213">
        <f>[63]GARDU!$J$64</f>
        <v>192769745.30000001</v>
      </c>
      <c r="AL57" s="214">
        <f t="shared" si="2"/>
        <v>1343409824.3225</v>
      </c>
      <c r="AM57" s="81"/>
      <c r="AN57" s="47"/>
      <c r="AO57" s="48"/>
      <c r="AP57" s="48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6"/>
      <c r="BC57" s="357"/>
      <c r="BD57" s="74"/>
      <c r="BE57" s="74"/>
      <c r="BF57" s="74"/>
      <c r="BG57" s="74"/>
      <c r="BH57" s="74"/>
      <c r="BI57" s="74"/>
      <c r="BJ57" s="74"/>
      <c r="BK57" s="42"/>
      <c r="BL57" s="176"/>
      <c r="BM57" s="276">
        <f>[93]SUTM!$G$19</f>
        <v>6615</v>
      </c>
      <c r="BN57" s="176"/>
      <c r="BO57" s="176"/>
      <c r="BP57" s="176"/>
      <c r="BQ57" s="176"/>
      <c r="BR57" s="176">
        <f>[93]GARDU!$F$33</f>
        <v>36</v>
      </c>
      <c r="BS57" s="176"/>
      <c r="BT57" s="176">
        <f>[93]GARDU!$F$32</f>
        <v>72</v>
      </c>
      <c r="BU57" s="276">
        <f>'[93]RAB SUTR'!$E$12</f>
        <v>2734.65</v>
      </c>
      <c r="BV57" s="176"/>
      <c r="BW57" s="176">
        <f>[93]GARDU!$F$26</f>
        <v>1</v>
      </c>
      <c r="BX57" s="276">
        <f>[93]SUTM!$G$18</f>
        <v>48</v>
      </c>
      <c r="BY57" s="276">
        <f>[93]SUTM!$G$17+[93]GARDU!$F$20</f>
        <v>123</v>
      </c>
      <c r="BZ57" s="176">
        <f>[93]GARDU!$F$19</f>
        <v>3</v>
      </c>
      <c r="CA57" s="176">
        <f>[93]GARDU!$F$18</f>
        <v>3</v>
      </c>
      <c r="CB57" s="176"/>
      <c r="CC57" s="176"/>
      <c r="CD57" s="176"/>
      <c r="CE57" s="176"/>
    </row>
    <row r="58" spans="1:83" s="393" customFormat="1" ht="42">
      <c r="B58" s="394"/>
      <c r="C58" s="394"/>
      <c r="D58" s="395"/>
      <c r="E58" s="396"/>
      <c r="F58" s="394"/>
      <c r="G58" s="394"/>
      <c r="H58" s="397"/>
      <c r="I58" s="396"/>
      <c r="J58" s="394"/>
      <c r="K58" s="395"/>
      <c r="L58" s="398"/>
      <c r="M58" s="394"/>
      <c r="N58" s="394"/>
      <c r="O58" s="395"/>
      <c r="P58" s="399"/>
      <c r="Q58" s="400">
        <v>42</v>
      </c>
      <c r="R58" s="427" t="s">
        <v>138</v>
      </c>
      <c r="S58" s="428" t="s">
        <v>133</v>
      </c>
      <c r="T58" s="428"/>
      <c r="U58" s="429"/>
      <c r="V58" s="401" t="s">
        <v>139</v>
      </c>
      <c r="W58" s="401"/>
      <c r="X58" s="401"/>
      <c r="Y58" s="401"/>
      <c r="Z58" s="401"/>
      <c r="AA58" s="430">
        <f>1.669/3</f>
        <v>0.55633333333333335</v>
      </c>
      <c r="AB58" s="431">
        <v>3.754</v>
      </c>
      <c r="AC58" s="428"/>
      <c r="AD58" s="428">
        <v>1</v>
      </c>
      <c r="AE58" s="428"/>
      <c r="AF58" s="428"/>
      <c r="AG58" s="432">
        <f t="shared" si="7"/>
        <v>100</v>
      </c>
      <c r="AH58" s="432">
        <f t="shared" si="8"/>
        <v>1</v>
      </c>
      <c r="AI58" s="433">
        <f>'[64]RAB SUTM'!$H$46</f>
        <v>551844552.60000002</v>
      </c>
      <c r="AJ58" s="433">
        <f>[64]SUTR!$J$41</f>
        <v>233468401.1825</v>
      </c>
      <c r="AK58" s="433">
        <f>'[64]RAB GARDU'!$J$59</f>
        <v>186402241.30000001</v>
      </c>
      <c r="AL58" s="434">
        <f t="shared" si="2"/>
        <v>971715195.08249998</v>
      </c>
      <c r="AM58" s="402"/>
      <c r="AN58" s="403"/>
      <c r="AO58" s="399"/>
      <c r="AP58" s="399"/>
      <c r="AQ58" s="395"/>
      <c r="AR58" s="395"/>
      <c r="AS58" s="395"/>
      <c r="AT58" s="395"/>
      <c r="AU58" s="395"/>
      <c r="AV58" s="395"/>
      <c r="AW58" s="395"/>
      <c r="AX58" s="395"/>
      <c r="AY58" s="395"/>
      <c r="AZ58" s="395"/>
      <c r="BA58" s="395"/>
      <c r="BB58" s="398"/>
      <c r="BC58" s="357"/>
      <c r="BD58" s="395"/>
      <c r="BE58" s="395"/>
      <c r="BF58" s="395"/>
      <c r="BG58" s="395"/>
      <c r="BH58" s="395"/>
      <c r="BI58" s="395"/>
      <c r="BJ58" s="395"/>
      <c r="BK58" s="404"/>
      <c r="BL58" s="405"/>
      <c r="BM58" s="405"/>
      <c r="BN58" s="405"/>
      <c r="BO58" s="405"/>
      <c r="BP58" s="405"/>
      <c r="BQ58" s="405"/>
      <c r="BR58" s="405"/>
      <c r="BS58" s="405"/>
      <c r="BT58" s="405"/>
      <c r="BU58" s="405"/>
      <c r="BV58" s="405"/>
      <c r="BW58" s="405"/>
      <c r="BX58" s="405"/>
      <c r="BY58" s="405"/>
      <c r="BZ58" s="405"/>
      <c r="CA58" s="405"/>
      <c r="CB58" s="405"/>
      <c r="CC58" s="405"/>
      <c r="CD58" s="405"/>
      <c r="CE58" s="405"/>
    </row>
    <row r="59" spans="1:83" s="406" customFormat="1" ht="30" customHeight="1">
      <c r="B59" s="407"/>
      <c r="C59" s="407"/>
      <c r="D59" s="408"/>
      <c r="E59" s="409"/>
      <c r="F59" s="407"/>
      <c r="G59" s="407"/>
      <c r="H59" s="410"/>
      <c r="I59" s="409"/>
      <c r="J59" s="407"/>
      <c r="K59" s="408"/>
      <c r="L59" s="411"/>
      <c r="M59" s="407"/>
      <c r="N59" s="407"/>
      <c r="O59" s="408"/>
      <c r="P59" s="412"/>
      <c r="Q59" s="467">
        <v>43</v>
      </c>
      <c r="R59" s="333" t="s">
        <v>140</v>
      </c>
      <c r="S59" s="468" t="s">
        <v>133</v>
      </c>
      <c r="T59" s="468" t="s">
        <v>141</v>
      </c>
      <c r="U59" s="469">
        <v>1</v>
      </c>
      <c r="V59" s="417" t="s">
        <v>142</v>
      </c>
      <c r="W59" s="470">
        <f>'[104]RAB SUTR'!$F$15</f>
        <v>5</v>
      </c>
      <c r="X59" s="470">
        <f>[104]SUTM!$G$21+'[104]RAB SUTR'!$F$14</f>
        <v>34</v>
      </c>
      <c r="Y59" s="470">
        <f>[104]SUTM!$G$16+[104]GARDU!$F$15</f>
        <v>132</v>
      </c>
      <c r="Z59" s="470"/>
      <c r="AA59" s="471">
        <f>20.79/3</f>
        <v>6.93</v>
      </c>
      <c r="AB59" s="472">
        <v>6.4889999999999999</v>
      </c>
      <c r="AC59" s="473"/>
      <c r="AD59" s="473">
        <v>3</v>
      </c>
      <c r="AE59" s="473"/>
      <c r="AF59" s="473"/>
      <c r="AG59" s="474">
        <f>+(AC59*50)+(AD59*100)+(AE59*160)+(AF59*200)</f>
        <v>300</v>
      </c>
      <c r="AH59" s="474">
        <f>SUM(AC59:AF65)</f>
        <v>3</v>
      </c>
      <c r="AI59" s="319">
        <f>[65]SUTM!$K$51</f>
        <v>2362740086.3000002</v>
      </c>
      <c r="AJ59" s="319">
        <f>'[65]RAB SUTR'!$K$40</f>
        <v>662628004.36800003</v>
      </c>
      <c r="AK59" s="319">
        <f>[65]GARDU!$J$60</f>
        <v>428318218.89999998</v>
      </c>
      <c r="AL59" s="319">
        <f>SUM(AI59:AK65)</f>
        <v>3453686309.5680003</v>
      </c>
      <c r="AM59" s="81"/>
      <c r="AN59" s="421"/>
      <c r="AO59" s="412"/>
      <c r="AP59" s="412"/>
      <c r="AQ59" s="408"/>
      <c r="AR59" s="408"/>
      <c r="AS59" s="408"/>
      <c r="AT59" s="408"/>
      <c r="AU59" s="408"/>
      <c r="AV59" s="408"/>
      <c r="AW59" s="408"/>
      <c r="AX59" s="408"/>
      <c r="AY59" s="408"/>
      <c r="AZ59" s="408"/>
      <c r="BA59" s="408"/>
      <c r="BB59" s="411"/>
      <c r="BC59" s="357"/>
      <c r="BD59" s="408"/>
      <c r="BE59" s="408"/>
      <c r="BF59" s="408"/>
      <c r="BG59" s="408"/>
      <c r="BH59" s="408"/>
      <c r="BI59" s="408"/>
      <c r="BJ59" s="408"/>
      <c r="BK59" s="422"/>
      <c r="BL59" s="475"/>
      <c r="BM59" s="470">
        <f>[104]SUTM!$G$19</f>
        <v>20790</v>
      </c>
      <c r="BN59" s="475"/>
      <c r="BO59" s="475"/>
      <c r="BP59" s="475"/>
      <c r="BQ59" s="475"/>
      <c r="BR59" s="470">
        <f>[104]GARDU!$F$31</f>
        <v>108</v>
      </c>
      <c r="BS59" s="475"/>
      <c r="BT59" s="470">
        <f xml:space="preserve"> [104]GARDU!$F$30</f>
        <v>216</v>
      </c>
      <c r="BU59" s="470">
        <f>'[104]RAB SUTR'!$F$12</f>
        <v>6489</v>
      </c>
      <c r="BV59" s="475"/>
      <c r="BW59" s="476">
        <f>[104]GARDU!$F$24</f>
        <v>3</v>
      </c>
      <c r="BX59" s="476">
        <f>[104]SUTM!$G$18</f>
        <v>78</v>
      </c>
      <c r="BY59" s="470">
        <f>[104]SUTM!$G$17+[104]GARDU!$F$18</f>
        <v>435</v>
      </c>
      <c r="BZ59" s="477">
        <f>[104]GARDU!$F$17</f>
        <v>9</v>
      </c>
      <c r="CA59" s="477">
        <f>[104]GARDU!$F$16</f>
        <v>9</v>
      </c>
      <c r="CB59" s="475"/>
      <c r="CC59" s="475"/>
      <c r="CD59" s="475"/>
      <c r="CE59" s="475"/>
    </row>
    <row r="60" spans="1:83" s="406" customFormat="1" ht="21">
      <c r="B60" s="407"/>
      <c r="C60" s="407"/>
      <c r="D60" s="408"/>
      <c r="E60" s="409"/>
      <c r="F60" s="407"/>
      <c r="G60" s="407"/>
      <c r="H60" s="410"/>
      <c r="I60" s="409"/>
      <c r="J60" s="407"/>
      <c r="K60" s="408"/>
      <c r="L60" s="411"/>
      <c r="M60" s="407"/>
      <c r="N60" s="407"/>
      <c r="O60" s="408"/>
      <c r="P60" s="412"/>
      <c r="Q60" s="478"/>
      <c r="R60" s="360"/>
      <c r="S60" s="479"/>
      <c r="T60" s="479"/>
      <c r="U60" s="469">
        <v>2</v>
      </c>
      <c r="V60" s="417" t="s">
        <v>143</v>
      </c>
      <c r="W60" s="470"/>
      <c r="X60" s="470"/>
      <c r="Y60" s="470"/>
      <c r="Z60" s="470"/>
      <c r="AA60" s="471"/>
      <c r="AB60" s="472"/>
      <c r="AC60" s="473"/>
      <c r="AD60" s="473"/>
      <c r="AE60" s="473"/>
      <c r="AF60" s="473"/>
      <c r="AG60" s="474"/>
      <c r="AH60" s="474"/>
      <c r="AI60" s="319"/>
      <c r="AJ60" s="319"/>
      <c r="AK60" s="319"/>
      <c r="AL60" s="319"/>
      <c r="AM60" s="81"/>
      <c r="AN60" s="421"/>
      <c r="AO60" s="412"/>
      <c r="AP60" s="412"/>
      <c r="AQ60" s="408"/>
      <c r="AR60" s="408"/>
      <c r="AS60" s="408"/>
      <c r="AT60" s="408"/>
      <c r="AU60" s="408"/>
      <c r="AV60" s="408"/>
      <c r="AW60" s="408"/>
      <c r="AX60" s="408"/>
      <c r="AY60" s="408"/>
      <c r="AZ60" s="408"/>
      <c r="BA60" s="408"/>
      <c r="BB60" s="411"/>
      <c r="BC60" s="357"/>
      <c r="BD60" s="408"/>
      <c r="BE60" s="408"/>
      <c r="BF60" s="408"/>
      <c r="BG60" s="408"/>
      <c r="BH60" s="408"/>
      <c r="BI60" s="408"/>
      <c r="BJ60" s="408"/>
      <c r="BK60" s="422"/>
      <c r="BL60" s="479"/>
      <c r="BM60" s="470"/>
      <c r="BN60" s="479"/>
      <c r="BO60" s="479"/>
      <c r="BP60" s="479"/>
      <c r="BQ60" s="479"/>
      <c r="BR60" s="470"/>
      <c r="BS60" s="479"/>
      <c r="BT60" s="470"/>
      <c r="BU60" s="470"/>
      <c r="BV60" s="479"/>
      <c r="BW60" s="480"/>
      <c r="BX60" s="480"/>
      <c r="BY60" s="470"/>
      <c r="BZ60" s="477"/>
      <c r="CA60" s="477"/>
      <c r="CB60" s="479"/>
      <c r="CC60" s="479"/>
      <c r="CD60" s="479"/>
      <c r="CE60" s="479"/>
    </row>
    <row r="61" spans="1:83" s="406" customFormat="1" ht="21">
      <c r="B61" s="407"/>
      <c r="C61" s="407"/>
      <c r="D61" s="408"/>
      <c r="E61" s="409"/>
      <c r="F61" s="407"/>
      <c r="G61" s="407"/>
      <c r="H61" s="410"/>
      <c r="I61" s="409"/>
      <c r="J61" s="407"/>
      <c r="K61" s="408"/>
      <c r="L61" s="411"/>
      <c r="M61" s="407"/>
      <c r="N61" s="407"/>
      <c r="O61" s="408"/>
      <c r="P61" s="412"/>
      <c r="Q61" s="478"/>
      <c r="R61" s="360"/>
      <c r="S61" s="479"/>
      <c r="T61" s="479"/>
      <c r="U61" s="469">
        <v>3</v>
      </c>
      <c r="V61" s="417" t="s">
        <v>144</v>
      </c>
      <c r="W61" s="470"/>
      <c r="X61" s="470"/>
      <c r="Y61" s="470"/>
      <c r="Z61" s="470"/>
      <c r="AA61" s="471"/>
      <c r="AB61" s="472"/>
      <c r="AC61" s="473"/>
      <c r="AD61" s="473"/>
      <c r="AE61" s="473"/>
      <c r="AF61" s="473"/>
      <c r="AG61" s="474"/>
      <c r="AH61" s="474"/>
      <c r="AI61" s="319"/>
      <c r="AJ61" s="319"/>
      <c r="AK61" s="319"/>
      <c r="AL61" s="319"/>
      <c r="AM61" s="81"/>
      <c r="AN61" s="421"/>
      <c r="AO61" s="412"/>
      <c r="AP61" s="412"/>
      <c r="AQ61" s="408"/>
      <c r="AR61" s="408"/>
      <c r="AS61" s="408"/>
      <c r="AT61" s="408"/>
      <c r="AU61" s="408"/>
      <c r="AV61" s="408"/>
      <c r="AW61" s="408"/>
      <c r="AX61" s="408"/>
      <c r="AY61" s="408"/>
      <c r="AZ61" s="408"/>
      <c r="BA61" s="408"/>
      <c r="BB61" s="411"/>
      <c r="BC61" s="357"/>
      <c r="BD61" s="408"/>
      <c r="BE61" s="408"/>
      <c r="BF61" s="408"/>
      <c r="BG61" s="408"/>
      <c r="BH61" s="408"/>
      <c r="BI61" s="408"/>
      <c r="BJ61" s="408"/>
      <c r="BK61" s="422"/>
      <c r="BL61" s="479"/>
      <c r="BM61" s="470"/>
      <c r="BN61" s="479"/>
      <c r="BO61" s="479"/>
      <c r="BP61" s="479"/>
      <c r="BQ61" s="479"/>
      <c r="BR61" s="470"/>
      <c r="BS61" s="479"/>
      <c r="BT61" s="470"/>
      <c r="BU61" s="470"/>
      <c r="BV61" s="479"/>
      <c r="BW61" s="480"/>
      <c r="BX61" s="480"/>
      <c r="BY61" s="470"/>
      <c r="BZ61" s="477"/>
      <c r="CA61" s="477"/>
      <c r="CB61" s="479"/>
      <c r="CC61" s="479"/>
      <c r="CD61" s="479"/>
      <c r="CE61" s="479"/>
    </row>
    <row r="62" spans="1:83" s="406" customFormat="1" ht="21">
      <c r="B62" s="407"/>
      <c r="C62" s="407"/>
      <c r="D62" s="408"/>
      <c r="E62" s="409"/>
      <c r="F62" s="407"/>
      <c r="G62" s="407"/>
      <c r="H62" s="410"/>
      <c r="I62" s="409"/>
      <c r="J62" s="407"/>
      <c r="K62" s="408"/>
      <c r="L62" s="411"/>
      <c r="M62" s="407"/>
      <c r="N62" s="407"/>
      <c r="O62" s="408"/>
      <c r="P62" s="412"/>
      <c r="Q62" s="478"/>
      <c r="R62" s="360"/>
      <c r="S62" s="479"/>
      <c r="T62" s="479"/>
      <c r="U62" s="469">
        <v>4</v>
      </c>
      <c r="V62" s="417" t="s">
        <v>145</v>
      </c>
      <c r="W62" s="470"/>
      <c r="X62" s="470"/>
      <c r="Y62" s="470"/>
      <c r="Z62" s="470"/>
      <c r="AA62" s="471"/>
      <c r="AB62" s="472"/>
      <c r="AC62" s="473"/>
      <c r="AD62" s="473"/>
      <c r="AE62" s="473"/>
      <c r="AF62" s="473"/>
      <c r="AG62" s="474"/>
      <c r="AH62" s="474"/>
      <c r="AI62" s="319"/>
      <c r="AJ62" s="319"/>
      <c r="AK62" s="319"/>
      <c r="AL62" s="319"/>
      <c r="AM62" s="81"/>
      <c r="AN62" s="421"/>
      <c r="AO62" s="412"/>
      <c r="AP62" s="412"/>
      <c r="AQ62" s="408"/>
      <c r="AR62" s="408"/>
      <c r="AS62" s="408"/>
      <c r="AT62" s="408"/>
      <c r="AU62" s="408"/>
      <c r="AV62" s="408"/>
      <c r="AW62" s="408"/>
      <c r="AX62" s="408"/>
      <c r="AY62" s="408"/>
      <c r="AZ62" s="408"/>
      <c r="BA62" s="408"/>
      <c r="BB62" s="411"/>
      <c r="BC62" s="357"/>
      <c r="BD62" s="408"/>
      <c r="BE62" s="408"/>
      <c r="BF62" s="408"/>
      <c r="BG62" s="408"/>
      <c r="BH62" s="408"/>
      <c r="BI62" s="408"/>
      <c r="BJ62" s="408"/>
      <c r="BK62" s="422"/>
      <c r="BL62" s="479"/>
      <c r="BM62" s="470"/>
      <c r="BN62" s="479"/>
      <c r="BO62" s="479"/>
      <c r="BP62" s="479"/>
      <c r="BQ62" s="479"/>
      <c r="BR62" s="470"/>
      <c r="BS62" s="479"/>
      <c r="BT62" s="470"/>
      <c r="BU62" s="470"/>
      <c r="BV62" s="479"/>
      <c r="BW62" s="480"/>
      <c r="BX62" s="480"/>
      <c r="BY62" s="470"/>
      <c r="BZ62" s="477"/>
      <c r="CA62" s="477"/>
      <c r="CB62" s="479"/>
      <c r="CC62" s="479"/>
      <c r="CD62" s="479"/>
      <c r="CE62" s="479"/>
    </row>
    <row r="63" spans="1:83" s="406" customFormat="1" ht="15" customHeight="1">
      <c r="B63" s="407"/>
      <c r="C63" s="407"/>
      <c r="D63" s="408"/>
      <c r="E63" s="409"/>
      <c r="F63" s="407"/>
      <c r="G63" s="407"/>
      <c r="H63" s="410"/>
      <c r="I63" s="409"/>
      <c r="J63" s="407"/>
      <c r="K63" s="408"/>
      <c r="L63" s="411"/>
      <c r="M63" s="407"/>
      <c r="N63" s="407"/>
      <c r="O63" s="408"/>
      <c r="P63" s="412"/>
      <c r="Q63" s="478"/>
      <c r="R63" s="360"/>
      <c r="S63" s="479"/>
      <c r="T63" s="479"/>
      <c r="U63" s="452">
        <v>5</v>
      </c>
      <c r="V63" s="423" t="s">
        <v>146</v>
      </c>
      <c r="W63" s="470"/>
      <c r="X63" s="470"/>
      <c r="Y63" s="470"/>
      <c r="Z63" s="470"/>
      <c r="AA63" s="471"/>
      <c r="AB63" s="472"/>
      <c r="AC63" s="473"/>
      <c r="AD63" s="473"/>
      <c r="AE63" s="473"/>
      <c r="AF63" s="473"/>
      <c r="AG63" s="474"/>
      <c r="AH63" s="474"/>
      <c r="AI63" s="319"/>
      <c r="AJ63" s="319"/>
      <c r="AK63" s="319"/>
      <c r="AL63" s="319"/>
      <c r="AM63" s="81"/>
      <c r="AN63" s="421"/>
      <c r="AO63" s="412"/>
      <c r="AP63" s="412"/>
      <c r="AQ63" s="408"/>
      <c r="AR63" s="408"/>
      <c r="AS63" s="408"/>
      <c r="AT63" s="408"/>
      <c r="AU63" s="408"/>
      <c r="AV63" s="408"/>
      <c r="AW63" s="408"/>
      <c r="AX63" s="408"/>
      <c r="AY63" s="408"/>
      <c r="AZ63" s="408"/>
      <c r="BA63" s="408"/>
      <c r="BB63" s="411"/>
      <c r="BC63" s="357"/>
      <c r="BD63" s="408"/>
      <c r="BE63" s="408"/>
      <c r="BF63" s="408"/>
      <c r="BG63" s="408"/>
      <c r="BH63" s="408"/>
      <c r="BI63" s="408"/>
      <c r="BJ63" s="408"/>
      <c r="BK63" s="422"/>
      <c r="BL63" s="479"/>
      <c r="BM63" s="470"/>
      <c r="BN63" s="479"/>
      <c r="BO63" s="479"/>
      <c r="BP63" s="479"/>
      <c r="BQ63" s="479"/>
      <c r="BR63" s="470"/>
      <c r="BS63" s="479"/>
      <c r="BT63" s="470"/>
      <c r="BU63" s="470"/>
      <c r="BV63" s="479"/>
      <c r="BW63" s="480"/>
      <c r="BX63" s="480"/>
      <c r="BY63" s="470"/>
      <c r="BZ63" s="477"/>
      <c r="CA63" s="477"/>
      <c r="CB63" s="479"/>
      <c r="CC63" s="479"/>
      <c r="CD63" s="479"/>
      <c r="CE63" s="479"/>
    </row>
    <row r="64" spans="1:83" s="406" customFormat="1" ht="17.25" customHeight="1">
      <c r="B64" s="481"/>
      <c r="C64" s="482"/>
      <c r="D64" s="482" t="s">
        <v>45</v>
      </c>
      <c r="E64" s="483"/>
      <c r="F64" s="481"/>
      <c r="G64" s="482"/>
      <c r="H64" s="484" t="s">
        <v>78</v>
      </c>
      <c r="I64" s="483">
        <v>1462054</v>
      </c>
      <c r="J64" s="482"/>
      <c r="K64" s="482" t="s">
        <v>45</v>
      </c>
      <c r="L64" s="485"/>
      <c r="M64" s="481"/>
      <c r="N64" s="482"/>
      <c r="O64" s="486" t="s">
        <v>79</v>
      </c>
      <c r="P64" s="487"/>
      <c r="Q64" s="478"/>
      <c r="R64" s="360"/>
      <c r="S64" s="479"/>
      <c r="T64" s="479"/>
      <c r="U64" s="453">
        <v>6</v>
      </c>
      <c r="V64" s="488" t="s">
        <v>147</v>
      </c>
      <c r="W64" s="470"/>
      <c r="X64" s="470"/>
      <c r="Y64" s="470"/>
      <c r="Z64" s="470"/>
      <c r="AA64" s="471"/>
      <c r="AB64" s="472"/>
      <c r="AC64" s="473"/>
      <c r="AD64" s="473"/>
      <c r="AE64" s="473"/>
      <c r="AF64" s="473"/>
      <c r="AG64" s="474"/>
      <c r="AH64" s="474"/>
      <c r="AI64" s="319"/>
      <c r="AJ64" s="319"/>
      <c r="AK64" s="319"/>
      <c r="AL64" s="319"/>
      <c r="AM64" s="53">
        <v>309068</v>
      </c>
      <c r="AN64" s="489"/>
      <c r="AO64" s="490"/>
      <c r="AP64" s="487"/>
      <c r="AQ64" s="491"/>
      <c r="AR64" s="491"/>
      <c r="AS64" s="491"/>
      <c r="AT64" s="491"/>
      <c r="AU64" s="491">
        <v>1369</v>
      </c>
      <c r="AV64" s="491">
        <v>0</v>
      </c>
      <c r="AW64" s="491"/>
      <c r="AX64" s="491">
        <v>0</v>
      </c>
      <c r="AY64" s="491"/>
      <c r="AZ64" s="482">
        <v>0</v>
      </c>
      <c r="BA64" s="482">
        <v>38</v>
      </c>
      <c r="BB64" s="485">
        <v>160380000</v>
      </c>
      <c r="BC64" s="356"/>
      <c r="BD64" s="492">
        <v>0</v>
      </c>
      <c r="BE64" s="492">
        <v>0</v>
      </c>
      <c r="BF64" s="492"/>
      <c r="BG64" s="492"/>
      <c r="BH64" s="492"/>
      <c r="BI64" s="492"/>
      <c r="BJ64" s="492"/>
      <c r="BK64" s="422"/>
      <c r="BL64" s="479"/>
      <c r="BM64" s="470"/>
      <c r="BN64" s="479"/>
      <c r="BO64" s="479"/>
      <c r="BP64" s="479"/>
      <c r="BQ64" s="479"/>
      <c r="BR64" s="470"/>
      <c r="BS64" s="479"/>
      <c r="BT64" s="470"/>
      <c r="BU64" s="470"/>
      <c r="BV64" s="479"/>
      <c r="BW64" s="480"/>
      <c r="BX64" s="480"/>
      <c r="BY64" s="470"/>
      <c r="BZ64" s="477"/>
      <c r="CA64" s="477"/>
      <c r="CB64" s="479"/>
      <c r="CC64" s="479"/>
      <c r="CD64" s="479"/>
      <c r="CE64" s="479"/>
    </row>
    <row r="65" spans="1:83" s="442" customFormat="1" ht="24" customHeight="1">
      <c r="B65" s="443">
        <v>9</v>
      </c>
      <c r="C65" s="443" t="s">
        <v>80</v>
      </c>
      <c r="D65" s="443" t="s">
        <v>45</v>
      </c>
      <c r="E65" s="444">
        <v>1040319</v>
      </c>
      <c r="F65" s="443">
        <v>9</v>
      </c>
      <c r="G65" s="443" t="s">
        <v>80</v>
      </c>
      <c r="H65" s="443" t="s">
        <v>81</v>
      </c>
      <c r="I65" s="444">
        <v>1040319</v>
      </c>
      <c r="J65" s="443" t="s">
        <v>80</v>
      </c>
      <c r="K65" s="443" t="s">
        <v>45</v>
      </c>
      <c r="L65" s="444">
        <v>1040319</v>
      </c>
      <c r="M65" s="443">
        <v>9</v>
      </c>
      <c r="N65" s="443" t="s">
        <v>80</v>
      </c>
      <c r="O65" s="443" t="s">
        <v>45</v>
      </c>
      <c r="P65" s="465">
        <v>1040319</v>
      </c>
      <c r="Q65" s="493"/>
      <c r="R65" s="361"/>
      <c r="S65" s="494"/>
      <c r="T65" s="494"/>
      <c r="U65" s="458">
        <v>7</v>
      </c>
      <c r="V65" s="495" t="s">
        <v>148</v>
      </c>
      <c r="W65" s="470"/>
      <c r="X65" s="470"/>
      <c r="Y65" s="470"/>
      <c r="Z65" s="470"/>
      <c r="AA65" s="471"/>
      <c r="AB65" s="472"/>
      <c r="AC65" s="473"/>
      <c r="AD65" s="473"/>
      <c r="AE65" s="473"/>
      <c r="AF65" s="473"/>
      <c r="AG65" s="474"/>
      <c r="AH65" s="474"/>
      <c r="AI65" s="319"/>
      <c r="AJ65" s="319"/>
      <c r="AK65" s="319"/>
      <c r="AL65" s="319"/>
      <c r="AM65" s="57">
        <v>1040319</v>
      </c>
      <c r="AN65" s="455"/>
      <c r="AO65" s="456"/>
      <c r="AP65" s="445"/>
      <c r="AQ65" s="443"/>
      <c r="AR65" s="443"/>
      <c r="AS65" s="443"/>
      <c r="AT65" s="443"/>
      <c r="AU65" s="443"/>
      <c r="AV65" s="443"/>
      <c r="AW65" s="443"/>
      <c r="AX65" s="443"/>
      <c r="AY65" s="443"/>
      <c r="AZ65" s="443"/>
      <c r="BA65" s="443"/>
      <c r="BB65" s="444"/>
      <c r="BC65" s="356"/>
      <c r="BD65" s="443"/>
      <c r="BE65" s="443"/>
      <c r="BF65" s="443"/>
      <c r="BG65" s="443"/>
      <c r="BH65" s="443"/>
      <c r="BI65" s="443"/>
      <c r="BJ65" s="443"/>
      <c r="BK65" s="457"/>
      <c r="BL65" s="496"/>
      <c r="BM65" s="470"/>
      <c r="BN65" s="496"/>
      <c r="BO65" s="496"/>
      <c r="BP65" s="496"/>
      <c r="BQ65" s="496"/>
      <c r="BR65" s="470"/>
      <c r="BS65" s="496"/>
      <c r="BT65" s="470"/>
      <c r="BU65" s="470"/>
      <c r="BV65" s="496"/>
      <c r="BW65" s="497"/>
      <c r="BX65" s="497"/>
      <c r="BY65" s="470"/>
      <c r="BZ65" s="477"/>
      <c r="CA65" s="477"/>
      <c r="CB65" s="496"/>
      <c r="CC65" s="496"/>
      <c r="CD65" s="496"/>
      <c r="CE65" s="496"/>
    </row>
    <row r="66" spans="1:83" s="442" customFormat="1" ht="63">
      <c r="B66" s="443"/>
      <c r="C66" s="443"/>
      <c r="D66" s="443"/>
      <c r="E66" s="444"/>
      <c r="F66" s="443"/>
      <c r="G66" s="443"/>
      <c r="H66" s="443"/>
      <c r="I66" s="444"/>
      <c r="J66" s="443"/>
      <c r="K66" s="443"/>
      <c r="L66" s="444"/>
      <c r="M66" s="443"/>
      <c r="N66" s="443"/>
      <c r="O66" s="443"/>
      <c r="P66" s="445"/>
      <c r="Q66" s="446">
        <v>44</v>
      </c>
      <c r="R66" s="222" t="s">
        <v>185</v>
      </c>
      <c r="S66" s="447" t="s">
        <v>133</v>
      </c>
      <c r="T66" s="447" t="s">
        <v>184</v>
      </c>
      <c r="U66" s="448"/>
      <c r="V66" s="449" t="s">
        <v>234</v>
      </c>
      <c r="W66" s="462">
        <f>'[101]RAB SUTR'!$E$15</f>
        <v>1</v>
      </c>
      <c r="X66" s="459">
        <f>[101]SUTM!$G$21+'[101]RAB SUTR'!$F$14</f>
        <v>52</v>
      </c>
      <c r="Y66" s="459">
        <f>[101]SUTM!$G$16+[101]GARDU!$E$17</f>
        <v>142</v>
      </c>
      <c r="Z66" s="449"/>
      <c r="AA66" s="450">
        <f>21.735/3</f>
        <v>7.2450000000000001</v>
      </c>
      <c r="AB66" s="451">
        <v>4.681</v>
      </c>
      <c r="AC66" s="452"/>
      <c r="AD66" s="452">
        <v>3</v>
      </c>
      <c r="AE66" s="452"/>
      <c r="AF66" s="452"/>
      <c r="AG66" s="453">
        <f>+(AC66*50)+(AD66*100)+(AE66*160)+(AF66*200)</f>
        <v>300</v>
      </c>
      <c r="AH66" s="453">
        <f t="shared" ref="AH66:AH88" si="9">+AC66+AD66+AE66+AF66</f>
        <v>3</v>
      </c>
      <c r="AI66" s="454">
        <f>[66]SUTM!$K$51</f>
        <v>2648621299.5</v>
      </c>
      <c r="AJ66" s="454">
        <f>'[66]RAB SUTR'!$K$40</f>
        <v>542704782.61083329</v>
      </c>
      <c r="AK66" s="454">
        <f>[66]GARDU!$J$64</f>
        <v>433109235.89999998</v>
      </c>
      <c r="AL66" s="214">
        <f t="shared" ref="AL66:AL71" si="10">+AI66+AJ66+AK66</f>
        <v>3624435318.0108333</v>
      </c>
      <c r="AM66" s="92"/>
      <c r="AN66" s="455"/>
      <c r="AO66" s="456"/>
      <c r="AP66" s="445"/>
      <c r="AQ66" s="443"/>
      <c r="AR66" s="443"/>
      <c r="AS66" s="443"/>
      <c r="AT66" s="443"/>
      <c r="AU66" s="443"/>
      <c r="AV66" s="443"/>
      <c r="AW66" s="443"/>
      <c r="AX66" s="443"/>
      <c r="AY66" s="443"/>
      <c r="AZ66" s="443"/>
      <c r="BA66" s="443"/>
      <c r="BB66" s="444"/>
      <c r="BC66" s="356"/>
      <c r="BD66" s="443"/>
      <c r="BE66" s="443"/>
      <c r="BF66" s="443"/>
      <c r="BG66" s="443"/>
      <c r="BH66" s="443"/>
      <c r="BI66" s="443"/>
      <c r="BJ66" s="443"/>
      <c r="BK66" s="457"/>
      <c r="BL66" s="458"/>
      <c r="BM66" s="460">
        <f>[101]SUTM!$G$19</f>
        <v>21735</v>
      </c>
      <c r="BN66" s="458"/>
      <c r="BO66" s="458"/>
      <c r="BP66" s="458"/>
      <c r="BQ66" s="458"/>
      <c r="BR66" s="458">
        <f>[101]GARDU!$F$33</f>
        <v>108</v>
      </c>
      <c r="BS66" s="458"/>
      <c r="BT66" s="458">
        <f>[101]GARDU!$F$32</f>
        <v>216</v>
      </c>
      <c r="BU66" s="460">
        <f>'[101]RAB SUTR'!$F$12</f>
        <v>4681.3500000000004</v>
      </c>
      <c r="BV66" s="458"/>
      <c r="BW66" s="461">
        <f>[101]GARDU!$F$26</f>
        <v>3</v>
      </c>
      <c r="BX66" s="460">
        <f>[101]SUTM!$G$18</f>
        <v>99</v>
      </c>
      <c r="BY66" s="460">
        <f>[101]SUTM!$G$17+[101]GARDU!$F$20</f>
        <v>475</v>
      </c>
      <c r="BZ66" s="458">
        <f>[101]GARDU!$F$19</f>
        <v>9</v>
      </c>
      <c r="CA66" s="458">
        <f>[101]GARDU!$F$18</f>
        <v>9</v>
      </c>
      <c r="CB66" s="458"/>
      <c r="CC66" s="458"/>
      <c r="CD66" s="458"/>
      <c r="CE66" s="458"/>
    </row>
    <row r="67" spans="1:83" s="442" customFormat="1" ht="42">
      <c r="B67" s="463"/>
      <c r="C67" s="463"/>
      <c r="D67" s="463"/>
      <c r="E67" s="464"/>
      <c r="F67" s="463"/>
      <c r="G67" s="463"/>
      <c r="H67" s="463"/>
      <c r="I67" s="464"/>
      <c r="J67" s="463"/>
      <c r="K67" s="463"/>
      <c r="L67" s="464"/>
      <c r="M67" s="463"/>
      <c r="N67" s="463"/>
      <c r="O67" s="463"/>
      <c r="P67" s="465"/>
      <c r="Q67" s="446">
        <v>45</v>
      </c>
      <c r="R67" s="222" t="s">
        <v>183</v>
      </c>
      <c r="S67" s="447" t="s">
        <v>133</v>
      </c>
      <c r="T67" s="447" t="s">
        <v>184</v>
      </c>
      <c r="U67" s="448"/>
      <c r="V67" s="449" t="s">
        <v>234</v>
      </c>
      <c r="W67" s="459">
        <f>'[102]RAB SUTR'!$F$15</f>
        <v>2</v>
      </c>
      <c r="X67" s="459">
        <f>'[102]RAB SUTR'!$F$14+[102]SUTM!$G$21</f>
        <v>11</v>
      </c>
      <c r="Y67" s="459">
        <f>[102]SUTM!$G$16+[102]GARDU!$F$17</f>
        <v>12</v>
      </c>
      <c r="Z67" s="449"/>
      <c r="AA67" s="450">
        <f>3.465/3</f>
        <v>1.155</v>
      </c>
      <c r="AB67" s="451">
        <v>0.51</v>
      </c>
      <c r="AC67" s="452"/>
      <c r="AD67" s="452">
        <v>1</v>
      </c>
      <c r="AE67" s="452"/>
      <c r="AF67" s="452"/>
      <c r="AG67" s="453">
        <f>+(AC67*50)+(AD67*100)+(AE67*160)+(AF67*200)</f>
        <v>100</v>
      </c>
      <c r="AH67" s="453">
        <f t="shared" si="9"/>
        <v>1</v>
      </c>
      <c r="AI67" s="454">
        <f>[67]SUTM!$K$51</f>
        <v>312911395.5</v>
      </c>
      <c r="AJ67" s="454">
        <f>'[67]RAB SUTR'!$K$40</f>
        <v>126393926.3125</v>
      </c>
      <c r="AK67" s="454">
        <f>[67]GARDU!$J$64</f>
        <v>192769745.30000001</v>
      </c>
      <c r="AL67" s="214">
        <f t="shared" si="10"/>
        <v>632075067.11249995</v>
      </c>
      <c r="AM67" s="92"/>
      <c r="AN67" s="455"/>
      <c r="AO67" s="456"/>
      <c r="AP67" s="445"/>
      <c r="AQ67" s="443"/>
      <c r="AR67" s="443"/>
      <c r="AS67" s="443"/>
      <c r="AT67" s="443"/>
      <c r="AU67" s="443"/>
      <c r="AV67" s="443"/>
      <c r="AW67" s="443"/>
      <c r="AX67" s="443"/>
      <c r="AY67" s="443"/>
      <c r="AZ67" s="443"/>
      <c r="BA67" s="443"/>
      <c r="BB67" s="444"/>
      <c r="BC67" s="356"/>
      <c r="BD67" s="443"/>
      <c r="BE67" s="443"/>
      <c r="BF67" s="443"/>
      <c r="BG67" s="443"/>
      <c r="BH67" s="443"/>
      <c r="BI67" s="443"/>
      <c r="BJ67" s="443"/>
      <c r="BK67" s="457"/>
      <c r="BL67" s="460">
        <f>[102]SUTM!$G$19</f>
        <v>3465</v>
      </c>
      <c r="BM67" s="458"/>
      <c r="BN67" s="458"/>
      <c r="BO67" s="458"/>
      <c r="BP67" s="458"/>
      <c r="BQ67" s="458"/>
      <c r="BR67" s="458">
        <f>[102]GARDU!$F$33</f>
        <v>36</v>
      </c>
      <c r="BS67" s="458"/>
      <c r="BT67" s="458">
        <f>[102]GARDU!$F$32</f>
        <v>72</v>
      </c>
      <c r="BU67" s="460">
        <f>'[102]RAB SUTR'!$F$12</f>
        <v>509.85</v>
      </c>
      <c r="BV67" s="458"/>
      <c r="BW67" s="461">
        <f>[102]GARDU!$F$26</f>
        <v>1</v>
      </c>
      <c r="BX67" s="460">
        <f>[102]SUTM!$G$18</f>
        <v>12</v>
      </c>
      <c r="BY67" s="460">
        <f>[102]SUTM!$G$17+[102]GARDU!$F$20</f>
        <v>31</v>
      </c>
      <c r="BZ67" s="458">
        <f>[102]GARDU!$F$19</f>
        <v>3</v>
      </c>
      <c r="CA67" s="458">
        <f>[102]GARDU!$F$18</f>
        <v>3</v>
      </c>
      <c r="CB67" s="458"/>
      <c r="CC67" s="458"/>
      <c r="CD67" s="458"/>
      <c r="CE67" s="458"/>
    </row>
    <row r="68" spans="1:83" s="61" customFormat="1" ht="84">
      <c r="B68" s="82"/>
      <c r="C68" s="82"/>
      <c r="D68" s="82"/>
      <c r="E68" s="91"/>
      <c r="F68" s="82"/>
      <c r="G68" s="82"/>
      <c r="H68" s="82"/>
      <c r="I68" s="91"/>
      <c r="J68" s="82"/>
      <c r="K68" s="82"/>
      <c r="L68" s="91"/>
      <c r="M68" s="82"/>
      <c r="N68" s="82"/>
      <c r="O68" s="82"/>
      <c r="P68" s="103"/>
      <c r="Q68" s="168">
        <v>46</v>
      </c>
      <c r="R68" s="174" t="s">
        <v>149</v>
      </c>
      <c r="S68" s="227" t="s">
        <v>133</v>
      </c>
      <c r="T68" s="227" t="s">
        <v>136</v>
      </c>
      <c r="U68" s="223"/>
      <c r="V68" s="224" t="s">
        <v>150</v>
      </c>
      <c r="W68" s="224"/>
      <c r="X68" s="435">
        <f>[94]SUTM!$G$21+[94]SUTR!$F$17</f>
        <v>83</v>
      </c>
      <c r="Y68" s="435">
        <f>[94]GARDU!$F$15+[94]SUTM!$G$16</f>
        <v>770</v>
      </c>
      <c r="Z68" s="224"/>
      <c r="AA68" s="212">
        <f>120.96/3</f>
        <v>40.32</v>
      </c>
      <c r="AB68" s="225">
        <v>6.8129999999999997</v>
      </c>
      <c r="AC68" s="175"/>
      <c r="AD68" s="175">
        <v>3</v>
      </c>
      <c r="AE68" s="175"/>
      <c r="AF68" s="175"/>
      <c r="AG68" s="140">
        <f t="shared" ref="AG68:AG88" si="11">+(AC68*50)+(AD68*100)+(AE68*160)+(AF68*200)</f>
        <v>300</v>
      </c>
      <c r="AH68" s="140">
        <f t="shared" si="9"/>
        <v>3</v>
      </c>
      <c r="AI68" s="226">
        <f>[68]SUTM!$K$51</f>
        <v>13695067833.700001</v>
      </c>
      <c r="AJ68" s="226">
        <f>[68]SUTR!$J$41</f>
        <v>433744583.59649998</v>
      </c>
      <c r="AK68" s="226">
        <f>[68]GARDU!$J$60</f>
        <v>428318218.89999998</v>
      </c>
      <c r="AL68" s="214">
        <f t="shared" si="10"/>
        <v>14557130636.196501</v>
      </c>
      <c r="AM68" s="92"/>
      <c r="AN68" s="58"/>
      <c r="AO68" s="59"/>
      <c r="AP68" s="56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91"/>
      <c r="BC68" s="357"/>
      <c r="BD68" s="82"/>
      <c r="BE68" s="82"/>
      <c r="BF68" s="82"/>
      <c r="BG68" s="82"/>
      <c r="BH68" s="82"/>
      <c r="BI68" s="82"/>
      <c r="BJ68" s="82"/>
      <c r="BK68" s="60"/>
      <c r="BL68" s="189"/>
      <c r="BM68" s="436">
        <f>[94]SUTM!$G$19</f>
        <v>120960</v>
      </c>
      <c r="BN68" s="189"/>
      <c r="BO68" s="189"/>
      <c r="BP68" s="189"/>
      <c r="BQ68" s="189"/>
      <c r="BR68" s="189">
        <f>[94]GARDU!$F$31</f>
        <v>108</v>
      </c>
      <c r="BS68" s="189"/>
      <c r="BT68" s="189">
        <f>[94]GARDU!$F$30</f>
        <v>216</v>
      </c>
      <c r="BU68" s="436">
        <f>[94]SUTR!$E$15</f>
        <v>6813.45</v>
      </c>
      <c r="BV68" s="189"/>
      <c r="BW68" s="437">
        <f>[94]GARDU!$F$24</f>
        <v>3</v>
      </c>
      <c r="BX68" s="436">
        <f>[94]SUTM!$G$18</f>
        <v>504</v>
      </c>
      <c r="BY68" s="436">
        <f>[94]SUTM!$G$17+[94]GARDU!$F$18</f>
        <v>2479</v>
      </c>
      <c r="BZ68" s="189">
        <f>[94]GARDU!$F$17</f>
        <v>9</v>
      </c>
      <c r="CA68" s="189">
        <f>[94]GARDU!$F$16</f>
        <v>9</v>
      </c>
      <c r="CB68" s="189"/>
      <c r="CC68" s="189"/>
      <c r="CD68" s="189"/>
      <c r="CE68" s="189"/>
    </row>
    <row r="69" spans="1:83" s="61" customFormat="1" ht="105">
      <c r="B69" s="60"/>
      <c r="C69" s="60"/>
      <c r="D69" s="60"/>
      <c r="E69" s="59"/>
      <c r="F69" s="60"/>
      <c r="G69" s="60"/>
      <c r="H69" s="60"/>
      <c r="I69" s="59"/>
      <c r="J69" s="60"/>
      <c r="K69" s="60"/>
      <c r="L69" s="59"/>
      <c r="M69" s="60"/>
      <c r="N69" s="60"/>
      <c r="O69" s="60"/>
      <c r="P69" s="59"/>
      <c r="Q69" s="168">
        <v>47</v>
      </c>
      <c r="R69" s="174" t="s">
        <v>210</v>
      </c>
      <c r="S69" s="227" t="s">
        <v>166</v>
      </c>
      <c r="T69" s="227" t="s">
        <v>211</v>
      </c>
      <c r="U69" s="223"/>
      <c r="V69" s="224" t="s">
        <v>212</v>
      </c>
      <c r="W69" s="224"/>
      <c r="X69" s="435">
        <f>[95]SUTM!$G$21</f>
        <v>2</v>
      </c>
      <c r="Y69" s="435">
        <f>[95]SUTM!$G$16+[95]GARDU!$F$15</f>
        <v>41</v>
      </c>
      <c r="Z69" s="224"/>
      <c r="AA69" s="212">
        <f>6.458/3</f>
        <v>2.1526666666666667</v>
      </c>
      <c r="AB69" s="225">
        <v>0.82399999999999995</v>
      </c>
      <c r="AC69" s="162"/>
      <c r="AD69" s="162">
        <v>1</v>
      </c>
      <c r="AE69" s="162"/>
      <c r="AF69" s="162"/>
      <c r="AG69" s="228">
        <f t="shared" si="11"/>
        <v>100</v>
      </c>
      <c r="AH69" s="228">
        <f t="shared" si="9"/>
        <v>1</v>
      </c>
      <c r="AI69" s="226">
        <f>[69]SUTM!$K$51</f>
        <v>751949813.45000005</v>
      </c>
      <c r="AJ69" s="226">
        <f>'[69]RAB SUTR'!$K$40</f>
        <v>59730752.795999996</v>
      </c>
      <c r="AK69" s="226">
        <f>[69]GARDU!$J$60</f>
        <v>197039406.30000001</v>
      </c>
      <c r="AL69" s="214">
        <f t="shared" si="10"/>
        <v>1008719972.546</v>
      </c>
      <c r="AM69" s="92"/>
      <c r="AN69" s="58"/>
      <c r="AO69" s="59"/>
      <c r="AP69" s="56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5"/>
      <c r="BC69" s="356"/>
      <c r="BD69" s="54"/>
      <c r="BE69" s="54"/>
      <c r="BF69" s="54"/>
      <c r="BG69" s="54"/>
      <c r="BH69" s="54"/>
      <c r="BI69" s="54"/>
      <c r="BJ69" s="54"/>
      <c r="BK69" s="60"/>
      <c r="BL69" s="189"/>
      <c r="BM69" s="436">
        <f>[95]SUTM!$G$19</f>
        <v>6457.5</v>
      </c>
      <c r="BN69" s="189"/>
      <c r="BO69" s="189"/>
      <c r="BP69" s="189"/>
      <c r="BQ69" s="189"/>
      <c r="BR69" s="189">
        <f>[95]GARDU!$F$31</f>
        <v>36</v>
      </c>
      <c r="BS69" s="189"/>
      <c r="BT69" s="189">
        <f>[95]GARDU!$F$30</f>
        <v>72</v>
      </c>
      <c r="BU69" s="436">
        <f>'[95]RAB SUTR'!$F$12</f>
        <v>824</v>
      </c>
      <c r="BV69" s="189"/>
      <c r="BW69" s="437">
        <f>[95]GARDU!$F$24</f>
        <v>1</v>
      </c>
      <c r="BX69" s="436">
        <f>[95]SUTM!$G$18</f>
        <v>27</v>
      </c>
      <c r="BY69" s="436">
        <f>[95]SUTM!$G$17+[95]GARDU!$F$18</f>
        <v>116</v>
      </c>
      <c r="BZ69" s="189">
        <f>[95]GARDU!$F$17</f>
        <v>3</v>
      </c>
      <c r="CA69" s="189">
        <f>[95]GARDU!$F$16</f>
        <v>3</v>
      </c>
      <c r="CB69" s="189"/>
      <c r="CC69" s="189"/>
      <c r="CD69" s="189"/>
      <c r="CE69" s="189"/>
    </row>
    <row r="70" spans="1:83" s="61" customFormat="1" ht="84">
      <c r="B70" s="60"/>
      <c r="C70" s="60"/>
      <c r="D70" s="60"/>
      <c r="E70" s="59"/>
      <c r="F70" s="60"/>
      <c r="G70" s="60"/>
      <c r="H70" s="60"/>
      <c r="I70" s="59"/>
      <c r="J70" s="60"/>
      <c r="K70" s="60"/>
      <c r="L70" s="59"/>
      <c r="M70" s="60"/>
      <c r="N70" s="60"/>
      <c r="O70" s="60"/>
      <c r="P70" s="59"/>
      <c r="Q70" s="168">
        <v>48</v>
      </c>
      <c r="R70" s="174" t="s">
        <v>207</v>
      </c>
      <c r="S70" s="227" t="s">
        <v>166</v>
      </c>
      <c r="T70" s="227" t="s">
        <v>208</v>
      </c>
      <c r="U70" s="223"/>
      <c r="V70" s="224" t="s">
        <v>209</v>
      </c>
      <c r="W70" s="224"/>
      <c r="X70" s="435">
        <f>'[96]RAB SUTR'!$F$14+[96]SUTM!$G$21</f>
        <v>7</v>
      </c>
      <c r="Y70" s="435">
        <f>[96]GARDU!$F$15+[96]SUTM!$G$16</f>
        <v>49</v>
      </c>
      <c r="Z70" s="224"/>
      <c r="AA70" s="212">
        <f>7.34/3</f>
        <v>2.4466666666666668</v>
      </c>
      <c r="AB70" s="225">
        <v>2.6779999999999999</v>
      </c>
      <c r="AC70" s="162"/>
      <c r="AD70" s="162">
        <v>2</v>
      </c>
      <c r="AE70" s="162"/>
      <c r="AF70" s="162"/>
      <c r="AG70" s="228">
        <f t="shared" si="11"/>
        <v>200</v>
      </c>
      <c r="AH70" s="228">
        <f t="shared" si="9"/>
        <v>2</v>
      </c>
      <c r="AI70" s="226">
        <f>[70]SUTM!$K$51</f>
        <v>891711849.49000001</v>
      </c>
      <c r="AJ70" s="226">
        <f>'[70]RAB SUTR'!$K$40</f>
        <v>225311397.21200001</v>
      </c>
      <c r="AK70" s="226">
        <f>[70]GARDU!$J$60</f>
        <v>275426872.60000002</v>
      </c>
      <c r="AL70" s="214">
        <f t="shared" si="10"/>
        <v>1392450119.302</v>
      </c>
      <c r="AM70" s="92"/>
      <c r="AN70" s="58"/>
      <c r="AO70" s="59"/>
      <c r="AP70" s="56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5"/>
      <c r="BC70" s="356"/>
      <c r="BD70" s="54"/>
      <c r="BE70" s="54"/>
      <c r="BF70" s="54"/>
      <c r="BG70" s="54"/>
      <c r="BH70" s="54"/>
      <c r="BI70" s="54"/>
      <c r="BJ70" s="54"/>
      <c r="BK70" s="60"/>
      <c r="BL70" s="189"/>
      <c r="BM70" s="436">
        <f>[96]SUTM!$G$19</f>
        <v>7339.5</v>
      </c>
      <c r="BN70" s="189"/>
      <c r="BO70" s="189"/>
      <c r="BP70" s="189"/>
      <c r="BQ70" s="189"/>
      <c r="BR70" s="189">
        <f>[96]GARDU!$F$31</f>
        <v>72</v>
      </c>
      <c r="BS70" s="189"/>
      <c r="BT70" s="189">
        <f>[96]GARDU!$F$30</f>
        <v>144</v>
      </c>
      <c r="BU70" s="436">
        <f>'[96]RAB SUTR'!$F$12</f>
        <v>2678</v>
      </c>
      <c r="BV70" s="189"/>
      <c r="BW70" s="437">
        <f>[96]GARDU!$F$24</f>
        <v>2</v>
      </c>
      <c r="BX70" s="436">
        <f>[96]SUTM!$G$18</f>
        <v>30</v>
      </c>
      <c r="BY70" s="436">
        <f>[96]SUTM!$G$17+[96]GARDU!$F$18</f>
        <v>140</v>
      </c>
      <c r="BZ70" s="189">
        <f>[96]GARDU!$F$17</f>
        <v>6</v>
      </c>
      <c r="CA70" s="189">
        <f>[96]GARDU!$F$16</f>
        <v>6</v>
      </c>
      <c r="CB70" s="189"/>
      <c r="CC70" s="189"/>
      <c r="CD70" s="189"/>
      <c r="CE70" s="189"/>
    </row>
    <row r="71" spans="1:83" s="61" customFormat="1" ht="105">
      <c r="B71" s="60"/>
      <c r="C71" s="60"/>
      <c r="D71" s="60"/>
      <c r="E71" s="59"/>
      <c r="F71" s="60"/>
      <c r="G71" s="60"/>
      <c r="H71" s="60"/>
      <c r="I71" s="59"/>
      <c r="J71" s="60"/>
      <c r="K71" s="60"/>
      <c r="L71" s="59"/>
      <c r="M71" s="60"/>
      <c r="N71" s="60"/>
      <c r="O71" s="60"/>
      <c r="P71" s="59"/>
      <c r="Q71" s="168">
        <v>49</v>
      </c>
      <c r="R71" s="174" t="s">
        <v>204</v>
      </c>
      <c r="S71" s="227" t="s">
        <v>166</v>
      </c>
      <c r="T71" s="227" t="s">
        <v>205</v>
      </c>
      <c r="U71" s="223"/>
      <c r="V71" s="224" t="s">
        <v>206</v>
      </c>
      <c r="W71" s="435">
        <f>'[97]RAB SUTR'!$F$15</f>
        <v>1</v>
      </c>
      <c r="X71" s="435">
        <f>'[97]RAB SUTR'!$E$14+[97]SUTM!$G$21</f>
        <v>21</v>
      </c>
      <c r="Y71" s="435">
        <f>[97]GARDU!$F$15+[97]SUTM!$G$16</f>
        <v>60</v>
      </c>
      <c r="Z71" s="224"/>
      <c r="AA71" s="212">
        <f>9.135/3</f>
        <v>3.0449999999999999</v>
      </c>
      <c r="AB71" s="225">
        <v>3.1930000000000001</v>
      </c>
      <c r="AC71" s="162"/>
      <c r="AD71" s="162">
        <v>2</v>
      </c>
      <c r="AE71" s="162"/>
      <c r="AF71" s="162"/>
      <c r="AG71" s="228">
        <f t="shared" si="11"/>
        <v>200</v>
      </c>
      <c r="AH71" s="228">
        <f t="shared" si="9"/>
        <v>2</v>
      </c>
      <c r="AI71" s="226">
        <f>[71]SUTM!$K$51</f>
        <v>1091624743</v>
      </c>
      <c r="AJ71" s="226">
        <f>'[71]RAB SUTR'!$K$40</f>
        <v>386671809.17200005</v>
      </c>
      <c r="AK71" s="226">
        <f>[71]GARDU!$J$60</f>
        <v>275426872.60000002</v>
      </c>
      <c r="AL71" s="214">
        <f t="shared" si="10"/>
        <v>1753723424.7719998</v>
      </c>
      <c r="AM71" s="92"/>
      <c r="AN71" s="58"/>
      <c r="AO71" s="59"/>
      <c r="AP71" s="56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5"/>
      <c r="BC71" s="356"/>
      <c r="BD71" s="54"/>
      <c r="BE71" s="54"/>
      <c r="BF71" s="54"/>
      <c r="BG71" s="54"/>
      <c r="BH71" s="54"/>
      <c r="BI71" s="54"/>
      <c r="BJ71" s="54"/>
      <c r="BK71" s="60"/>
      <c r="BL71" s="189"/>
      <c r="BM71" s="436">
        <f>[97]SUTM!$G$19</f>
        <v>9135</v>
      </c>
      <c r="BN71" s="189"/>
      <c r="BO71" s="189"/>
      <c r="BP71" s="189"/>
      <c r="BQ71" s="189"/>
      <c r="BR71" s="436">
        <f>[97]GARDU!$F$31</f>
        <v>72</v>
      </c>
      <c r="BS71" s="189"/>
      <c r="BT71" s="436">
        <f>[97]GARDU!$F$30</f>
        <v>144</v>
      </c>
      <c r="BU71" s="438">
        <f>'[97]RAB SUTR'!$E$12</f>
        <v>3193</v>
      </c>
      <c r="BV71" s="189"/>
      <c r="BW71" s="437">
        <f>[97]GARDU!$F$24</f>
        <v>2</v>
      </c>
      <c r="BX71" s="436">
        <f>[97]SUTM!$G$18</f>
        <v>39</v>
      </c>
      <c r="BY71" s="436">
        <f>[97]SUTM!$G$17+[97]GARDU!$F$18</f>
        <v>171</v>
      </c>
      <c r="BZ71" s="189">
        <f>[97]GARDU!$F$17</f>
        <v>6</v>
      </c>
      <c r="CA71" s="189">
        <f>[97]GARDU!$F$16</f>
        <v>6</v>
      </c>
      <c r="CB71" s="189"/>
      <c r="CC71" s="189"/>
      <c r="CD71" s="189"/>
      <c r="CE71" s="189"/>
    </row>
    <row r="72" spans="1:83" s="61" customFormat="1" ht="20.100000000000001" customHeight="1">
      <c r="A72" s="93"/>
      <c r="B72" s="93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362">
        <v>50</v>
      </c>
      <c r="R72" s="364" t="s">
        <v>165</v>
      </c>
      <c r="S72" s="311" t="s">
        <v>166</v>
      </c>
      <c r="T72" s="311" t="s">
        <v>235</v>
      </c>
      <c r="U72" s="229">
        <v>1</v>
      </c>
      <c r="V72" s="230" t="s">
        <v>151</v>
      </c>
      <c r="W72" s="439">
        <f>[98]SUTR!$E$23</f>
        <v>2</v>
      </c>
      <c r="X72" s="230"/>
      <c r="Y72" s="439">
        <f>[98]SUTM!$E$34+[98]TRAFO!$E$33</f>
        <v>12</v>
      </c>
      <c r="Z72" s="230"/>
      <c r="AA72" s="212">
        <f>1.545/3</f>
        <v>0.51500000000000001</v>
      </c>
      <c r="AB72" s="225">
        <v>0.126</v>
      </c>
      <c r="AC72" s="313"/>
      <c r="AD72" s="313">
        <v>15</v>
      </c>
      <c r="AE72" s="313"/>
      <c r="AF72" s="313"/>
      <c r="AG72" s="363">
        <f t="shared" si="11"/>
        <v>1500</v>
      </c>
      <c r="AH72" s="363">
        <f t="shared" si="9"/>
        <v>15</v>
      </c>
      <c r="AI72" s="312">
        <f>'[72]SUTM 1'!$P$151</f>
        <v>2023786395.4000001</v>
      </c>
      <c r="AJ72" s="312">
        <f>[73]TRAFO!$X$119</f>
        <v>2158894554.3000002</v>
      </c>
      <c r="AK72" s="312">
        <f>'[72]SUTR 1'!$O$69</f>
        <v>357614699.18655562</v>
      </c>
      <c r="AL72" s="319">
        <f>SUM(AI72:AK86)</f>
        <v>4540295648.8865557</v>
      </c>
      <c r="AM72" s="92"/>
      <c r="AN72" s="58"/>
      <c r="AO72" s="59"/>
      <c r="AP72" s="56"/>
      <c r="AQ72" s="82"/>
      <c r="AR72" s="82"/>
      <c r="AS72" s="82"/>
      <c r="AT72" s="82"/>
      <c r="AU72" s="82"/>
      <c r="AV72" s="82"/>
      <c r="AW72" s="82"/>
      <c r="AX72" s="82"/>
      <c r="AY72" s="82"/>
      <c r="AZ72" s="82"/>
      <c r="BA72" s="82"/>
      <c r="BB72" s="91"/>
      <c r="BC72" s="357"/>
      <c r="BD72" s="82"/>
      <c r="BE72" s="82"/>
      <c r="BF72" s="82"/>
      <c r="BG72" s="82"/>
      <c r="BH72" s="82"/>
      <c r="BI72" s="82"/>
      <c r="BJ72" s="82"/>
      <c r="BK72" s="60"/>
      <c r="BL72" s="189"/>
      <c r="BM72" s="436">
        <f>[98]SUTM!$E$25</f>
        <v>1545</v>
      </c>
      <c r="BN72" s="189"/>
      <c r="BO72" s="189"/>
      <c r="BP72" s="189"/>
      <c r="BQ72" s="189"/>
      <c r="BR72" s="189"/>
      <c r="BS72" s="436">
        <f>[98]TRAFO!$E$59</f>
        <v>36</v>
      </c>
      <c r="BT72" s="436">
        <f>[98]TRAFO!$E$57</f>
        <v>72</v>
      </c>
      <c r="BU72" s="436">
        <f>[98]SUTR!$E$21</f>
        <v>124.80000000000001</v>
      </c>
      <c r="BV72" s="189"/>
      <c r="BW72" s="437">
        <v>1</v>
      </c>
      <c r="BX72" s="440">
        <f>[98]SUTM!$E$38</f>
        <v>6</v>
      </c>
      <c r="BY72" s="440">
        <f>6+[98]SUTM!$E$37</f>
        <v>34</v>
      </c>
      <c r="BZ72" s="189">
        <v>3</v>
      </c>
      <c r="CA72" s="189">
        <v>3</v>
      </c>
      <c r="CB72" s="189"/>
      <c r="CC72" s="189"/>
      <c r="CD72" s="189"/>
      <c r="CE72" s="189"/>
    </row>
    <row r="73" spans="1:83" s="61" customFormat="1" ht="20.100000000000001" customHeight="1">
      <c r="A73" s="93"/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362"/>
      <c r="R73" s="364"/>
      <c r="S73" s="311"/>
      <c r="T73" s="311"/>
      <c r="U73" s="229">
        <v>2</v>
      </c>
      <c r="V73" s="230" t="s">
        <v>152</v>
      </c>
      <c r="W73" s="439"/>
      <c r="X73" s="230"/>
      <c r="Y73" s="439">
        <v>2</v>
      </c>
      <c r="Z73" s="230"/>
      <c r="AA73" s="212">
        <f>5.307/3</f>
        <v>1.7690000000000001</v>
      </c>
      <c r="AB73" s="225"/>
      <c r="AC73" s="304"/>
      <c r="AD73" s="304"/>
      <c r="AE73" s="304"/>
      <c r="AF73" s="304"/>
      <c r="AG73" s="327">
        <f t="shared" si="11"/>
        <v>0</v>
      </c>
      <c r="AH73" s="327">
        <f t="shared" si="9"/>
        <v>0</v>
      </c>
      <c r="AI73" s="312"/>
      <c r="AJ73" s="312"/>
      <c r="AK73" s="312"/>
      <c r="AL73" s="319"/>
      <c r="AM73" s="92"/>
      <c r="AN73" s="58"/>
      <c r="AO73" s="59"/>
      <c r="AP73" s="56"/>
      <c r="AQ73" s="82"/>
      <c r="AR73" s="82"/>
      <c r="AS73" s="82"/>
      <c r="AT73" s="82"/>
      <c r="AU73" s="82"/>
      <c r="AV73" s="82"/>
      <c r="AW73" s="82"/>
      <c r="AX73" s="82"/>
      <c r="AY73" s="82"/>
      <c r="AZ73" s="82"/>
      <c r="BA73" s="82"/>
      <c r="BB73" s="91"/>
      <c r="BC73" s="357"/>
      <c r="BD73" s="82"/>
      <c r="BE73" s="82"/>
      <c r="BF73" s="82"/>
      <c r="BG73" s="82"/>
      <c r="BH73" s="82"/>
      <c r="BI73" s="82"/>
      <c r="BJ73" s="82"/>
      <c r="BK73" s="60"/>
      <c r="BL73" s="189"/>
      <c r="BM73" s="189"/>
      <c r="BN73" s="189"/>
      <c r="BO73" s="189"/>
      <c r="BP73" s="189"/>
      <c r="BQ73" s="189"/>
      <c r="BR73" s="189"/>
      <c r="BS73" s="436">
        <f>[98]TRAFO!$F$59</f>
        <v>36</v>
      </c>
      <c r="BT73" s="436">
        <f>[98]TRAFO!$F$57</f>
        <v>72</v>
      </c>
      <c r="BU73" s="189"/>
      <c r="BV73" s="189"/>
      <c r="BW73" s="437">
        <v>1</v>
      </c>
      <c r="BX73" s="437"/>
      <c r="BY73" s="437">
        <v>6</v>
      </c>
      <c r="BZ73" s="189">
        <v>3</v>
      </c>
      <c r="CA73" s="189">
        <v>3</v>
      </c>
      <c r="CB73" s="189"/>
      <c r="CC73" s="189"/>
      <c r="CD73" s="189"/>
      <c r="CE73" s="189"/>
    </row>
    <row r="74" spans="1:83" s="61" customFormat="1" ht="20.100000000000001" customHeight="1">
      <c r="A74" s="93"/>
      <c r="B74" s="93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362"/>
      <c r="R74" s="364"/>
      <c r="S74" s="311"/>
      <c r="T74" s="311"/>
      <c r="U74" s="229">
        <v>3</v>
      </c>
      <c r="V74" s="230" t="s">
        <v>153</v>
      </c>
      <c r="W74" s="439"/>
      <c r="X74" s="230"/>
      <c r="Y74" s="439">
        <v>2</v>
      </c>
      <c r="Z74" s="230"/>
      <c r="AA74" s="212"/>
      <c r="AB74" s="225">
        <v>0.57199999999999995</v>
      </c>
      <c r="AC74" s="304"/>
      <c r="AD74" s="304"/>
      <c r="AE74" s="304"/>
      <c r="AF74" s="304"/>
      <c r="AG74" s="327">
        <f t="shared" si="11"/>
        <v>0</v>
      </c>
      <c r="AH74" s="327">
        <f t="shared" si="9"/>
        <v>0</v>
      </c>
      <c r="AI74" s="312"/>
      <c r="AJ74" s="312"/>
      <c r="AK74" s="312"/>
      <c r="AL74" s="319"/>
      <c r="AM74" s="92"/>
      <c r="AN74" s="58"/>
      <c r="AO74" s="59"/>
      <c r="AP74" s="56"/>
      <c r="AQ74" s="82"/>
      <c r="AR74" s="82"/>
      <c r="AS74" s="82"/>
      <c r="AT74" s="82"/>
      <c r="AU74" s="82"/>
      <c r="AV74" s="82"/>
      <c r="AW74" s="82"/>
      <c r="AX74" s="82"/>
      <c r="AY74" s="82"/>
      <c r="AZ74" s="82"/>
      <c r="BA74" s="82"/>
      <c r="BB74" s="91"/>
      <c r="BC74" s="357"/>
      <c r="BD74" s="82"/>
      <c r="BE74" s="82"/>
      <c r="BF74" s="82"/>
      <c r="BG74" s="82"/>
      <c r="BH74" s="82"/>
      <c r="BI74" s="82"/>
      <c r="BJ74" s="82"/>
      <c r="BK74" s="60"/>
      <c r="BL74" s="189"/>
      <c r="BM74" s="189"/>
      <c r="BN74" s="189"/>
      <c r="BO74" s="189"/>
      <c r="BP74" s="189"/>
      <c r="BQ74" s="189"/>
      <c r="BR74" s="189"/>
      <c r="BS74" s="436">
        <f>[98]TRAFO!$G$59</f>
        <v>36</v>
      </c>
      <c r="BT74" s="436">
        <f>[98]TRAFO!$G$57</f>
        <v>72</v>
      </c>
      <c r="BU74" s="436">
        <f>[98]SUTR!$F$21</f>
        <v>572</v>
      </c>
      <c r="BV74" s="189"/>
      <c r="BW74" s="437">
        <v>1</v>
      </c>
      <c r="BX74" s="437"/>
      <c r="BY74" s="437">
        <v>6</v>
      </c>
      <c r="BZ74" s="189">
        <v>3</v>
      </c>
      <c r="CA74" s="189">
        <v>3</v>
      </c>
      <c r="CB74" s="189"/>
      <c r="CC74" s="189"/>
      <c r="CD74" s="189"/>
      <c r="CE74" s="189"/>
    </row>
    <row r="75" spans="1:83" s="61" customFormat="1" ht="20.100000000000001" customHeight="1">
      <c r="A75" s="93"/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362"/>
      <c r="R75" s="364"/>
      <c r="S75" s="311"/>
      <c r="T75" s="311"/>
      <c r="U75" s="229">
        <v>4</v>
      </c>
      <c r="V75" s="230" t="s">
        <v>154</v>
      </c>
      <c r="W75" s="439">
        <f>[98]SUTR!$G$23</f>
        <v>4</v>
      </c>
      <c r="X75" s="230"/>
      <c r="Y75" s="439">
        <f>2+[98]SUTM!$F$34</f>
        <v>12</v>
      </c>
      <c r="Z75" s="230"/>
      <c r="AA75" s="212">
        <f>1.545/3</f>
        <v>0.51500000000000001</v>
      </c>
      <c r="AB75" s="225">
        <v>0.16600000000000001</v>
      </c>
      <c r="AC75" s="304"/>
      <c r="AD75" s="304"/>
      <c r="AE75" s="304"/>
      <c r="AF75" s="304"/>
      <c r="AG75" s="327">
        <f t="shared" si="11"/>
        <v>0</v>
      </c>
      <c r="AH75" s="327">
        <f t="shared" si="9"/>
        <v>0</v>
      </c>
      <c r="AI75" s="312"/>
      <c r="AJ75" s="312"/>
      <c r="AK75" s="312"/>
      <c r="AL75" s="319"/>
      <c r="AM75" s="92"/>
      <c r="AN75" s="58"/>
      <c r="AO75" s="59"/>
      <c r="AP75" s="56"/>
      <c r="AQ75" s="82"/>
      <c r="AR75" s="82"/>
      <c r="AS75" s="82"/>
      <c r="AT75" s="82"/>
      <c r="AU75" s="82"/>
      <c r="AV75" s="82"/>
      <c r="AW75" s="82"/>
      <c r="AX75" s="82"/>
      <c r="AY75" s="82"/>
      <c r="AZ75" s="82"/>
      <c r="BA75" s="82"/>
      <c r="BB75" s="91"/>
      <c r="BC75" s="357"/>
      <c r="BD75" s="82"/>
      <c r="BE75" s="82"/>
      <c r="BF75" s="82"/>
      <c r="BG75" s="82"/>
      <c r="BH75" s="82"/>
      <c r="BI75" s="82"/>
      <c r="BJ75" s="82"/>
      <c r="BK75" s="60"/>
      <c r="BL75" s="189"/>
      <c r="BM75" s="436">
        <f>[98]SUTM!$F$25</f>
        <v>1545</v>
      </c>
      <c r="BN75" s="189"/>
      <c r="BO75" s="189"/>
      <c r="BP75" s="189"/>
      <c r="BQ75" s="189"/>
      <c r="BR75" s="189"/>
      <c r="BS75" s="436">
        <f>[98]TRAFO!$H$59</f>
        <v>36</v>
      </c>
      <c r="BT75" s="436">
        <f>[98]TRAFO!$H$57</f>
        <v>72</v>
      </c>
      <c r="BU75" s="436">
        <f>[98]SUTR!$G$21</f>
        <v>166.4</v>
      </c>
      <c r="BV75" s="189"/>
      <c r="BW75" s="437">
        <v>1</v>
      </c>
      <c r="BX75" s="440">
        <f>[98]SUTM!$F$38</f>
        <v>6</v>
      </c>
      <c r="BY75" s="440">
        <f>6+[98]SUTM!$F$37</f>
        <v>34</v>
      </c>
      <c r="BZ75" s="189">
        <v>3</v>
      </c>
      <c r="CA75" s="189">
        <v>3</v>
      </c>
      <c r="CB75" s="189"/>
      <c r="CC75" s="189"/>
      <c r="CD75" s="189"/>
      <c r="CE75" s="189"/>
    </row>
    <row r="76" spans="1:83" s="61" customFormat="1" ht="20.100000000000001" customHeight="1">
      <c r="A76" s="93"/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362"/>
      <c r="R76" s="364"/>
      <c r="S76" s="311"/>
      <c r="T76" s="311"/>
      <c r="U76" s="229">
        <v>5</v>
      </c>
      <c r="V76" s="230" t="s">
        <v>155</v>
      </c>
      <c r="W76" s="439"/>
      <c r="X76" s="230"/>
      <c r="Y76" s="439">
        <f>2+[98]SUTM!$G$34</f>
        <v>7</v>
      </c>
      <c r="Z76" s="230"/>
      <c r="AA76" s="212">
        <f>0.618/3</f>
        <v>0.20599999999999999</v>
      </c>
      <c r="AB76" s="225">
        <v>0.218</v>
      </c>
      <c r="AC76" s="304"/>
      <c r="AD76" s="304"/>
      <c r="AE76" s="304"/>
      <c r="AF76" s="304"/>
      <c r="AG76" s="327">
        <f t="shared" si="11"/>
        <v>0</v>
      </c>
      <c r="AH76" s="327">
        <f t="shared" si="9"/>
        <v>0</v>
      </c>
      <c r="AI76" s="312"/>
      <c r="AJ76" s="312"/>
      <c r="AK76" s="312"/>
      <c r="AL76" s="319"/>
      <c r="AM76" s="92"/>
      <c r="AN76" s="58"/>
      <c r="AO76" s="59"/>
      <c r="AP76" s="56"/>
      <c r="AQ76" s="82"/>
      <c r="AR76" s="82"/>
      <c r="AS76" s="82"/>
      <c r="AT76" s="82"/>
      <c r="AU76" s="82"/>
      <c r="AV76" s="82"/>
      <c r="AW76" s="82"/>
      <c r="AX76" s="82"/>
      <c r="AY76" s="82"/>
      <c r="AZ76" s="82"/>
      <c r="BA76" s="82"/>
      <c r="BB76" s="91"/>
      <c r="BC76" s="357"/>
      <c r="BD76" s="82"/>
      <c r="BE76" s="82"/>
      <c r="BF76" s="82"/>
      <c r="BG76" s="82"/>
      <c r="BH76" s="82"/>
      <c r="BI76" s="82"/>
      <c r="BJ76" s="82"/>
      <c r="BK76" s="60"/>
      <c r="BL76" s="189"/>
      <c r="BM76" s="436">
        <f>[98]SUTM!$G$25</f>
        <v>618</v>
      </c>
      <c r="BN76" s="189"/>
      <c r="BO76" s="189"/>
      <c r="BP76" s="189"/>
      <c r="BQ76" s="189"/>
      <c r="BR76" s="189"/>
      <c r="BS76" s="436">
        <f>[98]TRAFO!$I$59</f>
        <v>36</v>
      </c>
      <c r="BT76" s="436">
        <f>[98]TRAFO!$I$57</f>
        <v>72</v>
      </c>
      <c r="BU76" s="436">
        <f>[98]SUTR!$H$21</f>
        <v>218.4</v>
      </c>
      <c r="BV76" s="189"/>
      <c r="BW76" s="437">
        <v>1</v>
      </c>
      <c r="BX76" s="440">
        <f>3+[98]SUTM!$G$38</f>
        <v>6</v>
      </c>
      <c r="BY76" s="440">
        <f>6+[98]SUTM!$G$37</f>
        <v>19</v>
      </c>
      <c r="BZ76" s="189">
        <v>3</v>
      </c>
      <c r="CA76" s="189">
        <v>3</v>
      </c>
      <c r="CB76" s="189"/>
      <c r="CC76" s="189"/>
      <c r="CD76" s="189"/>
      <c r="CE76" s="189"/>
    </row>
    <row r="77" spans="1:83" s="61" customFormat="1" ht="20.100000000000001" customHeight="1">
      <c r="A77" s="93"/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362"/>
      <c r="R77" s="364"/>
      <c r="S77" s="311"/>
      <c r="T77" s="311"/>
      <c r="U77" s="229">
        <v>6</v>
      </c>
      <c r="V77" s="230" t="s">
        <v>156</v>
      </c>
      <c r="W77" s="439"/>
      <c r="X77" s="230"/>
      <c r="Y77" s="439">
        <f>2+[98]SUTM!$H$34</f>
        <v>9</v>
      </c>
      <c r="Z77" s="230"/>
      <c r="AA77" s="212">
        <f>1.082/3</f>
        <v>0.36066666666666669</v>
      </c>
      <c r="AB77" s="225"/>
      <c r="AC77" s="304"/>
      <c r="AD77" s="304"/>
      <c r="AE77" s="304"/>
      <c r="AF77" s="304"/>
      <c r="AG77" s="327">
        <f t="shared" si="11"/>
        <v>0</v>
      </c>
      <c r="AH77" s="327">
        <f t="shared" si="9"/>
        <v>0</v>
      </c>
      <c r="AI77" s="312"/>
      <c r="AJ77" s="312"/>
      <c r="AK77" s="312"/>
      <c r="AL77" s="319"/>
      <c r="AM77" s="92"/>
      <c r="AN77" s="58"/>
      <c r="AO77" s="59"/>
      <c r="AP77" s="56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91"/>
      <c r="BC77" s="357"/>
      <c r="BD77" s="82"/>
      <c r="BE77" s="82"/>
      <c r="BF77" s="82"/>
      <c r="BG77" s="82"/>
      <c r="BH77" s="82"/>
      <c r="BI77" s="82"/>
      <c r="BJ77" s="82"/>
      <c r="BK77" s="60"/>
      <c r="BL77" s="189"/>
      <c r="BM77" s="436">
        <f>[98]SUTM!$H$25</f>
        <v>1081.5</v>
      </c>
      <c r="BN77" s="189"/>
      <c r="BO77" s="189"/>
      <c r="BP77" s="189"/>
      <c r="BQ77" s="189"/>
      <c r="BR77" s="189"/>
      <c r="BS77" s="436">
        <f>[98]TRAFO!$E$59</f>
        <v>36</v>
      </c>
      <c r="BT77" s="436">
        <f>[98]TRAFO!$E$57</f>
        <v>72</v>
      </c>
      <c r="BU77" s="189"/>
      <c r="BV77" s="189"/>
      <c r="BW77" s="437">
        <v>1</v>
      </c>
      <c r="BX77" s="440">
        <f>3+[98]SUTM!$H$38</f>
        <v>6</v>
      </c>
      <c r="BY77" s="440">
        <f>6+[98]SUTM!$H$37</f>
        <v>28</v>
      </c>
      <c r="BZ77" s="189">
        <v>3</v>
      </c>
      <c r="CA77" s="189">
        <v>3</v>
      </c>
      <c r="CB77" s="189"/>
      <c r="CC77" s="189"/>
      <c r="CD77" s="189"/>
      <c r="CE77" s="189"/>
    </row>
    <row r="78" spans="1:83" s="61" customFormat="1" ht="20.100000000000001" customHeight="1">
      <c r="A78" s="93"/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362"/>
      <c r="R78" s="364"/>
      <c r="S78" s="311"/>
      <c r="T78" s="311"/>
      <c r="U78" s="229">
        <v>7</v>
      </c>
      <c r="V78" s="230" t="s">
        <v>278</v>
      </c>
      <c r="W78" s="439">
        <f>[98]SUTR!$J$23</f>
        <v>8</v>
      </c>
      <c r="X78" s="230"/>
      <c r="Y78" s="439">
        <f>2+[98]SUTM!$I$34</f>
        <v>11</v>
      </c>
      <c r="Z78" s="230"/>
      <c r="AA78" s="261">
        <f>[98]SUTM!$D$13</f>
        <v>0.48</v>
      </c>
      <c r="AB78" s="262">
        <f>[98]SUTR!$E$14</f>
        <v>0.85</v>
      </c>
      <c r="AC78" s="304"/>
      <c r="AD78" s="304"/>
      <c r="AE78" s="304"/>
      <c r="AF78" s="304"/>
      <c r="AG78" s="327"/>
      <c r="AH78" s="327"/>
      <c r="AI78" s="312"/>
      <c r="AJ78" s="312"/>
      <c r="AK78" s="312"/>
      <c r="AL78" s="319"/>
      <c r="AM78" s="92"/>
      <c r="AN78" s="58"/>
      <c r="AO78" s="59"/>
      <c r="AP78" s="103"/>
      <c r="AQ78" s="82"/>
      <c r="AR78" s="82"/>
      <c r="AS78" s="82"/>
      <c r="AT78" s="82"/>
      <c r="AU78" s="82"/>
      <c r="AV78" s="82"/>
      <c r="AW78" s="82"/>
      <c r="AX78" s="82"/>
      <c r="AY78" s="82"/>
      <c r="AZ78" s="82"/>
      <c r="BA78" s="82"/>
      <c r="BB78" s="91"/>
      <c r="BC78" s="357"/>
      <c r="BD78" s="82"/>
      <c r="BE78" s="82"/>
      <c r="BF78" s="82"/>
      <c r="BG78" s="82"/>
      <c r="BH78" s="82"/>
      <c r="BI78" s="82"/>
      <c r="BJ78" s="82"/>
      <c r="BK78" s="60"/>
      <c r="BL78" s="189"/>
      <c r="BM78" s="436">
        <f>[98]SUTM!$I$25</f>
        <v>1483.2</v>
      </c>
      <c r="BN78" s="189"/>
      <c r="BO78" s="189"/>
      <c r="BP78" s="189"/>
      <c r="BQ78" s="189"/>
      <c r="BR78" s="189"/>
      <c r="BS78" s="436">
        <f>[98]TRAFO!$F$59</f>
        <v>36</v>
      </c>
      <c r="BT78" s="436">
        <f>[98]TRAFO!$F$57</f>
        <v>72</v>
      </c>
      <c r="BU78" s="436">
        <f>[98]SUTR!$J$21</f>
        <v>884</v>
      </c>
      <c r="BV78" s="189"/>
      <c r="BW78" s="437">
        <v>1</v>
      </c>
      <c r="BX78" s="440">
        <f>[98]SUTM!$I$38</f>
        <v>12</v>
      </c>
      <c r="BY78" s="440">
        <f>6+[98]SUTM!$I$37</f>
        <v>31</v>
      </c>
      <c r="BZ78" s="189">
        <v>3</v>
      </c>
      <c r="CA78" s="189">
        <v>3</v>
      </c>
      <c r="CB78" s="189"/>
      <c r="CC78" s="189"/>
      <c r="CD78" s="189"/>
      <c r="CE78" s="189"/>
    </row>
    <row r="79" spans="1:83" s="61" customFormat="1" ht="20.100000000000001" customHeight="1">
      <c r="A79" s="93"/>
      <c r="B79" s="93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362"/>
      <c r="R79" s="364"/>
      <c r="S79" s="311"/>
      <c r="T79" s="311"/>
      <c r="U79" s="229">
        <v>8</v>
      </c>
      <c r="V79" s="230" t="s">
        <v>157</v>
      </c>
      <c r="W79" s="230"/>
      <c r="X79" s="230"/>
      <c r="Y79" s="439">
        <v>2</v>
      </c>
      <c r="Z79" s="230"/>
      <c r="AA79" s="212"/>
      <c r="AB79" s="225"/>
      <c r="AC79" s="304"/>
      <c r="AD79" s="304"/>
      <c r="AE79" s="304"/>
      <c r="AF79" s="304"/>
      <c r="AG79" s="327">
        <f t="shared" si="11"/>
        <v>0</v>
      </c>
      <c r="AH79" s="327">
        <f t="shared" si="9"/>
        <v>0</v>
      </c>
      <c r="AI79" s="312"/>
      <c r="AJ79" s="312"/>
      <c r="AK79" s="312"/>
      <c r="AL79" s="319"/>
      <c r="AM79" s="92"/>
      <c r="AN79" s="58"/>
      <c r="AO79" s="59"/>
      <c r="AP79" s="56"/>
      <c r="AQ79" s="82"/>
      <c r="AR79" s="82"/>
      <c r="AS79" s="82"/>
      <c r="AT79" s="82"/>
      <c r="AU79" s="82"/>
      <c r="AV79" s="82"/>
      <c r="AW79" s="82"/>
      <c r="AX79" s="82"/>
      <c r="AY79" s="82"/>
      <c r="AZ79" s="82"/>
      <c r="BA79" s="82"/>
      <c r="BB79" s="91"/>
      <c r="BC79" s="357"/>
      <c r="BD79" s="82"/>
      <c r="BE79" s="82"/>
      <c r="BF79" s="82"/>
      <c r="BG79" s="82"/>
      <c r="BH79" s="82"/>
      <c r="BI79" s="82"/>
      <c r="BJ79" s="82"/>
      <c r="BK79" s="60"/>
      <c r="BL79" s="189"/>
      <c r="BM79" s="189"/>
      <c r="BN79" s="189"/>
      <c r="BO79" s="189"/>
      <c r="BP79" s="189"/>
      <c r="BQ79" s="189"/>
      <c r="BR79" s="189"/>
      <c r="BS79" s="436">
        <f>[98]TRAFO!$G$59</f>
        <v>36</v>
      </c>
      <c r="BT79" s="436">
        <f>[98]TRAFO!$G$57</f>
        <v>72</v>
      </c>
      <c r="BU79" s="189"/>
      <c r="BV79" s="189"/>
      <c r="BW79" s="437">
        <v>1</v>
      </c>
      <c r="BX79" s="437"/>
      <c r="BY79" s="437">
        <v>6</v>
      </c>
      <c r="BZ79" s="189">
        <v>3</v>
      </c>
      <c r="CA79" s="189">
        <v>3</v>
      </c>
      <c r="CB79" s="189"/>
      <c r="CC79" s="189"/>
      <c r="CD79" s="189"/>
      <c r="CE79" s="189"/>
    </row>
    <row r="80" spans="1:83" s="61" customFormat="1" ht="20.100000000000001" customHeight="1">
      <c r="A80" s="93"/>
      <c r="B80" s="93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362"/>
      <c r="R80" s="364"/>
      <c r="S80" s="311"/>
      <c r="T80" s="311"/>
      <c r="U80" s="229">
        <v>9</v>
      </c>
      <c r="V80" s="230" t="s">
        <v>158</v>
      </c>
      <c r="W80" s="230"/>
      <c r="X80" s="230"/>
      <c r="Y80" s="439">
        <f>2+[98]SUTM!$J$34</f>
        <v>8</v>
      </c>
      <c r="Z80" s="230"/>
      <c r="AA80" s="212">
        <f>[98]SUTM!$D$14</f>
        <v>0.35</v>
      </c>
      <c r="AB80" s="225"/>
      <c r="AC80" s="304"/>
      <c r="AD80" s="304"/>
      <c r="AE80" s="304"/>
      <c r="AF80" s="304"/>
      <c r="AG80" s="327">
        <f t="shared" si="11"/>
        <v>0</v>
      </c>
      <c r="AH80" s="327">
        <f t="shared" si="9"/>
        <v>0</v>
      </c>
      <c r="AI80" s="312"/>
      <c r="AJ80" s="312"/>
      <c r="AK80" s="312"/>
      <c r="AL80" s="319"/>
      <c r="AM80" s="92"/>
      <c r="AN80" s="58"/>
      <c r="AO80" s="59"/>
      <c r="AP80" s="56"/>
      <c r="AQ80" s="82"/>
      <c r="AR80" s="82"/>
      <c r="AS80" s="82"/>
      <c r="AT80" s="82"/>
      <c r="AU80" s="82"/>
      <c r="AV80" s="82"/>
      <c r="AW80" s="82"/>
      <c r="AX80" s="82"/>
      <c r="AY80" s="82"/>
      <c r="AZ80" s="82"/>
      <c r="BA80" s="82"/>
      <c r="BB80" s="91"/>
      <c r="BC80" s="357"/>
      <c r="BD80" s="82"/>
      <c r="BE80" s="82"/>
      <c r="BF80" s="82"/>
      <c r="BG80" s="82"/>
      <c r="BH80" s="82"/>
      <c r="BI80" s="82"/>
      <c r="BJ80" s="82"/>
      <c r="BK80" s="60"/>
      <c r="BL80" s="189"/>
      <c r="BM80" s="436">
        <f>[98]SUTM!$J$25</f>
        <v>1081.5</v>
      </c>
      <c r="BN80" s="189"/>
      <c r="BO80" s="189"/>
      <c r="BP80" s="189"/>
      <c r="BQ80" s="189"/>
      <c r="BR80" s="189"/>
      <c r="BS80" s="436">
        <f>[98]TRAFO!$H$59</f>
        <v>36</v>
      </c>
      <c r="BT80" s="436">
        <f>[98]TRAFO!$H$57</f>
        <v>72</v>
      </c>
      <c r="BU80" s="189"/>
      <c r="BV80" s="189"/>
      <c r="BW80" s="437">
        <v>1</v>
      </c>
      <c r="BX80" s="440">
        <f>3+[98]SUTM!$J$38</f>
        <v>6</v>
      </c>
      <c r="BY80" s="440">
        <f>6+[98]SUTM!$J$37</f>
        <v>25</v>
      </c>
      <c r="BZ80" s="189">
        <v>3</v>
      </c>
      <c r="CA80" s="189">
        <v>3</v>
      </c>
      <c r="CB80" s="189"/>
      <c r="CC80" s="189"/>
      <c r="CD80" s="189"/>
      <c r="CE80" s="189"/>
    </row>
    <row r="81" spans="1:83" s="61" customFormat="1" ht="20.100000000000001" customHeight="1">
      <c r="A81" s="93"/>
      <c r="B81" s="93"/>
      <c r="C81" s="93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362"/>
      <c r="R81" s="364"/>
      <c r="S81" s="311"/>
      <c r="T81" s="311"/>
      <c r="U81" s="229">
        <v>10</v>
      </c>
      <c r="V81" s="230" t="s">
        <v>159</v>
      </c>
      <c r="W81" s="230"/>
      <c r="X81" s="230"/>
      <c r="Y81" s="439">
        <v>2</v>
      </c>
      <c r="Z81" s="230"/>
      <c r="AA81" s="212"/>
      <c r="AB81" s="225"/>
      <c r="AC81" s="304"/>
      <c r="AD81" s="304"/>
      <c r="AE81" s="304"/>
      <c r="AF81" s="304"/>
      <c r="AG81" s="327">
        <f t="shared" si="11"/>
        <v>0</v>
      </c>
      <c r="AH81" s="327">
        <f t="shared" si="9"/>
        <v>0</v>
      </c>
      <c r="AI81" s="312"/>
      <c r="AJ81" s="312"/>
      <c r="AK81" s="312"/>
      <c r="AL81" s="319"/>
      <c r="AM81" s="92"/>
      <c r="AN81" s="58"/>
      <c r="AO81" s="59"/>
      <c r="AP81" s="56"/>
      <c r="AQ81" s="82"/>
      <c r="AR81" s="82"/>
      <c r="AS81" s="82"/>
      <c r="AT81" s="82"/>
      <c r="AU81" s="82"/>
      <c r="AV81" s="82"/>
      <c r="AW81" s="82"/>
      <c r="AX81" s="82"/>
      <c r="AY81" s="82"/>
      <c r="AZ81" s="82"/>
      <c r="BA81" s="82"/>
      <c r="BB81" s="91"/>
      <c r="BC81" s="357"/>
      <c r="BD81" s="82"/>
      <c r="BE81" s="82"/>
      <c r="BF81" s="82"/>
      <c r="BG81" s="82"/>
      <c r="BH81" s="82"/>
      <c r="BI81" s="82"/>
      <c r="BJ81" s="82"/>
      <c r="BK81" s="60"/>
      <c r="BL81" s="189"/>
      <c r="BM81" s="189"/>
      <c r="BN81" s="189"/>
      <c r="BO81" s="189"/>
      <c r="BP81" s="189"/>
      <c r="BQ81" s="189"/>
      <c r="BR81" s="189"/>
      <c r="BS81" s="436"/>
      <c r="BT81" s="436"/>
      <c r="BU81" s="189"/>
      <c r="BV81" s="189"/>
      <c r="BW81" s="437">
        <v>1</v>
      </c>
      <c r="BX81" s="189"/>
      <c r="BY81" s="437">
        <v>6</v>
      </c>
      <c r="BZ81" s="189">
        <v>3</v>
      </c>
      <c r="CA81" s="189">
        <v>3</v>
      </c>
      <c r="CB81" s="189"/>
      <c r="CC81" s="189"/>
      <c r="CD81" s="189"/>
      <c r="CE81" s="189"/>
    </row>
    <row r="82" spans="1:83" s="61" customFormat="1" ht="20.100000000000001" customHeight="1">
      <c r="A82" s="93"/>
      <c r="B82" s="93"/>
      <c r="C82" s="93"/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362"/>
      <c r="R82" s="364"/>
      <c r="S82" s="311"/>
      <c r="T82" s="311"/>
      <c r="U82" s="229">
        <v>11</v>
      </c>
      <c r="V82" s="230" t="s">
        <v>160</v>
      </c>
      <c r="W82" s="230"/>
      <c r="X82" s="230"/>
      <c r="Y82" s="439">
        <v>2</v>
      </c>
      <c r="Z82" s="230"/>
      <c r="AA82" s="212"/>
      <c r="AB82" s="225"/>
      <c r="AC82" s="304"/>
      <c r="AD82" s="304"/>
      <c r="AE82" s="304"/>
      <c r="AF82" s="304"/>
      <c r="AG82" s="327">
        <f t="shared" si="11"/>
        <v>0</v>
      </c>
      <c r="AH82" s="327">
        <f t="shared" si="9"/>
        <v>0</v>
      </c>
      <c r="AI82" s="312"/>
      <c r="AJ82" s="312"/>
      <c r="AK82" s="312"/>
      <c r="AL82" s="319"/>
      <c r="AM82" s="92"/>
      <c r="AN82" s="58"/>
      <c r="AO82" s="59"/>
      <c r="AP82" s="56"/>
      <c r="AQ82" s="82"/>
      <c r="AR82" s="82"/>
      <c r="AS82" s="82"/>
      <c r="AT82" s="82"/>
      <c r="AU82" s="82"/>
      <c r="AV82" s="82"/>
      <c r="AW82" s="82"/>
      <c r="AX82" s="82"/>
      <c r="AY82" s="82"/>
      <c r="AZ82" s="82"/>
      <c r="BA82" s="82"/>
      <c r="BB82" s="91"/>
      <c r="BC82" s="357"/>
      <c r="BD82" s="82"/>
      <c r="BE82" s="82"/>
      <c r="BF82" s="82"/>
      <c r="BG82" s="82"/>
      <c r="BH82" s="82"/>
      <c r="BI82" s="82"/>
      <c r="BJ82" s="82"/>
      <c r="BK82" s="60"/>
      <c r="BL82" s="189"/>
      <c r="BM82" s="189"/>
      <c r="BN82" s="189"/>
      <c r="BO82" s="189"/>
      <c r="BP82" s="189"/>
      <c r="BQ82" s="189"/>
      <c r="BR82" s="189"/>
      <c r="BS82" s="436">
        <f>[98]TRAFO!$I$59</f>
        <v>36</v>
      </c>
      <c r="BT82" s="436">
        <f>[98]TRAFO!$I$57</f>
        <v>72</v>
      </c>
      <c r="BU82" s="189"/>
      <c r="BV82" s="189"/>
      <c r="BW82" s="437">
        <v>1</v>
      </c>
      <c r="BX82" s="189"/>
      <c r="BY82" s="437">
        <v>6</v>
      </c>
      <c r="BZ82" s="189">
        <v>3</v>
      </c>
      <c r="CA82" s="189">
        <v>3</v>
      </c>
      <c r="CB82" s="189"/>
      <c r="CC82" s="189"/>
      <c r="CD82" s="189"/>
      <c r="CE82" s="189"/>
    </row>
    <row r="83" spans="1:83" s="61" customFormat="1" ht="20.100000000000001" customHeight="1">
      <c r="A83" s="93"/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362"/>
      <c r="R83" s="364"/>
      <c r="S83" s="311"/>
      <c r="T83" s="311"/>
      <c r="U83" s="229">
        <v>12</v>
      </c>
      <c r="V83" s="230" t="s">
        <v>161</v>
      </c>
      <c r="W83" s="230"/>
      <c r="X83" s="230"/>
      <c r="Y83" s="439">
        <v>2</v>
      </c>
      <c r="Z83" s="230"/>
      <c r="AA83" s="212"/>
      <c r="AB83" s="225"/>
      <c r="AC83" s="304"/>
      <c r="AD83" s="304"/>
      <c r="AE83" s="304"/>
      <c r="AF83" s="304"/>
      <c r="AG83" s="327">
        <f t="shared" si="11"/>
        <v>0</v>
      </c>
      <c r="AH83" s="327">
        <f t="shared" si="9"/>
        <v>0</v>
      </c>
      <c r="AI83" s="312"/>
      <c r="AJ83" s="312"/>
      <c r="AK83" s="312"/>
      <c r="AL83" s="319"/>
      <c r="AM83" s="92"/>
      <c r="AN83" s="58"/>
      <c r="AO83" s="59"/>
      <c r="AP83" s="56"/>
      <c r="AQ83" s="82"/>
      <c r="AR83" s="82"/>
      <c r="AS83" s="82"/>
      <c r="AT83" s="82"/>
      <c r="AU83" s="82"/>
      <c r="AV83" s="82"/>
      <c r="AW83" s="82"/>
      <c r="AX83" s="82"/>
      <c r="AY83" s="82"/>
      <c r="AZ83" s="82"/>
      <c r="BA83" s="82"/>
      <c r="BB83" s="91"/>
      <c r="BC83" s="357"/>
      <c r="BD83" s="82"/>
      <c r="BE83" s="82"/>
      <c r="BF83" s="82"/>
      <c r="BG83" s="82"/>
      <c r="BH83" s="82"/>
      <c r="BI83" s="82"/>
      <c r="BJ83" s="82"/>
      <c r="BK83" s="60"/>
      <c r="BL83" s="189"/>
      <c r="BM83" s="189"/>
      <c r="BN83" s="189"/>
      <c r="BO83" s="189"/>
      <c r="BP83" s="189"/>
      <c r="BQ83" s="189"/>
      <c r="BR83" s="189"/>
      <c r="BS83" s="436">
        <f>[98]TRAFO!$F$59</f>
        <v>36</v>
      </c>
      <c r="BT83" s="436">
        <f>[98]TRAFO!$F$57</f>
        <v>72</v>
      </c>
      <c r="BU83" s="189"/>
      <c r="BV83" s="189"/>
      <c r="BW83" s="437">
        <v>1</v>
      </c>
      <c r="BX83" s="189"/>
      <c r="BY83" s="437">
        <v>6</v>
      </c>
      <c r="BZ83" s="189">
        <v>3</v>
      </c>
      <c r="CA83" s="189">
        <v>3</v>
      </c>
      <c r="CB83" s="189"/>
      <c r="CC83" s="189"/>
      <c r="CD83" s="189"/>
      <c r="CE83" s="189"/>
    </row>
    <row r="84" spans="1:83" s="61" customFormat="1" ht="20.100000000000001" customHeight="1">
      <c r="A84" s="93"/>
      <c r="B84" s="93"/>
      <c r="C84" s="93"/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362"/>
      <c r="R84" s="364"/>
      <c r="S84" s="311"/>
      <c r="T84" s="311"/>
      <c r="U84" s="229">
        <v>13</v>
      </c>
      <c r="V84" s="230" t="s">
        <v>162</v>
      </c>
      <c r="W84" s="230"/>
      <c r="X84" s="230"/>
      <c r="Y84" s="439">
        <v>2</v>
      </c>
      <c r="Z84" s="230"/>
      <c r="AA84" s="212"/>
      <c r="AB84" s="225"/>
      <c r="AC84" s="304"/>
      <c r="AD84" s="304"/>
      <c r="AE84" s="304"/>
      <c r="AF84" s="304"/>
      <c r="AG84" s="327">
        <f t="shared" si="11"/>
        <v>0</v>
      </c>
      <c r="AH84" s="327">
        <f t="shared" si="9"/>
        <v>0</v>
      </c>
      <c r="AI84" s="312"/>
      <c r="AJ84" s="312"/>
      <c r="AK84" s="312"/>
      <c r="AL84" s="319"/>
      <c r="AM84" s="92"/>
      <c r="AN84" s="58"/>
      <c r="AO84" s="59"/>
      <c r="AP84" s="56"/>
      <c r="AQ84" s="82"/>
      <c r="AR84" s="82"/>
      <c r="AS84" s="82"/>
      <c r="AT84" s="82"/>
      <c r="AU84" s="82"/>
      <c r="AV84" s="82"/>
      <c r="AW84" s="82"/>
      <c r="AX84" s="82"/>
      <c r="AY84" s="82"/>
      <c r="AZ84" s="82"/>
      <c r="BA84" s="82"/>
      <c r="BB84" s="91"/>
      <c r="BC84" s="357"/>
      <c r="BD84" s="82"/>
      <c r="BE84" s="82"/>
      <c r="BF84" s="82"/>
      <c r="BG84" s="82"/>
      <c r="BH84" s="82"/>
      <c r="BI84" s="82"/>
      <c r="BJ84" s="82"/>
      <c r="BK84" s="60"/>
      <c r="BL84" s="189"/>
      <c r="BM84" s="189"/>
      <c r="BN84" s="189"/>
      <c r="BO84" s="189"/>
      <c r="BP84" s="189"/>
      <c r="BQ84" s="189"/>
      <c r="BR84" s="189"/>
      <c r="BS84" s="436">
        <f>[98]TRAFO!$G$59</f>
        <v>36</v>
      </c>
      <c r="BT84" s="436">
        <f>[98]TRAFO!$G$57</f>
        <v>72</v>
      </c>
      <c r="BU84" s="189"/>
      <c r="BV84" s="189"/>
      <c r="BW84" s="437">
        <v>1</v>
      </c>
      <c r="BX84" s="189"/>
      <c r="BY84" s="437">
        <v>6</v>
      </c>
      <c r="BZ84" s="189">
        <v>3</v>
      </c>
      <c r="CA84" s="189">
        <v>3</v>
      </c>
      <c r="CB84" s="189"/>
      <c r="CC84" s="189"/>
      <c r="CD84" s="189"/>
      <c r="CE84" s="189"/>
    </row>
    <row r="85" spans="1:83" s="61" customFormat="1" ht="20.100000000000001" customHeight="1">
      <c r="A85" s="93"/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362"/>
      <c r="R85" s="364"/>
      <c r="S85" s="311"/>
      <c r="T85" s="311"/>
      <c r="U85" s="229">
        <v>14</v>
      </c>
      <c r="V85" s="230" t="s">
        <v>163</v>
      </c>
      <c r="W85" s="230"/>
      <c r="X85" s="230"/>
      <c r="Y85" s="439">
        <v>2</v>
      </c>
      <c r="Z85" s="230"/>
      <c r="AA85" s="212"/>
      <c r="AB85" s="225"/>
      <c r="AC85" s="304"/>
      <c r="AD85" s="304"/>
      <c r="AE85" s="304"/>
      <c r="AF85" s="304"/>
      <c r="AG85" s="327">
        <f t="shared" si="11"/>
        <v>0</v>
      </c>
      <c r="AH85" s="327">
        <f t="shared" si="9"/>
        <v>0</v>
      </c>
      <c r="AI85" s="312"/>
      <c r="AJ85" s="312"/>
      <c r="AK85" s="312"/>
      <c r="AL85" s="319"/>
      <c r="AM85" s="92"/>
      <c r="AN85" s="58"/>
      <c r="AO85" s="59"/>
      <c r="AP85" s="56"/>
      <c r="AQ85" s="82"/>
      <c r="AR85" s="82"/>
      <c r="AS85" s="82"/>
      <c r="AT85" s="82"/>
      <c r="AU85" s="82"/>
      <c r="AV85" s="82"/>
      <c r="AW85" s="82"/>
      <c r="AX85" s="82"/>
      <c r="AY85" s="82"/>
      <c r="AZ85" s="82"/>
      <c r="BA85" s="82"/>
      <c r="BB85" s="91"/>
      <c r="BC85" s="357"/>
      <c r="BD85" s="82"/>
      <c r="BE85" s="82"/>
      <c r="BF85" s="82"/>
      <c r="BG85" s="82"/>
      <c r="BH85" s="82"/>
      <c r="BI85" s="82"/>
      <c r="BJ85" s="82"/>
      <c r="BK85" s="60"/>
      <c r="BL85" s="189"/>
      <c r="BM85" s="189"/>
      <c r="BN85" s="189"/>
      <c r="BO85" s="189"/>
      <c r="BP85" s="189"/>
      <c r="BQ85" s="189"/>
      <c r="BR85" s="189"/>
      <c r="BS85" s="436">
        <f>[98]TRAFO!$H$59</f>
        <v>36</v>
      </c>
      <c r="BT85" s="436">
        <f>[98]TRAFO!$H$57</f>
        <v>72</v>
      </c>
      <c r="BU85" s="189"/>
      <c r="BV85" s="189"/>
      <c r="BW85" s="437">
        <v>1</v>
      </c>
      <c r="BX85" s="189"/>
      <c r="BY85" s="437">
        <v>6</v>
      </c>
      <c r="BZ85" s="189">
        <v>3</v>
      </c>
      <c r="CA85" s="189">
        <v>3</v>
      </c>
      <c r="CB85" s="189"/>
      <c r="CC85" s="189"/>
      <c r="CD85" s="189"/>
      <c r="CE85" s="189"/>
    </row>
    <row r="86" spans="1:83" s="61" customFormat="1" ht="20.100000000000001" customHeight="1">
      <c r="A86" s="93"/>
      <c r="B86" s="93"/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362"/>
      <c r="R86" s="364"/>
      <c r="S86" s="311"/>
      <c r="T86" s="311"/>
      <c r="U86" s="229">
        <v>15</v>
      </c>
      <c r="V86" s="230" t="s">
        <v>164</v>
      </c>
      <c r="W86" s="230"/>
      <c r="X86" s="230"/>
      <c r="Y86" s="439">
        <v>2</v>
      </c>
      <c r="Z86" s="230"/>
      <c r="AA86" s="212"/>
      <c r="AB86" s="225"/>
      <c r="AC86" s="305"/>
      <c r="AD86" s="305"/>
      <c r="AE86" s="305"/>
      <c r="AF86" s="305"/>
      <c r="AG86" s="328">
        <f t="shared" si="11"/>
        <v>0</v>
      </c>
      <c r="AH86" s="328">
        <f t="shared" si="9"/>
        <v>0</v>
      </c>
      <c r="AI86" s="312"/>
      <c r="AJ86" s="312"/>
      <c r="AK86" s="312"/>
      <c r="AL86" s="319"/>
      <c r="AM86" s="92"/>
      <c r="AN86" s="58"/>
      <c r="AO86" s="59"/>
      <c r="AP86" s="56"/>
      <c r="AQ86" s="82"/>
      <c r="AR86" s="82"/>
      <c r="AS86" s="82"/>
      <c r="AT86" s="82"/>
      <c r="AU86" s="82"/>
      <c r="AV86" s="82"/>
      <c r="AW86" s="82"/>
      <c r="AX86" s="82"/>
      <c r="AY86" s="82"/>
      <c r="AZ86" s="82"/>
      <c r="BA86" s="82"/>
      <c r="BB86" s="91"/>
      <c r="BC86" s="357"/>
      <c r="BD86" s="82"/>
      <c r="BE86" s="82"/>
      <c r="BF86" s="82"/>
      <c r="BG86" s="82"/>
      <c r="BH86" s="82"/>
      <c r="BI86" s="82"/>
      <c r="BJ86" s="82"/>
      <c r="BK86" s="60"/>
      <c r="BL86" s="189"/>
      <c r="BM86" s="189"/>
      <c r="BN86" s="189"/>
      <c r="BO86" s="189"/>
      <c r="BP86" s="189"/>
      <c r="BQ86" s="189"/>
      <c r="BR86" s="189"/>
      <c r="BS86" s="436">
        <f>[98]TRAFO!$I$59</f>
        <v>36</v>
      </c>
      <c r="BT86" s="436">
        <f>[98]TRAFO!$I$57</f>
        <v>72</v>
      </c>
      <c r="BU86" s="189"/>
      <c r="BV86" s="189"/>
      <c r="BW86" s="437">
        <v>1</v>
      </c>
      <c r="BX86" s="189"/>
      <c r="BY86" s="437">
        <v>6</v>
      </c>
      <c r="BZ86" s="189">
        <v>3</v>
      </c>
      <c r="CA86" s="189">
        <v>3</v>
      </c>
      <c r="CB86" s="189"/>
      <c r="CC86" s="189"/>
      <c r="CD86" s="189"/>
      <c r="CE86" s="189"/>
    </row>
    <row r="87" spans="1:83" s="61" customFormat="1" ht="105">
      <c r="A87" s="93"/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231">
        <v>51</v>
      </c>
      <c r="R87" s="232" t="s">
        <v>174</v>
      </c>
      <c r="S87" s="233" t="s">
        <v>133</v>
      </c>
      <c r="T87" s="233" t="s">
        <v>175</v>
      </c>
      <c r="U87" s="234"/>
      <c r="V87" s="245" t="s">
        <v>231</v>
      </c>
      <c r="W87" s="441">
        <f>[99]SUTR!$F$17+[99]SUTM!$G$21</f>
        <v>10</v>
      </c>
      <c r="X87" s="441">
        <f>[99]SUTM!$G$16+[99]GARDU!$F$15</f>
        <v>149</v>
      </c>
      <c r="Y87" s="268"/>
      <c r="Z87" s="268"/>
      <c r="AA87" s="235">
        <f>22.68/3</f>
        <v>7.56</v>
      </c>
      <c r="AB87" s="236">
        <v>2.2000000000000002</v>
      </c>
      <c r="AC87" s="233"/>
      <c r="AD87" s="233">
        <v>2</v>
      </c>
      <c r="AE87" s="233"/>
      <c r="AF87" s="233"/>
      <c r="AG87" s="140">
        <f t="shared" si="11"/>
        <v>200</v>
      </c>
      <c r="AH87" s="140">
        <f t="shared" si="9"/>
        <v>2</v>
      </c>
      <c r="AI87" s="237">
        <f>[74]SUTM!$K$51</f>
        <v>2407359490.3599997</v>
      </c>
      <c r="AJ87" s="237">
        <f>[74]SUTR!$J$42</f>
        <v>325539171.61700004</v>
      </c>
      <c r="AK87" s="237">
        <f>[74]GARDU!$J$60</f>
        <v>333570416.30000001</v>
      </c>
      <c r="AL87" s="214">
        <f t="shared" ref="AL87:AL88" si="12">+AI87+AJ87+AK87</f>
        <v>3066469078.277</v>
      </c>
      <c r="AM87" s="92"/>
      <c r="AN87" s="58"/>
      <c r="AO87" s="59"/>
      <c r="AP87" s="103"/>
      <c r="AQ87" s="82"/>
      <c r="AR87" s="82"/>
      <c r="AS87" s="82"/>
      <c r="AT87" s="82"/>
      <c r="AU87" s="82"/>
      <c r="AV87" s="82"/>
      <c r="AW87" s="82"/>
      <c r="AX87" s="82"/>
      <c r="AY87" s="82"/>
      <c r="AZ87" s="82"/>
      <c r="BA87" s="82"/>
      <c r="BB87" s="91"/>
      <c r="BC87" s="357"/>
      <c r="BD87" s="82"/>
      <c r="BE87" s="82"/>
      <c r="BF87" s="82"/>
      <c r="BG87" s="82"/>
      <c r="BH87" s="82"/>
      <c r="BI87" s="82"/>
      <c r="BJ87" s="82"/>
      <c r="BK87" s="60"/>
      <c r="BL87" s="436">
        <f>[99]SUTM!$G$19</f>
        <v>22680</v>
      </c>
      <c r="BM87" s="189"/>
      <c r="BN87" s="189"/>
      <c r="BO87" s="189"/>
      <c r="BP87" s="189"/>
      <c r="BQ87" s="189"/>
      <c r="BR87" s="189">
        <f>[99]GARDU!$F$31</f>
        <v>72</v>
      </c>
      <c r="BS87" s="189"/>
      <c r="BT87" s="189">
        <f>[99]GARDU!$F$30</f>
        <v>144</v>
      </c>
      <c r="BU87" s="436">
        <f>[99]SUTR!$E$15</f>
        <v>2037</v>
      </c>
      <c r="BV87" s="189"/>
      <c r="BW87" s="437">
        <f>[99]GARDU!$F$24</f>
        <v>2</v>
      </c>
      <c r="BX87" s="436">
        <f>[99]SUTM!$G$18</f>
        <v>126</v>
      </c>
      <c r="BY87" s="436">
        <f>[99]SUTM!$G$17+[99]GARDU!$F$18</f>
        <v>458</v>
      </c>
      <c r="BZ87" s="189">
        <f>[99]GARDU!$F$17</f>
        <v>6</v>
      </c>
      <c r="CA87" s="189">
        <f>[99]GARDU!$F$16</f>
        <v>6</v>
      </c>
      <c r="CB87" s="189"/>
      <c r="CC87" s="189"/>
      <c r="CD87" s="189"/>
      <c r="CE87" s="189"/>
    </row>
    <row r="88" spans="1:83" s="61" customFormat="1" ht="105">
      <c r="A88" s="93"/>
      <c r="B88" s="93"/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238">
        <v>52</v>
      </c>
      <c r="R88" s="232" t="s">
        <v>176</v>
      </c>
      <c r="S88" s="233" t="s">
        <v>133</v>
      </c>
      <c r="T88" s="233" t="s">
        <v>175</v>
      </c>
      <c r="U88" s="229"/>
      <c r="V88" s="245" t="s">
        <v>232</v>
      </c>
      <c r="W88" s="441">
        <f>[100]SUTR!$F$17+[100]SUTM!$G$21</f>
        <v>27</v>
      </c>
      <c r="X88" s="441">
        <f>[100]GARDU!$F$16+[100]SUTM!$G$16</f>
        <v>374</v>
      </c>
      <c r="Y88" s="268"/>
      <c r="Z88" s="268"/>
      <c r="AA88" s="235">
        <f>57.645/3</f>
        <v>19.215</v>
      </c>
      <c r="AB88" s="236">
        <v>5.8</v>
      </c>
      <c r="AC88" s="233">
        <v>1</v>
      </c>
      <c r="AD88" s="233">
        <v>5</v>
      </c>
      <c r="AE88" s="233"/>
      <c r="AF88" s="233"/>
      <c r="AG88" s="140">
        <f t="shared" si="11"/>
        <v>550</v>
      </c>
      <c r="AH88" s="140">
        <f t="shared" si="9"/>
        <v>6</v>
      </c>
      <c r="AI88" s="237">
        <f>[75]SUTM!$K$51</f>
        <v>5924205591.6999998</v>
      </c>
      <c r="AJ88" s="237">
        <f>[75]SUTR!$J$42</f>
        <v>767411695.14845014</v>
      </c>
      <c r="AK88" s="237">
        <f>[75]GARDU!$J$62</f>
        <v>826871265</v>
      </c>
      <c r="AL88" s="214">
        <f t="shared" si="12"/>
        <v>7518488551.8484497</v>
      </c>
      <c r="AM88" s="92"/>
      <c r="AN88" s="58"/>
      <c r="AO88" s="59"/>
      <c r="AP88" s="103"/>
      <c r="AQ88" s="82"/>
      <c r="AR88" s="82"/>
      <c r="AS88" s="82"/>
      <c r="AT88" s="82"/>
      <c r="AU88" s="82"/>
      <c r="AV88" s="82"/>
      <c r="AW88" s="82"/>
      <c r="AX88" s="82"/>
      <c r="AY88" s="82"/>
      <c r="AZ88" s="82"/>
      <c r="BA88" s="82"/>
      <c r="BB88" s="91"/>
      <c r="BC88" s="357"/>
      <c r="BD88" s="82"/>
      <c r="BE88" s="82"/>
      <c r="BF88" s="82"/>
      <c r="BG88" s="82"/>
      <c r="BH88" s="82"/>
      <c r="BI88" s="82"/>
      <c r="BJ88" s="82"/>
      <c r="BK88" s="60"/>
      <c r="BL88" s="436">
        <f>[100]SUTM!$G$19</f>
        <v>57645</v>
      </c>
      <c r="BM88" s="189"/>
      <c r="BN88" s="189"/>
      <c r="BO88" s="189"/>
      <c r="BP88" s="189"/>
      <c r="BQ88" s="189"/>
      <c r="BR88" s="189">
        <f>[100]GARDU!$F$32</f>
        <v>216</v>
      </c>
      <c r="BS88" s="189"/>
      <c r="BT88" s="189">
        <f>[100]GARDU!$F$31</f>
        <v>432</v>
      </c>
      <c r="BU88" s="436">
        <f>[100]SUTR!$E$15</f>
        <v>5857.95</v>
      </c>
      <c r="BV88" s="189"/>
      <c r="BW88" s="437">
        <f>[100]GARDU!$F$25</f>
        <v>6</v>
      </c>
      <c r="BX88" s="436">
        <f>[100]SUTM!$G$18</f>
        <v>294</v>
      </c>
      <c r="BY88" s="436">
        <f>[100]SUTM!$G$17+[100]GARDU!$F$19</f>
        <v>1119</v>
      </c>
      <c r="BZ88" s="189">
        <f>[100]GARDU!$F$18</f>
        <v>15</v>
      </c>
      <c r="CA88" s="189">
        <f>[100]GARDU!$F$17</f>
        <v>15</v>
      </c>
      <c r="CB88" s="189"/>
      <c r="CC88" s="189"/>
      <c r="CD88" s="189"/>
      <c r="CE88" s="189"/>
    </row>
    <row r="89" spans="1:83" ht="26.25" customHeight="1">
      <c r="A89" s="63"/>
      <c r="B89" s="64"/>
      <c r="C89" s="64" t="s">
        <v>83</v>
      </c>
      <c r="D89" s="65"/>
      <c r="E89" s="66">
        <f>SUM(E7:E88)</f>
        <v>33183155</v>
      </c>
      <c r="F89" s="65"/>
      <c r="G89" s="65"/>
      <c r="H89" s="65"/>
      <c r="I89" s="67">
        <f>SUM(I7:I88)</f>
        <v>20892551</v>
      </c>
      <c r="J89" s="65"/>
      <c r="K89" s="65"/>
      <c r="L89" s="66">
        <f>SUM(L7:L88)</f>
        <v>34336112</v>
      </c>
      <c r="M89" s="64"/>
      <c r="N89" s="64" t="s">
        <v>83</v>
      </c>
      <c r="O89" s="65"/>
      <c r="P89" s="104">
        <f>SUM(P7:P88)</f>
        <v>34336112</v>
      </c>
      <c r="Q89" s="239"/>
      <c r="R89" s="240"/>
      <c r="S89" s="241"/>
      <c r="T89" s="241"/>
      <c r="U89" s="241">
        <f>SUM(U8:U88)</f>
        <v>180</v>
      </c>
      <c r="V89" s="242" t="s">
        <v>84</v>
      </c>
      <c r="W89" s="269"/>
      <c r="X89" s="269"/>
      <c r="Y89" s="269"/>
      <c r="Z89" s="269"/>
      <c r="AA89" s="241">
        <f t="shared" ref="AA89:AH89" si="13">SUM(AA8:AA88)</f>
        <v>202.87899999999996</v>
      </c>
      <c r="AB89" s="243">
        <f t="shared" si="13"/>
        <v>134.55800000000002</v>
      </c>
      <c r="AC89" s="241">
        <f t="shared" si="13"/>
        <v>4</v>
      </c>
      <c r="AD89" s="241">
        <f t="shared" si="13"/>
        <v>82</v>
      </c>
      <c r="AE89" s="241">
        <f t="shared" si="13"/>
        <v>0</v>
      </c>
      <c r="AF89" s="241">
        <f t="shared" si="13"/>
        <v>1</v>
      </c>
      <c r="AG89" s="241">
        <f t="shared" si="13"/>
        <v>8600</v>
      </c>
      <c r="AH89" s="241">
        <f t="shared" si="13"/>
        <v>87</v>
      </c>
      <c r="AI89" s="244">
        <f>SUM(AI8:AI86)</f>
        <v>67186031440.196472</v>
      </c>
      <c r="AJ89" s="244">
        <f>AJ7</f>
        <v>18099674139.84819</v>
      </c>
      <c r="AK89" s="244">
        <f>AK7</f>
        <v>10645669150.811159</v>
      </c>
      <c r="AL89" s="244">
        <f>AL7</f>
        <v>104262939812.91582</v>
      </c>
      <c r="AM89" s="241">
        <f t="shared" ref="AM89:CE89" si="14">SUM(AM8:AM88)</f>
        <v>34645180</v>
      </c>
      <c r="AN89" s="243">
        <f t="shared" si="14"/>
        <v>0</v>
      </c>
      <c r="AO89" s="241">
        <f t="shared" si="14"/>
        <v>0</v>
      </c>
      <c r="AP89" s="241">
        <f t="shared" si="14"/>
        <v>2176734</v>
      </c>
      <c r="AQ89" s="241">
        <f t="shared" si="14"/>
        <v>9</v>
      </c>
      <c r="AR89" s="241">
        <f t="shared" si="14"/>
        <v>21</v>
      </c>
      <c r="AS89" s="241">
        <f t="shared" si="14"/>
        <v>14</v>
      </c>
      <c r="AT89" s="241">
        <f t="shared" si="14"/>
        <v>1</v>
      </c>
      <c r="AU89" s="244">
        <f t="shared" ref="AU89:CE89" si="15">SUM(AU8:AU86)</f>
        <v>25183</v>
      </c>
      <c r="AV89" s="244">
        <f t="shared" ref="AV89:CE89" si="16">AV7</f>
        <v>0</v>
      </c>
      <c r="AW89" s="244">
        <f t="shared" si="16"/>
        <v>0</v>
      </c>
      <c r="AX89" s="244">
        <f t="shared" si="16"/>
        <v>0</v>
      </c>
      <c r="AY89" s="241">
        <f t="shared" si="14"/>
        <v>0</v>
      </c>
      <c r="AZ89" s="243">
        <f t="shared" si="14"/>
        <v>76</v>
      </c>
      <c r="BA89" s="241">
        <f t="shared" si="14"/>
        <v>207</v>
      </c>
      <c r="BB89" s="241">
        <f t="shared" si="14"/>
        <v>8796075000</v>
      </c>
      <c r="BC89" s="241">
        <f t="shared" si="14"/>
        <v>0</v>
      </c>
      <c r="BD89" s="241">
        <f t="shared" si="14"/>
        <v>2724</v>
      </c>
      <c r="BE89" s="241">
        <f t="shared" si="14"/>
        <v>561</v>
      </c>
      <c r="BF89" s="241">
        <f t="shared" si="14"/>
        <v>0</v>
      </c>
      <c r="BG89" s="244">
        <f t="shared" ref="BG89:CE89" si="17">SUM(BG8:BG86)</f>
        <v>135</v>
      </c>
      <c r="BH89" s="244">
        <f t="shared" ref="BH89:CE89" si="18">BH7</f>
        <v>0</v>
      </c>
      <c r="BI89" s="244">
        <f t="shared" si="18"/>
        <v>0</v>
      </c>
      <c r="BJ89" s="244">
        <f t="shared" si="18"/>
        <v>0</v>
      </c>
      <c r="BK89" s="241">
        <f t="shared" si="14"/>
        <v>0</v>
      </c>
      <c r="BL89" s="243">
        <f t="shared" si="14"/>
        <v>211530.753</v>
      </c>
      <c r="BM89" s="241">
        <f t="shared" si="14"/>
        <v>390998.4</v>
      </c>
      <c r="BN89" s="241">
        <f t="shared" si="14"/>
        <v>0</v>
      </c>
      <c r="BO89" s="241">
        <f t="shared" si="14"/>
        <v>0</v>
      </c>
      <c r="BP89" s="241">
        <f t="shared" si="14"/>
        <v>0</v>
      </c>
      <c r="BQ89" s="241">
        <f t="shared" si="14"/>
        <v>0</v>
      </c>
      <c r="BR89" s="241">
        <f t="shared" si="14"/>
        <v>1872</v>
      </c>
      <c r="BS89" s="244">
        <f t="shared" ref="BS89:CE89" si="19">SUM(BS8:BS86)</f>
        <v>1296</v>
      </c>
      <c r="BT89" s="244">
        <f t="shared" ref="BT89:CE89" si="20">BT7</f>
        <v>0</v>
      </c>
      <c r="BU89" s="244">
        <f t="shared" si="20"/>
        <v>0</v>
      </c>
      <c r="BV89" s="244">
        <f t="shared" si="20"/>
        <v>0</v>
      </c>
      <c r="BW89" s="241">
        <f t="shared" si="14"/>
        <v>89</v>
      </c>
      <c r="BX89" s="243">
        <f t="shared" si="14"/>
        <v>2799</v>
      </c>
      <c r="BY89" s="241">
        <f t="shared" si="14"/>
        <v>13140</v>
      </c>
      <c r="BZ89" s="241">
        <f t="shared" si="14"/>
        <v>267</v>
      </c>
      <c r="CA89" s="241">
        <f t="shared" si="14"/>
        <v>267</v>
      </c>
      <c r="CB89" s="241">
        <f t="shared" si="14"/>
        <v>0</v>
      </c>
      <c r="CC89" s="241">
        <f t="shared" si="14"/>
        <v>0</v>
      </c>
      <c r="CD89" s="241">
        <f t="shared" si="14"/>
        <v>0</v>
      </c>
      <c r="CE89" s="244">
        <f t="shared" ref="CE89" si="21">SUM(CE8:CE86)</f>
        <v>0</v>
      </c>
    </row>
    <row r="90" spans="1:83">
      <c r="K90" s="68" t="s">
        <v>85</v>
      </c>
      <c r="AV90" s="69">
        <v>477151</v>
      </c>
      <c r="AW90" s="69"/>
      <c r="AX90" s="70"/>
      <c r="AY90" s="70"/>
      <c r="AZ90" s="70"/>
      <c r="BA90" s="70"/>
      <c r="BD90" s="69"/>
      <c r="BE90" s="69"/>
      <c r="BF90" s="69"/>
    </row>
    <row r="91" spans="1:83">
      <c r="K91" s="68"/>
      <c r="T91" s="252" t="s">
        <v>242</v>
      </c>
      <c r="AV91" s="69"/>
      <c r="AW91" s="69"/>
      <c r="AX91" s="70"/>
      <c r="AY91" s="70"/>
      <c r="AZ91" s="70"/>
      <c r="BA91" s="70"/>
      <c r="BD91" s="69"/>
      <c r="BE91" s="69"/>
      <c r="BF91" s="69"/>
    </row>
    <row r="92" spans="1:83" ht="27">
      <c r="K92" s="68" t="s">
        <v>86</v>
      </c>
      <c r="Q92" s="295" t="s">
        <v>239</v>
      </c>
      <c r="R92" s="295"/>
      <c r="S92" s="295"/>
      <c r="T92" s="295"/>
      <c r="U92" s="295"/>
      <c r="V92" s="295"/>
      <c r="W92" s="295"/>
      <c r="X92" s="295"/>
      <c r="Y92" s="295"/>
      <c r="Z92" s="295"/>
      <c r="AA92" s="295"/>
      <c r="AB92" s="295"/>
      <c r="AC92" s="295" t="s">
        <v>236</v>
      </c>
      <c r="AD92" s="295"/>
      <c r="AE92" s="295"/>
      <c r="AF92" s="295"/>
      <c r="AG92" s="295"/>
      <c r="AH92" s="295"/>
      <c r="AI92" s="295"/>
      <c r="AJ92" s="295"/>
      <c r="AK92" s="295"/>
      <c r="AL92" s="295"/>
      <c r="AM92" s="71"/>
      <c r="AV92" s="72"/>
      <c r="AW92" s="69"/>
      <c r="AX92" s="70"/>
      <c r="AY92" s="69"/>
      <c r="AZ92" s="73"/>
      <c r="BA92" s="70"/>
      <c r="BD92" s="69"/>
      <c r="BE92" s="69"/>
      <c r="BF92" s="69"/>
    </row>
    <row r="93" spans="1:83" ht="27">
      <c r="Q93" s="295" t="s">
        <v>240</v>
      </c>
      <c r="R93" s="295"/>
      <c r="S93" s="295"/>
      <c r="T93" s="295"/>
      <c r="U93" s="295"/>
      <c r="V93" s="295"/>
      <c r="W93" s="295"/>
      <c r="X93" s="295"/>
      <c r="Y93" s="295"/>
      <c r="Z93" s="295"/>
      <c r="AA93" s="295"/>
      <c r="AB93" s="295"/>
      <c r="AC93" s="295" t="s">
        <v>237</v>
      </c>
      <c r="AD93" s="295"/>
      <c r="AE93" s="295"/>
      <c r="AF93" s="295"/>
      <c r="AG93" s="295"/>
      <c r="AH93" s="295"/>
      <c r="AI93" s="295"/>
      <c r="AJ93" s="295"/>
      <c r="AK93" s="295"/>
      <c r="AL93" s="295"/>
    </row>
    <row r="94" spans="1:83" ht="27">
      <c r="R94" s="247"/>
      <c r="S94" s="248"/>
      <c r="T94" s="246"/>
      <c r="U94" s="3"/>
      <c r="V94" s="247"/>
      <c r="W94" s="247"/>
      <c r="X94" s="247"/>
      <c r="Y94" s="247"/>
      <c r="Z94" s="247"/>
      <c r="AA94" s="248"/>
      <c r="AB94" s="246"/>
      <c r="AH94" s="249"/>
      <c r="AI94" s="248"/>
    </row>
    <row r="95" spans="1:83" ht="27">
      <c r="R95" s="247"/>
      <c r="S95" s="248"/>
      <c r="T95" s="246"/>
      <c r="U95" s="3"/>
      <c r="V95" s="247"/>
      <c r="W95" s="247"/>
      <c r="X95" s="247"/>
      <c r="Y95" s="247"/>
      <c r="Z95" s="247"/>
      <c r="AA95" s="248"/>
      <c r="AB95" s="246"/>
      <c r="AH95" s="249"/>
      <c r="AI95" s="248"/>
    </row>
    <row r="96" spans="1:83" ht="27">
      <c r="R96" s="247"/>
      <c r="S96" s="248"/>
      <c r="T96" s="246"/>
      <c r="U96" s="3"/>
      <c r="V96" s="247"/>
      <c r="W96" s="247"/>
      <c r="X96" s="247"/>
      <c r="Y96" s="247"/>
      <c r="Z96" s="247"/>
      <c r="AA96" s="248"/>
      <c r="AB96" s="246"/>
      <c r="AH96" s="249"/>
      <c r="AI96" s="248"/>
    </row>
    <row r="97" spans="17:38" ht="27">
      <c r="R97" s="247"/>
      <c r="S97" s="250"/>
      <c r="T97" s="246"/>
      <c r="U97" s="3"/>
      <c r="V97" s="247"/>
      <c r="W97" s="247"/>
      <c r="X97" s="247"/>
      <c r="Y97" s="247"/>
      <c r="Z97" s="247"/>
      <c r="AA97" s="250"/>
      <c r="AB97" s="246"/>
      <c r="AH97" s="249"/>
      <c r="AI97" s="247"/>
    </row>
    <row r="98" spans="17:38" ht="27">
      <c r="Q98" s="296" t="s">
        <v>241</v>
      </c>
      <c r="R98" s="296"/>
      <c r="S98" s="296"/>
      <c r="T98" s="296"/>
      <c r="U98" s="296"/>
      <c r="V98" s="296"/>
      <c r="W98" s="296"/>
      <c r="X98" s="296"/>
      <c r="Y98" s="296"/>
      <c r="Z98" s="296"/>
      <c r="AA98" s="296"/>
      <c r="AB98" s="296"/>
      <c r="AC98" s="296" t="s">
        <v>238</v>
      </c>
      <c r="AD98" s="296"/>
      <c r="AE98" s="296"/>
      <c r="AF98" s="296"/>
      <c r="AG98" s="296"/>
      <c r="AH98" s="296"/>
      <c r="AI98" s="296"/>
      <c r="AJ98" s="296"/>
      <c r="AK98" s="296"/>
      <c r="AL98" s="296"/>
    </row>
    <row r="99" spans="17:38" ht="27">
      <c r="R99" s="251"/>
      <c r="S99" s="251"/>
      <c r="T99" s="251"/>
      <c r="U99" s="251"/>
      <c r="V99" s="251"/>
      <c r="W99" s="251"/>
      <c r="X99" s="251"/>
      <c r="Y99" s="251"/>
      <c r="Z99" s="251"/>
      <c r="AA99" s="251"/>
    </row>
  </sheetData>
  <mergeCells count="163">
    <mergeCell ref="CB59:CB65"/>
    <mergeCell ref="CC59:CC65"/>
    <mergeCell ref="CD59:CD65"/>
    <mergeCell ref="CE59:CE65"/>
    <mergeCell ref="BW59:BW65"/>
    <mergeCell ref="BX59:BX65"/>
    <mergeCell ref="BY59:BY65"/>
    <mergeCell ref="BZ59:BZ65"/>
    <mergeCell ref="CA59:CA65"/>
    <mergeCell ref="BL59:BL65"/>
    <mergeCell ref="BN59:BN65"/>
    <mergeCell ref="BO59:BO65"/>
    <mergeCell ref="BP59:BP65"/>
    <mergeCell ref="BQ59:BQ65"/>
    <mergeCell ref="BS59:BS65"/>
    <mergeCell ref="BV59:BV65"/>
    <mergeCell ref="W59:W65"/>
    <mergeCell ref="X59:X65"/>
    <mergeCell ref="Y59:Y65"/>
    <mergeCell ref="Z59:Z65"/>
    <mergeCell ref="BM59:BM65"/>
    <mergeCell ref="BR59:BR65"/>
    <mergeCell ref="BT59:BT65"/>
    <mergeCell ref="BU59:BU65"/>
    <mergeCell ref="T30:T32"/>
    <mergeCell ref="AA30:AA32"/>
    <mergeCell ref="R30:R32"/>
    <mergeCell ref="AK36:AK38"/>
    <mergeCell ref="AG36:AG38"/>
    <mergeCell ref="AH36:AH38"/>
    <mergeCell ref="AI36:AI38"/>
    <mergeCell ref="AJ36:AJ38"/>
    <mergeCell ref="B15:B25"/>
    <mergeCell ref="C15:C25"/>
    <mergeCell ref="E15:E25"/>
    <mergeCell ref="F15:F25"/>
    <mergeCell ref="AO26:AO28"/>
    <mergeCell ref="I15:I25"/>
    <mergeCell ref="J15:J25"/>
    <mergeCell ref="L15:L25"/>
    <mergeCell ref="AL30:AL32"/>
    <mergeCell ref="AF30:AF32"/>
    <mergeCell ref="R20:R22"/>
    <mergeCell ref="S20:S22"/>
    <mergeCell ref="T20:T22"/>
    <mergeCell ref="AC25:AC28"/>
    <mergeCell ref="AD25:AD28"/>
    <mergeCell ref="AE25:AE28"/>
    <mergeCell ref="AF25:AF28"/>
    <mergeCell ref="AG25:AG28"/>
    <mergeCell ref="Q20:Q22"/>
    <mergeCell ref="AC30:AC32"/>
    <mergeCell ref="AD30:AD32"/>
    <mergeCell ref="AE30:AE32"/>
    <mergeCell ref="AI30:AI32"/>
    <mergeCell ref="AJ30:AJ32"/>
    <mergeCell ref="M15:M25"/>
    <mergeCell ref="N15:N25"/>
    <mergeCell ref="P15:P25"/>
    <mergeCell ref="G15:G25"/>
    <mergeCell ref="H15:H25"/>
    <mergeCell ref="P7:P8"/>
    <mergeCell ref="BC7:BC88"/>
    <mergeCell ref="H12:H14"/>
    <mergeCell ref="I12:I14"/>
    <mergeCell ref="R59:R65"/>
    <mergeCell ref="AL72:AL86"/>
    <mergeCell ref="Q72:Q86"/>
    <mergeCell ref="AD72:AD86"/>
    <mergeCell ref="AG72:AG86"/>
    <mergeCell ref="AH72:AH86"/>
    <mergeCell ref="AC72:AC86"/>
    <mergeCell ref="AE72:AE86"/>
    <mergeCell ref="AF72:AF86"/>
    <mergeCell ref="R72:R86"/>
    <mergeCell ref="S72:S86"/>
    <mergeCell ref="AK30:AK32"/>
    <mergeCell ref="AG30:AG32"/>
    <mergeCell ref="AH30:AH32"/>
    <mergeCell ref="AP27:AP28"/>
    <mergeCell ref="F7:F8"/>
    <mergeCell ref="G7:G8"/>
    <mergeCell ref="H7:H8"/>
    <mergeCell ref="I7:I8"/>
    <mergeCell ref="J7:J8"/>
    <mergeCell ref="L7:L8"/>
    <mergeCell ref="AL5:AL6"/>
    <mergeCell ref="AM5:AM6"/>
    <mergeCell ref="AO5:AP5"/>
    <mergeCell ref="W5:Z5"/>
    <mergeCell ref="AJ59:AJ65"/>
    <mergeCell ref="AK59:AK65"/>
    <mergeCell ref="Q2:AM2"/>
    <mergeCell ref="Q3:AM3"/>
    <mergeCell ref="Q5:Q6"/>
    <mergeCell ref="R5:R6"/>
    <mergeCell ref="S5:S6"/>
    <mergeCell ref="T5:T6"/>
    <mergeCell ref="V5:V6"/>
    <mergeCell ref="AL59:AL65"/>
    <mergeCell ref="AI25:AI28"/>
    <mergeCell ref="AJ25:AJ28"/>
    <mergeCell ref="AK25:AK28"/>
    <mergeCell ref="AL25:AL28"/>
    <mergeCell ref="AH25:AH28"/>
    <mergeCell ref="AL36:AL38"/>
    <mergeCell ref="T36:T38"/>
    <mergeCell ref="S36:S38"/>
    <mergeCell ref="R36:R38"/>
    <mergeCell ref="AC36:AC38"/>
    <mergeCell ref="AD36:AD38"/>
    <mergeCell ref="AE36:AE38"/>
    <mergeCell ref="AF36:AF38"/>
    <mergeCell ref="S30:S32"/>
    <mergeCell ref="AA59:AA65"/>
    <mergeCell ref="AB59:AB65"/>
    <mergeCell ref="AC59:AC65"/>
    <mergeCell ref="AD59:AD65"/>
    <mergeCell ref="AE59:AE65"/>
    <mergeCell ref="AF59:AF65"/>
    <mergeCell ref="AG59:AG65"/>
    <mergeCell ref="AH59:AH65"/>
    <mergeCell ref="AI59:AI65"/>
    <mergeCell ref="Q92:AB92"/>
    <mergeCell ref="Q93:AB93"/>
    <mergeCell ref="Q98:AB98"/>
    <mergeCell ref="AC92:AL92"/>
    <mergeCell ref="AC93:AL93"/>
    <mergeCell ref="AC98:AL98"/>
    <mergeCell ref="Q59:Q65"/>
    <mergeCell ref="AB30:AB32"/>
    <mergeCell ref="Q25:Q28"/>
    <mergeCell ref="R25:R28"/>
    <mergeCell ref="S25:S28"/>
    <mergeCell ref="T25:T28"/>
    <mergeCell ref="AA25:AA28"/>
    <mergeCell ref="AB25:AB28"/>
    <mergeCell ref="Q30:Q32"/>
    <mergeCell ref="Q36:Q38"/>
    <mergeCell ref="AA36:AA38"/>
    <mergeCell ref="AB36:AB38"/>
    <mergeCell ref="T72:T86"/>
    <mergeCell ref="AI72:AI86"/>
    <mergeCell ref="AJ72:AJ86"/>
    <mergeCell ref="AK72:AK86"/>
    <mergeCell ref="S59:S65"/>
    <mergeCell ref="T59:T65"/>
    <mergeCell ref="BL5:BU5"/>
    <mergeCell ref="BV5:BW5"/>
    <mergeCell ref="BX5:BX6"/>
    <mergeCell ref="BY5:BY6"/>
    <mergeCell ref="BZ5:BZ6"/>
    <mergeCell ref="CA5:CA6"/>
    <mergeCell ref="CB5:CD5"/>
    <mergeCell ref="CE5:CE6"/>
    <mergeCell ref="AA5:AB5"/>
    <mergeCell ref="AC5:AH5"/>
    <mergeCell ref="BI5:BJ5"/>
    <mergeCell ref="AQ5:AT5"/>
    <mergeCell ref="AU5:AW5"/>
    <mergeCell ref="AX5:BC5"/>
    <mergeCell ref="BD5:BF5"/>
    <mergeCell ref="BG5:BH5"/>
  </mergeCells>
  <printOptions horizontalCentered="1"/>
  <pageMargins left="0.12" right="0.12" top="0.28000000000000003" bottom="0.13" header="0.3" footer="0.13"/>
  <pageSetup paperSize="9" scale="17" fitToHeight="0" orientation="landscape" r:id="rId1"/>
  <rowBreaks count="1" manualBreakCount="1">
    <brk id="43" min="13" max="83" man="1"/>
  </rowBreaks>
  <colBreaks count="1" manualBreakCount="1">
    <brk id="83" max="94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Lokasi Pekerjaan WKTKU</vt:lpstr>
      <vt:lpstr>'Lokasi Pekerjaan WKTKU'!Print_Area</vt:lpstr>
      <vt:lpstr>'Lokasi Pekerjaan WKTKU'!Print_Titles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 DIS</cp:lastModifiedBy>
  <cp:lastPrinted>2016-12-08T07:28:19Z</cp:lastPrinted>
  <dcterms:created xsi:type="dcterms:W3CDTF">2016-11-23T08:36:43Z</dcterms:created>
  <dcterms:modified xsi:type="dcterms:W3CDTF">2017-01-19T09:10:39Z</dcterms:modified>
</cp:coreProperties>
</file>