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020" yWindow="0" windowWidth="28780" windowHeight="18640"/>
  </bookViews>
  <sheets>
    <sheet name="Form" sheetId="5" r:id="rId1"/>
    <sheet name="Selections" sheetId="6" r:id="rId2"/>
    <sheet name="SatelliteData" sheetId="2" r:id="rId3"/>
  </sheets>
  <definedNames>
    <definedName name="BusCostDeplMultList">SatelliteData!$F$10:$F$11</definedName>
    <definedName name="BusCostList">SatelliteData!$F$3:$F$7</definedName>
    <definedName name="BusCostMultSel">Selections!$H$4</definedName>
    <definedName name="BusCostSel">Selections!$H$3</definedName>
    <definedName name="BusCostTotal">Selections!$H$6</definedName>
    <definedName name="BusDeplMultList">SatelliteData!$H$10:$H$11</definedName>
    <definedName name="BusDiamList">SatelliteData!$H$3:$H$7</definedName>
    <definedName name="BusDiamMultSel">Selections!$J$4</definedName>
    <definedName name="BusDiamSel">Selections!$J$3</definedName>
    <definedName name="BusDiamTotal">Selections!$J$6</definedName>
    <definedName name="BusMassDeplMultList">SatelliteData!$G$10:$G$11</definedName>
    <definedName name="BusMassList">SatelliteData!$G$3:$G$7</definedName>
    <definedName name="BusMassMultSel">Selections!$I$4</definedName>
    <definedName name="BusMassSel">Selections!$I$3</definedName>
    <definedName name="BusMassTotal">Selections!$I$6</definedName>
    <definedName name="CoolActiveCostList">SatelliteData!$S$29:$S$30</definedName>
    <definedName name="CoolActiveCostTotal">Selections!$E$32</definedName>
    <definedName name="CoolActiveDevList">SatelliteData!$V$29:$V$30</definedName>
    <definedName name="CoolActiveDevSel">Selections!$J$32</definedName>
    <definedName name="CoolActiveLifeList">SatelliteData!$U$29:$U$30</definedName>
    <definedName name="CoolActiveLifeSel">Selections!$G$32</definedName>
    <definedName name="CoolActiveLifetimeSel">Selections!$G$32</definedName>
    <definedName name="CoolActiveList">SatelliteData!$Q$29:$Q$30</definedName>
    <definedName name="CoolActiveMassList">SatelliteData!$T$29:$T$30</definedName>
    <definedName name="CoolActiveMasstotal">Selections!$F$32</definedName>
    <definedName name="CoolActiveNumList">SatelliteData!$P$29:$P$30</definedName>
    <definedName name="CoolActiveNumSel">Selections!$C$32</definedName>
    <definedName name="CoolActiveRiskList">SatelliteData!$W$29:$W$30</definedName>
    <definedName name="CoolActiveRiskSel">Selections!$K$32</definedName>
    <definedName name="CoolActiveTempList">SatelliteData!$R$29:$R$30</definedName>
    <definedName name="CoolActiveTempMultList">SatelliteData!$R$29:$R$30</definedName>
    <definedName name="CoolActiveTempSel">Selections!$H$32</definedName>
    <definedName name="CoolActiveTimeline">SatelliteData!$U$29:$U$30</definedName>
    <definedName name="CoolActiveWarning">Selections!$I$32</definedName>
    <definedName name="CoolCost">SatelliteData!$S$19:$S$26</definedName>
    <definedName name="CoolCostTotal">Selections!$E$33</definedName>
    <definedName name="CoolCryoCostList">SatelliteData!$S$23:$S$26</definedName>
    <definedName name="CoolCryoCostTotal">Selections!$E$31</definedName>
    <definedName name="CoolCryoDevList">SatelliteData!$V$23:$V$26</definedName>
    <definedName name="CoolCryoDevSel">Selections!$J$31</definedName>
    <definedName name="CoolCryoLifeList">SatelliteData!$U$23:$U$26</definedName>
    <definedName name="CoolCryoLifeSel">Selections!$G$31</definedName>
    <definedName name="CoolCryoList">SatelliteData!$Q$23:$Q$26</definedName>
    <definedName name="CoolCryoMassList">SatelliteData!$T$23:$T$26</definedName>
    <definedName name="CoolCryoMassTotal">Selections!$F$31</definedName>
    <definedName name="CoolCryoNumList">SatelliteData!$P$23:$P$26</definedName>
    <definedName name="CoolCryoNumSel">Selections!$C$31</definedName>
    <definedName name="CoolCryoRiskList">SatelliteData!$W$23:$W$26</definedName>
    <definedName name="CoolCryoRiskSel">Selections!$K$31</definedName>
    <definedName name="CoolCryoTempList">SatelliteData!$R$23:$R$26</definedName>
    <definedName name="CoolCryoTempMultList">SatelliteData!$R$23:$R$26</definedName>
    <definedName name="CoolCryoTempSel">Selections!$H$31</definedName>
    <definedName name="CoolCryoWarning">Selections!$I$31</definedName>
    <definedName name="CoolDevTotal">Selections!$J$33</definedName>
    <definedName name="CoolingCostList">SatelliteData!$W$3:$W$16</definedName>
    <definedName name="CoolingMassList">SatelliteData!$X$3:$X$16</definedName>
    <definedName name="CoolingNumList">SatelliteData!$T$15:$T$16</definedName>
    <definedName name="CoolingTechList">SatelliteData!$U$15:$U$16</definedName>
    <definedName name="CoolingTempList">SatelliteData!$V$3:$V$16</definedName>
    <definedName name="CoolLife">Selections!$G$33</definedName>
    <definedName name="CoolLife1">Selections!$I$33</definedName>
    <definedName name="CoolLife1110">Selections!$G$33</definedName>
    <definedName name="CoolLife2">Selections!$G$33</definedName>
    <definedName name="CoolLifetime">SatelliteData!$U$19:$U$26</definedName>
    <definedName name="CoolList">SatelliteData!$Q$19:$Q$26</definedName>
    <definedName name="CoolMass">SatelliteData!$T$19:$T$26</definedName>
    <definedName name="CoolMassTotal">Selections!$F$33</definedName>
    <definedName name="CoolNumList">SatelliteData!$P$19:$P$26</definedName>
    <definedName name="CoolNumSel">Selections!$C$30</definedName>
    <definedName name="CoolPassiveCostDeplMult">SatelliteData!$I$10:$I$11</definedName>
    <definedName name="CoolPassiveCostDeplMultList">SatelliteData!$I$10:$I$11</definedName>
    <definedName name="CoolPassiveCostDeplSel">Selections!$K$4</definedName>
    <definedName name="CoolPassiveCostList">SatelliteData!$I$3:$I$7</definedName>
    <definedName name="CoolPassiveCostMultList">SatelliteData!$S$19:$S$20</definedName>
    <definedName name="CoolPassiveCostSel">Selections!$K$3</definedName>
    <definedName name="CoolPassiveCostTotal">Selections!$E$30</definedName>
    <definedName name="CoolPassiveDevDeplMult">SatelliteData!$K$10:$K$11</definedName>
    <definedName name="CoolPassiveDevDeplMultSel">Selections!$M$4</definedName>
    <definedName name="CoolPassiveDevList">SatelliteData!$K$3:$K$7</definedName>
    <definedName name="CoolPassiveDevMultList">SatelliteData!$V$19:$V$20</definedName>
    <definedName name="CoolPassiveDevSel">Selections!$M$3</definedName>
    <definedName name="CoolPassiveDevTotal">Selections!$J$30</definedName>
    <definedName name="CoolPassiveLifeList">SatelliteData!$U$19:$U$20</definedName>
    <definedName name="CoolPassiveLifeSel">Selections!$G$30</definedName>
    <definedName name="CoolPassiveLifetime">SatelliteData!$U$19:$U$20</definedName>
    <definedName name="CoolPassiveList">SatelliteData!$Q$19:$Q$20</definedName>
    <definedName name="CoolPassiveMassDeplMult">SatelliteData!$J$10:$J$11</definedName>
    <definedName name="CoolPassiveMassDeplMultSel">Selections!$L$4</definedName>
    <definedName name="CoolPassiveMassList">SatelliteData!$J$3:$J$7</definedName>
    <definedName name="CoolPassiveMassMultList">SatelliteData!$T$19:$T$20</definedName>
    <definedName name="CoolPassiveMassSel">Selections!$L$3</definedName>
    <definedName name="CoolPassiveMassTotal">Selections!$F$30</definedName>
    <definedName name="CoolPassiveNumList">SatelliteData!$P$19:$P$20</definedName>
    <definedName name="CoolPassiveNumSel">Selections!$C$30</definedName>
    <definedName name="CoolPassiveRiskList">SatelliteData!$W$19:$W$20</definedName>
    <definedName name="CoolPassiveRiskSel">Selections!$K$30</definedName>
    <definedName name="CoolPassiveTempList">SatelliteData!$R$19:$R$20</definedName>
    <definedName name="CoolPassiveTempMultList">SatelliteData!$R$19:$R$20</definedName>
    <definedName name="CoolPassiveTempSel">Selections!$H$30</definedName>
    <definedName name="CoolRiskTotal">Selections!$K$33</definedName>
    <definedName name="CoolTemp">Selections!$H$33</definedName>
    <definedName name="CoolTempList">SatelliteData!$R$19:$R$26</definedName>
    <definedName name="DeplRiskList">SatelliteData!$L$10:$L$11</definedName>
    <definedName name="DeplRiskSel">Selections!$N$4</definedName>
    <definedName name="DeptRiskSel">Selections!$N$4</definedName>
    <definedName name="DevelCostTotal">Selections!$Y$28</definedName>
    <definedName name="DevTimeTotal">Selections!$Y$27</definedName>
    <definedName name="GroundCostTotal">Selections!$Y$31</definedName>
    <definedName name="GroundCostYear">Selections!$AC$3</definedName>
    <definedName name="Instr1NumSel">Selections!$C$10</definedName>
    <definedName name="Instr1TypeNum">Selections!$E$10</definedName>
    <definedName name="Instr2NumSel">Selections!$C$11</definedName>
    <definedName name="Instr2TypeNum">Selections!$E$11</definedName>
    <definedName name="Instr3NumSel">Selections!$C$12</definedName>
    <definedName name="Instr3TypeNum">Selections!$E$12</definedName>
    <definedName name="Instr4NumSel">Selections!$C$13</definedName>
    <definedName name="Instr4TypeNum">Selections!$E$13</definedName>
    <definedName name="Instr5NumSel">Selections!$C$14</definedName>
    <definedName name="Instr5TypeNum">Selections!$E$14</definedName>
    <definedName name="Instr6NumSel">Selections!$C$15</definedName>
    <definedName name="Instr6TypeNum">Selections!$E$15</definedName>
    <definedName name="Instr7NumSel">Selections!$C$16</definedName>
    <definedName name="Instr7TypeNum">Selections!$E$16</definedName>
    <definedName name="Instr8NumSel">Selections!$C$17</definedName>
    <definedName name="Instr8TypeNum">Selections!$E$17</definedName>
    <definedName name="InstrCost">Selections!$H$10:$H$17</definedName>
    <definedName name="InstrCostList">SatelliteData!$S$3:$S$9</definedName>
    <definedName name="InstrCostTotal">Selections!$H$18</definedName>
    <definedName name="InstrDevTime">Selections!$L$10:$L$17</definedName>
    <definedName name="InstrDevTotal">Selections!$E$25</definedName>
    <definedName name="InstrMass">Selections!$J$10:$J$17</definedName>
    <definedName name="InstrMassList">SatelliteData!$T$3:$T$9</definedName>
    <definedName name="InstrMassTotal">Selections!$J$18</definedName>
    <definedName name="InstrNumList">SatelliteData!$P$3:$P$9</definedName>
    <definedName name="InstrNumSel">Selections!$C$10:$C$17</definedName>
    <definedName name="InstrNumTotal">Selections!$E$19</definedName>
    <definedName name="InstrNumWarning">Selections!$E$23</definedName>
    <definedName name="InstrRiskTotal">Selections!$E$21</definedName>
    <definedName name="InstrSizeTotal">Selections!$E$20</definedName>
    <definedName name="InstrTemp">Selections!$K$10:$K$17</definedName>
    <definedName name="InstrTempList">SatelliteData!$R$3:$R$9</definedName>
    <definedName name="InstrTempReq">Selections!$K$18</definedName>
    <definedName name="InstrTempWarning">Selections!$E$22</definedName>
    <definedName name="InstrType">Selections!$F$10:$F$17</definedName>
    <definedName name="InstrTypeDevList">SatelliteData!$U$12:$U$14</definedName>
    <definedName name="InstrTypeList">SatelliteData!$Q$12:$Q$14</definedName>
    <definedName name="InstrTypeMassMult">Selections!$I$10:$I$17</definedName>
    <definedName name="InstrTypeMassMultList">SatelliteData!$T$12:$T$14</definedName>
    <definedName name="InstrTypeMult">Selections!$G$10:$G$17</definedName>
    <definedName name="InstrTypeMultList">SatelliteData!$S$12:$S$14</definedName>
    <definedName name="InstrTypeNum">Selections!$E$10:$E$17</definedName>
    <definedName name="InstrTypeNumList">SatelliteData!$P$12:$P$14</definedName>
    <definedName name="InstrUVList">SatelliteData!$U$3:$U$9</definedName>
    <definedName name="InstrUVReq">Selections!$M$18</definedName>
    <definedName name="InstrUVWarning">Selections!$E$24</definedName>
    <definedName name="InstrWLList">SatelliteData!$Q$3:$Q$9</definedName>
    <definedName name="InstrWLSel">Selections!$D$10:$D$17</definedName>
    <definedName name="LaunchCostTotal">Selections!$R$18</definedName>
    <definedName name="LaunchReqList">SatelliteData!$I$19:$I$21</definedName>
    <definedName name="LaunchReqSel">Selections!$Y$3</definedName>
    <definedName name="LifeCoolWarning">Selections!$R$37</definedName>
    <definedName name="LifeFuelWarning">Selections!$R$38</definedName>
    <definedName name="LifeNumList">SatelliteData!$A$44:$A$55</definedName>
    <definedName name="LifeNumSel">Selections!$P$35</definedName>
    <definedName name="LifeRiskList">SatelliteData!$D$44:$D$55</definedName>
    <definedName name="LifeRiskSel">Selections!$R$35</definedName>
    <definedName name="LifeSel">Selections!$Q$35</definedName>
    <definedName name="LifeTextList">SatelliteData!$B$44:$B$55</definedName>
    <definedName name="LifeTimeList">SatelliteData!$C$44:$C$55</definedName>
    <definedName name="MirrorCostList">SatelliteData!$C$3:$C$7</definedName>
    <definedName name="MirrorCostSel">Selections!$E$3</definedName>
    <definedName name="MirrorCostTotal">Selections!$E$6</definedName>
    <definedName name="MirrorDeplDevMultList">SatelliteData!$E$10:$E$11</definedName>
    <definedName name="MirrorDeplDevMultSel">Selections!$G$4</definedName>
    <definedName name="MirrorDeplList">SatelliteData!$B$10:$B$11</definedName>
    <definedName name="MirrorDeplMultList">SatelliteData!$C$10:$C$11</definedName>
    <definedName name="MirrorDeplMultSel">Selections!$E$4</definedName>
    <definedName name="MirrorDeplNumList">SatelliteData!$A$10:$A$11</definedName>
    <definedName name="MirrorDeplNumSel">Selections!$C$4</definedName>
    <definedName name="MirrorDeplSel">Selections!$D$4</definedName>
    <definedName name="MirrorDepMultList">SatelliteData!$C$10:$C$11</definedName>
    <definedName name="MirrorDevList">SatelliteData!$E$3:$E$7</definedName>
    <definedName name="MirrorDevSel">Selections!$G$3</definedName>
    <definedName name="MirrorDevTotal">Selections!$G$6</definedName>
    <definedName name="MirrorDiamList">SatelliteData!$B$3:$B$7</definedName>
    <definedName name="MirrorDiamNumList">SatelliteData!$A$3:$A$7</definedName>
    <definedName name="MirrorDiamNumSel">Selections!$C$3</definedName>
    <definedName name="MirrorDiamSel">Selections!$D$3</definedName>
    <definedName name="MirrorMassList">SatelliteData!$D$3:$D$7</definedName>
    <definedName name="MirrorMassSel">Selections!$F$3</definedName>
    <definedName name="MirrorMassTotal">Selections!$F$6</definedName>
    <definedName name="MirrorRiskList">SatelliteData!$L$3:$L$7</definedName>
    <definedName name="MirrorRiskSel">Selections!$N$3</definedName>
    <definedName name="MirrorRiskTotal">Selections!$N$6</definedName>
    <definedName name="MirrorUVDevMultList">SatelliteData!$E$14:$E$15</definedName>
    <definedName name="MirrorUVDevMultSel">Selections!$G$5</definedName>
    <definedName name="MirrorUVList">SatelliteData!$B$14:$B$15</definedName>
    <definedName name="MirrorUVMultList">SatelliteData!$C$14:$C$15</definedName>
    <definedName name="MirrorUVMultSel">Selections!$E$5</definedName>
    <definedName name="MirrorUVNumList">SatelliteData!$A$14:$A$15</definedName>
    <definedName name="MirrorUVNumSel">Selections!$C$5</definedName>
    <definedName name="MirrorUVSel">Selections!$D$5</definedName>
    <definedName name="MirrorUVValList">SatelliteData!$A$14:$A$15</definedName>
    <definedName name="MirrorUVValSel">Selections!$C$5</definedName>
    <definedName name="MissionLife">Selections!$Y$30</definedName>
    <definedName name="NoTempReq">SatelliteData!$R$3</definedName>
    <definedName name="NumInstr">Selections!$E$19</definedName>
    <definedName name="OpTotalCost">Selections!$Y$33</definedName>
    <definedName name="OrbitAltList">SatelliteData!$C$19:$C$21</definedName>
    <definedName name="OrbitAltSel">Selections!$R$3</definedName>
    <definedName name="OrbitCostMultList">SatelliteData!$H$19:$H$21</definedName>
    <definedName name="OrbitCostMultSel">Selections!$X$3</definedName>
    <definedName name="OrbitCryoList">SatelliteData!$G$19:$G$21</definedName>
    <definedName name="OrbitCryoSel">Selections!$V$3</definedName>
    <definedName name="OrbitCryoWarning">Selections!$R$6</definedName>
    <definedName name="OrbitDistList">SatelliteData!$C$19:$C$25</definedName>
    <definedName name="OrbitFracList">SatelliteData!$D$19:$D$21</definedName>
    <definedName name="OrbitFracSel">Selections!$T$3</definedName>
    <definedName name="OrbitGroundCostList">SatelliteData!$M$19:$M$21</definedName>
    <definedName name="OrbitLEOList">SatelliteData!$L$19:$L$21</definedName>
    <definedName name="OrbitLEOSel">Selections!$AB$3</definedName>
    <definedName name="OrbitLifeList">SatelliteData!$J$19:$J$21</definedName>
    <definedName name="OrbitLifeSel">Selections!$Z$3</definedName>
    <definedName name="OrbitList">SatelliteData!$B$19:$B$21</definedName>
    <definedName name="OrbitNumList">SatelliteData!$A$19:$A$21</definedName>
    <definedName name="OrbitNumSel">Selections!$P$3</definedName>
    <definedName name="OrbitPassiveList">SatelliteData!$F$19:$F$21</definedName>
    <definedName name="OrbitPassiveSel">Selections!$U$3</definedName>
    <definedName name="OrbitPassiveWarning">Selections!$R$5</definedName>
    <definedName name="OrbitPeriodList">SatelliteData!$E$19:$E$21</definedName>
    <definedName name="OrbitPeriodSel">Selections!$S$3</definedName>
    <definedName name="OrbitRiskList">SatelliteData!$N$19:$N$25</definedName>
    <definedName name="OrbitRiskSel">Selections!$W$3</definedName>
    <definedName name="OrbitSel">Selections!$Q$3</definedName>
    <definedName name="OrbitTempList">SatelliteData!$K$19:$K$21</definedName>
    <definedName name="OrbitTempSel">Selections!$AA$3</definedName>
    <definedName name="PassiveCostDeplMult">SatelliteData!$I$10:$I$11</definedName>
    <definedName name="RocketCostList">SatelliteData!$G$29:$G$35</definedName>
    <definedName name="RocketCostSel">Selections!$V$10</definedName>
    <definedName name="RocketDiamList">SatelliteData!$E$29:$E$35</definedName>
    <definedName name="RocketDiamSel">Selections!$R$10</definedName>
    <definedName name="RocketDiamWarning">Selections!$R$14</definedName>
    <definedName name="RocketGTOList">SatelliteData!$D$29:$D$35</definedName>
    <definedName name="RocketGTOmass">SatelliteData!$D$29:$D$35</definedName>
    <definedName name="RocketGTOSel">Selections!$T$10</definedName>
    <definedName name="RocketGTOWarning">Selections!$R$16</definedName>
    <definedName name="RocketHighMassWarning">Selections!$R$15</definedName>
    <definedName name="RocketLEOList">SatelliteData!$C$29:$C$35</definedName>
    <definedName name="RocketLEOSel">Selections!$S$10</definedName>
    <definedName name="RocketList">SatelliteData!$B$29:$B$35</definedName>
    <definedName name="RocketMassCap">Selections!$R$12</definedName>
    <definedName name="RocketMassWarning">Selections!$R$13</definedName>
    <definedName name="RocketNumList">SatelliteData!$A$29:$A$39</definedName>
    <definedName name="RocketNumSel">Selections!$P$10</definedName>
    <definedName name="RocketOpList">SatelliteData!$F$29:$F$35</definedName>
    <definedName name="RocketOpSel">Selections!$U$10</definedName>
    <definedName name="RocketRiskList">SatelliteData!$H$29:$H$39</definedName>
    <definedName name="RocketRiskSel">Selections!$W$10</definedName>
    <definedName name="RocketRiskTotal">Selections!$R$17</definedName>
    <definedName name="RocketSel">Selections!$Q$10</definedName>
    <definedName name="RocketSite1List">SatelliteData!$I$29:$I$35</definedName>
    <definedName name="RocketSite1Sel">Selections!$X$10</definedName>
    <definedName name="RocketSite2List">SatelliteData!$J$29:$J$35</definedName>
    <definedName name="RocketSite2Sel">Selections!$Y$10</definedName>
    <definedName name="RocketSite3List">SatelliteData!$K$29:$K$35</definedName>
    <definedName name="RocketSite3Sel">Selections!$Z$10</definedName>
    <definedName name="RocketSitesList">SatelliteData!$I$29:$I$39</definedName>
    <definedName name="RocketSitesSel">Selections!$X$10</definedName>
    <definedName name="RocletNumList">SatelliteData!$A$29:$A$35</definedName>
    <definedName name="SatCostTotal">Selections!$Y$26</definedName>
    <definedName name="SatDevTime">Selections!$Y$25</definedName>
    <definedName name="SatDiamTotal">Selections!$Y$22</definedName>
    <definedName name="SatLaunchDiamTotal">Selections!$Y$23</definedName>
    <definedName name="SatMasstotal">Selections!$Y$24</definedName>
    <definedName name="SiteChoiceSel">Selections!$S$23</definedName>
    <definedName name="SiteCodeList">SatelliteData!$R$34:$R$38</definedName>
    <definedName name="SiteCodeSel">Selections!$R$23</definedName>
    <definedName name="SiteGTOList">SatelliteData!$S$34:$S$38</definedName>
    <definedName name="SiteGTOSel">Selections!$T$23</definedName>
    <definedName name="SiteGTOWarning">Selections!$R$26</definedName>
    <definedName name="SiteList">SatelliteData!$Q$34:$Q$38</definedName>
    <definedName name="SiteNumList">SatelliteData!$P$34:$P$38</definedName>
    <definedName name="SiteNumSel">Selections!$P$23</definedName>
    <definedName name="SiteOpList">SatelliteData!$T$34:$T$38</definedName>
    <definedName name="SiteOpSel">Selections!$U$23</definedName>
    <definedName name="SiteRiskList">SatelliteData!$U$34:$U$41</definedName>
    <definedName name="SiteRiskSel">Selections!$V$23</definedName>
    <definedName name="SiteRocketWarning">Selections!$R$27</definedName>
    <definedName name="SiteSel">Selections!$Q$23</definedName>
    <definedName name="TotalBudget">Selections!$Y$34</definedName>
    <definedName name="TotalRisk">Selections!$R$40</definedName>
    <definedName name="totalRiskRating">Selections!$R$41</definedName>
    <definedName name="WarningTotal">Selections!$R$39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6" l="1"/>
  <c r="U3" i="6"/>
  <c r="R5" i="6"/>
  <c r="B44" i="5"/>
  <c r="F30" i="6"/>
  <c r="F33" i="6"/>
  <c r="F3" i="6"/>
  <c r="F6" i="6"/>
  <c r="I3" i="6"/>
  <c r="I4" i="6"/>
  <c r="I6" i="6"/>
  <c r="J10" i="6"/>
  <c r="J11" i="6"/>
  <c r="J12" i="6"/>
  <c r="I13" i="6"/>
  <c r="J13" i="6"/>
  <c r="J14" i="6"/>
  <c r="J15" i="6"/>
  <c r="I16" i="6"/>
  <c r="J16" i="6"/>
  <c r="J17" i="6"/>
  <c r="J18" i="6"/>
  <c r="Y24" i="6"/>
  <c r="O28" i="5"/>
  <c r="R37" i="6"/>
  <c r="E33" i="6"/>
  <c r="H30" i="6"/>
  <c r="O25" i="5"/>
  <c r="S10" i="6"/>
  <c r="R12" i="6"/>
  <c r="E19" i="2"/>
  <c r="K35" i="2"/>
  <c r="K34" i="2"/>
  <c r="J34" i="2"/>
  <c r="K33" i="2"/>
  <c r="J33" i="2"/>
  <c r="K32" i="2"/>
  <c r="J32" i="2"/>
  <c r="D30" i="6"/>
  <c r="H17" i="6"/>
  <c r="H16" i="6"/>
  <c r="H15" i="6"/>
  <c r="H14" i="6"/>
  <c r="H13" i="6"/>
  <c r="H12" i="6"/>
  <c r="H11" i="6"/>
  <c r="H10" i="6"/>
  <c r="M3" i="6"/>
  <c r="L4" i="6"/>
  <c r="M4" i="6"/>
  <c r="G3" i="6"/>
  <c r="G4" i="6"/>
  <c r="G5" i="6"/>
  <c r="G6" i="6"/>
  <c r="L11" i="6"/>
  <c r="L12" i="6"/>
  <c r="L13" i="6"/>
  <c r="L14" i="6"/>
  <c r="L15" i="6"/>
  <c r="L16" i="6"/>
  <c r="L17" i="6"/>
  <c r="L10" i="6"/>
  <c r="E25" i="6"/>
  <c r="N3" i="6"/>
  <c r="Y3" i="6"/>
  <c r="I11" i="6"/>
  <c r="I12" i="6"/>
  <c r="I14" i="6"/>
  <c r="I15" i="6"/>
  <c r="I17" i="6"/>
  <c r="I10" i="6"/>
  <c r="N4" i="6"/>
  <c r="V23" i="6"/>
  <c r="U23" i="6"/>
  <c r="J35" i="5"/>
  <c r="W3" i="6"/>
  <c r="R35" i="6"/>
  <c r="W10" i="6"/>
  <c r="Q35" i="6"/>
  <c r="Y30" i="6"/>
  <c r="M17" i="6"/>
  <c r="M16" i="6"/>
  <c r="M15" i="6"/>
  <c r="M14" i="6"/>
  <c r="M13" i="6"/>
  <c r="M12" i="6"/>
  <c r="M11" i="6"/>
  <c r="M10" i="6"/>
  <c r="K4" i="6"/>
  <c r="K15" i="6"/>
  <c r="K16" i="5"/>
  <c r="K39" i="2"/>
  <c r="K38" i="2"/>
  <c r="J37" i="2"/>
  <c r="K37" i="2"/>
  <c r="K36" i="2"/>
  <c r="J29" i="2"/>
  <c r="K29" i="2"/>
  <c r="K31" i="2"/>
  <c r="Z10" i="6"/>
  <c r="Y10" i="6"/>
  <c r="X10" i="6"/>
  <c r="AC3" i="6"/>
  <c r="O41" i="5"/>
  <c r="T23" i="6"/>
  <c r="R23" i="6"/>
  <c r="Q23" i="6"/>
  <c r="V10" i="6"/>
  <c r="U10" i="6"/>
  <c r="G40" i="5"/>
  <c r="R10" i="6"/>
  <c r="G36" i="5"/>
  <c r="Q10" i="6"/>
  <c r="AB3" i="6"/>
  <c r="AA3" i="6"/>
  <c r="Z3" i="6"/>
  <c r="C39" i="5"/>
  <c r="X3" i="6"/>
  <c r="V3" i="6"/>
  <c r="T3" i="6"/>
  <c r="C37" i="5"/>
  <c r="R3" i="6"/>
  <c r="C35" i="5"/>
  <c r="Q3" i="6"/>
  <c r="S3" i="6"/>
  <c r="C36" i="5"/>
  <c r="L3" i="6"/>
  <c r="K3" i="6"/>
  <c r="H4" i="6"/>
  <c r="J3" i="6"/>
  <c r="J4" i="6"/>
  <c r="H3" i="6"/>
  <c r="G11" i="6"/>
  <c r="I8" i="5"/>
  <c r="G12" i="6"/>
  <c r="G13" i="6"/>
  <c r="G14" i="6"/>
  <c r="I14" i="5"/>
  <c r="G15" i="6"/>
  <c r="G16" i="6"/>
  <c r="G17" i="6"/>
  <c r="G10" i="6"/>
  <c r="F11" i="6"/>
  <c r="F12" i="6"/>
  <c r="F13" i="6"/>
  <c r="F14" i="6"/>
  <c r="F15" i="6"/>
  <c r="F16" i="6"/>
  <c r="F17" i="6"/>
  <c r="F10" i="6"/>
  <c r="D10" i="6"/>
  <c r="D17" i="6"/>
  <c r="D16" i="6"/>
  <c r="D15" i="6"/>
  <c r="D14" i="6"/>
  <c r="D13" i="6"/>
  <c r="D12" i="6"/>
  <c r="D11" i="6"/>
  <c r="E3" i="6"/>
  <c r="E4" i="6"/>
  <c r="D4" i="6"/>
  <c r="E5" i="6"/>
  <c r="D5" i="6"/>
  <c r="D3" i="6"/>
  <c r="C11" i="5"/>
  <c r="O24" i="5"/>
  <c r="J10" i="5"/>
  <c r="J18" i="5"/>
  <c r="J20" i="5"/>
  <c r="J8" i="5"/>
  <c r="I6" i="5"/>
  <c r="I16" i="5"/>
  <c r="J6" i="5"/>
  <c r="N6" i="6"/>
  <c r="R16" i="6"/>
  <c r="Y31" i="6"/>
  <c r="R38" i="6"/>
  <c r="N19" i="5"/>
  <c r="M18" i="6"/>
  <c r="E24" i="6"/>
  <c r="B13" i="5"/>
  <c r="R18" i="6"/>
  <c r="C40" i="5"/>
  <c r="J14" i="5"/>
  <c r="G37" i="5"/>
  <c r="K17" i="6"/>
  <c r="K20" i="5"/>
  <c r="K10" i="6"/>
  <c r="K12" i="6"/>
  <c r="K16" i="6"/>
  <c r="K14" i="6"/>
  <c r="K13" i="6"/>
  <c r="K11" i="6"/>
  <c r="G35" i="5"/>
  <c r="S23" i="6"/>
  <c r="R27" i="6"/>
  <c r="I36" i="5"/>
  <c r="R26" i="6"/>
  <c r="C38" i="5"/>
  <c r="R6" i="6"/>
  <c r="O23" i="5"/>
  <c r="E6" i="6"/>
  <c r="J6" i="6"/>
  <c r="H6" i="6"/>
  <c r="O26" i="5"/>
  <c r="J12" i="5"/>
  <c r="J16" i="5"/>
  <c r="I10" i="5"/>
  <c r="I12" i="5"/>
  <c r="I20" i="5"/>
  <c r="I18" i="5"/>
  <c r="O8" i="5"/>
  <c r="I25" i="5"/>
  <c r="G39" i="5"/>
  <c r="Y32" i="6"/>
  <c r="N18" i="5"/>
  <c r="K6" i="5"/>
  <c r="O34" i="5"/>
  <c r="C17" i="5"/>
  <c r="C10" i="5"/>
  <c r="O35" i="5"/>
  <c r="O40" i="5"/>
  <c r="K18" i="5"/>
  <c r="K10" i="5"/>
  <c r="K8" i="5"/>
  <c r="K18" i="6"/>
  <c r="K14" i="5"/>
  <c r="K12" i="5"/>
  <c r="E19" i="6"/>
  <c r="F20" i="6"/>
  <c r="C19" i="5"/>
  <c r="C18" i="5"/>
  <c r="H18" i="6"/>
  <c r="O7" i="5"/>
  <c r="O36" i="5"/>
  <c r="E23" i="6"/>
  <c r="I22" i="5"/>
  <c r="E21" i="6"/>
  <c r="Y33" i="6"/>
  <c r="O42" i="5"/>
  <c r="Y26" i="6"/>
  <c r="C26" i="5"/>
  <c r="R15" i="6"/>
  <c r="I26" i="5"/>
  <c r="O37" i="5"/>
  <c r="I24" i="5"/>
  <c r="Y28" i="6"/>
  <c r="R13" i="6"/>
  <c r="F43" i="5"/>
  <c r="I23" i="5"/>
  <c r="H33" i="6"/>
  <c r="O9" i="5"/>
  <c r="Y27" i="6"/>
  <c r="E22" i="6"/>
  <c r="G28" i="5"/>
  <c r="C25" i="5"/>
  <c r="O38" i="5"/>
  <c r="Y34" i="6"/>
  <c r="O44" i="5"/>
  <c r="Y22" i="6"/>
  <c r="C27" i="5"/>
  <c r="Y23" i="6"/>
  <c r="R14" i="6"/>
  <c r="C28" i="5"/>
  <c r="R39" i="6"/>
  <c r="F44" i="5"/>
  <c r="R17" i="6"/>
  <c r="R40" i="6"/>
  <c r="R41" i="6"/>
  <c r="G41" i="5"/>
</calcChain>
</file>

<file path=xl/comments1.xml><?xml version="1.0" encoding="utf-8"?>
<comments xmlns="http://schemas.openxmlformats.org/spreadsheetml/2006/main">
  <authors>
    <author>Chris North</author>
  </authors>
  <commentList>
    <comment ref="U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passive cooling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cryogenic cooling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Multiplier to launch cost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is low/high Earth orbit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cround control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passive cooling in use but orbit not suitable 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mirror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satellite bus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bus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Bus diameter on launch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cryogenic cooling in use but orbit not suitable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capacity (depends on orbit choice)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mass capacity less than total satellite mass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diameter less than satellite launch size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satellite mas greater than 80% of rocekt mass capacity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reliability (lower for more massive satellite)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instruments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instruments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required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cost (depends on orbit)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2% drop per instrument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instrument temperature requirement not set</t>
        </r>
      </text>
    </comment>
    <comment ref="Y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diameter (after deployment, if applicable)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no instruments selected</t>
        </r>
      </text>
    </comment>
    <comment ref="Y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Size of satellite on launch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UV mirror required but not provided</t>
        </r>
      </text>
    </comment>
    <comment ref="Y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(mirror + bus + instruments + cooling)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beyond low/high Earth orbit, but launch site not suitable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cost (mirror + bus + cooling, but not instruments)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launch site not suitable for rocket</t>
        </r>
      </text>
    </comment>
    <comment ref="Y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development (inc instruments)</t>
        </r>
      </text>
    </comment>
    <comment ref="Y3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ground control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cooling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cooling system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cooling lifetime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temperature achieved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operations cost (including launch)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entire mission (development + operations)</t>
        </r>
      </text>
    </comment>
  </commentList>
</comments>
</file>

<file path=xl/comments2.xml><?xml version="1.0" encoding="utf-8"?>
<comments xmlns="http://schemas.openxmlformats.org/spreadsheetml/2006/main">
  <authors>
    <author>Chris North</author>
    <author>chris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cost of satellite bus (structure)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mas of satellite bus (main structure)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main bus (slightly larger than mirror)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expensive passive cooling (if included)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massive passive cooling (if included)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Temperature required by instrument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is more expensive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expensive bus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massive bus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smaller bus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structure means more more expensive passive cooling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UV-quality mirror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is more expensive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Combined instrument is more expensive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Fraction of orbit during which observations are possible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Passive cooling only possible if either constantly anti-Sun or with long period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Cryogenic cooling requires ability to point away from Earth and Sun at all time, and lifetime lower for low Earth orbit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Some orbits have additional requirements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Some orbits require more fuel to be maintained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Orbits closer to earth have higher ambient temperature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Is it in low/high Earth orbit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More distant satellites are more expensive to control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Include passive cooling?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de-orbit after mission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cost of passive cooling (depends on mirror size)</t>
        </r>
      </text>
    </comment>
    <comment ref="T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mass of passive cooling (depends on mirror size)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Gradually degrades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deorbit after mission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Lifetime supply of cryogenics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coolant and structure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of coolant and structure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Earth-Moon L2 requires additional satellite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Low/High Earth Orbit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beyond Earth orbit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Maximum payload diameter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Approximate reliability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site(s) from which rocket can be launched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Active cooler gradually degrades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launching beyond Earth orbit?</t>
        </r>
      </text>
    </comment>
  </commentList>
</comments>
</file>

<file path=xl/sharedStrings.xml><?xml version="1.0" encoding="utf-8"?>
<sst xmlns="http://schemas.openxmlformats.org/spreadsheetml/2006/main" count="365" uniqueCount="245">
  <si>
    <t>Cost</t>
  </si>
  <si>
    <t>0.5 m</t>
  </si>
  <si>
    <t>Mirror diameter</t>
  </si>
  <si>
    <t>1 m</t>
  </si>
  <si>
    <t>2 m</t>
  </si>
  <si>
    <t>4 m</t>
  </si>
  <si>
    <t>8 m</t>
  </si>
  <si>
    <t>Mass</t>
  </si>
  <si>
    <t>Mass (kg)</t>
  </si>
  <si>
    <t>Cost (£m)</t>
  </si>
  <si>
    <t>Deployable?</t>
  </si>
  <si>
    <t>UV?</t>
  </si>
  <si>
    <t>Mirror</t>
  </si>
  <si>
    <t>Diameter</t>
  </si>
  <si>
    <t>Yes</t>
  </si>
  <si>
    <t>No</t>
  </si>
  <si>
    <t>UV</t>
  </si>
  <si>
    <t>Wavelength</t>
  </si>
  <si>
    <t>Instruments</t>
  </si>
  <si>
    <t>sub-mm</t>
  </si>
  <si>
    <t>Far-IR</t>
  </si>
  <si>
    <t>Mid-IR</t>
  </si>
  <si>
    <t>Near-IR</t>
  </si>
  <si>
    <t>Optical</t>
  </si>
  <si>
    <t>Type</t>
  </si>
  <si>
    <t>Camera</t>
  </si>
  <si>
    <t>Temperature</t>
  </si>
  <si>
    <t>Cooling</t>
  </si>
  <si>
    <t>None</t>
  </si>
  <si>
    <t>Passive</t>
  </si>
  <si>
    <t>Temperature (K)</t>
  </si>
  <si>
    <t>Multiplier</t>
  </si>
  <si>
    <t>Total instrument mass</t>
  </si>
  <si>
    <t>Number of instruments</t>
  </si>
  <si>
    <t>Mirror Deployable</t>
  </si>
  <si>
    <t>Mirror UV</t>
  </si>
  <si>
    <t>Num</t>
  </si>
  <si>
    <t>Mirror total cost</t>
  </si>
  <si>
    <t>Mirror total mass</t>
  </si>
  <si>
    <t>Instrument 1</t>
  </si>
  <si>
    <t>Instrument 2</t>
  </si>
  <si>
    <t>Instrument 3</t>
  </si>
  <si>
    <t>Instrument 4</t>
  </si>
  <si>
    <t>Instrument 5</t>
  </si>
  <si>
    <t>Instrument 6</t>
  </si>
  <si>
    <t>Instrument 7</t>
  </si>
  <si>
    <t>Instrument 8</t>
  </si>
  <si>
    <t>Instr 1</t>
  </si>
  <si>
    <t>Diam</t>
  </si>
  <si>
    <t>WL</t>
  </si>
  <si>
    <t>WL Num</t>
  </si>
  <si>
    <t>Type Num</t>
  </si>
  <si>
    <t>Instr 2</t>
  </si>
  <si>
    <t>Instr 3</t>
  </si>
  <si>
    <t>Instr 4</t>
  </si>
  <si>
    <t>Instr 5</t>
  </si>
  <si>
    <t>Instr 6</t>
  </si>
  <si>
    <t>Instr 7</t>
  </si>
  <si>
    <t>Instr 8</t>
  </si>
  <si>
    <t>Total instrument cost</t>
  </si>
  <si>
    <t>Name</t>
  </si>
  <si>
    <t>Temp.</t>
  </si>
  <si>
    <t>Temperature requirement</t>
  </si>
  <si>
    <t>Bus cost (£m)</t>
  </si>
  <si>
    <t>Bus mass (kg)</t>
  </si>
  <si>
    <t>Structure cost</t>
  </si>
  <si>
    <t>Structure mass</t>
  </si>
  <si>
    <t>Mirror Cost</t>
  </si>
  <si>
    <t>Mirror Mass</t>
  </si>
  <si>
    <t>Bus cost</t>
  </si>
  <si>
    <t>Bus mass</t>
  </si>
  <si>
    <t>Structure diameter</t>
  </si>
  <si>
    <t>Bus diam</t>
  </si>
  <si>
    <t>Bus diameter</t>
  </si>
  <si>
    <t>Satellite Structure</t>
  </si>
  <si>
    <t>Deployable mirror?</t>
  </si>
  <si>
    <t>Lifetime</t>
  </si>
  <si>
    <t>Passive Cost</t>
  </si>
  <si>
    <t>Cost Mult</t>
  </si>
  <si>
    <t>Passive Mass</t>
  </si>
  <si>
    <t>Temp</t>
  </si>
  <si>
    <t>Mass Mult</t>
  </si>
  <si>
    <t>Cryo</t>
  </si>
  <si>
    <t>Selection</t>
  </si>
  <si>
    <t>Cooling system mass</t>
  </si>
  <si>
    <t>Cooling system cost</t>
  </si>
  <si>
    <t>Temperature achieved</t>
  </si>
  <si>
    <t>Cooling System</t>
  </si>
  <si>
    <t>Total Satellite cost</t>
  </si>
  <si>
    <t>Total satellite mass</t>
  </si>
  <si>
    <t>Total satellite size</t>
  </si>
  <si>
    <t>Orbit</t>
  </si>
  <si>
    <t>Period</t>
  </si>
  <si>
    <t>Obs Frac</t>
  </si>
  <si>
    <t>Low Earth Orbit</t>
  </si>
  <si>
    <t>Earth-Sun L2</t>
  </si>
  <si>
    <t>Launch cost Mult</t>
  </si>
  <si>
    <t>Geostationary Orbit</t>
  </si>
  <si>
    <t>Orbit selection</t>
  </si>
  <si>
    <t>Orbit Altitude</t>
  </si>
  <si>
    <t>Fuel Lifetime</t>
  </si>
  <si>
    <t>Altitude</t>
  </si>
  <si>
    <t>Alt</t>
  </si>
  <si>
    <t>Orbit Period</t>
  </si>
  <si>
    <t>FuelLife</t>
  </si>
  <si>
    <t>Passive Warning</t>
  </si>
  <si>
    <t>Cryo Warning</t>
  </si>
  <si>
    <t>Mission Lifetime</t>
  </si>
  <si>
    <t>Observing Fraction</t>
  </si>
  <si>
    <t>Ambient Temperature</t>
  </si>
  <si>
    <t>Satellite Orbit</t>
  </si>
  <si>
    <t>Rocket</t>
  </si>
  <si>
    <t>Operator</t>
  </si>
  <si>
    <t>Ariane 5</t>
  </si>
  <si>
    <t>Soyuz</t>
  </si>
  <si>
    <t>Delta IV</t>
  </si>
  <si>
    <t>H-2B</t>
  </si>
  <si>
    <t>Vega</t>
  </si>
  <si>
    <t>Pegasus</t>
  </si>
  <si>
    <t>Falcon 9</t>
  </si>
  <si>
    <t>FG</t>
  </si>
  <si>
    <t>AIR</t>
  </si>
  <si>
    <t>NASA</t>
  </si>
  <si>
    <t>ESA</t>
  </si>
  <si>
    <t>Launcher</t>
  </si>
  <si>
    <t>Max diameter</t>
  </si>
  <si>
    <t>LEO</t>
  </si>
  <si>
    <t>Launch cost</t>
  </si>
  <si>
    <t>Mass LEO</t>
  </si>
  <si>
    <t>Diam Warning</t>
  </si>
  <si>
    <t>High mass</t>
  </si>
  <si>
    <t>Success Probability</t>
  </si>
  <si>
    <t>Mass Warning</t>
  </si>
  <si>
    <t>Site</t>
  </si>
  <si>
    <t>GTO</t>
  </si>
  <si>
    <t>Code</t>
  </si>
  <si>
    <t>Baikonur</t>
  </si>
  <si>
    <t>BK</t>
  </si>
  <si>
    <t>PK</t>
  </si>
  <si>
    <t>KSC</t>
  </si>
  <si>
    <t>Kennedy Space Centre</t>
  </si>
  <si>
    <t>VDB</t>
  </si>
  <si>
    <t>TNG</t>
  </si>
  <si>
    <t>Tanegashima</t>
  </si>
  <si>
    <t>NASA (USA)</t>
  </si>
  <si>
    <t>JAXA (Japan)</t>
  </si>
  <si>
    <t>ESA (Europe)</t>
  </si>
  <si>
    <t>GTO Warning</t>
  </si>
  <si>
    <t>Rocket Warning</t>
  </si>
  <si>
    <t># Instruments</t>
  </si>
  <si>
    <t>Instrument size</t>
  </si>
  <si>
    <t>Instrument package size</t>
  </si>
  <si>
    <t>Site1</t>
  </si>
  <si>
    <t>Site 2</t>
  </si>
  <si>
    <t>Site 3</t>
  </si>
  <si>
    <t>GS Cost</t>
  </si>
  <si>
    <t>LaunchCostMult</t>
  </si>
  <si>
    <t>Operations Cost</t>
  </si>
  <si>
    <t>Launcher Operator</t>
  </si>
  <si>
    <t>Launch Vehicle and Site</t>
  </si>
  <si>
    <t>Site 1</t>
  </si>
  <si>
    <t>Site Choice</t>
  </si>
  <si>
    <t>Mass Capacity</t>
  </si>
  <si>
    <t>Maximum mass</t>
  </si>
  <si>
    <t>Orbital</t>
  </si>
  <si>
    <t>Carrier Aircraft</t>
  </si>
  <si>
    <t>Orbital (Private)</t>
  </si>
  <si>
    <t>SpaceX (Private)</t>
  </si>
  <si>
    <t>Roscosmos (Russia)</t>
  </si>
  <si>
    <t>Guiana Space Centre</t>
  </si>
  <si>
    <t>Roscosmos</t>
  </si>
  <si>
    <t>JAXA</t>
  </si>
  <si>
    <t>Total Budget</t>
  </si>
  <si>
    <t>Overall Budget</t>
  </si>
  <si>
    <t>Operations Cost (total)</t>
  </si>
  <si>
    <t>Total Development Cost</t>
  </si>
  <si>
    <t>Total Development</t>
  </si>
  <si>
    <t>Ground Control Cost</t>
  </si>
  <si>
    <t>Ground Control Cost (per year)</t>
  </si>
  <si>
    <t>UV Warning</t>
  </si>
  <si>
    <t>Overall Satellite</t>
  </si>
  <si>
    <t>Total Satellite Cost</t>
  </si>
  <si>
    <t>Total Satellite Mass</t>
  </si>
  <si>
    <t>Total Satellite Size</t>
  </si>
  <si>
    <t>Satellite Launch Size</t>
  </si>
  <si>
    <t>Launch Vehicle</t>
  </si>
  <si>
    <t>Launch Site</t>
  </si>
  <si>
    <t>Ground Cost</t>
  </si>
  <si>
    <t>&gt;LEO</t>
  </si>
  <si>
    <t>UV-quality  mirror?</t>
  </si>
  <si>
    <t>Mirror size</t>
  </si>
  <si>
    <t>Totals</t>
  </si>
  <si>
    <t>Launch vehicle</t>
  </si>
  <si>
    <t>Satellite launch size</t>
  </si>
  <si>
    <t>Launch site</t>
  </si>
  <si>
    <t>Summary</t>
  </si>
  <si>
    <t>Mission lifetime</t>
  </si>
  <si>
    <t>Life</t>
  </si>
  <si>
    <t>1 yr</t>
  </si>
  <si>
    <t>3 yrs</t>
  </si>
  <si>
    <t>2 yrs</t>
  </si>
  <si>
    <t>4 yrs</t>
  </si>
  <si>
    <t>5 yrs</t>
  </si>
  <si>
    <t>6 yrs</t>
  </si>
  <si>
    <t>7 yrs</t>
  </si>
  <si>
    <t>8 yrs</t>
  </si>
  <si>
    <t>9 yrs</t>
  </si>
  <si>
    <t>10 yrs</t>
  </si>
  <si>
    <t>15 yrs</t>
  </si>
  <si>
    <t>20 yrs</t>
  </si>
  <si>
    <t>CoolWarning</t>
  </si>
  <si>
    <t>FuelWarning</t>
  </si>
  <si>
    <t>Total Warning</t>
  </si>
  <si>
    <t>Risk</t>
  </si>
  <si>
    <t>Instrument Risk</t>
  </si>
  <si>
    <t>Total Risk</t>
  </si>
  <si>
    <t>Risk total</t>
  </si>
  <si>
    <t>Launch Cost</t>
  </si>
  <si>
    <t>Temp Warning</t>
  </si>
  <si>
    <t>Instr Warning</t>
  </si>
  <si>
    <t>Mass Multiplier</t>
  </si>
  <si>
    <t>&lt;1000</t>
  </si>
  <si>
    <t>Launch Req</t>
  </si>
  <si>
    <t>Requires ability to de-orbit</t>
  </si>
  <si>
    <t xml:space="preserve"> </t>
  </si>
  <si>
    <t>Dev Time</t>
  </si>
  <si>
    <t>Development Time</t>
  </si>
  <si>
    <t>Satellite bus dev time</t>
  </si>
  <si>
    <t>Logistics</t>
  </si>
  <si>
    <t>Mass budget</t>
  </si>
  <si>
    <t>Risk Rating</t>
  </si>
  <si>
    <t>Total mass</t>
  </si>
  <si>
    <t>All Instruments</t>
  </si>
  <si>
    <t>Passive Dev Time</t>
  </si>
  <si>
    <t>Mirror Dev Time</t>
  </si>
  <si>
    <t>MirrorDev Time</t>
  </si>
  <si>
    <t>Cooling Temperature</t>
  </si>
  <si>
    <t>200 K</t>
  </si>
  <si>
    <t>300 K</t>
  </si>
  <si>
    <t>400 K</t>
  </si>
  <si>
    <t>100 K</t>
  </si>
  <si>
    <t>50K</t>
  </si>
  <si>
    <t>3K</t>
  </si>
  <si>
    <t>0.3K</t>
  </si>
  <si>
    <t>18K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</si>
</sst>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</borders>
  <cellStyleXfs count="9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Fill="1" applyAlignment="1"/>
    <xf numFmtId="0" fontId="1" fillId="2" borderId="6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6" xfId="0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9" xfId="0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0" xfId="0" applyFill="1" applyBorder="1"/>
    <xf numFmtId="0" fontId="0" fillId="2" borderId="0" xfId="0" applyFill="1" applyBorder="1" applyAlignment="1"/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4" fillId="0" borderId="3" xfId="0" applyFont="1" applyBorder="1" applyAlignment="1"/>
    <xf numFmtId="0" fontId="4" fillId="0" borderId="5" xfId="0" applyFont="1" applyBorder="1" applyAlignment="1"/>
    <xf numFmtId="0" fontId="1" fillId="0" borderId="0" xfId="0" applyFont="1" applyFill="1" applyBorder="1"/>
    <xf numFmtId="0" fontId="4" fillId="0" borderId="5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7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9" xfId="0" applyFill="1" applyBorder="1"/>
    <xf numFmtId="0" fontId="1" fillId="2" borderId="12" xfId="0" applyFont="1" applyFill="1" applyBorder="1"/>
    <xf numFmtId="0" fontId="1" fillId="2" borderId="13" xfId="0" applyFont="1" applyFill="1" applyBorder="1" applyAlignment="1">
      <alignment horizontal="right"/>
    </xf>
    <xf numFmtId="0" fontId="0" fillId="0" borderId="5" xfId="0" applyBorder="1"/>
    <xf numFmtId="0" fontId="1" fillId="0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6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2" borderId="0" xfId="0" applyFill="1"/>
    <xf numFmtId="0" fontId="1" fillId="2" borderId="9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0" fillId="0" borderId="8" xfId="0" applyFont="1" applyBorder="1"/>
    <xf numFmtId="0" fontId="10" fillId="0" borderId="2" xfId="0" applyFont="1" applyBorder="1"/>
    <xf numFmtId="0" fontId="10" fillId="0" borderId="9" xfId="0" applyFont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1" fillId="2" borderId="6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5" xfId="0" applyBorder="1"/>
    <xf numFmtId="0" fontId="4" fillId="0" borderId="7" xfId="0" applyFont="1" applyBorder="1" applyAlignment="1">
      <alignment horizontal="center"/>
    </xf>
    <xf numFmtId="0" fontId="12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2" fontId="7" fillId="0" borderId="0" xfId="0" applyNumberFormat="1" applyFont="1" applyFill="1" applyBorder="1"/>
    <xf numFmtId="0" fontId="3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2" borderId="6" xfId="0" applyFill="1" applyBorder="1" applyAlignment="1"/>
    <xf numFmtId="0" fontId="1" fillId="0" borderId="0" xfId="0" applyFont="1" applyFill="1" applyBorder="1" applyAlignment="1"/>
    <xf numFmtId="0" fontId="0" fillId="2" borderId="6" xfId="0" applyFont="1" applyFill="1" applyBorder="1" applyAlignment="1"/>
    <xf numFmtId="0" fontId="0" fillId="2" borderId="10" xfId="0" applyFont="1" applyFill="1" applyBorder="1" applyAlignment="1"/>
    <xf numFmtId="0" fontId="1" fillId="2" borderId="14" xfId="0" applyFont="1" applyFill="1" applyBorder="1" applyAlignment="1"/>
    <xf numFmtId="0" fontId="0" fillId="2" borderId="11" xfId="0" applyFill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Lines="83" dropStyle="combo" dx="16" fmlaLink="MirrorDiamNumSel" fmlaRange="MirrorDiamList" noThreeD="1" sel="3" val="0"/>
</file>

<file path=xl/ctrlProps/ctrlProp10.xml><?xml version="1.0" encoding="utf-8"?>
<formControlPr xmlns="http://schemas.microsoft.com/office/spreadsheetml/2009/9/main" objectType="Drop" dropStyle="combo" dx="16" fmlaLink="Instr7NumSel" fmlaRange="InstrWLList" noThreeD="1" val="0"/>
</file>

<file path=xl/ctrlProps/ctrlProp11.xml><?xml version="1.0" encoding="utf-8"?>
<formControlPr xmlns="http://schemas.microsoft.com/office/spreadsheetml/2009/9/main" objectType="Drop" dropStyle="combo" dx="16" fmlaLink="Instr8NumSel" fmlaRange="InstrWLList" noThreeD="1" val="0"/>
</file>

<file path=xl/ctrlProps/ctrlProp12.xml><?xml version="1.0" encoding="utf-8"?>
<formControlPr xmlns="http://schemas.microsoft.com/office/spreadsheetml/2009/9/main" objectType="Drop" dropLines="83" dropStyle="combo" dx="16" fmlaLink="CoolNumSel" fmlaRange="CoolList" noThreeD="1" sel="6" val="0"/>
</file>

<file path=xl/ctrlProps/ctrlProp13.xml><?xml version="1.0" encoding="utf-8"?>
<formControlPr xmlns="http://schemas.microsoft.com/office/spreadsheetml/2009/9/main" objectType="Drop" dropLines="83" dropStyle="combo" dx="16" fmlaLink="OrbitNumSel" fmlaRange="OrbitList" noThreeD="1" val="0"/>
</file>

<file path=xl/ctrlProps/ctrlProp14.xml><?xml version="1.0" encoding="utf-8"?>
<formControlPr xmlns="http://schemas.microsoft.com/office/spreadsheetml/2009/9/main" objectType="Drop" dropLines="83" dropStyle="combo" dx="16" fmlaLink="RocketNumSel" fmlaRange="RocketList" noThreeD="1" val="0"/>
</file>

<file path=xl/ctrlProps/ctrlProp15.xml><?xml version="1.0" encoding="utf-8"?>
<formControlPr xmlns="http://schemas.microsoft.com/office/spreadsheetml/2009/9/main" objectType="Drop" dropLines="83" dropStyle="combo" dx="16" fmlaLink="SiteNumSel" fmlaRange="SiteList" noThreeD="1" val="0"/>
</file>

<file path=xl/ctrlProps/ctrlProp16.xml><?xml version="1.0" encoding="utf-8"?>
<formControlPr xmlns="http://schemas.microsoft.com/office/spreadsheetml/2009/9/main" objectType="Drop" dropLines="83" dropStyle="combo" dx="16" fmlaLink="LifeNumSel" fmlaRange="LifeTextList" noThreeD="1" sel="3" val="0"/>
</file>

<file path=xl/ctrlProps/ctrlProp2.xml><?xml version="1.0" encoding="utf-8"?>
<formControlPr xmlns="http://schemas.microsoft.com/office/spreadsheetml/2009/9/main" objectType="Drop" dropLines="83" dropStyle="combo" dx="16" fmlaLink="MirrorDeplNumSel" fmlaRange="MirrorDeplList" noThreeD="1" sel="2" val="0"/>
</file>

<file path=xl/ctrlProps/ctrlProp3.xml><?xml version="1.0" encoding="utf-8"?>
<formControlPr xmlns="http://schemas.microsoft.com/office/spreadsheetml/2009/9/main" objectType="Drop" dropLines="83" dropStyle="combo" dx="16" fmlaLink="MirrorUVNumSel" fmlaRange="MirrorUVList" noThreeD="1" sel="2" val="0"/>
</file>

<file path=xl/ctrlProps/ctrlProp4.xml><?xml version="1.0" encoding="utf-8"?>
<formControlPr xmlns="http://schemas.microsoft.com/office/spreadsheetml/2009/9/main" objectType="Drop" dropLines="83" dropStyle="combo" dx="16" fmlaLink="Instr1NumSel" fmlaRange="InstrWLList" noThreeD="1" sel="5" val="0"/>
</file>

<file path=xl/ctrlProps/ctrlProp5.xml><?xml version="1.0" encoding="utf-8"?>
<formControlPr xmlns="http://schemas.microsoft.com/office/spreadsheetml/2009/9/main" objectType="Drop" dropLines="83" dropStyle="combo" dx="16" fmlaLink="Instr2NumSel" fmlaRange="InstrWLList" noThreeD="1" val="0"/>
</file>

<file path=xl/ctrlProps/ctrlProp6.xml><?xml version="1.0" encoding="utf-8"?>
<formControlPr xmlns="http://schemas.microsoft.com/office/spreadsheetml/2009/9/main" objectType="Drop" dropLines="83" dropStyle="combo" dx="16" fmlaLink="Instr3NumSel" fmlaRange="InstrWLList" noThreeD="1" val="0"/>
</file>

<file path=xl/ctrlProps/ctrlProp7.xml><?xml version="1.0" encoding="utf-8"?>
<formControlPr xmlns="http://schemas.microsoft.com/office/spreadsheetml/2009/9/main" objectType="Drop" dropStyle="combo" dx="16" fmlaLink="Instr4NumSel" fmlaRange="InstrWLList" noThreeD="1" val="0"/>
</file>

<file path=xl/ctrlProps/ctrlProp8.xml><?xml version="1.0" encoding="utf-8"?>
<formControlPr xmlns="http://schemas.microsoft.com/office/spreadsheetml/2009/9/main" objectType="Drop" dropStyle="combo" dx="16" fmlaLink="Instr5NumSel" fmlaRange="InstrWLList" noThreeD="1" val="0"/>
</file>

<file path=xl/ctrlProps/ctrlProp9.xml><?xml version="1.0" encoding="utf-8"?>
<formControlPr xmlns="http://schemas.microsoft.com/office/spreadsheetml/2009/9/main" objectType="Drop" dropStyle="combo" dx="16" fmlaLink="Instr6NumSel" fmlaRange="InstrWLList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</xdr:row>
          <xdr:rowOff>0</xdr:rowOff>
        </xdr:from>
        <xdr:to>
          <xdr:col>2</xdr:col>
          <xdr:colOff>596900</xdr:colOff>
          <xdr:row>4</xdr:row>
          <xdr:rowOff>12700</xdr:rowOff>
        </xdr:to>
        <xdr:sp macro="" textlink="">
          <xdr:nvSpPr>
            <xdr:cNvPr id="3074" name="MirrorDiamDrop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596900</xdr:colOff>
          <xdr:row>6</xdr:row>
          <xdr:rowOff>25400</xdr:rowOff>
        </xdr:to>
        <xdr:sp macro="" textlink="">
          <xdr:nvSpPr>
            <xdr:cNvPr id="3079" name="MirrorDeplDrop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622300</xdr:colOff>
          <xdr:row>8</xdr:row>
          <xdr:rowOff>12700</xdr:rowOff>
        </xdr:to>
        <xdr:sp macro="" textlink="">
          <xdr:nvSpPr>
            <xdr:cNvPr id="3080" name="MirrorUVDrop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5</xdr:row>
          <xdr:rowOff>0</xdr:rowOff>
        </xdr:from>
        <xdr:to>
          <xdr:col>6</xdr:col>
          <xdr:colOff>850900</xdr:colOff>
          <xdr:row>6</xdr:row>
          <xdr:rowOff>12700</xdr:rowOff>
        </xdr:to>
        <xdr:sp macro="" textlink="">
          <xdr:nvSpPr>
            <xdr:cNvPr id="3081" name="Instr1Drop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7</xdr:row>
          <xdr:rowOff>0</xdr:rowOff>
        </xdr:from>
        <xdr:to>
          <xdr:col>6</xdr:col>
          <xdr:colOff>850900</xdr:colOff>
          <xdr:row>8</xdr:row>
          <xdr:rowOff>12700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9</xdr:row>
          <xdr:rowOff>0</xdr:rowOff>
        </xdr:from>
        <xdr:to>
          <xdr:col>6</xdr:col>
          <xdr:colOff>850900</xdr:colOff>
          <xdr:row>10</xdr:row>
          <xdr:rowOff>12700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11</xdr:row>
          <xdr:rowOff>0</xdr:rowOff>
        </xdr:from>
        <xdr:to>
          <xdr:col>6</xdr:col>
          <xdr:colOff>850900</xdr:colOff>
          <xdr:row>12</xdr:row>
          <xdr:rowOff>12700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13</xdr:row>
          <xdr:rowOff>0</xdr:rowOff>
        </xdr:from>
        <xdr:to>
          <xdr:col>6</xdr:col>
          <xdr:colOff>850900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0</xdr:rowOff>
        </xdr:from>
        <xdr:to>
          <xdr:col>6</xdr:col>
          <xdr:colOff>850900</xdr:colOff>
          <xdr:row>16</xdr:row>
          <xdr:rowOff>12700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0</xdr:rowOff>
        </xdr:from>
        <xdr:to>
          <xdr:col>6</xdr:col>
          <xdr:colOff>850900</xdr:colOff>
          <xdr:row>18</xdr:row>
          <xdr:rowOff>12700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19</xdr:row>
          <xdr:rowOff>0</xdr:rowOff>
        </xdr:from>
        <xdr:to>
          <xdr:col>6</xdr:col>
          <xdr:colOff>850900</xdr:colOff>
          <xdr:row>20</xdr:row>
          <xdr:rowOff>12700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1308100</xdr:colOff>
          <xdr:row>4</xdr:row>
          <xdr:rowOff>0</xdr:rowOff>
        </xdr:from>
        <xdr:to>
          <xdr:col>14</xdr:col>
          <xdr:colOff>393700</xdr:colOff>
          <xdr:row>5</xdr:row>
          <xdr:rowOff>63500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32</xdr:row>
          <xdr:rowOff>12700</xdr:rowOff>
        </xdr:from>
        <xdr:to>
          <xdr:col>4</xdr:col>
          <xdr:colOff>0</xdr:colOff>
          <xdr:row>33</xdr:row>
          <xdr:rowOff>25400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32</xdr:row>
          <xdr:rowOff>0</xdr:rowOff>
        </xdr:from>
        <xdr:to>
          <xdr:col>6</xdr:col>
          <xdr:colOff>1193800</xdr:colOff>
          <xdr:row>33</xdr:row>
          <xdr:rowOff>12700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12</xdr:col>
          <xdr:colOff>0</xdr:colOff>
          <xdr:row>33</xdr:row>
          <xdr:rowOff>12700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15</xdr:row>
          <xdr:rowOff>12700</xdr:rowOff>
        </xdr:from>
        <xdr:to>
          <xdr:col>14</xdr:col>
          <xdr:colOff>1016000</xdr:colOff>
          <xdr:row>16</xdr:row>
          <xdr:rowOff>25400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B1:T44"/>
  <sheetViews>
    <sheetView tabSelected="1" topLeftCell="B1" workbookViewId="0">
      <selection activeCell="U31" sqref="U31"/>
    </sheetView>
  </sheetViews>
  <sheetFormatPr baseColWidth="10" defaultColWidth="8.83203125" defaultRowHeight="14" x14ac:dyDescent="0"/>
  <cols>
    <col min="2" max="2" width="21" bestFit="1" customWidth="1"/>
    <col min="3" max="3" width="14.5" bestFit="1" customWidth="1"/>
    <col min="4" max="4" width="3.83203125" customWidth="1"/>
    <col min="6" max="6" width="18.1640625" bestFit="1" customWidth="1"/>
    <col min="7" max="7" width="21.33203125" customWidth="1"/>
    <col min="8" max="8" width="18.1640625" hidden="1" customWidth="1"/>
    <col min="9" max="9" width="11.6640625" bestFit="1" customWidth="1"/>
    <col min="10" max="10" width="5.5" bestFit="1" customWidth="1"/>
    <col min="11" max="11" width="6.5" bestFit="1" customWidth="1"/>
    <col min="12" max="12" width="9.33203125" bestFit="1" customWidth="1"/>
    <col min="14" max="14" width="24.33203125" bestFit="1" customWidth="1"/>
    <col min="15" max="15" width="13.83203125" customWidth="1"/>
    <col min="16" max="16" width="11.6640625" bestFit="1" customWidth="1"/>
    <col min="18" max="18" width="9.83203125" bestFit="1" customWidth="1"/>
    <col min="19" max="19" width="8.5" bestFit="1" customWidth="1"/>
    <col min="20" max="20" width="12.5" bestFit="1" customWidth="1"/>
  </cols>
  <sheetData>
    <row r="1" spans="2:20" ht="15" thickBot="1"/>
    <row r="2" spans="2:20">
      <c r="B2" s="102" t="s">
        <v>12</v>
      </c>
      <c r="C2" s="104"/>
      <c r="D2" s="103"/>
      <c r="F2" s="102" t="s">
        <v>18</v>
      </c>
      <c r="G2" s="104"/>
      <c r="H2" s="104"/>
      <c r="I2" s="104"/>
      <c r="J2" s="104"/>
      <c r="K2" s="104"/>
      <c r="L2" s="60"/>
      <c r="N2" s="77" t="s">
        <v>87</v>
      </c>
      <c r="O2" s="78"/>
      <c r="P2" s="85"/>
      <c r="Q2" s="85"/>
      <c r="R2" s="85"/>
      <c r="S2" s="85"/>
      <c r="T2" s="46"/>
    </row>
    <row r="3" spans="2:20">
      <c r="B3" s="5"/>
      <c r="C3" s="6"/>
      <c r="D3" s="7"/>
      <c r="F3" s="8"/>
      <c r="G3" s="6"/>
      <c r="H3" s="6"/>
      <c r="I3" s="6"/>
      <c r="J3" s="6"/>
      <c r="K3" s="6"/>
      <c r="L3" s="7"/>
      <c r="N3" s="8"/>
      <c r="O3" s="7"/>
      <c r="P3" s="46"/>
      <c r="Q3" s="46"/>
      <c r="R3" s="46"/>
      <c r="S3" s="46"/>
      <c r="T3" s="46"/>
    </row>
    <row r="4" spans="2:20">
      <c r="B4" s="5" t="s">
        <v>13</v>
      </c>
      <c r="C4" s="6"/>
      <c r="D4" s="7"/>
      <c r="F4" s="5" t="s">
        <v>60</v>
      </c>
      <c r="G4" s="9" t="s">
        <v>17</v>
      </c>
      <c r="H4" s="9"/>
      <c r="I4" s="9" t="s">
        <v>0</v>
      </c>
      <c r="J4" s="9" t="s">
        <v>7</v>
      </c>
      <c r="K4" s="9" t="s">
        <v>61</v>
      </c>
      <c r="L4" s="10"/>
      <c r="N4" s="8"/>
      <c r="O4" s="7" t="s">
        <v>26</v>
      </c>
      <c r="P4" s="35"/>
      <c r="Q4" s="35"/>
      <c r="R4" s="35"/>
      <c r="S4" s="35"/>
      <c r="T4" s="35"/>
    </row>
    <row r="5" spans="2:20">
      <c r="B5" s="5"/>
      <c r="C5" s="6"/>
      <c r="D5" s="7"/>
      <c r="F5" s="8"/>
      <c r="G5" s="6"/>
      <c r="H5" s="6"/>
      <c r="I5" s="6"/>
      <c r="J5" s="6"/>
      <c r="K5" s="6"/>
      <c r="L5" s="7"/>
      <c r="N5" s="5" t="s">
        <v>236</v>
      </c>
      <c r="O5" s="7"/>
      <c r="P5" s="46"/>
      <c r="Q5" s="46"/>
      <c r="R5" s="46"/>
      <c r="S5" s="46"/>
      <c r="T5" s="46"/>
    </row>
    <row r="6" spans="2:20">
      <c r="B6" s="5" t="s">
        <v>75</v>
      </c>
      <c r="C6" s="6"/>
      <c r="D6" s="7"/>
      <c r="F6" s="8" t="s">
        <v>39</v>
      </c>
      <c r="G6" s="6"/>
      <c r="H6" s="6"/>
      <c r="I6" s="6" t="str">
        <f>IF(INDEX(InstrCost,1)=0," ",TEXT(INDEX(InstrCost,1),"£0")&amp;" million")</f>
        <v>£50 million</v>
      </c>
      <c r="J6" s="6" t="str">
        <f>IF(INDEX(InstrMass,1)=0," ",TEXT(INDEX(InstrMass,1),"0")&amp;" kg")</f>
        <v>50 kg</v>
      </c>
      <c r="K6" s="6" t="str">
        <f>IF(INDEX(InstrTemp,1)=999," ",IF(INDEX(InstrTemp,1)&lt;1,TEXT(INDEX(InstrTemp,1),"0.0")&amp;" K",TEXT(INDEX(InstrTemp,1),"0")&amp;" K"))</f>
        <v>40 K</v>
      </c>
      <c r="L6" s="7"/>
      <c r="N6" s="8"/>
      <c r="O6" s="7"/>
      <c r="P6" s="90"/>
      <c r="Q6" s="89"/>
      <c r="R6" s="89"/>
      <c r="S6" s="89"/>
      <c r="T6" s="89"/>
    </row>
    <row r="7" spans="2:20">
      <c r="B7" s="5"/>
      <c r="C7" s="6"/>
      <c r="D7" s="7"/>
      <c r="F7" s="8"/>
      <c r="G7" s="6"/>
      <c r="H7" s="6"/>
      <c r="I7" s="6"/>
      <c r="J7" s="6"/>
      <c r="K7" s="6"/>
      <c r="L7" s="7"/>
      <c r="N7" s="76" t="s">
        <v>85</v>
      </c>
      <c r="O7" s="10" t="str">
        <f>IF(CoolCostTotal&gt;0,TEXT(CoolCostTotal,"£0")&amp;" million","--")</f>
        <v>£40 million</v>
      </c>
      <c r="P7" s="46"/>
      <c r="Q7" s="46"/>
      <c r="R7" s="46"/>
      <c r="S7" s="46"/>
      <c r="T7" s="46"/>
    </row>
    <row r="8" spans="2:20">
      <c r="B8" s="5" t="s">
        <v>189</v>
      </c>
      <c r="C8" s="6"/>
      <c r="D8" s="7"/>
      <c r="F8" s="8" t="s">
        <v>40</v>
      </c>
      <c r="G8" s="6"/>
      <c r="H8" s="6"/>
      <c r="I8" s="6" t="str">
        <f>IF(INDEX(InstrCost,2)=0," ",TEXT(INDEX(InstrCost,2),"£0")&amp;" million")</f>
        <v xml:space="preserve"> </v>
      </c>
      <c r="J8" s="6" t="str">
        <f>IF(INDEX(InstrMass,2)=0," ",TEXT(INDEX(InstrMass,2),"0")&amp;" kg")</f>
        <v xml:space="preserve"> </v>
      </c>
      <c r="K8" s="6" t="str">
        <f>IF(INDEX(InstrTemp,2)=999," ",IF(INDEX(InstrTemp,2)&lt;1,TEXT(INDEX(InstrTemp,2),"0.0")&amp;" K",TEXT(INDEX(InstrTemp,2),"0")&amp;" K"))</f>
        <v xml:space="preserve"> </v>
      </c>
      <c r="L8" s="7"/>
      <c r="N8" s="76" t="s">
        <v>84</v>
      </c>
      <c r="O8" s="10" t="str">
        <f>IF(CoolMassTotal&gt;1,TEXT(CoolMassTotal,"0")&amp;" kg","--")</f>
        <v>500 kg</v>
      </c>
      <c r="P8" s="46"/>
      <c r="Q8" s="86"/>
      <c r="R8" s="86"/>
      <c r="S8" s="86"/>
      <c r="T8" s="86"/>
    </row>
    <row r="9" spans="2:20">
      <c r="B9" s="8"/>
      <c r="C9" s="6"/>
      <c r="D9" s="7"/>
      <c r="F9" s="8"/>
      <c r="G9" s="6"/>
      <c r="H9" s="6"/>
      <c r="I9" s="6"/>
      <c r="J9" s="6"/>
      <c r="K9" s="6"/>
      <c r="L9" s="7"/>
      <c r="N9" s="76" t="s">
        <v>86</v>
      </c>
      <c r="O9" s="10" t="str">
        <f>IF(CoolTemp=INT(CoolTemp),TEXT(CoolTemp,"0")&amp;" K",TEXT(CoolTemp,"0.0")&amp;" K")</f>
        <v>18 K</v>
      </c>
      <c r="P9" s="46"/>
      <c r="Q9" s="46"/>
      <c r="R9" s="46"/>
      <c r="S9" s="46"/>
      <c r="T9" s="46"/>
    </row>
    <row r="10" spans="2:20">
      <c r="B10" s="5" t="s">
        <v>37</v>
      </c>
      <c r="C10" s="9" t="str">
        <f>TEXT(MirrorCostTotal,"£##,###")&amp;" million"</f>
        <v>£50 million</v>
      </c>
      <c r="D10" s="10"/>
      <c r="F10" s="8" t="s">
        <v>41</v>
      </c>
      <c r="G10" s="6"/>
      <c r="H10" s="6"/>
      <c r="I10" s="6" t="str">
        <f>IF(INDEX(InstrCost,3)=0," ",TEXT(INDEX(InstrCost,3),"£0")&amp;" million")</f>
        <v xml:space="preserve"> </v>
      </c>
      <c r="J10" s="6" t="str">
        <f>IF(INDEX(InstrMass,3)=0," ",TEXT(INDEX(InstrMass,3),"0")&amp;" kg")</f>
        <v xml:space="preserve"> </v>
      </c>
      <c r="K10" s="6" t="str">
        <f>IF(INDEX(InstrTemp,3)=999," ",IF(INDEX(InstrTemp,3)&lt;1,TEXT(INDEX(InstrTemp,3),"0.0")&amp;" K",TEXT(INDEX(InstrTemp,3),"0")&amp;" K"))</f>
        <v xml:space="preserve"> </v>
      </c>
      <c r="L10" s="7"/>
      <c r="N10" s="76"/>
      <c r="O10" s="10"/>
      <c r="P10" s="46"/>
      <c r="Q10" s="86"/>
      <c r="R10" s="86"/>
      <c r="S10" s="86"/>
      <c r="T10" s="86"/>
    </row>
    <row r="11" spans="2:20" ht="15" thickBot="1">
      <c r="B11" s="14" t="s">
        <v>38</v>
      </c>
      <c r="C11" s="15" t="str">
        <f>TEXT(MirrorMassTotal,"0")&amp;" kg"</f>
        <v>30 kg</v>
      </c>
      <c r="D11" s="88"/>
      <c r="F11" s="8"/>
      <c r="G11" s="6"/>
      <c r="H11" s="6"/>
      <c r="I11" s="6"/>
      <c r="J11" s="6"/>
      <c r="K11" s="6"/>
      <c r="L11" s="7"/>
      <c r="N11" s="87"/>
      <c r="O11" s="88"/>
      <c r="P11" s="46"/>
      <c r="Q11" s="46"/>
      <c r="R11" s="46"/>
      <c r="S11" s="46"/>
      <c r="T11" s="46"/>
    </row>
    <row r="12" spans="2:20">
      <c r="B12" s="35"/>
      <c r="C12" s="35"/>
      <c r="D12" s="46"/>
      <c r="F12" s="8" t="s">
        <v>42</v>
      </c>
      <c r="G12" s="6"/>
      <c r="H12" s="6"/>
      <c r="I12" s="6" t="str">
        <f>IF(INDEX(InstrCost,4)=0," ",TEXT(INDEX(InstrCost,4),"£0")&amp;" million")</f>
        <v xml:space="preserve"> </v>
      </c>
      <c r="J12" s="6" t="str">
        <f>IF(INDEX(InstrMass,4)=0," ",TEXT(INDEX(InstrMass,4),"0")&amp;" kg")</f>
        <v xml:space="preserve"> </v>
      </c>
      <c r="K12" s="6" t="str">
        <f>IF(INDEX(InstrTemp,4)=999," ",IF(INDEX(InstrTemp,4)&lt;1,TEXT(INDEX(InstrTemp,4),"0.0")&amp;" K",TEXT(INDEX(InstrTemp,4),"0")&amp;" K"))</f>
        <v xml:space="preserve"> </v>
      </c>
      <c r="L12" s="7"/>
      <c r="N12" s="46"/>
      <c r="O12" s="46"/>
      <c r="P12" s="46"/>
      <c r="Q12" s="46"/>
      <c r="R12" s="46"/>
      <c r="S12" s="46"/>
      <c r="T12" s="46"/>
    </row>
    <row r="13" spans="2:20" ht="15" thickBot="1">
      <c r="B13" s="89" t="str">
        <f>IF(InstrUVWarning=1,"Mirror Unsuitable for UV","")</f>
        <v/>
      </c>
      <c r="C13" s="89"/>
      <c r="D13" s="89"/>
      <c r="F13" s="8"/>
      <c r="G13" s="6"/>
      <c r="H13" s="6"/>
      <c r="I13" s="6"/>
      <c r="J13" s="6"/>
      <c r="K13" s="6"/>
      <c r="L13" s="7"/>
      <c r="P13" s="46"/>
      <c r="Q13" s="46"/>
      <c r="R13" s="46"/>
      <c r="S13" s="46"/>
      <c r="T13" s="46"/>
    </row>
    <row r="14" spans="2:20" ht="15" thickBot="1">
      <c r="F14" s="8" t="s">
        <v>43</v>
      </c>
      <c r="G14" s="6"/>
      <c r="H14" s="6"/>
      <c r="I14" s="6" t="str">
        <f>IF(INDEX(InstrCost,5)=0," ",TEXT(INDEX(InstrCost,5),"£0")&amp;" million")</f>
        <v xml:space="preserve"> </v>
      </c>
      <c r="J14" s="6" t="str">
        <f>IF(INDEX(InstrMass,5)=0," ",TEXT(INDEX(InstrMass,5),"0")&amp;" kg")</f>
        <v xml:space="preserve"> </v>
      </c>
      <c r="K14" s="6" t="str">
        <f>IF(INDEX(InstrTemp,5)=999," ",IF(INDEX(InstrTemp,5)&lt;1,TEXT(INDEX(InstrTemp,5),"0.0")&amp;" K",TEXT(INDEX(InstrTemp,5),"0")&amp;" K"))</f>
        <v xml:space="preserve"> </v>
      </c>
      <c r="L14" s="7"/>
      <c r="N14" s="102" t="s">
        <v>228</v>
      </c>
      <c r="O14" s="103"/>
      <c r="P14" s="46"/>
      <c r="Q14" s="46"/>
      <c r="R14" s="46"/>
      <c r="S14" s="46"/>
      <c r="T14" s="46"/>
    </row>
    <row r="15" spans="2:20">
      <c r="B15" s="102" t="s">
        <v>74</v>
      </c>
      <c r="C15" s="104"/>
      <c r="D15" s="78"/>
      <c r="F15" s="8"/>
      <c r="G15" s="6"/>
      <c r="H15" s="6"/>
      <c r="I15" s="6"/>
      <c r="J15" s="6"/>
      <c r="K15" s="6"/>
      <c r="L15" s="7"/>
      <c r="N15" s="8"/>
      <c r="O15" s="7"/>
      <c r="P15" s="46"/>
      <c r="Q15" s="46"/>
      <c r="R15" s="46"/>
      <c r="S15" s="46"/>
      <c r="T15" s="46"/>
    </row>
    <row r="16" spans="2:20">
      <c r="B16" s="8"/>
      <c r="C16" s="6"/>
      <c r="D16" s="7"/>
      <c r="F16" s="8" t="s">
        <v>44</v>
      </c>
      <c r="G16" s="6"/>
      <c r="H16" s="6"/>
      <c r="I16" s="6" t="str">
        <f>IF(INDEX(InstrCost,6)=0," ",TEXT(INDEX(InstrCost,6),"£0")&amp;" million")</f>
        <v xml:space="preserve"> </v>
      </c>
      <c r="J16" s="6" t="str">
        <f>IF(INDEX(InstrMass,6)=0," ",TEXT(INDEX(InstrMass,6),"0")&amp;" kg")</f>
        <v xml:space="preserve"> </v>
      </c>
      <c r="K16" s="6" t="str">
        <f>IF(INDEX(InstrTemp,6)=999," ",IF(INDEX(InstrTemp,6)&lt;1,TEXT(INDEX(InstrTemp,6),"0.0")&amp;" K",TEXT(INDEX(InstrTemp,6),"0")&amp;" K"))</f>
        <v xml:space="preserve"> </v>
      </c>
      <c r="L16" s="7"/>
      <c r="N16" s="5" t="s">
        <v>107</v>
      </c>
      <c r="O16" s="7"/>
      <c r="P16" s="46"/>
      <c r="Q16" s="46"/>
      <c r="R16" s="46"/>
      <c r="S16" s="46"/>
      <c r="T16" s="46"/>
    </row>
    <row r="17" spans="2:20">
      <c r="B17" s="5" t="s">
        <v>65</v>
      </c>
      <c r="C17" s="9" t="str">
        <f>TEXT(BusCostTotal,"£##,###")&amp;" million"</f>
        <v>£500 million</v>
      </c>
      <c r="D17" s="10"/>
      <c r="F17" s="8"/>
      <c r="G17" s="6"/>
      <c r="H17" s="6"/>
      <c r="I17" s="6"/>
      <c r="J17" s="6"/>
      <c r="K17" s="6"/>
      <c r="L17" s="7"/>
      <c r="N17" s="8"/>
      <c r="O17" s="7"/>
      <c r="P17" s="92"/>
      <c r="Q17" s="89"/>
      <c r="R17" s="89"/>
      <c r="S17" s="89"/>
      <c r="T17" s="89"/>
    </row>
    <row r="18" spans="2:20">
      <c r="B18" s="5" t="s">
        <v>66</v>
      </c>
      <c r="C18" s="9" t="str">
        <f>TEXT(BusMassTotal,"0")&amp;" kg"</f>
        <v>200 kg</v>
      </c>
      <c r="D18" s="10"/>
      <c r="F18" s="8" t="s">
        <v>45</v>
      </c>
      <c r="G18" s="6"/>
      <c r="H18" s="6"/>
      <c r="I18" s="6" t="str">
        <f>IF(INDEX(InstrCost,7)=0," ",TEXT(INDEX(InstrCost,7),"£0")&amp;" million")</f>
        <v xml:space="preserve"> </v>
      </c>
      <c r="J18" s="6" t="str">
        <f>IF(INDEX(InstrMass,7)=0," ",TEXT(INDEX(InstrMass,7),"0")&amp;" kg")</f>
        <v xml:space="preserve"> </v>
      </c>
      <c r="K18" s="6" t="str">
        <f>IF(INDEX(InstrTemp,7)=999," ",IF(INDEX(InstrTemp,7)&lt;1,TEXT(INDEX(InstrTemp,7),"0.0")&amp;" K",TEXT(INDEX(InstrTemp,7),"0")&amp;" K"))</f>
        <v xml:space="preserve"> </v>
      </c>
      <c r="L18" s="7"/>
      <c r="N18" s="106" t="str">
        <f>IF(LifeCoolWarning=1,"Cooling lifetime insufficient","Cooling lifetime within limits")</f>
        <v>Cooling lifetime within limits</v>
      </c>
      <c r="O18" s="107"/>
      <c r="P18" s="92"/>
    </row>
    <row r="19" spans="2:20" ht="15" thickBot="1">
      <c r="B19" s="14" t="s">
        <v>71</v>
      </c>
      <c r="C19" s="15" t="str">
        <f>TEXT(BusDiamTotal,"0.0")&amp;" m"</f>
        <v>2.4 m</v>
      </c>
      <c r="D19" s="88"/>
      <c r="F19" s="8"/>
      <c r="G19" s="6"/>
      <c r="H19" s="6"/>
      <c r="I19" s="6"/>
      <c r="J19" s="6"/>
      <c r="K19" s="6"/>
      <c r="L19" s="7"/>
      <c r="N19" s="108" t="str">
        <f>IF(LifeFuelWarning=1,"Fuel supply insufficient","Fuel lifetime within limits")</f>
        <v>Fuel lifetime within limits</v>
      </c>
      <c r="O19" s="109"/>
    </row>
    <row r="20" spans="2:20">
      <c r="F20" s="8" t="s">
        <v>46</v>
      </c>
      <c r="G20" s="6"/>
      <c r="H20" s="6"/>
      <c r="I20" s="6" t="str">
        <f>IF(INDEX(InstrCost,8)=0," ",TEXT(INDEX(InstrCost,8),"£0")&amp;" million")</f>
        <v xml:space="preserve"> </v>
      </c>
      <c r="J20" s="6" t="str">
        <f>IF(INDEX(InstrMass,8)=0," ",TEXT(INDEX(InstrMass,8),"0")&amp;" kg")</f>
        <v xml:space="preserve"> </v>
      </c>
      <c r="K20" s="6" t="str">
        <f>IF(INDEX(InstrTemp,8)=999," ",IF(INDEX(InstrTemp,8)&lt;1,TEXT(INDEX(InstrTemp,8),"0.0")&amp;" K",TEXT(INDEX(InstrTemp,8),"0")&amp;" K"))</f>
        <v xml:space="preserve"> </v>
      </c>
      <c r="L20" s="7"/>
      <c r="P20" s="97"/>
      <c r="Q20" s="93"/>
    </row>
    <row r="21" spans="2:20" ht="15" thickBot="1">
      <c r="B21" s="35"/>
      <c r="C21" s="35"/>
      <c r="D21" s="46"/>
      <c r="F21" s="8"/>
      <c r="G21" s="6"/>
      <c r="H21" s="6"/>
      <c r="I21" s="6"/>
      <c r="J21" s="6"/>
      <c r="K21" s="6"/>
      <c r="L21" s="7"/>
    </row>
    <row r="22" spans="2:20" ht="15" thickBot="1">
      <c r="F22" s="8"/>
      <c r="G22" s="105" t="s">
        <v>33</v>
      </c>
      <c r="H22" s="105"/>
      <c r="I22" s="105" t="str">
        <f>IF(InstrNumWarning=1,"None selected",TEXT(InstrNumTotal,"0"))</f>
        <v>1</v>
      </c>
      <c r="J22" s="105"/>
      <c r="K22" s="61"/>
      <c r="L22" s="18"/>
      <c r="N22" s="102" t="s">
        <v>229</v>
      </c>
      <c r="O22" s="103"/>
    </row>
    <row r="23" spans="2:20">
      <c r="B23" s="102" t="s">
        <v>180</v>
      </c>
      <c r="C23" s="104"/>
      <c r="D23" s="103"/>
      <c r="F23" s="8"/>
      <c r="G23" s="105" t="s">
        <v>151</v>
      </c>
      <c r="H23" s="105"/>
      <c r="I23" s="9" t="str">
        <f>IF(InstrSizeTotal=0,"--",TEXT(InstrSizeTotal,"0")&amp;" m")</f>
        <v>1 m</v>
      </c>
      <c r="J23" s="6"/>
      <c r="K23" s="6"/>
      <c r="L23" s="7"/>
      <c r="N23" s="96" t="s">
        <v>74</v>
      </c>
      <c r="O23" s="20" t="str">
        <f>TEXT(BusMassTotal,"0")&amp;" kg"</f>
        <v>200 kg</v>
      </c>
    </row>
    <row r="24" spans="2:20">
      <c r="B24" s="8"/>
      <c r="C24" s="6"/>
      <c r="D24" s="7"/>
      <c r="F24" s="8"/>
      <c r="G24" s="105" t="s">
        <v>59</v>
      </c>
      <c r="H24" s="105"/>
      <c r="I24" s="9" t="str">
        <f>IF(InstrCostTotal=0,"--",TEXT(InstrCostTotal,"£0")&amp;(" million"))</f>
        <v>£50 million</v>
      </c>
      <c r="J24" s="6"/>
      <c r="K24" s="6"/>
      <c r="L24" s="7"/>
      <c r="N24" s="96" t="s">
        <v>12</v>
      </c>
      <c r="O24" s="20" t="str">
        <f>TEXT(MirrorMassTotal,"0")&amp;" kg"</f>
        <v>30 kg</v>
      </c>
    </row>
    <row r="25" spans="2:20">
      <c r="B25" s="5" t="s">
        <v>181</v>
      </c>
      <c r="C25" s="16" t="str">
        <f>TEXT(SatCostTotal,"£##,###")&amp;" million"</f>
        <v>£590 million</v>
      </c>
      <c r="D25" s="17"/>
      <c r="F25" s="8"/>
      <c r="G25" s="105" t="s">
        <v>32</v>
      </c>
      <c r="H25" s="105"/>
      <c r="I25" s="9" t="str">
        <f>IF(InstrMassTotal=0,"--",TEXT(InstrMassTotal,"0")&amp;(" kg"))</f>
        <v>50 kg</v>
      </c>
      <c r="J25" s="6"/>
      <c r="K25" s="6"/>
      <c r="L25" s="7"/>
      <c r="N25" s="96" t="s">
        <v>27</v>
      </c>
      <c r="O25" s="20" t="str">
        <f>IF(CoolPassiveMassTotal=0,"--",TEXT(CoolPassiveMassTotal,"0")&amp;" kg")</f>
        <v>500 kg</v>
      </c>
    </row>
    <row r="26" spans="2:20">
      <c r="B26" s="5" t="s">
        <v>182</v>
      </c>
      <c r="C26" s="9" t="str">
        <f>TEXT(SatMasstotal,"0")&amp;" kg"</f>
        <v>780 kg</v>
      </c>
      <c r="D26" s="7"/>
      <c r="F26" s="8"/>
      <c r="G26" s="105" t="s">
        <v>62</v>
      </c>
      <c r="H26" s="105"/>
      <c r="I26" s="9" t="str">
        <f>IF(InstrTempReq=NoTempReq,"--",IF(InstrTempReq&lt;1,TEXT(InstrTempReq,"0.0")&amp;" K",TEXT(InstrTempReq,"0")&amp;" K"))</f>
        <v>40 K</v>
      </c>
      <c r="J26" s="6"/>
      <c r="K26" s="6"/>
      <c r="L26" s="7"/>
      <c r="N26" s="80" t="s">
        <v>232</v>
      </c>
      <c r="O26" s="20" t="str">
        <f>TEXT(InstrMassTotal,"0")&amp;" kg"</f>
        <v>50 kg</v>
      </c>
      <c r="R26" s="35"/>
      <c r="S26" s="35"/>
      <c r="T26" s="46"/>
    </row>
    <row r="27" spans="2:20">
      <c r="B27" s="5" t="s">
        <v>183</v>
      </c>
      <c r="C27" s="9" t="str">
        <f>TEXT(SatDiamTotal,"0.0")&amp;" m"</f>
        <v>2.4 m</v>
      </c>
      <c r="D27" s="10"/>
      <c r="F27" s="8"/>
      <c r="G27" s="62"/>
      <c r="H27" s="62"/>
      <c r="I27" s="62"/>
      <c r="J27" s="6"/>
      <c r="K27" s="6"/>
      <c r="L27" s="7"/>
      <c r="N27" s="8"/>
      <c r="O27" s="7"/>
      <c r="P27" s="84"/>
      <c r="R27" s="35"/>
      <c r="S27" s="46"/>
      <c r="T27" s="91"/>
    </row>
    <row r="28" spans="2:20" ht="15" thickBot="1">
      <c r="B28" s="14" t="s">
        <v>184</v>
      </c>
      <c r="C28" s="15" t="str">
        <f>TEXT(SatLaunchDiamTotal,"0.0")&amp;" m"</f>
        <v>2.4 m</v>
      </c>
      <c r="D28" s="13"/>
      <c r="F28" s="11"/>
      <c r="G28" s="117" t="str">
        <f>IF(InstrTempReq=NoTempReq,"",IF(InstrTempWarning=1,"Error: Temperature requirement not met","Temperature requirement met"))</f>
        <v>Temperature requirement met</v>
      </c>
      <c r="H28" s="117"/>
      <c r="I28" s="117"/>
      <c r="J28" s="12"/>
      <c r="K28" s="12"/>
      <c r="L28" s="13"/>
      <c r="N28" s="14" t="s">
        <v>231</v>
      </c>
      <c r="O28" s="63" t="str">
        <f>TEXT(SatMasstotal,"0")&amp;" kg"</f>
        <v>780 kg</v>
      </c>
      <c r="P28" s="83"/>
      <c r="R28" s="116"/>
      <c r="S28" s="116"/>
      <c r="T28" s="116"/>
    </row>
    <row r="30" spans="2:20" ht="15" thickBot="1"/>
    <row r="31" spans="2:20">
      <c r="B31" s="102" t="s">
        <v>110</v>
      </c>
      <c r="C31" s="104"/>
      <c r="D31" s="103"/>
      <c r="E31" s="3"/>
      <c r="F31" s="102" t="s">
        <v>159</v>
      </c>
      <c r="G31" s="104"/>
      <c r="H31" s="104"/>
      <c r="I31" s="104"/>
      <c r="J31" s="104"/>
      <c r="K31" s="104"/>
      <c r="L31" s="60"/>
      <c r="N31" s="102" t="s">
        <v>173</v>
      </c>
      <c r="O31" s="103"/>
      <c r="P31" s="97"/>
    </row>
    <row r="32" spans="2:20">
      <c r="B32" s="8"/>
      <c r="C32" s="6"/>
      <c r="D32" s="7"/>
      <c r="F32" s="8"/>
      <c r="G32" s="6"/>
      <c r="H32" s="6"/>
      <c r="I32" s="6"/>
      <c r="J32" s="6"/>
      <c r="K32" s="6"/>
      <c r="L32" s="7"/>
      <c r="N32" s="8"/>
      <c r="O32" s="7"/>
      <c r="P32" s="46"/>
    </row>
    <row r="33" spans="2:20">
      <c r="B33" s="5" t="s">
        <v>98</v>
      </c>
      <c r="C33" s="6"/>
      <c r="D33" s="7"/>
      <c r="F33" s="5" t="s">
        <v>124</v>
      </c>
      <c r="G33" s="6"/>
      <c r="H33" s="6"/>
      <c r="I33" s="9" t="s">
        <v>133</v>
      </c>
      <c r="J33" s="6"/>
      <c r="K33" s="6"/>
      <c r="L33" s="7"/>
      <c r="N33" s="8"/>
      <c r="O33" s="7"/>
      <c r="P33" s="46"/>
    </row>
    <row r="34" spans="2:20">
      <c r="B34" s="8"/>
      <c r="C34" s="6"/>
      <c r="D34" s="7"/>
      <c r="F34" s="8"/>
      <c r="G34" s="6"/>
      <c r="H34" s="6"/>
      <c r="I34" s="6"/>
      <c r="J34" s="6"/>
      <c r="K34" s="6"/>
      <c r="L34" s="7"/>
      <c r="N34" s="98" t="s">
        <v>74</v>
      </c>
      <c r="O34" s="43" t="str">
        <f>TEXT(BusCostTotal,"£##,###")&amp;" million"</f>
        <v>£500 million</v>
      </c>
      <c r="P34" s="46"/>
    </row>
    <row r="35" spans="2:20">
      <c r="B35" s="5" t="s">
        <v>99</v>
      </c>
      <c r="C35" s="9" t="str">
        <f>TEXT(OrbitAltSel,"##,###,###")&amp;" km"</f>
        <v>&lt;1000 km</v>
      </c>
      <c r="D35" s="10"/>
      <c r="F35" s="5" t="s">
        <v>112</v>
      </c>
      <c r="G35" s="9" t="str">
        <f>RocketOpSel</f>
        <v>ESA (Europe)</v>
      </c>
      <c r="H35" s="6"/>
      <c r="I35" s="9" t="s">
        <v>112</v>
      </c>
      <c r="J35" s="9" t="str">
        <f>SiteOpSel</f>
        <v>ESA</v>
      </c>
      <c r="K35" s="6"/>
      <c r="L35" s="7"/>
      <c r="N35" s="98" t="s">
        <v>12</v>
      </c>
      <c r="O35" s="43" t="str">
        <f>TEXT(MirrorCostTotal,"£##,###")&amp;" million"</f>
        <v>£50 million</v>
      </c>
      <c r="P35" s="46"/>
    </row>
    <row r="36" spans="2:20">
      <c r="B36" s="5" t="s">
        <v>103</v>
      </c>
      <c r="C36" s="9" t="str">
        <f>IF(OrbitPeriodSel&gt;5,TEXT(OrbitPeriodSel,"0")&amp;" days",IF(OrbitPeriodSel&gt;0.5,TEXT(OrbitPeriodSel*24,"0")&amp;" hours",TEXT(OrbitPeriodSel*60*24,"0")&amp;" mins"))</f>
        <v>90 mins</v>
      </c>
      <c r="D36" s="10"/>
      <c r="F36" s="5" t="s">
        <v>125</v>
      </c>
      <c r="G36" s="9" t="str">
        <f>TEXT(RocketDiamSel,"0.0")&amp;" m"</f>
        <v>5.5 m</v>
      </c>
      <c r="H36" s="6"/>
      <c r="I36" s="111" t="str">
        <f>IF(SiteRocketWarning,"Error: Site unsuitable for chosen rocket","Site suitable for rocket")</f>
        <v>Site suitable for rocket</v>
      </c>
      <c r="J36" s="111"/>
      <c r="K36" s="111"/>
      <c r="L36" s="107"/>
      <c r="N36" s="98" t="s">
        <v>87</v>
      </c>
      <c r="O36" s="43" t="str">
        <f>IF(CoolCostTotal=0,"--",TEXT(CoolCostTotal,"£0")&amp;" million")</f>
        <v>£40 million</v>
      </c>
      <c r="P36" s="46"/>
    </row>
    <row r="37" spans="2:20">
      <c r="B37" s="5" t="s">
        <v>108</v>
      </c>
      <c r="C37" s="9" t="str">
        <f>TEXT(OrbitFracSel,"0%")</f>
        <v>50%</v>
      </c>
      <c r="D37" s="10"/>
      <c r="F37" s="5" t="s">
        <v>163</v>
      </c>
      <c r="G37" s="9" t="str">
        <f>TEXT(RocketMassCap,"0")&amp;" kg"</f>
        <v>20000 kg</v>
      </c>
      <c r="H37" s="6"/>
      <c r="I37" s="6"/>
      <c r="J37" s="6"/>
      <c r="K37" s="6"/>
      <c r="L37" s="7"/>
      <c r="N37" s="99" t="s">
        <v>18</v>
      </c>
      <c r="O37" s="44" t="str">
        <f>IF(InstrCostTotal=0,"",TEXT(InstrCostTotal,"£0")&amp;(" million"))</f>
        <v>£50 million</v>
      </c>
      <c r="P37" s="46"/>
    </row>
    <row r="38" spans="2:20" ht="15" customHeight="1">
      <c r="B38" s="5" t="s">
        <v>109</v>
      </c>
      <c r="C38" s="9" t="str">
        <f>TEXT(OrbitTempSel,"0")&amp;" K"</f>
        <v>400 K</v>
      </c>
      <c r="D38" s="10"/>
      <c r="F38" s="8"/>
      <c r="G38" s="22"/>
      <c r="H38" s="6"/>
      <c r="I38" s="112"/>
      <c r="J38" s="112"/>
      <c r="K38" s="112"/>
      <c r="L38" s="113"/>
      <c r="N38" s="100" t="s">
        <v>175</v>
      </c>
      <c r="O38" s="19" t="str">
        <f>TEXT(DevelCostTotal,"£##,###")&amp;" million"</f>
        <v>£640 million</v>
      </c>
      <c r="P38" s="46"/>
      <c r="R38" s="46"/>
      <c r="S38" s="46"/>
      <c r="T38" s="94"/>
    </row>
    <row r="39" spans="2:20">
      <c r="B39" s="5" t="s">
        <v>100</v>
      </c>
      <c r="C39" s="9" t="str">
        <f>TEXT(OrbitLifeSel,"0")&amp;" yrs"</f>
        <v>10 yrs</v>
      </c>
      <c r="D39" s="10"/>
      <c r="F39" s="5" t="s">
        <v>127</v>
      </c>
      <c r="G39" s="9" t="str">
        <f>TEXT(LaunchCostTotal,"$0")&amp;" million"</f>
        <v>$120 million</v>
      </c>
      <c r="H39" s="6"/>
      <c r="I39" s="112"/>
      <c r="J39" s="112"/>
      <c r="K39" s="112"/>
      <c r="L39" s="113"/>
      <c r="N39" s="76"/>
      <c r="O39" s="79"/>
      <c r="P39" s="95"/>
      <c r="R39" s="46"/>
      <c r="S39" s="46"/>
      <c r="T39" s="46"/>
    </row>
    <row r="40" spans="2:20">
      <c r="B40" s="5" t="s">
        <v>177</v>
      </c>
      <c r="C40" s="9" t="str">
        <f>TEXT(GroundCostYear,"£0")&amp;" million/yr"</f>
        <v>£20 million/yr</v>
      </c>
      <c r="D40" s="10"/>
      <c r="F40" s="5" t="s">
        <v>158</v>
      </c>
      <c r="G40" s="9" t="str">
        <f>RocketOpSel</f>
        <v>ESA (Europe)</v>
      </c>
      <c r="H40" s="6"/>
      <c r="I40" s="6"/>
      <c r="J40" s="6"/>
      <c r="K40" s="6"/>
      <c r="L40" s="7"/>
      <c r="N40" s="98" t="s">
        <v>127</v>
      </c>
      <c r="O40" s="43" t="str">
        <f>TEXT(LaunchCostTotal,"£0")&amp;" million"</f>
        <v>£120 million</v>
      </c>
      <c r="P40" s="46"/>
      <c r="R40" s="35"/>
      <c r="S40" s="35"/>
      <c r="T40" s="95"/>
    </row>
    <row r="41" spans="2:20">
      <c r="B41" s="5"/>
      <c r="C41" s="9"/>
      <c r="D41" s="10"/>
      <c r="F41" s="5" t="s">
        <v>131</v>
      </c>
      <c r="G41" s="9" t="str">
        <f>TEXT(RocketRiskTotal,"0%")</f>
        <v>0%</v>
      </c>
      <c r="H41" s="6"/>
      <c r="I41" s="6"/>
      <c r="J41" s="57"/>
      <c r="K41" s="57"/>
      <c r="L41" s="58"/>
      <c r="N41" s="99" t="s">
        <v>178</v>
      </c>
      <c r="O41" s="44" t="str">
        <f>TEXT(GroundCostYear,"£0")&amp;" million"</f>
        <v>£20 million</v>
      </c>
      <c r="P41" s="46"/>
      <c r="R41" s="46"/>
      <c r="S41" s="46"/>
      <c r="T41" s="46"/>
    </row>
    <row r="42" spans="2:20" ht="15" customHeight="1">
      <c r="B42" s="8"/>
      <c r="C42" s="6"/>
      <c r="D42" s="7"/>
      <c r="E42" s="4"/>
      <c r="F42" s="8"/>
      <c r="G42" s="62"/>
      <c r="H42" s="6"/>
      <c r="I42" s="114"/>
      <c r="J42" s="114"/>
      <c r="K42" s="114"/>
      <c r="L42" s="115"/>
      <c r="N42" s="100" t="s">
        <v>174</v>
      </c>
      <c r="O42" s="19" t="str">
        <f>TEXT(OpTotalCost,"£0")&amp;" million"</f>
        <v>£180 million</v>
      </c>
      <c r="P42" s="46"/>
      <c r="R42" s="46"/>
      <c r="S42" s="46"/>
      <c r="T42" s="46"/>
    </row>
    <row r="43" spans="2:20">
      <c r="B43" s="106"/>
      <c r="C43" s="111"/>
      <c r="D43" s="107"/>
      <c r="E43" s="2"/>
      <c r="F43" s="106" t="str">
        <f>IF(RocketMassWarning,"Error: Maximum mass exceeded",IF(RocketHighMassWarning,"Warning: Mass over 80% Capacity","Mass within limits"))</f>
        <v>Mass within limits</v>
      </c>
      <c r="G43" s="111"/>
      <c r="H43" s="6"/>
      <c r="I43" s="114"/>
      <c r="J43" s="114"/>
      <c r="K43" s="114"/>
      <c r="L43" s="115"/>
      <c r="N43" s="21"/>
      <c r="O43" s="101"/>
      <c r="P43" s="94"/>
      <c r="R43" s="46"/>
      <c r="S43" s="46"/>
      <c r="T43" s="46"/>
    </row>
    <row r="44" spans="2:20" ht="15" thickBot="1">
      <c r="B44" s="108" t="str">
        <f>IF(CoolPassiveCostTotal&gt;0,IF(OrbitPassiveWarning=1,"Error: Unsuitable for cooling","Suitable for cooling")," ")</f>
        <v>Suitable for cooling</v>
      </c>
      <c r="C44" s="110"/>
      <c r="D44" s="109"/>
      <c r="F44" s="108" t="str">
        <f>IF(RocketDiamWarning,"Error: Maximum size exceeded","Size within limits")</f>
        <v>Size within limits</v>
      </c>
      <c r="G44" s="110"/>
      <c r="H44" s="12"/>
      <c r="I44" s="12"/>
      <c r="J44" s="12"/>
      <c r="K44" s="12"/>
      <c r="L44" s="13"/>
      <c r="N44" s="51" t="s">
        <v>172</v>
      </c>
      <c r="O44" s="52" t="str">
        <f>TEXT(TotalBudget,"£##,###")&amp;" million"</f>
        <v>£820 million</v>
      </c>
      <c r="P44" s="46"/>
      <c r="R44" s="35"/>
      <c r="S44" s="35"/>
      <c r="T44" s="95"/>
    </row>
  </sheetData>
  <mergeCells count="26">
    <mergeCell ref="R28:T28"/>
    <mergeCell ref="G26:H26"/>
    <mergeCell ref="G28:I28"/>
    <mergeCell ref="B44:D44"/>
    <mergeCell ref="F31:K31"/>
    <mergeCell ref="F44:G44"/>
    <mergeCell ref="F43:G43"/>
    <mergeCell ref="B15:C15"/>
    <mergeCell ref="G22:H22"/>
    <mergeCell ref="I22:J22"/>
    <mergeCell ref="B23:D23"/>
    <mergeCell ref="I36:L36"/>
    <mergeCell ref="I38:L39"/>
    <mergeCell ref="I42:L43"/>
    <mergeCell ref="B31:D31"/>
    <mergeCell ref="B43:D43"/>
    <mergeCell ref="G25:H25"/>
    <mergeCell ref="G24:H24"/>
    <mergeCell ref="N31:O31"/>
    <mergeCell ref="B2:D2"/>
    <mergeCell ref="F2:K2"/>
    <mergeCell ref="G23:H23"/>
    <mergeCell ref="N14:O14"/>
    <mergeCell ref="N18:O18"/>
    <mergeCell ref="N22:O22"/>
    <mergeCell ref="N19:O19"/>
  </mergeCells>
  <conditionalFormatting sqref="G28">
    <cfRule type="containsText" dxfId="11" priority="19" stopIfTrue="1" operator="containsText" text="not">
      <formula>NOT(ISERROR(SEARCH("not",G28)))</formula>
    </cfRule>
    <cfRule type="containsText" dxfId="10" priority="34" operator="containsText" text="requirement">
      <formula>NOT(ISERROR(SEARCH("requirement",G28)))</formula>
    </cfRule>
  </conditionalFormatting>
  <conditionalFormatting sqref="F43:F44">
    <cfRule type="containsText" dxfId="9" priority="29" operator="containsText" text="capacity">
      <formula>NOT(ISERROR(SEARCH("capacity",F43)))</formula>
    </cfRule>
    <cfRule type="containsText" dxfId="8" priority="30" operator="containsText" text="exceeded">
      <formula>NOT(ISERROR(SEARCH("exceeded",F43)))</formula>
    </cfRule>
  </conditionalFormatting>
  <conditionalFormatting sqref="I22">
    <cfRule type="containsText" dxfId="7" priority="28" operator="containsText" text="None">
      <formula>NOT(ISERROR(SEARCH("None",I22)))</formula>
    </cfRule>
  </conditionalFormatting>
  <conditionalFormatting sqref="I36">
    <cfRule type="containsText" dxfId="6" priority="7" stopIfTrue="1" operator="containsText" text="Unsuitable">
      <formula>NOT(ISERROR(SEARCH("Unsuitable",I36)))</formula>
    </cfRule>
    <cfRule type="containsText" dxfId="5" priority="27" operator="containsText" text="suitable">
      <formula>NOT(ISERROR(SEARCH("suitable",I36)))</formula>
    </cfRule>
  </conditionalFormatting>
  <conditionalFormatting sqref="B43:B44">
    <cfRule type="containsText" dxfId="4" priority="32" operator="containsText" text="suitable">
      <formula>NOT(ISERROR(SEARCH("suitable",B43)))</formula>
    </cfRule>
  </conditionalFormatting>
  <conditionalFormatting sqref="N18:N19">
    <cfRule type="containsText" dxfId="3" priority="11" operator="containsText" text="within limits">
      <formula>NOT(ISERROR(SEARCH("within limits",N18)))</formula>
    </cfRule>
    <cfRule type="containsText" dxfId="2" priority="13" operator="containsText" text="insufficient">
      <formula>NOT(ISERROR(SEARCH("insufficient",N18)))</formula>
    </cfRule>
  </conditionalFormatting>
  <conditionalFormatting sqref="F43:G44">
    <cfRule type="containsText" dxfId="1" priority="9" operator="containsText" text="within limits">
      <formula>NOT(ISERROR(SEARCH("within limits",F43)))</formula>
    </cfRule>
  </conditionalFormatting>
  <conditionalFormatting sqref="P6:T6">
    <cfRule type="containsText" dxfId="0" priority="3" operator="containsText" text="Unsuitable">
      <formula>NOT(ISERROR(SEARCH("Unsuitable",P6)))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MirrorDiamDrop">
              <controlPr locked="0" defaultSize="0" autoLine="0" autoPict="0">
                <anchor moveWithCells="1">
                  <from>
                    <xdr:col>2</xdr:col>
                    <xdr:colOff>12700</xdr:colOff>
                    <xdr:row>3</xdr:row>
                    <xdr:rowOff>0</xdr:rowOff>
                  </from>
                  <to>
                    <xdr:col>2</xdr:col>
                    <xdr:colOff>596900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9" r:id="rId4" name="MirrorDeplDrop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596900</xdr:colOff>
                    <xdr:row>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0" r:id="rId5" name="MirrorUVDrop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622300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1" r:id="rId6" name="Instr1Drop">
              <controlPr defaultSize="0" autoLine="0" autoPict="0">
                <anchor moveWithCells="1">
                  <from>
                    <xdr:col>6</xdr:col>
                    <xdr:colOff>12700</xdr:colOff>
                    <xdr:row>5</xdr:row>
                    <xdr:rowOff>0</xdr:rowOff>
                  </from>
                  <to>
                    <xdr:col>6</xdr:col>
                    <xdr:colOff>850900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2" r:id="rId7" name="Drop Down 10">
              <controlPr defaultSize="0" autoLine="0" autoPict="0">
                <anchor moveWithCells="1">
                  <from>
                    <xdr:col>6</xdr:col>
                    <xdr:colOff>12700</xdr:colOff>
                    <xdr:row>7</xdr:row>
                    <xdr:rowOff>0</xdr:rowOff>
                  </from>
                  <to>
                    <xdr:col>6</xdr:col>
                    <xdr:colOff>850900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3" r:id="rId8" name="Drop Down 11">
              <controlPr defaultSize="0" autoLine="0" autoPict="0">
                <anchor moveWithCells="1">
                  <from>
                    <xdr:col>6</xdr:col>
                    <xdr:colOff>12700</xdr:colOff>
                    <xdr:row>9</xdr:row>
                    <xdr:rowOff>0</xdr:rowOff>
                  </from>
                  <to>
                    <xdr:col>6</xdr:col>
                    <xdr:colOff>850900</xdr:colOff>
                    <xdr:row>10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4" r:id="rId9" name="Drop Down 12">
              <controlPr defaultSize="0" autoLine="0" autoPict="0">
                <anchor moveWithCells="1">
                  <from>
                    <xdr:col>6</xdr:col>
                    <xdr:colOff>12700</xdr:colOff>
                    <xdr:row>11</xdr:row>
                    <xdr:rowOff>0</xdr:rowOff>
                  </from>
                  <to>
                    <xdr:col>6</xdr:col>
                    <xdr:colOff>850900</xdr:colOff>
                    <xdr:row>12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5" r:id="rId10" name="Drop Down 13">
              <controlPr defaultSize="0" autoLine="0" autoPict="0">
                <anchor moveWithCells="1">
                  <from>
                    <xdr:col>6</xdr:col>
                    <xdr:colOff>12700</xdr:colOff>
                    <xdr:row>13</xdr:row>
                    <xdr:rowOff>0</xdr:rowOff>
                  </from>
                  <to>
                    <xdr:col>6</xdr:col>
                    <xdr:colOff>850900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6" r:id="rId11" name="Drop Down 14">
              <controlPr defaultSize="0" autoLine="0" autoPict="0">
                <anchor moveWithCells="1">
                  <from>
                    <xdr:col>6</xdr:col>
                    <xdr:colOff>12700</xdr:colOff>
                    <xdr:row>15</xdr:row>
                    <xdr:rowOff>0</xdr:rowOff>
                  </from>
                  <to>
                    <xdr:col>6</xdr:col>
                    <xdr:colOff>850900</xdr:colOff>
                    <xdr:row>16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7" r:id="rId12" name="Drop Down 15">
              <controlPr defaultSize="0" autoLine="0" autoPict="0">
                <anchor moveWithCells="1">
                  <from>
                    <xdr:col>6</xdr:col>
                    <xdr:colOff>12700</xdr:colOff>
                    <xdr:row>17</xdr:row>
                    <xdr:rowOff>0</xdr:rowOff>
                  </from>
                  <to>
                    <xdr:col>6</xdr:col>
                    <xdr:colOff>850900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8" r:id="rId13" name="Drop Down 16">
              <controlPr defaultSize="0" autoLine="0" autoPict="0">
                <anchor moveWithCells="1">
                  <from>
                    <xdr:col>6</xdr:col>
                    <xdr:colOff>12700</xdr:colOff>
                    <xdr:row>19</xdr:row>
                    <xdr:rowOff>0</xdr:rowOff>
                  </from>
                  <to>
                    <xdr:col>6</xdr:col>
                    <xdr:colOff>850900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3" r:id="rId14" name="Drop Down 31">
              <controlPr defaultSize="0" autoLine="0" autoPict="0">
                <anchor moveWithCells="1">
                  <from>
                    <xdr:col>13</xdr:col>
                    <xdr:colOff>1308100</xdr:colOff>
                    <xdr:row>4</xdr:row>
                    <xdr:rowOff>0</xdr:rowOff>
                  </from>
                  <to>
                    <xdr:col>14</xdr:col>
                    <xdr:colOff>393700</xdr:colOff>
                    <xdr:row>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8" r:id="rId15" name="Drop Down 36">
              <controlPr defaultSize="0" autoLine="0" autoPict="0">
                <anchor moveWithCells="1">
                  <from>
                    <xdr:col>2</xdr:col>
                    <xdr:colOff>12700</xdr:colOff>
                    <xdr:row>32</xdr:row>
                    <xdr:rowOff>12700</xdr:rowOff>
                  </from>
                  <to>
                    <xdr:col>4</xdr:col>
                    <xdr:colOff>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0" r:id="rId16" name="Drop Down 38">
              <controlPr defaultSize="0" autoLine="0" autoPict="0">
                <anchor moveWithCells="1">
                  <from>
                    <xdr:col>6</xdr:col>
                    <xdr:colOff>12700</xdr:colOff>
                    <xdr:row>32</xdr:row>
                    <xdr:rowOff>0</xdr:rowOff>
                  </from>
                  <to>
                    <xdr:col>6</xdr:col>
                    <xdr:colOff>1193800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2" r:id="rId17" name="Drop Down 40">
              <controlPr defaultSize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3" r:id="rId18" name="Drop Down 41">
              <controlPr defaultSize="0" autoLine="0" autoPict="0">
                <anchor moveWithCells="1">
                  <from>
                    <xdr:col>14</xdr:col>
                    <xdr:colOff>63500</xdr:colOff>
                    <xdr:row>15</xdr:row>
                    <xdr:rowOff>12700</xdr:rowOff>
                  </from>
                  <to>
                    <xdr:col>14</xdr:col>
                    <xdr:colOff>1016000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opLeftCell="D1" workbookViewId="0">
      <selection activeCell="G39" sqref="G39"/>
    </sheetView>
  </sheetViews>
  <sheetFormatPr baseColWidth="10" defaultColWidth="8.83203125" defaultRowHeight="14" x14ac:dyDescent="0"/>
  <cols>
    <col min="3" max="3" width="18.33203125" bestFit="1" customWidth="1"/>
    <col min="4" max="4" width="14.83203125" bestFit="1" customWidth="1"/>
    <col min="5" max="5" width="10.83203125" bestFit="1" customWidth="1"/>
    <col min="6" max="6" width="13.33203125" bestFit="1" customWidth="1"/>
    <col min="7" max="7" width="9.83203125" bestFit="1" customWidth="1"/>
    <col min="8" max="8" width="12.5" bestFit="1" customWidth="1"/>
    <col min="9" max="9" width="12.6640625" bestFit="1" customWidth="1"/>
    <col min="10" max="11" width="12.5" bestFit="1" customWidth="1"/>
    <col min="12" max="12" width="12.5" customWidth="1"/>
    <col min="13" max="13" width="16.5" bestFit="1" customWidth="1"/>
    <col min="14" max="14" width="12.5" customWidth="1"/>
    <col min="17" max="17" width="19.5" bestFit="1" customWidth="1"/>
    <col min="19" max="19" width="10.83203125" bestFit="1" customWidth="1"/>
    <col min="22" max="23" width="5" bestFit="1" customWidth="1"/>
    <col min="24" max="24" width="19.1640625" bestFit="1" customWidth="1"/>
    <col min="25" max="25" width="11" bestFit="1" customWidth="1"/>
  </cols>
  <sheetData>
    <row r="1" spans="1:29" ht="20">
      <c r="A1" s="118" t="s">
        <v>12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28"/>
      <c r="N1" s="82"/>
      <c r="P1" s="118" t="s">
        <v>91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20"/>
    </row>
    <row r="2" spans="1:29">
      <c r="A2" s="27"/>
      <c r="B2" s="28"/>
      <c r="C2" s="25" t="s">
        <v>36</v>
      </c>
      <c r="D2" s="25" t="s">
        <v>48</v>
      </c>
      <c r="E2" s="25" t="s">
        <v>67</v>
      </c>
      <c r="F2" s="25" t="s">
        <v>68</v>
      </c>
      <c r="G2" s="35" t="s">
        <v>235</v>
      </c>
      <c r="H2" s="25" t="s">
        <v>69</v>
      </c>
      <c r="I2" s="25" t="s">
        <v>70</v>
      </c>
      <c r="J2" s="25" t="s">
        <v>73</v>
      </c>
      <c r="K2" s="25" t="s">
        <v>77</v>
      </c>
      <c r="L2" s="25" t="s">
        <v>79</v>
      </c>
      <c r="M2" s="35" t="s">
        <v>233</v>
      </c>
      <c r="N2" s="26" t="s">
        <v>213</v>
      </c>
      <c r="P2" s="24" t="s">
        <v>36</v>
      </c>
      <c r="Q2" s="25" t="s">
        <v>91</v>
      </c>
      <c r="R2" s="25" t="s">
        <v>102</v>
      </c>
      <c r="S2" s="25" t="s">
        <v>92</v>
      </c>
      <c r="T2" s="25" t="s">
        <v>93</v>
      </c>
      <c r="U2" s="25" t="s">
        <v>29</v>
      </c>
      <c r="V2" s="25" t="s">
        <v>82</v>
      </c>
      <c r="W2" s="35" t="s">
        <v>213</v>
      </c>
      <c r="X2" s="25" t="s">
        <v>156</v>
      </c>
      <c r="Y2" s="35" t="s">
        <v>222</v>
      </c>
      <c r="Z2" s="25" t="s">
        <v>104</v>
      </c>
      <c r="AA2" s="25" t="s">
        <v>80</v>
      </c>
      <c r="AB2" s="25" t="s">
        <v>126</v>
      </c>
      <c r="AC2" s="26" t="s">
        <v>155</v>
      </c>
    </row>
    <row r="3" spans="1:29">
      <c r="A3" s="24" t="s">
        <v>190</v>
      </c>
      <c r="B3" s="28"/>
      <c r="C3" s="28">
        <v>3</v>
      </c>
      <c r="D3" s="28" t="str">
        <f>INDEX(MirrorDiamList,MATCH(MirrorDiamNumSel,MirrorDiamNumList))</f>
        <v>2 m</v>
      </c>
      <c r="E3" s="28">
        <f>INDEX(MirrorCostList,MATCH(MirrorDiamNumSel,MirrorDiamNumList))</f>
        <v>50</v>
      </c>
      <c r="F3" s="28">
        <f>INDEX(MirrorMassList,MATCH(MirrorDiamNumSel,MirrorDiamNumList))</f>
        <v>30</v>
      </c>
      <c r="G3" s="28">
        <f>INDEX(MirrorDevList,MATCH(MirrorDiamNumSel,MirrorDiamNumList))</f>
        <v>1</v>
      </c>
      <c r="H3" s="28">
        <f>INDEX(BusCostList,MATCH(MirrorDiamNumSel,MirrorDiamNumList))</f>
        <v>500</v>
      </c>
      <c r="I3" s="28">
        <f>INDEX(BusMassList,MATCH(MirrorDiamNumSel,MirrorDiamNumList))</f>
        <v>200</v>
      </c>
      <c r="J3" s="28">
        <f>INDEX(BusDiamList,MATCH(MirrorDiamNumSel,MirrorDiamNumList))</f>
        <v>2.4</v>
      </c>
      <c r="K3" s="28">
        <f>INDEX(CoolPassiveCostList,MATCH(MirrorDiamNumSel,MirrorDiamNumList))</f>
        <v>20</v>
      </c>
      <c r="L3" s="28">
        <f>INDEX(CoolPassiveMassList,MATCH(MirrorDiamNumSel,MirrorDiamNumList))</f>
        <v>100</v>
      </c>
      <c r="M3" s="28">
        <f>INDEX(CoolPassiveDevList,MATCH(MirrorDiamNumSel,MirrorDiamNumList))</f>
        <v>1</v>
      </c>
      <c r="N3" s="29">
        <f>INDEX(MirrorRiskList,MATCH(MirrorDiamNumSel,MirrorDiamNumList))</f>
        <v>0.97</v>
      </c>
      <c r="P3" s="37">
        <v>1</v>
      </c>
      <c r="Q3" s="38" t="str">
        <f>INDEX(OrbitList,MATCH(OrbitNumSel,OrbitNumList))</f>
        <v>Low Earth Orbit</v>
      </c>
      <c r="R3" s="38" t="str">
        <f>INDEX(OrbitAltList,MATCH(OrbitNumSel,OrbitNumList))</f>
        <v>&lt;1000</v>
      </c>
      <c r="S3" s="38">
        <f>INDEX(OrbitPeriodList,MATCH(OrbitNumSel,OrbitNumList))</f>
        <v>6.25E-2</v>
      </c>
      <c r="T3" s="38">
        <f>INDEX(OrbitFracList,MATCH(OrbitNumSel,OrbitNumList))</f>
        <v>0.5</v>
      </c>
      <c r="U3" s="38">
        <f>INDEX(OrbitPassiveList,MATCH(OrbitNumSel,OrbitNumList))</f>
        <v>1</v>
      </c>
      <c r="V3" s="38">
        <f>INDEX(OrbitCryoList,MATCH(OrbitNumSel,OrbitNumList))</f>
        <v>0.7</v>
      </c>
      <c r="W3" s="38">
        <f>INDEX(OrbitRiskList,MATCH(OrbitNumSel,OrbitNumList))</f>
        <v>0</v>
      </c>
      <c r="X3" s="38">
        <f>INDEX(OrbitCostMultList,MATCH(OrbitNumSel,OrbitNumList))</f>
        <v>1.2</v>
      </c>
      <c r="Y3" s="38" t="str">
        <f>INDEX(LaunchReqList,MATCH(OrbitNumSel,OrbitNumList))</f>
        <v>Requires ability to de-orbit</v>
      </c>
      <c r="Z3" s="38">
        <f>INDEX(OrbitLifeList,MATCH(OrbitNumSel,OrbitNumList))</f>
        <v>10</v>
      </c>
      <c r="AA3" s="38">
        <f>INDEX(OrbitTempList,MATCH(OrbitNumSel,OrbitNumList))</f>
        <v>400</v>
      </c>
      <c r="AB3" s="38">
        <f>INDEX(OrbitLEOList,MATCH(OrbitNumSel,OrbitNumList))</f>
        <v>1</v>
      </c>
      <c r="AC3" s="39">
        <f>INDEX(OrbitGroundCostList,MATCH(OrbitNumSel,OrbitNumList))</f>
        <v>20</v>
      </c>
    </row>
    <row r="4" spans="1:29">
      <c r="A4" s="24" t="s">
        <v>34</v>
      </c>
      <c r="B4" s="28"/>
      <c r="C4" s="28">
        <v>2</v>
      </c>
      <c r="D4" s="28" t="str">
        <f>INDEX(MirrorDeplList,MATCH(MirrorDeplNumSel,MirrorDeplNumList))</f>
        <v>No</v>
      </c>
      <c r="E4" s="28">
        <f>INDEX(MirrorDeplMultList,MATCH(MirrorDeplNumSel,MirrorDeplNumList))</f>
        <v>1</v>
      </c>
      <c r="F4" s="28"/>
      <c r="G4" s="28">
        <f>INDEX(MirrorDeplDevMultList,MATCH(MirrorDeplNumSel,MirrorDeplNumList))</f>
        <v>1</v>
      </c>
      <c r="H4" s="28">
        <f>INDEX(BusCostDeplMultList,MATCH(MirrorDeplNumSel,MirrorDeplNumList))</f>
        <v>1</v>
      </c>
      <c r="I4" s="28">
        <f>INDEX(BusMassDeplMultList,MATCH(MirrorDeplNumSel,MirrorDeplNumList))</f>
        <v>1</v>
      </c>
      <c r="J4" s="28">
        <f>INDEX(BusDeplMultList,MATCH(MirrorDeplNumSel,MirrorDeplNumList))</f>
        <v>1</v>
      </c>
      <c r="K4" s="28">
        <f>INDEX(CoolPassiveCostDeplMultList,MATCH(MirrorDeplNumSel,MirrorDeplNumList))</f>
        <v>1</v>
      </c>
      <c r="L4" s="28">
        <f>INDEX(CoolPassiveMassDeplMult,MATCH(MirrorDeplNumSel,MirrorDeplNumList))</f>
        <v>1</v>
      </c>
      <c r="M4" s="28">
        <f>INDEX(CoolPassiveDevDeplMult,MATCH(MirrorDeplNumSel,MirrorDeplNumList))</f>
        <v>1</v>
      </c>
      <c r="N4" s="29">
        <f>INDEX(DeplRiskList,MATCH(MirrorDeplNumSel,MirrorDeplNumList))</f>
        <v>1</v>
      </c>
      <c r="P4" s="27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</row>
    <row r="5" spans="1:29">
      <c r="A5" s="24" t="s">
        <v>35</v>
      </c>
      <c r="B5" s="28"/>
      <c r="C5" s="28">
        <v>2</v>
      </c>
      <c r="D5" s="28" t="str">
        <f>INDEX(MirrorUVList,MATCH(MirrorUVValSel,MirrorUVValList))</f>
        <v>No</v>
      </c>
      <c r="E5" s="28">
        <f>INDEX(MirrorUVMultList,MATCH(MirrorUVValSel,MirrorUVValList))</f>
        <v>1</v>
      </c>
      <c r="F5" s="28"/>
      <c r="G5" s="28">
        <f>INDEX(MirrorUVDevMultList,MATCH(MirrorUVValSel,MirrorUVValList))</f>
        <v>1</v>
      </c>
      <c r="H5" s="28"/>
      <c r="I5" s="28"/>
      <c r="J5" s="28"/>
      <c r="K5" s="28"/>
      <c r="L5" s="28"/>
      <c r="N5" s="29"/>
      <c r="P5" s="27"/>
      <c r="Q5" s="28" t="s">
        <v>105</v>
      </c>
      <c r="R5" s="28">
        <f>IF(CoolPassiveCostTotal&gt;0,IF(OrbitPassiveSel=0,1,0),0)</f>
        <v>0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</row>
    <row r="6" spans="1:29" ht="15" thickBot="1">
      <c r="A6" s="30"/>
      <c r="B6" s="31"/>
      <c r="C6" s="31"/>
      <c r="D6" s="31" t="s">
        <v>191</v>
      </c>
      <c r="E6" s="40">
        <f>MirrorCostSel*MirrorDeplMultSel*MirrorUVMultSel</f>
        <v>50</v>
      </c>
      <c r="F6" s="40">
        <f>MirrorMassSel</f>
        <v>30</v>
      </c>
      <c r="G6">
        <f>MirrorDevSel*MirrorDeplDevMultSel*MirrorUVDevMultSel</f>
        <v>1</v>
      </c>
      <c r="H6" s="40">
        <f>BusCostSel*BusCostMultSel</f>
        <v>500</v>
      </c>
      <c r="I6" s="40">
        <f>BusMassSel*BusMassMultSel</f>
        <v>200</v>
      </c>
      <c r="J6" s="40">
        <f>BusDiamSel*BusDiamMultSel</f>
        <v>2.4</v>
      </c>
      <c r="K6" s="31"/>
      <c r="L6" s="31"/>
      <c r="M6" s="81"/>
      <c r="N6" s="42">
        <f>DeplRiskSel*MirrorRiskSel</f>
        <v>0.97</v>
      </c>
      <c r="P6" s="30"/>
      <c r="Q6" s="31" t="s">
        <v>106</v>
      </c>
      <c r="R6" s="31">
        <f>IF(CoolCryoCostTotal&gt;0,IF(OrbitCryoSel=0,1,0),0)</f>
        <v>0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</row>
    <row r="7" spans="1:29" ht="15" thickBot="1"/>
    <row r="8" spans="1:29" ht="20">
      <c r="A8" s="121" t="s">
        <v>18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74"/>
      <c r="M8" s="36"/>
      <c r="N8" s="64"/>
      <c r="P8" s="118" t="s">
        <v>192</v>
      </c>
      <c r="Q8" s="119"/>
      <c r="R8" s="119"/>
      <c r="S8" s="119"/>
      <c r="T8" s="119"/>
      <c r="U8" s="119"/>
      <c r="V8" s="119"/>
      <c r="W8" s="119"/>
      <c r="X8" s="119"/>
      <c r="Y8" s="119"/>
      <c r="Z8" s="120"/>
    </row>
    <row r="9" spans="1:29">
      <c r="A9" s="24" t="s">
        <v>60</v>
      </c>
      <c r="B9" s="25"/>
      <c r="C9" s="25" t="s">
        <v>50</v>
      </c>
      <c r="D9" s="25" t="s">
        <v>49</v>
      </c>
      <c r="E9" s="25" t="s">
        <v>51</v>
      </c>
      <c r="F9" s="25" t="s">
        <v>24</v>
      </c>
      <c r="G9" s="25" t="s">
        <v>78</v>
      </c>
      <c r="H9" s="25" t="s">
        <v>0</v>
      </c>
      <c r="I9" s="35" t="s">
        <v>81</v>
      </c>
      <c r="J9" s="25" t="s">
        <v>7</v>
      </c>
      <c r="K9" s="25" t="s">
        <v>26</v>
      </c>
      <c r="L9" s="35" t="s">
        <v>225</v>
      </c>
      <c r="M9" s="26" t="s">
        <v>11</v>
      </c>
      <c r="N9" s="25"/>
      <c r="P9" s="24" t="s">
        <v>36</v>
      </c>
      <c r="Q9" s="25" t="s">
        <v>111</v>
      </c>
      <c r="R9" s="25" t="s">
        <v>13</v>
      </c>
      <c r="S9" s="25" t="s">
        <v>128</v>
      </c>
      <c r="T9" s="25"/>
      <c r="U9" s="25" t="s">
        <v>112</v>
      </c>
      <c r="V9" s="25" t="s">
        <v>0</v>
      </c>
      <c r="W9" s="25" t="s">
        <v>213</v>
      </c>
      <c r="X9" s="25" t="s">
        <v>160</v>
      </c>
      <c r="Y9" s="25" t="s">
        <v>153</v>
      </c>
      <c r="Z9" s="26" t="s">
        <v>154</v>
      </c>
    </row>
    <row r="10" spans="1:29">
      <c r="A10" s="27" t="s">
        <v>47</v>
      </c>
      <c r="B10" s="28"/>
      <c r="C10" s="28">
        <v>5</v>
      </c>
      <c r="D10" s="28" t="str">
        <f>INDEX(InstrWLList,MATCH(Instr1NumSel,InstrNumList))</f>
        <v>Near-IR</v>
      </c>
      <c r="E10" s="28">
        <v>1</v>
      </c>
      <c r="F10" s="28" t="str">
        <f t="shared" ref="F10:F17" si="0">INDEX(InstrTypeList,MATCH(InstrTypeNum,InstrTypeNumList))</f>
        <v>Camera</v>
      </c>
      <c r="G10" s="28">
        <f t="shared" ref="G10:G17" si="1">INDEX(InstrTypeMultList,MATCH(InstrTypeNum,InstrTypeNumList))</f>
        <v>1</v>
      </c>
      <c r="H10" s="28">
        <f t="shared" ref="H10:H17" si="2">INDEX(InstrCostList,MATCH(InstrNumSel,InstrNumList))</f>
        <v>50</v>
      </c>
      <c r="I10" s="28">
        <f t="shared" ref="I10:I17" si="3">INDEX(InstrTypeMassMultList,MATCH(InstrTypeNum,InstrTypeNumList))</f>
        <v>1</v>
      </c>
      <c r="J10" s="28">
        <f>INDEX(InstrCostList,MATCH(Instr1NumSel,InstrNumList))</f>
        <v>50</v>
      </c>
      <c r="K10" s="28">
        <f>INDEX(InstrTempList,MATCH(Instr1NumSel,InstrNumList))</f>
        <v>40</v>
      </c>
      <c r="L10" s="28">
        <f t="shared" ref="L10:L17" si="4">IF(InstrNumSel=1,0,INDEX(InstrTypeDevList,MATCH(InstrTypeNum,InstrTypeNumList)))</f>
        <v>0.5</v>
      </c>
      <c r="M10" s="29">
        <f>INDEX(InstrUVList,MATCH(Instr1NumSel,InstrNumList))</f>
        <v>0</v>
      </c>
      <c r="N10" s="28"/>
      <c r="P10" s="37">
        <v>1</v>
      </c>
      <c r="Q10" s="38" t="str">
        <f>INDEX(RocketList,MATCH(RocketNumSel,RocketNumList))</f>
        <v>Ariane 5</v>
      </c>
      <c r="R10" s="38">
        <f>INDEX(RocketDiamList,MATCH(RocketNumSel,RocketNumList))</f>
        <v>5.5</v>
      </c>
      <c r="S10" s="38">
        <f>INDEX(RocketLEOList,MATCH(RocketNumSel,RocketNumList))</f>
        <v>20000</v>
      </c>
      <c r="T10" s="38"/>
      <c r="U10" s="38" t="str">
        <f>INDEX(RocketOpList,MATCH(RocketNumSel,RocketNumList))</f>
        <v>ESA (Europe)</v>
      </c>
      <c r="V10" s="38">
        <f>INDEX(RocketCostList,MATCH(RocketNumSel,RocketNumList))</f>
        <v>100</v>
      </c>
      <c r="W10" s="38">
        <f>INDEX(RocketRiskList,MATCH(RocketNumSel,RocketNumList))</f>
        <v>0</v>
      </c>
      <c r="X10" s="38" t="str">
        <f>INDEX(RocketSite1List,MATCH(RocketNumSel,RocketNumList))</f>
        <v>FG</v>
      </c>
      <c r="Y10" s="38" t="str">
        <f>INDEX(RocketSite2List,MATCH(RocketNumSel,RocketNumList))</f>
        <v/>
      </c>
      <c r="Z10" s="39" t="str">
        <f>INDEX(RocketSite3List,MATCH(RocketNumSel,RocketNumList))</f>
        <v/>
      </c>
    </row>
    <row r="11" spans="1:29">
      <c r="A11" s="27" t="s">
        <v>52</v>
      </c>
      <c r="B11" s="28"/>
      <c r="C11" s="28">
        <v>1</v>
      </c>
      <c r="D11" s="28" t="str">
        <f>INDEX(InstrWLList,MATCH(Instr2NumSel,InstrNumList))</f>
        <v>None</v>
      </c>
      <c r="E11" s="28">
        <v>2</v>
      </c>
      <c r="F11" s="28" t="str">
        <f t="shared" si="0"/>
        <v>Camera</v>
      </c>
      <c r="G11" s="28">
        <f t="shared" si="1"/>
        <v>1</v>
      </c>
      <c r="H11" s="28">
        <f t="shared" si="2"/>
        <v>0</v>
      </c>
      <c r="I11" s="28">
        <f t="shared" si="3"/>
        <v>1</v>
      </c>
      <c r="J11" s="28">
        <f>INDEX(InstrCostList,MATCH(Instr2NumSel,InstrNumList))</f>
        <v>0</v>
      </c>
      <c r="K11" s="28">
        <f>INDEX(InstrTempList,MATCH(Instr2NumSel,InstrNumList))</f>
        <v>999</v>
      </c>
      <c r="L11" s="28">
        <f t="shared" si="4"/>
        <v>0</v>
      </c>
      <c r="M11" s="29">
        <f>INDEX(InstrUVList,MATCH(Instr2NumSel,InstrNumList))</f>
        <v>0</v>
      </c>
      <c r="N11" s="28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9"/>
    </row>
    <row r="12" spans="1:29">
      <c r="A12" s="27" t="s">
        <v>53</v>
      </c>
      <c r="B12" s="28"/>
      <c r="C12" s="28">
        <v>1</v>
      </c>
      <c r="D12" s="28" t="str">
        <f>INDEX(InstrWLList,MATCH(Instr3NumSel,InstrNumList))</f>
        <v>None</v>
      </c>
      <c r="E12" s="28">
        <v>1</v>
      </c>
      <c r="F12" s="28" t="str">
        <f t="shared" si="0"/>
        <v>Camera</v>
      </c>
      <c r="G12" s="28">
        <f t="shared" si="1"/>
        <v>1</v>
      </c>
      <c r="H12" s="28">
        <f t="shared" si="2"/>
        <v>0</v>
      </c>
      <c r="I12" s="28">
        <f t="shared" si="3"/>
        <v>1</v>
      </c>
      <c r="J12" s="28">
        <f>INDEX(InstrCostList,MATCH(Instr3NumSel,InstrNumList))</f>
        <v>0</v>
      </c>
      <c r="K12" s="28">
        <f>INDEX(InstrTempList,MATCH(Instr3NumSel,InstrNumList))</f>
        <v>999</v>
      </c>
      <c r="L12" s="28">
        <f t="shared" si="4"/>
        <v>0</v>
      </c>
      <c r="M12" s="29">
        <f>INDEX(InstrUVList,MATCH(Instr3NumSel,InstrNumList))</f>
        <v>0</v>
      </c>
      <c r="N12" s="28"/>
      <c r="P12" s="27"/>
      <c r="Q12" s="25" t="s">
        <v>162</v>
      </c>
      <c r="R12" s="25">
        <f>RocketLEOSel</f>
        <v>20000</v>
      </c>
      <c r="S12" s="28"/>
      <c r="T12" s="28"/>
      <c r="U12" s="28"/>
      <c r="V12" s="28"/>
      <c r="W12" s="28"/>
      <c r="X12" s="28"/>
      <c r="Y12" s="28"/>
      <c r="Z12" s="29"/>
    </row>
    <row r="13" spans="1:29">
      <c r="A13" s="27" t="s">
        <v>54</v>
      </c>
      <c r="B13" s="28"/>
      <c r="C13" s="28">
        <v>1</v>
      </c>
      <c r="D13" s="28" t="str">
        <f>INDEX(InstrWLList,MATCH(Instr4NumSel,InstrNumList))</f>
        <v>None</v>
      </c>
      <c r="E13" s="28">
        <v>3</v>
      </c>
      <c r="F13" s="28" t="str">
        <f t="shared" si="0"/>
        <v>Camera</v>
      </c>
      <c r="G13" s="28">
        <f t="shared" si="1"/>
        <v>1</v>
      </c>
      <c r="H13" s="28">
        <f t="shared" si="2"/>
        <v>0</v>
      </c>
      <c r="I13" s="28">
        <f t="shared" si="3"/>
        <v>1</v>
      </c>
      <c r="J13" s="28">
        <f>INDEX(InstrCostList,MATCH(Instr4NumSel,InstrNumList))*InstrTypeMassMult</f>
        <v>0</v>
      </c>
      <c r="K13" s="28">
        <f>INDEX(InstrTempList,MATCH(Instr4NumSel,InstrNumList))</f>
        <v>999</v>
      </c>
      <c r="L13" s="28">
        <f t="shared" si="4"/>
        <v>0</v>
      </c>
      <c r="M13" s="29">
        <f>INDEX(InstrUVList,MATCH(Instr4NumSel,InstrNumList))</f>
        <v>0</v>
      </c>
      <c r="N13" s="28"/>
      <c r="P13" s="27"/>
      <c r="Q13" s="25" t="s">
        <v>132</v>
      </c>
      <c r="R13" s="25">
        <f>IF(RocketMassCap&lt;SatMasstotal,1,0)</f>
        <v>0</v>
      </c>
      <c r="S13" s="28"/>
      <c r="T13" s="28"/>
      <c r="U13" s="28"/>
      <c r="V13" s="28"/>
      <c r="W13" s="28"/>
      <c r="X13" s="28"/>
      <c r="Y13" s="28"/>
      <c r="Z13" s="29"/>
    </row>
    <row r="14" spans="1:29">
      <c r="A14" s="27" t="s">
        <v>55</v>
      </c>
      <c r="B14" s="28"/>
      <c r="C14" s="28">
        <v>1</v>
      </c>
      <c r="D14" s="28" t="str">
        <f>INDEX(InstrWLList,MATCH(Instr5NumSel,InstrNumList))</f>
        <v>None</v>
      </c>
      <c r="E14" s="28">
        <v>3</v>
      </c>
      <c r="F14" s="28" t="str">
        <f t="shared" si="0"/>
        <v>Camera</v>
      </c>
      <c r="G14" s="28">
        <f t="shared" si="1"/>
        <v>1</v>
      </c>
      <c r="H14" s="28">
        <f t="shared" si="2"/>
        <v>0</v>
      </c>
      <c r="I14" s="28">
        <f t="shared" si="3"/>
        <v>1</v>
      </c>
      <c r="J14" s="28">
        <f>INDEX(InstrCostList,MATCH(Instr5NumSel,InstrNumList))</f>
        <v>0</v>
      </c>
      <c r="K14" s="28">
        <f>INDEX(InstrTempList,MATCH(Instr5NumSel,InstrNumList))</f>
        <v>999</v>
      </c>
      <c r="L14" s="28">
        <f t="shared" si="4"/>
        <v>0</v>
      </c>
      <c r="M14" s="29">
        <f>INDEX(InstrUVList,MATCH(Instr5NumSel,InstrNumList))</f>
        <v>0</v>
      </c>
      <c r="N14" s="28"/>
      <c r="P14" s="27"/>
      <c r="Q14" s="25" t="s">
        <v>129</v>
      </c>
      <c r="R14" s="25">
        <f>IF(RocketDiamSel&lt;SatLaunchDiamTotal,1,0)</f>
        <v>0</v>
      </c>
      <c r="S14" s="28"/>
      <c r="T14" s="28"/>
      <c r="U14" s="28"/>
      <c r="V14" s="28"/>
      <c r="W14" s="28"/>
      <c r="X14" s="28"/>
      <c r="Y14" s="28"/>
      <c r="Z14" s="29"/>
    </row>
    <row r="15" spans="1:29">
      <c r="A15" s="27" t="s">
        <v>56</v>
      </c>
      <c r="B15" s="28"/>
      <c r="C15" s="28">
        <v>1</v>
      </c>
      <c r="D15" s="28" t="str">
        <f>INDEX(InstrWLList,MATCH(Instr6NumSel,InstrNumList))</f>
        <v>None</v>
      </c>
      <c r="E15" s="28">
        <v>3</v>
      </c>
      <c r="F15" s="28" t="str">
        <f t="shared" si="0"/>
        <v>Camera</v>
      </c>
      <c r="G15" s="28">
        <f t="shared" si="1"/>
        <v>1</v>
      </c>
      <c r="H15" s="28">
        <f t="shared" si="2"/>
        <v>0</v>
      </c>
      <c r="I15" s="28">
        <f t="shared" si="3"/>
        <v>1</v>
      </c>
      <c r="J15" s="28">
        <f>INDEX(InstrCostList,MATCH(Instr6NumSel,InstrNumList))</f>
        <v>0</v>
      </c>
      <c r="K15" s="28">
        <f>INDEX(InstrTempList,MATCH(Instr6NumSel,InstrNumList))</f>
        <v>999</v>
      </c>
      <c r="L15" s="28">
        <f t="shared" si="4"/>
        <v>0</v>
      </c>
      <c r="M15" s="29">
        <f>INDEX(InstrUVList,MATCH(Instr6NumSel,InstrNumList))</f>
        <v>0</v>
      </c>
      <c r="N15" s="28"/>
      <c r="P15" s="27"/>
      <c r="Q15" s="25" t="s">
        <v>130</v>
      </c>
      <c r="R15" s="25">
        <f>IF(SatMasstotal&gt;0.8*RocketMassCap,1,0)</f>
        <v>0</v>
      </c>
      <c r="S15" s="28"/>
      <c r="T15" s="28"/>
      <c r="U15" s="28"/>
      <c r="V15" s="28"/>
      <c r="W15" s="28"/>
      <c r="X15" s="28"/>
      <c r="Y15" s="28"/>
      <c r="Z15" s="29"/>
    </row>
    <row r="16" spans="1:29">
      <c r="A16" s="27" t="s">
        <v>57</v>
      </c>
      <c r="B16" s="28"/>
      <c r="C16" s="28">
        <v>1</v>
      </c>
      <c r="D16" s="28" t="str">
        <f>INDEX(InstrWLList,MATCH(Instr7NumSel,InstrNumList))</f>
        <v>None</v>
      </c>
      <c r="E16" s="28">
        <v>3</v>
      </c>
      <c r="F16" s="28" t="str">
        <f t="shared" si="0"/>
        <v>Camera</v>
      </c>
      <c r="G16" s="28">
        <f t="shared" si="1"/>
        <v>1</v>
      </c>
      <c r="H16" s="28">
        <f t="shared" si="2"/>
        <v>0</v>
      </c>
      <c r="I16" s="28">
        <f t="shared" si="3"/>
        <v>1</v>
      </c>
      <c r="J16" s="28">
        <f>INDEX(InstrCostList,MATCH(Instr7NumSel,InstrNumList))*InstrTypeMassMult</f>
        <v>0</v>
      </c>
      <c r="K16" s="28">
        <f>INDEX(InstrTempList,MATCH(Instr7NumSel,InstrNumList))</f>
        <v>999</v>
      </c>
      <c r="L16" s="28">
        <f t="shared" si="4"/>
        <v>0</v>
      </c>
      <c r="M16" s="29">
        <f>INDEX(InstrUVList,MATCH(Instr7NumSel,InstrNumList))</f>
        <v>0</v>
      </c>
      <c r="N16" s="28"/>
      <c r="P16" s="27"/>
      <c r="Q16" s="35" t="s">
        <v>147</v>
      </c>
      <c r="R16" s="25">
        <f>IF(OrbitLEOSel=1,0,IF(RocketGTOSel=0,1,0))</f>
        <v>0</v>
      </c>
      <c r="S16" s="28"/>
      <c r="T16" s="28"/>
      <c r="U16" s="28"/>
      <c r="V16" s="28"/>
      <c r="W16" s="28"/>
      <c r="X16" s="28"/>
      <c r="Y16" s="28"/>
      <c r="Z16" s="29"/>
    </row>
    <row r="17" spans="1:26">
      <c r="A17" s="37" t="s">
        <v>58</v>
      </c>
      <c r="B17" s="38"/>
      <c r="C17" s="38">
        <v>1</v>
      </c>
      <c r="D17" s="38" t="str">
        <f>INDEX(InstrWLList,MATCH(Instr8NumSel,InstrNumList))</f>
        <v>None</v>
      </c>
      <c r="E17" s="38">
        <v>3</v>
      </c>
      <c r="F17" s="38" t="str">
        <f t="shared" si="0"/>
        <v>Camera</v>
      </c>
      <c r="G17" s="38">
        <f t="shared" si="1"/>
        <v>1</v>
      </c>
      <c r="H17" s="38">
        <f t="shared" si="2"/>
        <v>0</v>
      </c>
      <c r="I17" s="38">
        <f t="shared" si="3"/>
        <v>1</v>
      </c>
      <c r="J17" s="38">
        <f>INDEX(InstrCostList,MATCH(Instr8NumSel,InstrNumList))</f>
        <v>0</v>
      </c>
      <c r="K17" s="38">
        <f>INDEX(InstrTempList,MATCH(Instr8NumSel,InstrNumList))</f>
        <v>999</v>
      </c>
      <c r="L17" s="38">
        <f t="shared" si="4"/>
        <v>0</v>
      </c>
      <c r="M17" s="39">
        <f>INDEX(InstrUVList,MATCH(Instr8NumSel,InstrNumList))</f>
        <v>0</v>
      </c>
      <c r="N17" s="28"/>
      <c r="P17" s="27"/>
      <c r="Q17" s="25" t="s">
        <v>216</v>
      </c>
      <c r="R17" s="25">
        <f>IF(RocketDiamWarning=1,0,IF(RocketMassWarning=1,0,IF(RocketHighMassWarning=1,RocketRiskSel*0.9,RocketRiskSel)))</f>
        <v>0</v>
      </c>
      <c r="S17" s="28"/>
      <c r="T17" s="28"/>
      <c r="U17" s="28"/>
      <c r="V17" s="28"/>
      <c r="W17" s="28"/>
      <c r="X17" s="28"/>
      <c r="Y17" s="28"/>
      <c r="Z17" s="29"/>
    </row>
    <row r="18" spans="1:26" ht="15" thickBot="1">
      <c r="A18" s="27"/>
      <c r="B18" s="28"/>
      <c r="C18" s="28"/>
      <c r="D18" s="25" t="s">
        <v>191</v>
      </c>
      <c r="E18" s="25"/>
      <c r="F18" s="25"/>
      <c r="G18" s="25"/>
      <c r="H18" s="25">
        <f>SUM(InstrCost)</f>
        <v>50</v>
      </c>
      <c r="I18" s="28"/>
      <c r="J18" s="25">
        <f>SUM(InstrMass)</f>
        <v>50</v>
      </c>
      <c r="K18" s="25">
        <f>MIN(InstrTemp)</f>
        <v>40</v>
      </c>
      <c r="M18" s="26">
        <f>SUM(M10:M17)</f>
        <v>0</v>
      </c>
      <c r="N18" s="25"/>
      <c r="P18" s="30"/>
      <c r="Q18" s="40" t="s">
        <v>127</v>
      </c>
      <c r="R18" s="40">
        <f>RocketCostSel*OrbitCostMultSel</f>
        <v>120</v>
      </c>
      <c r="S18" s="31"/>
      <c r="T18" s="31"/>
      <c r="U18" s="31"/>
      <c r="V18" s="31"/>
      <c r="W18" s="31"/>
      <c r="X18" s="31"/>
      <c r="Y18" s="31"/>
      <c r="Z18" s="32"/>
    </row>
    <row r="19" spans="1:26">
      <c r="A19" s="27"/>
      <c r="B19" s="28"/>
      <c r="C19" s="28"/>
      <c r="D19" s="25" t="s">
        <v>149</v>
      </c>
      <c r="E19" s="28">
        <f>COUNTIF(InstrCost,"&gt;0")</f>
        <v>1</v>
      </c>
      <c r="F19" s="28"/>
      <c r="G19" s="28"/>
      <c r="H19" s="28"/>
      <c r="I19" s="28"/>
      <c r="J19" s="28"/>
      <c r="K19" s="28"/>
      <c r="M19" s="29"/>
      <c r="N19" s="28"/>
    </row>
    <row r="20" spans="1:26" ht="15" thickBot="1">
      <c r="A20" s="27"/>
      <c r="B20" s="28"/>
      <c r="C20" s="28"/>
      <c r="D20" s="25" t="s">
        <v>150</v>
      </c>
      <c r="E20" s="28">
        <v>1</v>
      </c>
      <c r="F20" s="28">
        <f>IF(NumInstr=0,0,IF(NumInstr=1,1,IF(NumInstr&lt;=4,2,IF(NumInstr&lt;=6,3,IF(NumInstr&lt;=8,4)))))</f>
        <v>1</v>
      </c>
      <c r="G20" s="28"/>
      <c r="H20" s="28"/>
      <c r="I20" s="28"/>
      <c r="J20" s="28"/>
      <c r="K20" s="28"/>
      <c r="M20" s="29"/>
      <c r="N20" s="28"/>
    </row>
    <row r="21" spans="1:26" ht="20">
      <c r="A21" s="27"/>
      <c r="B21" s="28"/>
      <c r="C21" s="28"/>
      <c r="D21" s="35" t="s">
        <v>214</v>
      </c>
      <c r="E21" s="28">
        <f>1-(0.02*InstrNumTotal)</f>
        <v>0.98</v>
      </c>
      <c r="F21" s="28"/>
      <c r="G21" s="28"/>
      <c r="H21" s="28"/>
      <c r="I21" s="28"/>
      <c r="J21" s="28"/>
      <c r="K21" s="28"/>
      <c r="M21" s="29"/>
      <c r="N21" s="28"/>
      <c r="P21" s="118" t="s">
        <v>194</v>
      </c>
      <c r="Q21" s="119"/>
      <c r="R21" s="119"/>
      <c r="S21" s="119"/>
      <c r="T21" s="119"/>
      <c r="U21" s="119"/>
      <c r="V21" s="53"/>
      <c r="X21" s="33" t="s">
        <v>195</v>
      </c>
      <c r="Y21" s="34"/>
    </row>
    <row r="22" spans="1:26">
      <c r="A22" s="27"/>
      <c r="B22" s="28"/>
      <c r="C22" s="28"/>
      <c r="D22" s="35" t="s">
        <v>218</v>
      </c>
      <c r="E22" s="28">
        <f>IF(InstrTempReq&lt;CoolTemp,1,0)</f>
        <v>0</v>
      </c>
      <c r="F22" s="28"/>
      <c r="G22" s="28"/>
      <c r="H22" s="28"/>
      <c r="I22" s="28"/>
      <c r="J22" s="28"/>
      <c r="K22" s="28"/>
      <c r="M22" s="29"/>
      <c r="N22" s="28"/>
      <c r="P22" s="24" t="s">
        <v>36</v>
      </c>
      <c r="Q22" s="25" t="s">
        <v>133</v>
      </c>
      <c r="R22" s="25" t="s">
        <v>135</v>
      </c>
      <c r="S22" s="25" t="s">
        <v>161</v>
      </c>
      <c r="T22" s="25" t="s">
        <v>134</v>
      </c>
      <c r="U22" s="25" t="s">
        <v>112</v>
      </c>
      <c r="V22" s="54" t="s">
        <v>213</v>
      </c>
      <c r="X22" s="55" t="s">
        <v>90</v>
      </c>
      <c r="Y22" s="56">
        <f>MAX(BusDiamSel,InstrSizeTotal)</f>
        <v>2.4</v>
      </c>
    </row>
    <row r="23" spans="1:26">
      <c r="A23" s="27"/>
      <c r="B23" s="28"/>
      <c r="C23" s="28"/>
      <c r="D23" s="35" t="s">
        <v>219</v>
      </c>
      <c r="E23" s="28">
        <f>IF(InstrNumTotal=0,1,0)</f>
        <v>0</v>
      </c>
      <c r="F23" s="28"/>
      <c r="G23" s="28"/>
      <c r="H23" s="28"/>
      <c r="I23" s="28"/>
      <c r="J23" s="28"/>
      <c r="K23" s="28"/>
      <c r="M23" s="29"/>
      <c r="N23" s="28"/>
      <c r="P23" s="27">
        <v>1</v>
      </c>
      <c r="Q23" s="28" t="str">
        <f>INDEX(SiteList,MATCH(SiteNumSel,SiteNumList))</f>
        <v>Guiana Space Centre</v>
      </c>
      <c r="R23" s="28" t="str">
        <f>INDEX(SiteCodeList,MATCH(SiteNumSel,SiteNumList))</f>
        <v>FG</v>
      </c>
      <c r="S23" s="28">
        <f>IF(RocketSite1Sel=SiteCodeSel,1,IF(RocketSite2Sel=SiteCodeSel,2,IF(RocketSite3Sel=SiteCodeSel,3,0)))</f>
        <v>1</v>
      </c>
      <c r="T23" s="28">
        <f>INDEX(SiteGTOList,MATCH(SiteNumSel,SiteNumList))</f>
        <v>1</v>
      </c>
      <c r="U23" s="28" t="str">
        <f>INDEX(SiteOpList,MATCH(SiteNumSel,SiteNumList))</f>
        <v>ESA</v>
      </c>
      <c r="V23" s="29">
        <f>INDEX(SiteRiskList,MATCH(SiteNumSel,SiteNumList))</f>
        <v>0</v>
      </c>
      <c r="X23" s="55" t="s">
        <v>193</v>
      </c>
      <c r="Y23" s="56">
        <f>MAX(BusDiamTotal,InstrSizeTotal)</f>
        <v>2.4</v>
      </c>
    </row>
    <row r="24" spans="1:26">
      <c r="A24" s="27"/>
      <c r="B24" s="28"/>
      <c r="C24" s="28"/>
      <c r="D24" s="25" t="s">
        <v>179</v>
      </c>
      <c r="E24" s="28">
        <f>IF(InstrUVReq&gt;0,IF(MirrorUVSel="Yes",0,1),0)</f>
        <v>0</v>
      </c>
      <c r="F24" s="28"/>
      <c r="G24" s="28"/>
      <c r="H24" s="28"/>
      <c r="I24" s="28"/>
      <c r="J24" s="28"/>
      <c r="K24" s="28"/>
      <c r="M24" s="29"/>
      <c r="N24" s="28"/>
      <c r="P24" s="27"/>
      <c r="Q24" s="28"/>
      <c r="R24" s="28"/>
      <c r="S24" s="28"/>
      <c r="T24" s="28"/>
      <c r="U24" s="28"/>
      <c r="V24" s="29"/>
      <c r="X24" s="55" t="s">
        <v>89</v>
      </c>
      <c r="Y24" s="56">
        <f>MirrorMassTotal+BusMassTotal+InstrMassTotal+CoolMassTotal</f>
        <v>780</v>
      </c>
    </row>
    <row r="25" spans="1:26" ht="15" thickBot="1">
      <c r="A25" s="30"/>
      <c r="B25" s="31"/>
      <c r="C25" s="31"/>
      <c r="D25" s="40" t="s">
        <v>225</v>
      </c>
      <c r="E25" s="31">
        <f>SUM(InstrDevTime)</f>
        <v>0.5</v>
      </c>
      <c r="F25" s="31"/>
      <c r="G25" s="31"/>
      <c r="H25" s="31"/>
      <c r="I25" s="31"/>
      <c r="J25" s="31"/>
      <c r="K25" s="31"/>
      <c r="L25" s="81"/>
      <c r="M25" s="32"/>
      <c r="N25" s="28"/>
      <c r="P25" s="27"/>
      <c r="Q25" s="28"/>
      <c r="R25" s="28"/>
      <c r="S25" s="28"/>
      <c r="T25" s="28"/>
      <c r="U25" s="28"/>
      <c r="V25" s="29"/>
      <c r="X25" s="55" t="s">
        <v>227</v>
      </c>
      <c r="Y25" s="56">
        <v>5</v>
      </c>
    </row>
    <row r="26" spans="1:26">
      <c r="P26" s="27"/>
      <c r="Q26" s="25" t="s">
        <v>147</v>
      </c>
      <c r="R26" s="28">
        <f>IF(OrbitLEOSel=1,0,IF(SiteGTOSel=0,1,0))</f>
        <v>0</v>
      </c>
      <c r="S26" s="28"/>
      <c r="T26" s="28"/>
      <c r="U26" s="28"/>
      <c r="V26" s="29"/>
      <c r="X26" s="55" t="s">
        <v>88</v>
      </c>
      <c r="Y26" s="56">
        <f>MirrorCostTotal+CoolCostTotal+BusCostTotal</f>
        <v>590</v>
      </c>
    </row>
    <row r="27" spans="1:26" ht="15" thickBot="1">
      <c r="P27" s="30"/>
      <c r="Q27" s="40" t="s">
        <v>148</v>
      </c>
      <c r="R27" s="31">
        <f>IF(SiteChoiceSel=0,1,0)</f>
        <v>0</v>
      </c>
      <c r="S27" s="31"/>
      <c r="T27" s="31"/>
      <c r="U27" s="31"/>
      <c r="V27" s="32"/>
      <c r="X27" s="59" t="s">
        <v>226</v>
      </c>
      <c r="Y27" s="29">
        <f>SatDevTime+InstrDevTotal+MirrorDevTotal+CoolDevTotal</f>
        <v>6.5</v>
      </c>
    </row>
    <row r="28" spans="1:26" ht="20">
      <c r="A28" s="118" t="s">
        <v>87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20"/>
      <c r="X28" s="24" t="s">
        <v>176</v>
      </c>
      <c r="Y28" s="26">
        <f>InstrCostTotal+CoolCostTotal+MirrorCostTotal+BusCostTotal</f>
        <v>640</v>
      </c>
    </row>
    <row r="29" spans="1:26">
      <c r="A29" s="27"/>
      <c r="B29" s="28"/>
      <c r="C29" s="25" t="s">
        <v>36</v>
      </c>
      <c r="D29" s="25" t="s">
        <v>83</v>
      </c>
      <c r="E29" s="25" t="s">
        <v>0</v>
      </c>
      <c r="F29" s="25" t="s">
        <v>7</v>
      </c>
      <c r="G29" s="25"/>
      <c r="H29" s="25" t="s">
        <v>26</v>
      </c>
      <c r="I29" s="25"/>
      <c r="J29" s="35"/>
      <c r="K29" s="54"/>
      <c r="X29" s="27"/>
      <c r="Y29" s="29"/>
    </row>
    <row r="30" spans="1:26">
      <c r="A30" s="27" t="s">
        <v>26</v>
      </c>
      <c r="B30" s="28"/>
      <c r="C30" s="28">
        <v>6</v>
      </c>
      <c r="D30" s="28" t="str">
        <f>INDEX(CoolList,MATCH(CoolNumSel,CoolNumList))</f>
        <v>18K</v>
      </c>
      <c r="E30" s="28">
        <f>INDEX(CoolCost,MATCH(CoolNumSel,CoolNumList))</f>
        <v>40</v>
      </c>
      <c r="F30" s="28">
        <f>INDEX(CoolMass,MATCH(CoolNumSel,CoolNumList))</f>
        <v>500</v>
      </c>
      <c r="G30" s="28"/>
      <c r="H30" s="28">
        <f>INDEX(CoolTempList,MATCH(CoolNumSel,CoolNumList))</f>
        <v>18</v>
      </c>
      <c r="I30" s="28"/>
      <c r="J30" s="28"/>
      <c r="K30" s="29"/>
      <c r="X30" s="55" t="s">
        <v>107</v>
      </c>
      <c r="Y30" s="56">
        <f>LifeSel</f>
        <v>3</v>
      </c>
    </row>
    <row r="31" spans="1:26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9"/>
      <c r="X31" s="55" t="s">
        <v>177</v>
      </c>
      <c r="Y31" s="56">
        <f>GroundCostYear*LifeSel</f>
        <v>60</v>
      </c>
    </row>
    <row r="32" spans="1:26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9"/>
      <c r="X32" s="55" t="s">
        <v>217</v>
      </c>
      <c r="Y32" s="56">
        <f>LaunchCostTotal</f>
        <v>120</v>
      </c>
    </row>
    <row r="33" spans="1:25" ht="15" thickBot="1">
      <c r="A33" s="30"/>
      <c r="B33" s="31"/>
      <c r="C33" s="40" t="s">
        <v>191</v>
      </c>
      <c r="D33" s="31"/>
      <c r="E33" s="40">
        <f>CoolPassiveCostTotal+CoolActiveCostTotal+CoolCryoCostTotal</f>
        <v>40</v>
      </c>
      <c r="F33" s="40">
        <f>CoolPassiveMassTotal+CoolActiveMasstotal+CoolCryoMassTotal</f>
        <v>500</v>
      </c>
      <c r="G33" s="40"/>
      <c r="H33" s="40">
        <f>MIN(CoolPassiveTempSel,CoolActiveTempSel,CoolCryoTempSel)</f>
        <v>18</v>
      </c>
      <c r="I33" s="31"/>
      <c r="J33" s="31"/>
      <c r="K33" s="32"/>
      <c r="P33" s="1" t="s">
        <v>76</v>
      </c>
      <c r="Q33" s="1"/>
      <c r="R33" s="1"/>
      <c r="X33" s="24" t="s">
        <v>157</v>
      </c>
      <c r="Y33" s="26">
        <f>GroundCostTotal+LaunchCostTotal</f>
        <v>180</v>
      </c>
    </row>
    <row r="34" spans="1:25" ht="15" thickBot="1">
      <c r="P34" s="1" t="s">
        <v>36</v>
      </c>
      <c r="Q34" s="1" t="s">
        <v>76</v>
      </c>
      <c r="R34" s="1" t="s">
        <v>213</v>
      </c>
      <c r="X34" s="41" t="s">
        <v>172</v>
      </c>
      <c r="Y34" s="42">
        <f>Y33+DevelCostTotal</f>
        <v>820</v>
      </c>
    </row>
    <row r="35" spans="1:25">
      <c r="P35">
        <v>3</v>
      </c>
      <c r="Q35" s="28">
        <f>INDEX(LifeTimeList,MATCH(LifeNumSel,LifeNumList))</f>
        <v>3</v>
      </c>
      <c r="R35" s="28">
        <f>INDEX(LifeRiskList,MATCH(LifeNumSel,LifeNumList))</f>
        <v>0.97</v>
      </c>
    </row>
    <row r="37" spans="1:25">
      <c r="Q37" t="s">
        <v>210</v>
      </c>
      <c r="R37">
        <f>0</f>
        <v>0</v>
      </c>
    </row>
    <row r="38" spans="1:25">
      <c r="Q38" t="s">
        <v>211</v>
      </c>
      <c r="R38">
        <f>IF(LifeSel&gt;OrbitLifeSel,1,0)</f>
        <v>0</v>
      </c>
    </row>
    <row r="39" spans="1:25">
      <c r="Q39" s="1" t="s">
        <v>212</v>
      </c>
      <c r="R39" s="1">
        <f>CoolCryoWarning+CoolActiveWarning+SiteGTOWarning+SiteRocketWarning+InstrUVWarning+RocketDiamWarning+RocketMassWarning+OrbitCryoWarning+OrbitPassiveWarning+LifeFuelWarning+LifeCoolWarning+InstrNumWarning</f>
        <v>0</v>
      </c>
    </row>
    <row r="40" spans="1:25">
      <c r="Q40" s="1" t="s">
        <v>215</v>
      </c>
      <c r="R40" s="1">
        <f>LifeRiskSel*InstrRiskTotal*CoolRiskTotal*OrbitRiskSel*SiteRiskSel*RocketRiskTotal*MirrorRiskTotal*IF(WarningTotal&gt;0,1,1)</f>
        <v>0</v>
      </c>
    </row>
    <row r="41" spans="1:25">
      <c r="Q41" t="s">
        <v>230</v>
      </c>
      <c r="R41">
        <f>1-TotalRisk</f>
        <v>1</v>
      </c>
    </row>
  </sheetData>
  <mergeCells count="6">
    <mergeCell ref="A28:K28"/>
    <mergeCell ref="A8:K8"/>
    <mergeCell ref="P8:Z8"/>
    <mergeCell ref="P21:U21"/>
    <mergeCell ref="A1:L1"/>
    <mergeCell ref="P1:AC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topLeftCell="A10" workbookViewId="0">
      <selection activeCell="U19" sqref="U19:U26"/>
    </sheetView>
  </sheetViews>
  <sheetFormatPr baseColWidth="10" defaultColWidth="8.83203125" defaultRowHeight="14" x14ac:dyDescent="0"/>
  <cols>
    <col min="1" max="1" width="6.1640625" bestFit="1" customWidth="1"/>
    <col min="2" max="2" width="21.5" bestFit="1" customWidth="1"/>
    <col min="3" max="3" width="10" bestFit="1" customWidth="1"/>
    <col min="4" max="4" width="9.5" customWidth="1"/>
    <col min="5" max="5" width="15.5" bestFit="1" customWidth="1"/>
    <col min="6" max="6" width="18.5" bestFit="1" customWidth="1"/>
    <col min="7" max="7" width="12.83203125" bestFit="1" customWidth="1"/>
    <col min="8" max="8" width="16" bestFit="1" customWidth="1"/>
    <col min="9" max="9" width="12.5" bestFit="1" customWidth="1"/>
    <col min="10" max="10" width="12.6640625" bestFit="1" customWidth="1"/>
    <col min="11" max="11" width="16.5" bestFit="1" customWidth="1"/>
    <col min="12" max="12" width="5" bestFit="1" customWidth="1"/>
    <col min="13" max="13" width="12" bestFit="1" customWidth="1"/>
    <col min="14" max="14" width="5" bestFit="1" customWidth="1"/>
    <col min="15" max="15" width="18" customWidth="1"/>
    <col min="16" max="16" width="5.33203125" bestFit="1" customWidth="1"/>
    <col min="17" max="17" width="21.1640625" bestFit="1" customWidth="1"/>
    <col min="18" max="18" width="17.5" bestFit="1" customWidth="1"/>
    <col min="19" max="19" width="10" bestFit="1" customWidth="1"/>
    <col min="20" max="20" width="10.6640625" bestFit="1" customWidth="1"/>
    <col min="21" max="21" width="8.5" bestFit="1" customWidth="1"/>
  </cols>
  <sheetData>
    <row r="1" spans="1:26" ht="20">
      <c r="A1" s="118" t="s">
        <v>12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53"/>
      <c r="P1" s="118" t="s">
        <v>18</v>
      </c>
      <c r="Q1" s="119"/>
      <c r="R1" s="119"/>
      <c r="S1" s="119"/>
      <c r="T1" s="119"/>
      <c r="U1" s="120"/>
    </row>
    <row r="2" spans="1:26">
      <c r="A2" s="24" t="s">
        <v>36</v>
      </c>
      <c r="B2" s="25" t="s">
        <v>2</v>
      </c>
      <c r="C2" s="25" t="s">
        <v>9</v>
      </c>
      <c r="D2" s="25" t="s">
        <v>8</v>
      </c>
      <c r="E2" s="35" t="s">
        <v>234</v>
      </c>
      <c r="F2" s="25" t="s">
        <v>63</v>
      </c>
      <c r="G2" s="25" t="s">
        <v>64</v>
      </c>
      <c r="H2" s="25" t="s">
        <v>72</v>
      </c>
      <c r="I2" s="25" t="s">
        <v>77</v>
      </c>
      <c r="J2" s="25" t="s">
        <v>79</v>
      </c>
      <c r="K2" s="35" t="s">
        <v>233</v>
      </c>
      <c r="L2" s="54" t="s">
        <v>213</v>
      </c>
      <c r="P2" s="24" t="s">
        <v>36</v>
      </c>
      <c r="Q2" s="25" t="s">
        <v>17</v>
      </c>
      <c r="R2" s="25" t="s">
        <v>26</v>
      </c>
      <c r="S2" s="25" t="s">
        <v>9</v>
      </c>
      <c r="T2" s="25" t="s">
        <v>8</v>
      </c>
      <c r="U2" s="26" t="s">
        <v>11</v>
      </c>
      <c r="Z2" s="1"/>
    </row>
    <row r="3" spans="1:26">
      <c r="A3" s="27">
        <v>1</v>
      </c>
      <c r="B3" s="28" t="s">
        <v>1</v>
      </c>
      <c r="C3" s="28">
        <v>12</v>
      </c>
      <c r="D3" s="28">
        <v>3</v>
      </c>
      <c r="E3" s="46">
        <v>0.5</v>
      </c>
      <c r="F3" s="28">
        <v>100</v>
      </c>
      <c r="G3" s="28">
        <v>50</v>
      </c>
      <c r="H3" s="28">
        <v>0.8</v>
      </c>
      <c r="I3" s="28">
        <v>5</v>
      </c>
      <c r="J3" s="28">
        <v>20</v>
      </c>
      <c r="K3" s="46">
        <v>0.5</v>
      </c>
      <c r="L3" s="47">
        <v>0.99</v>
      </c>
      <c r="P3" s="27">
        <v>1</v>
      </c>
      <c r="Q3" s="28" t="s">
        <v>28</v>
      </c>
      <c r="R3" s="28">
        <v>999</v>
      </c>
      <c r="S3" s="28">
        <v>0</v>
      </c>
      <c r="T3" s="28">
        <v>0</v>
      </c>
      <c r="U3" s="29">
        <v>0</v>
      </c>
    </row>
    <row r="4" spans="1:26">
      <c r="A4" s="27">
        <v>2</v>
      </c>
      <c r="B4" s="28" t="s">
        <v>3</v>
      </c>
      <c r="C4" s="28">
        <v>25</v>
      </c>
      <c r="D4" s="28">
        <v>10</v>
      </c>
      <c r="E4" s="46">
        <v>1</v>
      </c>
      <c r="F4" s="28">
        <v>200</v>
      </c>
      <c r="G4" s="28">
        <v>100</v>
      </c>
      <c r="H4" s="28">
        <v>1.4</v>
      </c>
      <c r="I4" s="28">
        <v>10</v>
      </c>
      <c r="J4" s="28">
        <v>40</v>
      </c>
      <c r="K4" s="46">
        <v>0.5</v>
      </c>
      <c r="L4" s="47">
        <v>0.98</v>
      </c>
      <c r="P4" s="27">
        <v>2</v>
      </c>
      <c r="Q4" s="28" t="s">
        <v>19</v>
      </c>
      <c r="R4" s="28">
        <v>0.4</v>
      </c>
      <c r="S4" s="28">
        <v>50</v>
      </c>
      <c r="T4" s="28">
        <v>100</v>
      </c>
      <c r="U4" s="29">
        <v>0</v>
      </c>
    </row>
    <row r="5" spans="1:26">
      <c r="A5" s="27">
        <v>3</v>
      </c>
      <c r="B5" s="28" t="s">
        <v>4</v>
      </c>
      <c r="C5" s="28">
        <v>50</v>
      </c>
      <c r="D5" s="28">
        <v>30</v>
      </c>
      <c r="E5" s="46">
        <v>1</v>
      </c>
      <c r="F5" s="28">
        <v>500</v>
      </c>
      <c r="G5" s="28">
        <v>200</v>
      </c>
      <c r="H5" s="28">
        <v>2.4</v>
      </c>
      <c r="I5" s="28">
        <v>20</v>
      </c>
      <c r="J5" s="28">
        <v>100</v>
      </c>
      <c r="K5" s="46">
        <v>1</v>
      </c>
      <c r="L5" s="47">
        <v>0.97</v>
      </c>
      <c r="P5" s="27">
        <v>3</v>
      </c>
      <c r="Q5" s="28" t="s">
        <v>20</v>
      </c>
      <c r="R5" s="28">
        <v>0.4</v>
      </c>
      <c r="S5" s="28">
        <v>50</v>
      </c>
      <c r="T5" s="28">
        <v>100</v>
      </c>
      <c r="U5" s="29">
        <v>0</v>
      </c>
    </row>
    <row r="6" spans="1:26">
      <c r="A6" s="27">
        <v>4</v>
      </c>
      <c r="B6" s="28" t="s">
        <v>5</v>
      </c>
      <c r="C6" s="28">
        <v>200</v>
      </c>
      <c r="D6" s="28">
        <v>100</v>
      </c>
      <c r="E6" s="46">
        <v>2</v>
      </c>
      <c r="F6" s="28">
        <v>1000</v>
      </c>
      <c r="G6" s="28">
        <v>300</v>
      </c>
      <c r="H6" s="28">
        <v>4.4000000000000004</v>
      </c>
      <c r="I6" s="28">
        <v>40</v>
      </c>
      <c r="J6" s="28">
        <v>200</v>
      </c>
      <c r="K6" s="46">
        <v>1</v>
      </c>
      <c r="L6" s="29">
        <v>0.95</v>
      </c>
      <c r="P6" s="27">
        <v>4</v>
      </c>
      <c r="Q6" s="28" t="s">
        <v>21</v>
      </c>
      <c r="R6" s="28">
        <v>4</v>
      </c>
      <c r="S6" s="28">
        <v>50</v>
      </c>
      <c r="T6" s="28">
        <v>100</v>
      </c>
      <c r="U6" s="29">
        <v>0</v>
      </c>
    </row>
    <row r="7" spans="1:26">
      <c r="A7" s="27">
        <v>5</v>
      </c>
      <c r="B7" s="28" t="s">
        <v>6</v>
      </c>
      <c r="C7" s="28">
        <v>1000</v>
      </c>
      <c r="D7" s="28">
        <v>300</v>
      </c>
      <c r="E7" s="46">
        <v>2</v>
      </c>
      <c r="F7" s="28">
        <v>2000</v>
      </c>
      <c r="G7" s="28">
        <v>400</v>
      </c>
      <c r="H7" s="28">
        <v>10</v>
      </c>
      <c r="I7" s="28">
        <v>80</v>
      </c>
      <c r="J7" s="28">
        <v>400</v>
      </c>
      <c r="K7" s="46">
        <v>2</v>
      </c>
      <c r="L7" s="47">
        <v>0.9</v>
      </c>
      <c r="P7" s="27">
        <v>5</v>
      </c>
      <c r="Q7" s="28" t="s">
        <v>22</v>
      </c>
      <c r="R7" s="28">
        <v>40</v>
      </c>
      <c r="S7" s="28">
        <v>50</v>
      </c>
      <c r="T7" s="28">
        <v>100</v>
      </c>
      <c r="U7" s="29">
        <v>0</v>
      </c>
    </row>
    <row r="8" spans="1:26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P8" s="27">
        <v>6</v>
      </c>
      <c r="Q8" s="28" t="s">
        <v>23</v>
      </c>
      <c r="R8" s="28">
        <v>300</v>
      </c>
      <c r="S8" s="28">
        <v>50</v>
      </c>
      <c r="T8" s="28">
        <v>100</v>
      </c>
      <c r="U8" s="29">
        <v>0</v>
      </c>
    </row>
    <row r="9" spans="1:26">
      <c r="A9" s="24" t="s">
        <v>36</v>
      </c>
      <c r="B9" s="25" t="s">
        <v>10</v>
      </c>
      <c r="C9" s="25" t="s">
        <v>31</v>
      </c>
      <c r="D9" s="28"/>
      <c r="E9" s="35" t="s">
        <v>31</v>
      </c>
      <c r="F9" s="25" t="s">
        <v>31</v>
      </c>
      <c r="G9" s="25" t="s">
        <v>31</v>
      </c>
      <c r="H9" s="25" t="s">
        <v>31</v>
      </c>
      <c r="I9" s="25" t="s">
        <v>31</v>
      </c>
      <c r="J9" s="35" t="s">
        <v>31</v>
      </c>
      <c r="K9" s="35" t="s">
        <v>31</v>
      </c>
      <c r="L9" s="26" t="s">
        <v>213</v>
      </c>
      <c r="P9" s="27">
        <v>7</v>
      </c>
      <c r="Q9" s="28" t="s">
        <v>16</v>
      </c>
      <c r="R9" s="28">
        <v>400</v>
      </c>
      <c r="S9" s="28">
        <v>50</v>
      </c>
      <c r="T9" s="28">
        <v>100</v>
      </c>
      <c r="U9" s="29">
        <v>1</v>
      </c>
    </row>
    <row r="10" spans="1:26">
      <c r="A10" s="27">
        <v>1</v>
      </c>
      <c r="B10" s="28" t="s">
        <v>14</v>
      </c>
      <c r="C10" s="28">
        <v>4</v>
      </c>
      <c r="D10" s="28"/>
      <c r="E10" s="28">
        <v>2</v>
      </c>
      <c r="F10" s="28">
        <v>2</v>
      </c>
      <c r="G10" s="28">
        <v>2</v>
      </c>
      <c r="H10" s="28">
        <v>0.5</v>
      </c>
      <c r="I10" s="28">
        <v>4</v>
      </c>
      <c r="J10" s="46">
        <v>2</v>
      </c>
      <c r="K10" s="46">
        <v>2</v>
      </c>
      <c r="L10" s="29">
        <v>0.8</v>
      </c>
      <c r="P10" s="27"/>
      <c r="Q10" s="28"/>
      <c r="R10" s="28"/>
      <c r="S10" s="28"/>
      <c r="T10" s="28"/>
      <c r="U10" s="29"/>
    </row>
    <row r="11" spans="1:26">
      <c r="A11" s="27">
        <v>2</v>
      </c>
      <c r="B11" s="28" t="s">
        <v>15</v>
      </c>
      <c r="C11" s="28">
        <v>1</v>
      </c>
      <c r="D11" s="28"/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46">
        <v>1</v>
      </c>
      <c r="K11" s="46">
        <v>1</v>
      </c>
      <c r="L11" s="29">
        <v>1</v>
      </c>
      <c r="P11" s="24" t="s">
        <v>36</v>
      </c>
      <c r="Q11" s="25" t="s">
        <v>24</v>
      </c>
      <c r="R11" s="28"/>
      <c r="S11" s="25" t="s">
        <v>31</v>
      </c>
      <c r="T11" s="35" t="s">
        <v>220</v>
      </c>
      <c r="U11" s="26" t="s">
        <v>225</v>
      </c>
    </row>
    <row r="12" spans="1:26" ht="15" thickBot="1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P12" s="27">
        <v>1</v>
      </c>
      <c r="Q12" s="28" t="s">
        <v>25</v>
      </c>
      <c r="R12" s="28"/>
      <c r="S12" s="28">
        <v>1</v>
      </c>
      <c r="T12" s="46">
        <v>1</v>
      </c>
      <c r="U12" s="29">
        <v>0.5</v>
      </c>
    </row>
    <row r="13" spans="1:26">
      <c r="A13" s="24" t="s">
        <v>36</v>
      </c>
      <c r="B13" s="25" t="s">
        <v>11</v>
      </c>
      <c r="C13" s="25" t="s">
        <v>31</v>
      </c>
      <c r="D13" s="28"/>
      <c r="E13" s="25" t="s">
        <v>31</v>
      </c>
      <c r="F13" s="28"/>
      <c r="G13" s="28"/>
      <c r="H13" s="28"/>
      <c r="I13" s="28"/>
      <c r="J13" s="28"/>
      <c r="K13" s="28"/>
      <c r="L13" s="29"/>
      <c r="P13" s="74"/>
      <c r="Q13" s="74"/>
      <c r="R13" s="74"/>
      <c r="S13" s="74"/>
      <c r="T13" s="75"/>
      <c r="U13" s="74"/>
    </row>
    <row r="14" spans="1:26">
      <c r="A14" s="27">
        <v>1</v>
      </c>
      <c r="B14" s="28" t="s">
        <v>14</v>
      </c>
      <c r="C14" s="28">
        <v>2</v>
      </c>
      <c r="D14" s="28"/>
      <c r="E14" s="28">
        <v>1</v>
      </c>
      <c r="F14" s="28"/>
      <c r="G14" s="28"/>
      <c r="H14" s="28"/>
      <c r="I14" s="28"/>
      <c r="J14" s="28"/>
      <c r="K14" s="28"/>
      <c r="L14" s="29"/>
      <c r="P14" s="28"/>
      <c r="Q14" s="28"/>
      <c r="R14" s="28"/>
      <c r="S14" s="28"/>
      <c r="T14" s="28"/>
      <c r="U14" s="28"/>
    </row>
    <row r="15" spans="1:26" ht="15" thickBot="1">
      <c r="A15" s="30">
        <v>2</v>
      </c>
      <c r="B15" s="31" t="s">
        <v>15</v>
      </c>
      <c r="C15" s="31">
        <v>1</v>
      </c>
      <c r="D15" s="31"/>
      <c r="E15" s="31">
        <v>1</v>
      </c>
      <c r="F15" s="31"/>
      <c r="G15" s="31"/>
      <c r="H15" s="31"/>
      <c r="I15" s="31"/>
      <c r="J15" s="31"/>
      <c r="K15" s="31"/>
      <c r="L15" s="32"/>
    </row>
    <row r="16" spans="1:26" ht="15" thickBot="1"/>
    <row r="17" spans="1:23" ht="20">
      <c r="A17" s="118" t="s">
        <v>91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23"/>
      <c r="N17" s="53"/>
      <c r="P17" s="118" t="s">
        <v>27</v>
      </c>
      <c r="Q17" s="119"/>
      <c r="R17" s="119"/>
      <c r="S17" s="119"/>
      <c r="T17" s="119"/>
      <c r="U17" s="119"/>
      <c r="V17" s="119"/>
      <c r="W17" s="120"/>
    </row>
    <row r="18" spans="1:23">
      <c r="A18" s="24" t="s">
        <v>36</v>
      </c>
      <c r="B18" s="25" t="s">
        <v>91</v>
      </c>
      <c r="C18" s="25" t="s">
        <v>101</v>
      </c>
      <c r="D18" s="25" t="s">
        <v>93</v>
      </c>
      <c r="E18" s="25" t="s">
        <v>92</v>
      </c>
      <c r="F18" s="25" t="s">
        <v>29</v>
      </c>
      <c r="G18" s="25" t="s">
        <v>82</v>
      </c>
      <c r="H18" s="25" t="s">
        <v>96</v>
      </c>
      <c r="I18" s="35" t="s">
        <v>222</v>
      </c>
      <c r="J18" s="25" t="s">
        <v>100</v>
      </c>
      <c r="K18" s="25" t="s">
        <v>80</v>
      </c>
      <c r="L18" s="25" t="s">
        <v>126</v>
      </c>
      <c r="M18" s="25" t="s">
        <v>187</v>
      </c>
      <c r="N18" s="26"/>
      <c r="P18" s="24" t="s">
        <v>36</v>
      </c>
      <c r="Q18" s="25" t="s">
        <v>236</v>
      </c>
      <c r="R18" s="25" t="s">
        <v>30</v>
      </c>
      <c r="S18" s="25" t="s">
        <v>0</v>
      </c>
      <c r="T18" s="25" t="s">
        <v>7</v>
      </c>
      <c r="U18" s="25" t="s">
        <v>76</v>
      </c>
      <c r="V18" s="35"/>
      <c r="W18" s="54"/>
    </row>
    <row r="19" spans="1:23">
      <c r="A19" s="27">
        <v>1</v>
      </c>
      <c r="B19" s="28" t="s">
        <v>94</v>
      </c>
      <c r="C19" s="28" t="s">
        <v>221</v>
      </c>
      <c r="D19" s="28">
        <v>0.5</v>
      </c>
      <c r="E19" s="28">
        <f>1.5/24</f>
        <v>6.25E-2</v>
      </c>
      <c r="F19" s="28">
        <v>1</v>
      </c>
      <c r="G19" s="28">
        <v>0.7</v>
      </c>
      <c r="H19" s="28">
        <v>1.2</v>
      </c>
      <c r="I19" s="28" t="s">
        <v>223</v>
      </c>
      <c r="J19" s="28">
        <v>10</v>
      </c>
      <c r="K19" s="28">
        <v>400</v>
      </c>
      <c r="L19" s="28">
        <v>1</v>
      </c>
      <c r="M19" s="28">
        <v>20</v>
      </c>
      <c r="N19" s="47"/>
      <c r="P19" s="27">
        <v>1</v>
      </c>
      <c r="Q19" s="28" t="s">
        <v>239</v>
      </c>
      <c r="R19" s="28">
        <v>400</v>
      </c>
      <c r="S19" s="28">
        <v>0</v>
      </c>
      <c r="T19" s="28">
        <v>0</v>
      </c>
      <c r="U19" s="28">
        <v>99</v>
      </c>
      <c r="V19" s="46"/>
      <c r="W19" s="47"/>
    </row>
    <row r="20" spans="1:23">
      <c r="A20" s="27">
        <v>2</v>
      </c>
      <c r="B20" s="28" t="s">
        <v>97</v>
      </c>
      <c r="C20" s="28">
        <v>40000</v>
      </c>
      <c r="D20" s="28">
        <v>0.5</v>
      </c>
      <c r="E20" s="28">
        <v>1</v>
      </c>
      <c r="F20" s="28">
        <v>0</v>
      </c>
      <c r="G20" s="28">
        <v>0</v>
      </c>
      <c r="H20" s="28">
        <v>1</v>
      </c>
      <c r="I20" s="46" t="s">
        <v>224</v>
      </c>
      <c r="J20" s="28">
        <v>20</v>
      </c>
      <c r="K20" s="28">
        <v>300</v>
      </c>
      <c r="L20" s="28">
        <v>0</v>
      </c>
      <c r="M20" s="28">
        <v>40</v>
      </c>
      <c r="N20" s="47"/>
      <c r="P20" s="27">
        <v>2</v>
      </c>
      <c r="Q20" s="28" t="s">
        <v>238</v>
      </c>
      <c r="R20" s="28">
        <v>300</v>
      </c>
      <c r="S20" s="28">
        <v>0.5</v>
      </c>
      <c r="T20" s="28">
        <v>20</v>
      </c>
      <c r="U20" s="28">
        <v>20</v>
      </c>
      <c r="V20" s="46"/>
      <c r="W20" s="47"/>
    </row>
    <row r="21" spans="1:23" ht="15" thickBot="1">
      <c r="A21" s="27">
        <v>3</v>
      </c>
      <c r="B21" s="71" t="s">
        <v>95</v>
      </c>
      <c r="C21" s="71">
        <v>1500000</v>
      </c>
      <c r="D21" s="71">
        <v>1</v>
      </c>
      <c r="E21" s="71">
        <v>365</v>
      </c>
      <c r="F21" s="71">
        <v>1</v>
      </c>
      <c r="G21" s="71">
        <v>1</v>
      </c>
      <c r="H21" s="71">
        <v>1</v>
      </c>
      <c r="I21" s="71" t="s">
        <v>224</v>
      </c>
      <c r="J21" s="71">
        <v>10</v>
      </c>
      <c r="K21" s="71">
        <v>300</v>
      </c>
      <c r="L21" s="71">
        <v>0</v>
      </c>
      <c r="M21" s="71">
        <v>50</v>
      </c>
      <c r="N21" s="72"/>
      <c r="P21" s="27">
        <v>3</v>
      </c>
      <c r="Q21" s="46" t="s">
        <v>237</v>
      </c>
      <c r="R21" s="46">
        <v>200</v>
      </c>
      <c r="S21" s="46">
        <v>1</v>
      </c>
      <c r="T21" s="46">
        <v>40</v>
      </c>
      <c r="U21" s="46">
        <v>19</v>
      </c>
      <c r="V21" s="28"/>
      <c r="W21" s="29"/>
    </row>
    <row r="22" spans="1:23">
      <c r="A22" s="73"/>
      <c r="B22" s="74"/>
      <c r="C22" s="74"/>
      <c r="D22" s="74"/>
      <c r="E22" s="74"/>
      <c r="F22" s="74"/>
      <c r="G22" s="74"/>
      <c r="H22" s="74"/>
      <c r="I22" s="75" t="s">
        <v>224</v>
      </c>
      <c r="J22" s="74"/>
      <c r="K22" s="74"/>
      <c r="L22" s="74"/>
      <c r="M22" s="74"/>
      <c r="N22" s="75"/>
      <c r="P22" s="55">
        <v>4</v>
      </c>
      <c r="Q22" s="65" t="s">
        <v>240</v>
      </c>
      <c r="R22" s="65">
        <v>100</v>
      </c>
      <c r="S22" s="65">
        <v>2.5</v>
      </c>
      <c r="T22" s="65">
        <v>70</v>
      </c>
      <c r="U22" s="65">
        <v>17</v>
      </c>
      <c r="V22" s="28"/>
      <c r="W22" s="54"/>
    </row>
    <row r="23" spans="1:23">
      <c r="A23" s="27"/>
      <c r="B23" s="28"/>
      <c r="C23" s="28"/>
      <c r="D23" s="28"/>
      <c r="E23" s="28"/>
      <c r="F23" s="28"/>
      <c r="G23" s="28"/>
      <c r="H23" s="28"/>
      <c r="I23" s="46"/>
      <c r="J23" s="28"/>
      <c r="K23" s="28"/>
      <c r="L23" s="28"/>
      <c r="M23" s="28"/>
      <c r="N23" s="46"/>
      <c r="P23" s="27">
        <v>5</v>
      </c>
      <c r="Q23" s="46" t="s">
        <v>241</v>
      </c>
      <c r="R23" s="46">
        <v>50</v>
      </c>
      <c r="S23" s="66">
        <v>12</v>
      </c>
      <c r="T23" s="66">
        <v>150</v>
      </c>
      <c r="U23" s="66">
        <v>14</v>
      </c>
      <c r="V23" s="46"/>
      <c r="W23" s="47"/>
    </row>
    <row r="24" spans="1:23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46"/>
      <c r="P24" s="27">
        <v>6</v>
      </c>
      <c r="Q24" s="46" t="s">
        <v>244</v>
      </c>
      <c r="R24" s="46">
        <v>18</v>
      </c>
      <c r="S24" s="66">
        <v>40</v>
      </c>
      <c r="T24" s="66">
        <v>500</v>
      </c>
      <c r="U24" s="66">
        <v>10</v>
      </c>
      <c r="V24" s="46"/>
      <c r="W24" s="47"/>
    </row>
    <row r="25" spans="1:23">
      <c r="A25" s="27"/>
      <c r="B25" s="28"/>
      <c r="C25" s="28"/>
      <c r="D25" s="28"/>
      <c r="E25" s="28"/>
      <c r="F25" s="28"/>
      <c r="G25" s="28"/>
      <c r="H25" s="28"/>
      <c r="I25" s="28" t="s">
        <v>224</v>
      </c>
      <c r="J25" s="28"/>
      <c r="K25" s="28"/>
      <c r="L25" s="28"/>
      <c r="M25" s="28"/>
      <c r="N25" s="46"/>
      <c r="P25" s="27">
        <v>7</v>
      </c>
      <c r="Q25" s="46" t="s">
        <v>242</v>
      </c>
      <c r="R25" s="46">
        <v>3</v>
      </c>
      <c r="S25" s="66">
        <v>70</v>
      </c>
      <c r="T25" s="66">
        <v>800</v>
      </c>
      <c r="U25" s="66">
        <v>5</v>
      </c>
      <c r="V25" s="46"/>
      <c r="W25" s="47"/>
    </row>
    <row r="26" spans="1:23" ht="15" thickBot="1">
      <c r="P26" s="27">
        <v>8</v>
      </c>
      <c r="Q26" s="46" t="s">
        <v>243</v>
      </c>
      <c r="R26" s="46">
        <v>0.3</v>
      </c>
      <c r="S26" s="66">
        <v>200</v>
      </c>
      <c r="T26" s="66">
        <v>1200</v>
      </c>
      <c r="U26" s="66">
        <v>3</v>
      </c>
      <c r="V26" s="46"/>
      <c r="W26" s="47"/>
    </row>
    <row r="27" spans="1:23" ht="20">
      <c r="A27" s="118" t="s">
        <v>185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20"/>
      <c r="P27" s="27"/>
      <c r="Q27" s="28"/>
      <c r="R27" s="28"/>
      <c r="S27" s="28"/>
      <c r="T27" s="28"/>
      <c r="U27" s="28"/>
      <c r="V27" s="28"/>
      <c r="W27" s="29"/>
    </row>
    <row r="28" spans="1:23">
      <c r="A28" s="24" t="s">
        <v>36</v>
      </c>
      <c r="B28" s="25" t="s">
        <v>111</v>
      </c>
      <c r="C28" s="25" t="s">
        <v>7</v>
      </c>
      <c r="D28" s="25"/>
      <c r="E28" s="25" t="s">
        <v>13</v>
      </c>
      <c r="F28" s="25" t="s">
        <v>112</v>
      </c>
      <c r="G28" s="25" t="s">
        <v>0</v>
      </c>
      <c r="H28" s="25"/>
      <c r="I28" s="25" t="s">
        <v>152</v>
      </c>
      <c r="J28" s="25" t="s">
        <v>153</v>
      </c>
      <c r="K28" s="26" t="s">
        <v>154</v>
      </c>
      <c r="P28" s="24"/>
      <c r="Q28" s="25"/>
      <c r="R28" s="25"/>
      <c r="S28" s="25"/>
      <c r="T28" s="25"/>
      <c r="U28" s="25"/>
      <c r="V28" s="28"/>
      <c r="W28" s="54"/>
    </row>
    <row r="29" spans="1:23">
      <c r="A29" s="27">
        <v>1</v>
      </c>
      <c r="B29" s="28" t="s">
        <v>113</v>
      </c>
      <c r="C29" s="28">
        <v>20000</v>
      </c>
      <c r="D29" s="28"/>
      <c r="E29" s="28">
        <v>5.5</v>
      </c>
      <c r="F29" s="28" t="s">
        <v>146</v>
      </c>
      <c r="G29" s="28">
        <v>100</v>
      </c>
      <c r="H29" s="28"/>
      <c r="I29" s="28" t="s">
        <v>120</v>
      </c>
      <c r="J29" s="28" t="str">
        <f>""</f>
        <v/>
      </c>
      <c r="K29" s="29" t="str">
        <f>""</f>
        <v/>
      </c>
      <c r="P29" s="27"/>
      <c r="Q29" s="28"/>
      <c r="R29" s="28"/>
      <c r="S29" s="28"/>
      <c r="T29" s="28"/>
      <c r="U29" s="28"/>
      <c r="V29" s="46"/>
      <c r="W29" s="47"/>
    </row>
    <row r="30" spans="1:23" ht="15" thickBot="1">
      <c r="A30" s="27">
        <v>2</v>
      </c>
      <c r="B30" s="28" t="s">
        <v>114</v>
      </c>
      <c r="C30" s="28">
        <v>8000</v>
      </c>
      <c r="D30" s="28"/>
      <c r="E30" s="28">
        <v>3</v>
      </c>
      <c r="F30" s="28" t="s">
        <v>168</v>
      </c>
      <c r="G30" s="28">
        <v>60</v>
      </c>
      <c r="H30" s="28"/>
      <c r="I30" s="28" t="s">
        <v>137</v>
      </c>
      <c r="J30" s="28" t="s">
        <v>138</v>
      </c>
      <c r="K30" s="29" t="s">
        <v>120</v>
      </c>
      <c r="P30" s="30"/>
      <c r="Q30" s="31"/>
      <c r="R30" s="31"/>
      <c r="S30" s="31"/>
      <c r="T30" s="31"/>
      <c r="U30" s="31"/>
      <c r="V30" s="49"/>
      <c r="W30" s="50"/>
    </row>
    <row r="31" spans="1:23" ht="15" thickBot="1">
      <c r="A31" s="27">
        <v>3</v>
      </c>
      <c r="B31" s="28" t="s">
        <v>115</v>
      </c>
      <c r="C31" s="28">
        <v>23000</v>
      </c>
      <c r="D31" s="28"/>
      <c r="E31" s="28">
        <v>5</v>
      </c>
      <c r="F31" s="28" t="s">
        <v>144</v>
      </c>
      <c r="G31" s="28">
        <v>200</v>
      </c>
      <c r="H31" s="28"/>
      <c r="I31" s="28" t="s">
        <v>139</v>
      </c>
      <c r="J31" s="28" t="s">
        <v>141</v>
      </c>
      <c r="K31" s="29" t="str">
        <f>""</f>
        <v/>
      </c>
    </row>
    <row r="32" spans="1:23" ht="20">
      <c r="A32" s="27">
        <v>4</v>
      </c>
      <c r="B32" s="28" t="s">
        <v>116</v>
      </c>
      <c r="C32" s="28">
        <v>15000</v>
      </c>
      <c r="D32" s="28"/>
      <c r="E32" s="28">
        <v>5</v>
      </c>
      <c r="F32" s="28" t="s">
        <v>145</v>
      </c>
      <c r="G32" s="28">
        <v>80</v>
      </c>
      <c r="H32" s="28"/>
      <c r="I32" s="28" t="s">
        <v>142</v>
      </c>
      <c r="J32" s="28" t="str">
        <f>""</f>
        <v/>
      </c>
      <c r="K32" s="29" t="str">
        <f>""</f>
        <v/>
      </c>
      <c r="P32" s="118" t="s">
        <v>186</v>
      </c>
      <c r="Q32" s="119"/>
      <c r="R32" s="119"/>
      <c r="S32" s="119"/>
      <c r="T32" s="119"/>
      <c r="U32" s="53"/>
    </row>
    <row r="33" spans="1:21">
      <c r="A33" s="27">
        <v>5</v>
      </c>
      <c r="B33" s="28" t="s">
        <v>117</v>
      </c>
      <c r="C33" s="28">
        <v>2300</v>
      </c>
      <c r="D33" s="28"/>
      <c r="E33" s="28">
        <v>3</v>
      </c>
      <c r="F33" s="28" t="s">
        <v>146</v>
      </c>
      <c r="G33" s="28">
        <v>23</v>
      </c>
      <c r="H33" s="28"/>
      <c r="I33" s="28" t="s">
        <v>120</v>
      </c>
      <c r="J33" s="28" t="str">
        <f>""</f>
        <v/>
      </c>
      <c r="K33" s="29" t="str">
        <f>""</f>
        <v/>
      </c>
      <c r="P33" s="24" t="s">
        <v>36</v>
      </c>
      <c r="Q33" s="25" t="s">
        <v>133</v>
      </c>
      <c r="R33" s="25" t="s">
        <v>135</v>
      </c>
      <c r="S33" s="25" t="s">
        <v>188</v>
      </c>
      <c r="T33" s="25" t="s">
        <v>112</v>
      </c>
      <c r="U33" s="54"/>
    </row>
    <row r="34" spans="1:21">
      <c r="A34" s="27">
        <v>6</v>
      </c>
      <c r="B34" s="28" t="s">
        <v>118</v>
      </c>
      <c r="C34" s="28">
        <v>400</v>
      </c>
      <c r="D34" s="28"/>
      <c r="E34" s="28">
        <v>1.2</v>
      </c>
      <c r="F34" s="28" t="s">
        <v>166</v>
      </c>
      <c r="G34" s="28">
        <v>15</v>
      </c>
      <c r="H34" s="28"/>
      <c r="I34" s="28" t="s">
        <v>121</v>
      </c>
      <c r="J34" s="28" t="str">
        <f>""</f>
        <v/>
      </c>
      <c r="K34" s="29" t="str">
        <f>""</f>
        <v/>
      </c>
      <c r="P34" s="27">
        <v>1</v>
      </c>
      <c r="Q34" s="28" t="s">
        <v>169</v>
      </c>
      <c r="R34" s="28" t="s">
        <v>120</v>
      </c>
      <c r="S34" s="28">
        <v>1</v>
      </c>
      <c r="T34" s="28" t="s">
        <v>123</v>
      </c>
      <c r="U34" s="29"/>
    </row>
    <row r="35" spans="1:21" ht="15" thickBot="1">
      <c r="A35" s="30">
        <v>7</v>
      </c>
      <c r="B35" s="31" t="s">
        <v>119</v>
      </c>
      <c r="C35" s="31">
        <v>10000</v>
      </c>
      <c r="D35" s="31"/>
      <c r="E35" s="31">
        <v>3.5</v>
      </c>
      <c r="F35" s="31" t="s">
        <v>167</v>
      </c>
      <c r="G35" s="31">
        <v>40</v>
      </c>
      <c r="H35" s="31"/>
      <c r="I35" s="31" t="s">
        <v>139</v>
      </c>
      <c r="J35" s="31" t="s">
        <v>141</v>
      </c>
      <c r="K35" s="32" t="str">
        <f>""</f>
        <v/>
      </c>
      <c r="P35" s="27">
        <v>2</v>
      </c>
      <c r="Q35" s="28" t="s">
        <v>136</v>
      </c>
      <c r="R35" s="28" t="s">
        <v>137</v>
      </c>
      <c r="S35" s="28">
        <v>1</v>
      </c>
      <c r="T35" s="28" t="s">
        <v>170</v>
      </c>
      <c r="U35" s="29"/>
    </row>
    <row r="36" spans="1:2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 t="str">
        <f>""</f>
        <v/>
      </c>
      <c r="P36" s="27">
        <v>3</v>
      </c>
      <c r="Q36" s="28" t="s">
        <v>140</v>
      </c>
      <c r="R36" s="28" t="s">
        <v>139</v>
      </c>
      <c r="S36" s="28">
        <v>1</v>
      </c>
      <c r="T36" s="28" t="s">
        <v>122</v>
      </c>
      <c r="U36" s="29"/>
    </row>
    <row r="37" spans="1:21">
      <c r="A37" s="28"/>
      <c r="B37" s="28"/>
      <c r="C37" s="28"/>
      <c r="D37" s="28"/>
      <c r="E37" s="28"/>
      <c r="F37" s="28"/>
      <c r="G37" s="28"/>
      <c r="H37" s="28"/>
      <c r="I37" s="28"/>
      <c r="J37" s="28" t="str">
        <f>""</f>
        <v/>
      </c>
      <c r="K37" s="28" t="str">
        <f>""</f>
        <v/>
      </c>
      <c r="P37" s="67">
        <v>4</v>
      </c>
      <c r="Q37" s="68" t="s">
        <v>143</v>
      </c>
      <c r="R37" s="68" t="s">
        <v>142</v>
      </c>
      <c r="S37" s="68">
        <v>1</v>
      </c>
      <c r="T37" s="68" t="s">
        <v>171</v>
      </c>
      <c r="U37" s="69"/>
    </row>
    <row r="38" spans="1:21" ht="15" thickBo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 t="str">
        <f>""</f>
        <v/>
      </c>
      <c r="P38" s="70">
        <v>5</v>
      </c>
      <c r="Q38" s="71" t="s">
        <v>165</v>
      </c>
      <c r="R38" s="71" t="s">
        <v>121</v>
      </c>
      <c r="S38" s="71">
        <v>0</v>
      </c>
      <c r="T38" s="71" t="s">
        <v>164</v>
      </c>
      <c r="U38" s="72"/>
    </row>
    <row r="39" spans="1:2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 t="str">
        <f>""</f>
        <v/>
      </c>
      <c r="P39" s="74"/>
      <c r="Q39" s="74"/>
      <c r="R39" s="74"/>
      <c r="S39" s="74"/>
      <c r="T39" s="74"/>
      <c r="U39" s="74"/>
    </row>
    <row r="40" spans="1:21">
      <c r="P40" s="28"/>
      <c r="Q40" s="28"/>
      <c r="R40" s="28"/>
      <c r="S40" s="28"/>
      <c r="T40" s="28"/>
      <c r="U40" s="28"/>
    </row>
    <row r="41" spans="1:21" ht="15" thickBot="1">
      <c r="P41" s="28"/>
      <c r="Q41" s="28"/>
      <c r="R41" s="28"/>
      <c r="S41" s="28"/>
      <c r="T41" s="28"/>
      <c r="U41" s="28"/>
    </row>
    <row r="42" spans="1:21" ht="20">
      <c r="A42" s="118" t="s">
        <v>107</v>
      </c>
      <c r="B42" s="119"/>
      <c r="C42" s="119"/>
      <c r="D42" s="53"/>
    </row>
    <row r="43" spans="1:21">
      <c r="A43" s="24" t="s">
        <v>36</v>
      </c>
      <c r="B43" s="25" t="s">
        <v>196</v>
      </c>
      <c r="C43" s="25" t="s">
        <v>197</v>
      </c>
      <c r="D43" s="54" t="s">
        <v>213</v>
      </c>
    </row>
    <row r="44" spans="1:21">
      <c r="A44" s="27">
        <v>1</v>
      </c>
      <c r="B44" s="28" t="s">
        <v>198</v>
      </c>
      <c r="C44" s="28">
        <v>1</v>
      </c>
      <c r="D44" s="29">
        <v>0.99</v>
      </c>
    </row>
    <row r="45" spans="1:21">
      <c r="A45" s="27">
        <v>2</v>
      </c>
      <c r="B45" s="28" t="s">
        <v>200</v>
      </c>
      <c r="C45" s="28">
        <v>2</v>
      </c>
      <c r="D45" s="29">
        <v>0.98</v>
      </c>
    </row>
    <row r="46" spans="1:21">
      <c r="A46" s="27">
        <v>3</v>
      </c>
      <c r="B46" s="28" t="s">
        <v>199</v>
      </c>
      <c r="C46" s="28">
        <v>3</v>
      </c>
      <c r="D46" s="29">
        <v>0.97</v>
      </c>
    </row>
    <row r="47" spans="1:21">
      <c r="A47" s="27">
        <v>4</v>
      </c>
      <c r="B47" s="28" t="s">
        <v>201</v>
      </c>
      <c r="C47" s="28">
        <v>4</v>
      </c>
      <c r="D47" s="29">
        <v>0.96</v>
      </c>
    </row>
    <row r="48" spans="1:21">
      <c r="A48" s="27">
        <v>5</v>
      </c>
      <c r="B48" s="28" t="s">
        <v>202</v>
      </c>
      <c r="C48" s="28">
        <v>5</v>
      </c>
      <c r="D48" s="29">
        <v>0.95</v>
      </c>
    </row>
    <row r="49" spans="1:4">
      <c r="A49" s="27">
        <v>6</v>
      </c>
      <c r="B49" s="28" t="s">
        <v>203</v>
      </c>
      <c r="C49" s="28">
        <v>6</v>
      </c>
      <c r="D49" s="29">
        <v>0.94</v>
      </c>
    </row>
    <row r="50" spans="1:4">
      <c r="A50" s="27">
        <v>7</v>
      </c>
      <c r="B50" s="28" t="s">
        <v>204</v>
      </c>
      <c r="C50" s="28">
        <v>7</v>
      </c>
      <c r="D50" s="29">
        <v>0.93</v>
      </c>
    </row>
    <row r="51" spans="1:4">
      <c r="A51" s="27">
        <v>8</v>
      </c>
      <c r="B51" s="28" t="s">
        <v>205</v>
      </c>
      <c r="C51" s="28">
        <v>8</v>
      </c>
      <c r="D51" s="29">
        <v>0.92</v>
      </c>
    </row>
    <row r="52" spans="1:4">
      <c r="A52" s="27">
        <v>9</v>
      </c>
      <c r="B52" s="28" t="s">
        <v>206</v>
      </c>
      <c r="C52" s="28">
        <v>9</v>
      </c>
      <c r="D52" s="29">
        <v>0.91</v>
      </c>
    </row>
    <row r="53" spans="1:4">
      <c r="A53" s="27">
        <v>10</v>
      </c>
      <c r="B53" s="28" t="s">
        <v>207</v>
      </c>
      <c r="C53" s="28">
        <v>10</v>
      </c>
      <c r="D53" s="29">
        <v>0.9</v>
      </c>
    </row>
    <row r="54" spans="1:4">
      <c r="A54" s="45">
        <v>11</v>
      </c>
      <c r="B54" s="46" t="s">
        <v>208</v>
      </c>
      <c r="C54" s="46">
        <v>15</v>
      </c>
      <c r="D54" s="29">
        <v>0.85</v>
      </c>
    </row>
    <row r="55" spans="1:4" ht="15" thickBot="1">
      <c r="A55" s="48">
        <v>12</v>
      </c>
      <c r="B55" s="49" t="s">
        <v>209</v>
      </c>
      <c r="C55" s="49">
        <v>20</v>
      </c>
      <c r="D55" s="32">
        <v>0.8</v>
      </c>
    </row>
  </sheetData>
  <mergeCells count="7">
    <mergeCell ref="A42:C42"/>
    <mergeCell ref="A17:L17"/>
    <mergeCell ref="P1:U1"/>
    <mergeCell ref="P32:T32"/>
    <mergeCell ref="A27:K27"/>
    <mergeCell ref="P17:W17"/>
    <mergeCell ref="A1:K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Selections</vt:lpstr>
      <vt:lpstr>SatelliteData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North</dc:creator>
  <cp:lastModifiedBy>Jake Hughes</cp:lastModifiedBy>
  <dcterms:created xsi:type="dcterms:W3CDTF">2013-06-11T19:18:27Z</dcterms:created>
  <dcterms:modified xsi:type="dcterms:W3CDTF">2014-01-28T11:34:45Z</dcterms:modified>
</cp:coreProperties>
</file>