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watteco-my.sharepoint.com/personal/jlefort_watteco_fr/Documents/Documents/Watteco/Produits/BoB Assistant V2/"/>
    </mc:Choice>
  </mc:AlternateContent>
  <xr:revisionPtr revIDLastSave="88" documentId="11_39C1D7C1FD8FFFE472F9546024D9A379C3AAB34B" xr6:coauthVersionLast="47" xr6:coauthVersionMax="47" xr10:uidLastSave="{0E1C6FBB-2E01-48A0-8423-24D8D50FA6CB}"/>
  <bookViews>
    <workbookView xWindow="15" yWindow="0" windowWidth="28770" windowHeight="15450" tabRatio="500" xr2:uid="{00000000-000D-0000-FFFF-FFFF00000000}"/>
  </bookViews>
  <sheets>
    <sheet name="simulateu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1" i="1" l="1"/>
  <c r="M22" i="1"/>
  <c r="C6" i="1" l="1"/>
  <c r="U58" i="1"/>
  <c r="V58" i="1" s="1"/>
  <c r="U57" i="1"/>
  <c r="V57" i="1" s="1"/>
  <c r="U56" i="1"/>
  <c r="V56" i="1" s="1"/>
  <c r="U55" i="1"/>
  <c r="V55" i="1" s="1"/>
  <c r="U54" i="1"/>
  <c r="V54" i="1" s="1"/>
  <c r="U53" i="1"/>
  <c r="V53" i="1" s="1"/>
  <c r="U52" i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W21" i="1" s="1"/>
  <c r="U20" i="1"/>
  <c r="V20" i="1" s="1"/>
  <c r="W20" i="1" s="1"/>
  <c r="M45" i="1"/>
  <c r="N45" i="1" s="1"/>
  <c r="O45" i="1" s="1"/>
  <c r="M44" i="1"/>
  <c r="N44" i="1" s="1"/>
  <c r="O44" i="1" s="1"/>
  <c r="M43" i="1"/>
  <c r="N43" i="1" s="1"/>
  <c r="O43" i="1" s="1"/>
  <c r="M42" i="1"/>
  <c r="N42" i="1" s="1"/>
  <c r="O42" i="1" s="1"/>
  <c r="M41" i="1"/>
  <c r="N41" i="1" s="1"/>
  <c r="O41" i="1" s="1"/>
  <c r="M40" i="1"/>
  <c r="N40" i="1" s="1"/>
  <c r="O40" i="1" s="1"/>
  <c r="M39" i="1"/>
  <c r="N39" i="1" s="1"/>
  <c r="O39" i="1" s="1"/>
  <c r="M38" i="1"/>
  <c r="N38" i="1" s="1"/>
  <c r="O38" i="1" s="1"/>
  <c r="M37" i="1"/>
  <c r="N37" i="1" s="1"/>
  <c r="O37" i="1" s="1"/>
  <c r="M36" i="1"/>
  <c r="N36" i="1" s="1"/>
  <c r="O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O26" i="1" s="1"/>
  <c r="M25" i="1"/>
  <c r="N25" i="1" s="1"/>
  <c r="O25" i="1" s="1"/>
  <c r="M24" i="1"/>
  <c r="N24" i="1" s="1"/>
  <c r="O24" i="1" s="1"/>
  <c r="M23" i="1"/>
  <c r="N23" i="1" s="1"/>
  <c r="O23" i="1" s="1"/>
  <c r="N22" i="1"/>
  <c r="W23" i="1" l="1"/>
  <c r="W49" i="1" s="1"/>
  <c r="O27" i="1"/>
  <c r="W31" i="1" l="1"/>
  <c r="W58" i="1"/>
  <c r="W45" i="1"/>
  <c r="W51" i="1"/>
  <c r="W54" i="1"/>
  <c r="W38" i="1"/>
  <c r="W50" i="1"/>
  <c r="W37" i="1"/>
  <c r="W56" i="1"/>
  <c r="W30" i="1"/>
  <c r="W33" i="1"/>
  <c r="W57" i="1"/>
  <c r="W41" i="1"/>
  <c r="W39" i="1"/>
  <c r="W32" i="1"/>
  <c r="W43" i="1"/>
  <c r="W34" i="1"/>
  <c r="W27" i="1"/>
  <c r="W35" i="1"/>
  <c r="W28" i="1"/>
  <c r="W52" i="1"/>
  <c r="W29" i="1"/>
  <c r="W40" i="1"/>
  <c r="W55" i="1"/>
  <c r="W44" i="1"/>
  <c r="W42" i="1"/>
  <c r="W47" i="1"/>
  <c r="W36" i="1"/>
  <c r="W48" i="1"/>
  <c r="W46" i="1"/>
  <c r="W53" i="1"/>
  <c r="N21" i="1" l="1"/>
  <c r="O21" i="1" s="1"/>
  <c r="O50" i="1" s="1"/>
  <c r="M20" i="1"/>
  <c r="N20" i="1" s="1"/>
  <c r="O2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G27" i="1" s="1"/>
  <c r="E26" i="1"/>
  <c r="F26" i="1" s="1"/>
  <c r="G26" i="1" s="1"/>
  <c r="E25" i="1"/>
  <c r="F25" i="1" s="1"/>
  <c r="E24" i="1"/>
  <c r="F24" i="1" s="1"/>
  <c r="G24" i="1" s="1"/>
  <c r="E23" i="1"/>
  <c r="F23" i="1" s="1"/>
  <c r="E22" i="1"/>
  <c r="F22" i="1" s="1"/>
  <c r="E21" i="1"/>
  <c r="F21" i="1" s="1"/>
  <c r="E20" i="1"/>
  <c r="F20" i="1" s="1"/>
  <c r="G20" i="1" s="1"/>
  <c r="G21" i="1" l="1"/>
  <c r="G57" i="1" s="1"/>
  <c r="O22" i="1"/>
  <c r="AC21" i="1"/>
  <c r="AD21" i="1" s="1"/>
  <c r="AE21" i="1" s="1"/>
  <c r="AC20" i="1"/>
  <c r="AD20" i="1" s="1"/>
  <c r="AE20" i="1" s="1"/>
  <c r="AC19" i="1"/>
  <c r="AD19" i="1" s="1"/>
  <c r="U19" i="1"/>
  <c r="V19" i="1" s="1"/>
  <c r="W19" i="1" s="1"/>
  <c r="W26" i="1" s="1"/>
  <c r="M19" i="1"/>
  <c r="N19" i="1" s="1"/>
  <c r="O19" i="1" s="1"/>
  <c r="O30" i="1" s="1"/>
  <c r="E19" i="1"/>
  <c r="F19" i="1" s="1"/>
  <c r="G19" i="1" s="1"/>
  <c r="G25" i="1" s="1"/>
  <c r="AC18" i="1"/>
  <c r="AD18" i="1" s="1"/>
  <c r="AE18" i="1" s="1"/>
  <c r="U18" i="1"/>
  <c r="V18" i="1" s="1"/>
  <c r="W18" i="1" s="1"/>
  <c r="M18" i="1"/>
  <c r="N18" i="1" s="1"/>
  <c r="O18" i="1" s="1"/>
  <c r="E18" i="1"/>
  <c r="F18" i="1" s="1"/>
  <c r="C7" i="1" s="1"/>
  <c r="O35" i="1" l="1"/>
  <c r="O56" i="1" s="1"/>
  <c r="O51" i="1"/>
  <c r="G18" i="1"/>
  <c r="G38" i="1"/>
  <c r="G42" i="1"/>
  <c r="G50" i="1"/>
  <c r="G40" i="1"/>
  <c r="G59" i="1"/>
  <c r="G49" i="1"/>
  <c r="G32" i="1"/>
  <c r="G34" i="1"/>
  <c r="G55" i="1"/>
  <c r="G36" i="1"/>
  <c r="G56" i="1"/>
  <c r="G58" i="1"/>
  <c r="G28" i="1"/>
  <c r="G44" i="1"/>
  <c r="G45" i="1"/>
  <c r="G33" i="1"/>
  <c r="G53" i="1"/>
  <c r="G54" i="1"/>
  <c r="G30" i="1"/>
  <c r="G47" i="1"/>
  <c r="G52" i="1"/>
  <c r="G48" i="1"/>
  <c r="G29" i="1"/>
  <c r="G41" i="1"/>
  <c r="G39" i="1"/>
  <c r="G43" i="1"/>
  <c r="G46" i="1"/>
  <c r="G35" i="1"/>
  <c r="G51" i="1"/>
  <c r="G37" i="1"/>
  <c r="G31" i="1"/>
  <c r="O31" i="1"/>
  <c r="O52" i="1" s="1"/>
  <c r="O34" i="1"/>
  <c r="O55" i="1" s="1"/>
  <c r="O33" i="1"/>
  <c r="O54" i="1" s="1"/>
  <c r="O32" i="1"/>
  <c r="O53" i="1" s="1"/>
</calcChain>
</file>

<file path=xl/sharedStrings.xml><?xml version="1.0" encoding="utf-8"?>
<sst xmlns="http://schemas.openxmlformats.org/spreadsheetml/2006/main" count="273" uniqueCount="107">
  <si>
    <t>Learning</t>
  </si>
  <si>
    <t>6c6401015c0a3b0104067f0b060f6706051f130f4117071407071428081325070403030202020202</t>
  </si>
  <si>
    <t>720D7F27013B0206001B011A7F000000007FFFFFFFFFFFFFFFFFFF</t>
  </si>
  <si>
    <t>Alarm</t>
  </si>
  <si>
    <t>611C3B010044351C7F121D1D101D2F302B291E15110C090908080707060504030303020201020102</t>
  </si>
  <si>
    <t>State</t>
  </si>
  <si>
    <t>PAYLOAD</t>
  </si>
  <si>
    <t>LEARNING</t>
  </si>
  <si>
    <t>Byte</t>
  </si>
  <si>
    <t>REPORT</t>
  </si>
  <si>
    <t>ALARM</t>
  </si>
  <si>
    <t>STATE</t>
  </si>
  <si>
    <t>TYPE</t>
  </si>
  <si>
    <t>-</t>
  </si>
  <si>
    <t>SENSOR</t>
  </si>
  <si>
    <t>MSG</t>
  </si>
  <si>
    <t>Temperature</t>
  </si>
  <si>
    <t>°C</t>
  </si>
  <si>
    <t>Batterypercentage</t>
  </si>
  <si>
    <t>%</t>
  </si>
  <si>
    <t>temperature</t>
  </si>
  <si>
    <t>state</t>
  </si>
  <si>
    <t>Learningfromscratch</t>
  </si>
  <si>
    <t>anomalylevel</t>
  </si>
  <si>
    <t>vibrationlevel</t>
  </si>
  <si>
    <t>g</t>
  </si>
  <si>
    <t>batterypercentage</t>
  </si>
  <si>
    <t>Learningpercentage</t>
  </si>
  <si>
    <t>anomalylevelto20last6mo</t>
  </si>
  <si>
    <t>nbalarmreport</t>
  </si>
  <si>
    <t>operatingtime</t>
  </si>
  <si>
    <t>min</t>
  </si>
  <si>
    <t>totalunknown6080</t>
  </si>
  <si>
    <t>fft(1)</t>
  </si>
  <si>
    <t>peakfrequencyindex</t>
  </si>
  <si>
    <t>totalunknown4060</t>
  </si>
  <si>
    <t>fft(2)</t>
  </si>
  <si>
    <t>peakfrequency</t>
  </si>
  <si>
    <t>Hz</t>
  </si>
  <si>
    <t>totalunknown2040</t>
  </si>
  <si>
    <t>fft(3)</t>
  </si>
  <si>
    <t>anomalylevelto80last30d</t>
  </si>
  <si>
    <t>fft(4)</t>
  </si>
  <si>
    <t>fft(5)</t>
  </si>
  <si>
    <t>fft(6)</t>
  </si>
  <si>
    <t>fft(7)</t>
  </si>
  <si>
    <t>totalunknown1020</t>
  </si>
  <si>
    <t>fft(8)</t>
  </si>
  <si>
    <t>anomalylevelto80last6mo</t>
  </si>
  <si>
    <t>fft(9)</t>
  </si>
  <si>
    <t>anomalylevelto50last24h</t>
  </si>
  <si>
    <t>fft(10)</t>
  </si>
  <si>
    <t>anomalylevelto20last24h</t>
  </si>
  <si>
    <t>fft(11)</t>
  </si>
  <si>
    <t>anomalylevelto50last30d</t>
  </si>
  <si>
    <t>fft(12)</t>
  </si>
  <si>
    <t>fft(13)</t>
  </si>
  <si>
    <t>reportlength</t>
  </si>
  <si>
    <t>fft(14)</t>
  </si>
  <si>
    <t>anomalylevelto20last30d</t>
  </si>
  <si>
    <t>fft(15)</t>
  </si>
  <si>
    <t>fft(16)</t>
  </si>
  <si>
    <t>totalunknown80100</t>
  </si>
  <si>
    <t>fft(17)</t>
  </si>
  <si>
    <t>totalunknown010 / totaloperatingtimeknown</t>
  </si>
  <si>
    <t>fft(18)</t>
  </si>
  <si>
    <t>anomalylevelto50last6mo</t>
  </si>
  <si>
    <t>fft(19)</t>
  </si>
  <si>
    <t>anomalylevelto80last24h</t>
  </si>
  <si>
    <t>fft(20)</t>
  </si>
  <si>
    <t>fft(21)</t>
  </si>
  <si>
    <t>fft(22)</t>
  </si>
  <si>
    <t>fft(23)</t>
  </si>
  <si>
    <t>fft(24)</t>
  </si>
  <si>
    <t>fft(25)</t>
  </si>
  <si>
    <t>fft(26)</t>
  </si>
  <si>
    <t>fft(27)</t>
  </si>
  <si>
    <t>fft(28)</t>
  </si>
  <si>
    <t>fft(29)</t>
  </si>
  <si>
    <t>fft(30)</t>
  </si>
  <si>
    <t>fft(31)</t>
  </si>
  <si>
    <t>fft(32)</t>
  </si>
  <si>
    <t>ReportID</t>
  </si>
  <si>
    <t>NA</t>
  </si>
  <si>
    <t>53647F</t>
  </si>
  <si>
    <t>Payload examples</t>
  </si>
  <si>
    <t>BOB'S PAYLOAD DECODING SIMULATOR</t>
  </si>
  <si>
    <t>off time</t>
  </si>
  <si>
    <t>0-10% anomaly</t>
  </si>
  <si>
    <t>10-20% anomaly</t>
  </si>
  <si>
    <t>20-40% anomaly</t>
  </si>
  <si>
    <t>40-60% anomaly</t>
  </si>
  <si>
    <t>60-80% anomaly</t>
  </si>
  <si>
    <t>80-100% anomaly</t>
  </si>
  <si>
    <t>Report (2min)</t>
  </si>
  <si>
    <t>Report (180mn)</t>
  </si>
  <si>
    <t>Chart example</t>
  </si>
  <si>
    <t>Value (hex)</t>
  </si>
  <si>
    <t>Value(dec)</t>
  </si>
  <si>
    <t>actual value</t>
  </si>
  <si>
    <t>unit</t>
  </si>
  <si>
    <t xml:space="preserve">Payload size : </t>
  </si>
  <si>
    <t>Message type</t>
  </si>
  <si>
    <t>caracters</t>
  </si>
  <si>
    <t>52087f5a00353e090019260c552a0000007c77ffffffffffffffff</t>
  </si>
  <si>
    <t>frequency</t>
  </si>
  <si>
    <t>611A3600004F43305B7F1A1F2A1F1B18120E100D0C0E0B090E080B0C130D0A0B090A090A07090A09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</si>
</sst>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>
    <font>
      <sz val="11"/>
      <color rgb="FF000000"/>
      <name val="Calibri"/>
      <family val="2"/>
      <charset val="1"/>
    </font>
    <font>
      <b/>
      <sz val="2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6"/>
      <color rgb="FF44546A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6"/>
      <color rgb="FFFF0000"/>
      <name val="Calibri"/>
      <family val="2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</font>
    <font>
      <sz val="8"/>
      <color rgb="FF273657"/>
      <name val="Montserrat-Regular"/>
    </font>
    <font>
      <b/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44546A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9933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9900"/>
        <bgColor indexed="64"/>
      </patternFill>
    </fill>
  </fills>
  <borders count="7">
    <border>
      <left/>
      <right/>
      <top/>
      <bottom/>
      <diagonal/>
    </border>
    <border>
      <left style="thick">
        <color rgb="FF44546A"/>
      </left>
      <right style="thick">
        <color rgb="FF44546A"/>
      </right>
      <top style="thick">
        <color rgb="FF44546A"/>
      </top>
      <bottom style="thick">
        <color rgb="FF44546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 vertical="top"/>
    </xf>
    <xf numFmtId="0" fontId="2" fillId="2" borderId="0" xfId="0" applyFont="1" applyFill="1" applyAlignment="1">
      <alignment horizontal="left" vertical="top"/>
    </xf>
    <xf numFmtId="0" fontId="3" fillId="0" borderId="0" xfId="0" applyFont="1"/>
    <xf numFmtId="0" fontId="4" fillId="0" borderId="0" xfId="0" applyFont="1"/>
    <xf numFmtId="1" fontId="0" fillId="0" borderId="0" xfId="0" applyNumberFormat="1"/>
    <xf numFmtId="0" fontId="0" fillId="0" borderId="0" xfId="0" applyAlignment="1">
      <alignment vertical="top"/>
    </xf>
    <xf numFmtId="0" fontId="5" fillId="2" borderId="0" xfId="0" applyFont="1" applyFill="1"/>
    <xf numFmtId="0" fontId="0" fillId="0" borderId="2" xfId="0" applyBorder="1"/>
    <xf numFmtId="0" fontId="0" fillId="0" borderId="2" xfId="0" applyBorder="1" applyAlignment="1">
      <alignment horizontal="right" vertical="top"/>
    </xf>
    <xf numFmtId="0" fontId="0" fillId="0" borderId="2" xfId="0" applyBorder="1" applyAlignment="1">
      <alignment horizontal="left" vertical="top"/>
    </xf>
    <xf numFmtId="2" fontId="0" fillId="0" borderId="2" xfId="0" applyNumberFormat="1" applyBorder="1" applyAlignment="1">
      <alignment horizontal="right" vertical="top"/>
    </xf>
    <xf numFmtId="0" fontId="0" fillId="0" borderId="2" xfId="0" quotePrefix="1" applyBorder="1" applyAlignment="1">
      <alignment horizontal="left" vertical="top"/>
    </xf>
    <xf numFmtId="0" fontId="0" fillId="0" borderId="2" xfId="0" quotePrefix="1" applyBorder="1" applyAlignment="1">
      <alignment horizontal="right" vertical="top"/>
    </xf>
    <xf numFmtId="0" fontId="0" fillId="4" borderId="2" xfId="0" applyFill="1" applyBorder="1"/>
    <xf numFmtId="0" fontId="0" fillId="5" borderId="2" xfId="0" applyFill="1" applyBorder="1"/>
    <xf numFmtId="0" fontId="7" fillId="6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0" fillId="12" borderId="2" xfId="0" applyNumberFormat="1" applyFill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1" fontId="0" fillId="8" borderId="2" xfId="0" applyNumberFormat="1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1" fontId="0" fillId="10" borderId="2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6" borderId="2" xfId="0" applyFill="1" applyBorder="1"/>
    <xf numFmtId="0" fontId="9" fillId="0" borderId="0" xfId="0" applyFont="1"/>
    <xf numFmtId="0" fontId="0" fillId="14" borderId="2" xfId="0" applyFill="1" applyBorder="1"/>
    <xf numFmtId="0" fontId="0" fillId="15" borderId="2" xfId="0" applyFill="1" applyBorder="1"/>
    <xf numFmtId="0" fontId="10" fillId="0" borderId="0" xfId="0" applyFont="1"/>
    <xf numFmtId="164" fontId="0" fillId="14" borderId="2" xfId="0" applyNumberFormat="1" applyFill="1" applyBorder="1" applyAlignment="1">
      <alignment horizontal="right" vertical="top"/>
    </xf>
    <xf numFmtId="0" fontId="0" fillId="14" borderId="2" xfId="0" applyFill="1" applyBorder="1" applyAlignment="1">
      <alignment horizontal="left" vertical="top"/>
    </xf>
    <xf numFmtId="0" fontId="0" fillId="14" borderId="2" xfId="0" applyFill="1" applyBorder="1" applyAlignment="1">
      <alignment vertical="top"/>
    </xf>
    <xf numFmtId="1" fontId="0" fillId="15" borderId="2" xfId="0" applyNumberFormat="1" applyFill="1" applyBorder="1" applyAlignment="1">
      <alignment horizontal="right" vertical="top"/>
    </xf>
    <xf numFmtId="0" fontId="0" fillId="15" borderId="2" xfId="0" applyFill="1" applyBorder="1" applyAlignment="1">
      <alignment horizontal="left" vertical="top"/>
    </xf>
    <xf numFmtId="0" fontId="0" fillId="16" borderId="2" xfId="0" applyFill="1" applyBorder="1"/>
    <xf numFmtId="0" fontId="8" fillId="16" borderId="2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2" xfId="0" applyNumberFormat="1" applyBorder="1" applyAlignment="1">
      <alignment horizontal="right" vertical="top"/>
    </xf>
    <xf numFmtId="0" fontId="0" fillId="0" borderId="2" xfId="0" applyBorder="1" applyAlignment="1">
      <alignment horizontal="left" vertical="top"/>
    </xf>
    <xf numFmtId="1" fontId="0" fillId="0" borderId="0" xfId="0" applyNumberFormat="1" applyAlignment="1">
      <alignment horizontal="left" wrapText="1"/>
    </xf>
    <xf numFmtId="165" fontId="0" fillId="0" borderId="2" xfId="0" applyNumberFormat="1" applyBorder="1" applyAlignment="1">
      <alignment horizontal="righ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164" fontId="0" fillId="0" borderId="2" xfId="0" applyNumberFormat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9900"/>
      <color rgb="FF99CC00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Anomaly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BF-43E9-A77E-B13A2A07500D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BF-43E9-A77E-B13A2A07500D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BF-43E9-A77E-B13A2A07500D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BF-43E9-A77E-B13A2A07500D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BF-43E9-A77E-B13A2A07500D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6BF-43E9-A77E-B13A2A07500D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6BF-43E9-A77E-B13A2A07500D}"/>
              </c:ext>
            </c:extLst>
          </c:dPt>
          <c:cat>
            <c:strRef>
              <c:f>simulateur!$N$50:$N$56</c:f>
              <c:strCache>
                <c:ptCount val="7"/>
                <c:pt idx="0">
                  <c:v>off time</c:v>
                </c:pt>
                <c:pt idx="1">
                  <c:v>0-10% anomaly</c:v>
                </c:pt>
                <c:pt idx="2">
                  <c:v>10-20% anomaly</c:v>
                </c:pt>
                <c:pt idx="3">
                  <c:v>20-40% anomaly</c:v>
                </c:pt>
                <c:pt idx="4">
                  <c:v>40-60% anomaly</c:v>
                </c:pt>
                <c:pt idx="5">
                  <c:v>60-80% anomaly</c:v>
                </c:pt>
                <c:pt idx="6">
                  <c:v>80-100% anomaly</c:v>
                </c:pt>
              </c:strCache>
            </c:strRef>
          </c:cat>
          <c:val>
            <c:numRef>
              <c:f>simulateur!$O$50:$O$56</c:f>
              <c:numCache>
                <c:formatCode>0</c:formatCode>
                <c:ptCount val="7"/>
                <c:pt idx="0" formatCode="General">
                  <c:v>275.90551181102364</c:v>
                </c:pt>
                <c:pt idx="1">
                  <c:v>0</c:v>
                </c:pt>
                <c:pt idx="2">
                  <c:v>67.495814991629985</c:v>
                </c:pt>
                <c:pt idx="3">
                  <c:v>49.818339636679276</c:v>
                </c:pt>
                <c:pt idx="4">
                  <c:v>43.390166780333566</c:v>
                </c:pt>
                <c:pt idx="5">
                  <c:v>38.569037138074279</c:v>
                </c:pt>
                <c:pt idx="6">
                  <c:v>28.926777853555709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6BF-43E9-A77E-B13A2A075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059492563429571E-2"/>
          <c:y val="0.72940608900911452"/>
          <c:w val="0.9674363517060367"/>
          <c:h val="0.26105096237970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1948543</xdr:colOff>
      <xdr:row>45</xdr:row>
      <xdr:rowOff>154052</xdr:rowOff>
    </xdr:from>
    <xdr:to>
      <xdr:col>16</xdr:col>
      <xdr:colOff>26726</xdr:colOff>
      <xdr:row>57</xdr:row>
      <xdr:rowOff>174173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59"/>
  <sheetViews>
    <sheetView tabSelected="1" zoomScale="70" zoomScaleNormal="70" workbookViewId="0">
      <selection activeCell="K3" sqref="K3"/>
    </sheetView>
  </sheetViews>
  <sheetFormatPr baseColWidth="10" defaultColWidth="8.85546875" defaultRowHeight="15"/>
  <cols>
    <col min="1" max="1" width="13" customWidth="1"/>
    <col min="2" max="2" width="14.5703125" customWidth="1"/>
    <col min="3" max="3" width="17.85546875" customWidth="1"/>
    <col min="4" max="6" width="10.5703125" customWidth="1"/>
    <col min="7" max="7" width="19" style="1" customWidth="1"/>
    <col min="8" max="8" width="11.5703125" style="2" customWidth="1"/>
    <col min="9" max="9" width="3.5703125" customWidth="1"/>
    <col min="10" max="10" width="11.5703125" customWidth="1"/>
    <col min="11" max="11" width="45.140625" customWidth="1"/>
    <col min="12" max="14" width="10.5703125" customWidth="1"/>
    <col min="15" max="16" width="10.5703125" style="30" customWidth="1"/>
    <col min="17" max="17" width="3.28515625" customWidth="1"/>
    <col min="18" max="18" width="11.5703125" customWidth="1"/>
    <col min="19" max="19" width="27.7109375" customWidth="1"/>
    <col min="20" max="24" width="10.5703125" customWidth="1"/>
    <col min="25" max="25" width="3.42578125" customWidth="1"/>
    <col min="26" max="26" width="11.5703125" customWidth="1"/>
    <col min="27" max="27" width="16.7109375" customWidth="1"/>
    <col min="28" max="30" width="10.5703125" customWidth="1"/>
    <col min="31" max="31" width="21.42578125" customWidth="1"/>
    <col min="32" max="1025" width="10.5703125" customWidth="1"/>
  </cols>
  <sheetData>
    <row r="2" spans="1:16" s="4" customFormat="1" ht="31.5">
      <c r="A2" s="3" t="s">
        <v>86</v>
      </c>
      <c r="G2" s="5"/>
      <c r="H2" s="6"/>
      <c r="O2" s="28"/>
      <c r="P2" s="28"/>
    </row>
    <row r="3" spans="1:16" ht="15.75" thickBot="1"/>
    <row r="4" spans="1:16" ht="21" customHeight="1" thickTop="1" thickBot="1">
      <c r="A4" s="8" t="s">
        <v>6</v>
      </c>
      <c r="B4" s="64" t="s">
        <v>106</v>
      </c>
      <c r="C4" s="64"/>
      <c r="D4" s="64"/>
      <c r="E4" s="64"/>
      <c r="F4" s="64"/>
      <c r="G4" s="64"/>
      <c r="H4" s="9"/>
      <c r="I4" s="9"/>
      <c r="J4" s="9"/>
      <c r="K4" s="9"/>
      <c r="L4" s="52"/>
      <c r="M4" s="9"/>
      <c r="N4" s="9"/>
      <c r="O4" s="29"/>
      <c r="P4" s="29"/>
    </row>
    <row r="5" spans="1:16" ht="15.75" thickTop="1">
      <c r="A5" s="10"/>
    </row>
    <row r="6" spans="1:16">
      <c r="A6" s="10"/>
      <c r="B6" t="s">
        <v>101</v>
      </c>
      <c r="C6">
        <f>LEN(B4)</f>
        <v>80</v>
      </c>
      <c r="D6" t="s">
        <v>103</v>
      </c>
    </row>
    <row r="7" spans="1:16" ht="21">
      <c r="A7" s="10"/>
      <c r="B7" t="s">
        <v>102</v>
      </c>
      <c r="C7" s="42" t="str">
        <f>IF(OR(F18=108,F18=76),"Learning",IF(OR(F18=82,F18=114),"Report",IF(OR(F18=65,F18=97),"Alarm",IF(OR(F18=83,F18=83),"State","INCONNU"))))</f>
        <v>Alarm</v>
      </c>
    </row>
    <row r="8" spans="1:16">
      <c r="A8" s="10"/>
    </row>
    <row r="9" spans="1:16">
      <c r="A9" s="7" t="s">
        <v>85</v>
      </c>
    </row>
    <row r="10" spans="1:16">
      <c r="A10" t="s">
        <v>0</v>
      </c>
      <c r="B10" s="70" t="s">
        <v>1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</row>
    <row r="11" spans="1:16">
      <c r="A11" t="s">
        <v>94</v>
      </c>
      <c r="B11" s="70" t="s">
        <v>2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</row>
    <row r="12" spans="1:16">
      <c r="A12" t="s">
        <v>95</v>
      </c>
      <c r="B12" s="70" t="s">
        <v>104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</row>
    <row r="13" spans="1:16">
      <c r="A13" t="s">
        <v>3</v>
      </c>
      <c r="B13" t="s">
        <v>4</v>
      </c>
    </row>
    <row r="14" spans="1:16">
      <c r="A14" t="s">
        <v>5</v>
      </c>
      <c r="B14" t="s">
        <v>84</v>
      </c>
    </row>
    <row r="16" spans="1:16">
      <c r="A16" s="10"/>
    </row>
    <row r="17" spans="2:32" ht="21">
      <c r="B17" s="8" t="s">
        <v>7</v>
      </c>
      <c r="D17" s="27" t="s">
        <v>8</v>
      </c>
      <c r="E17" s="27" t="s">
        <v>97</v>
      </c>
      <c r="F17" s="27" t="s">
        <v>98</v>
      </c>
      <c r="G17" s="27" t="s">
        <v>99</v>
      </c>
      <c r="H17" s="27" t="s">
        <v>100</v>
      </c>
      <c r="J17" s="8" t="s">
        <v>9</v>
      </c>
      <c r="L17" s="27" t="s">
        <v>8</v>
      </c>
      <c r="M17" s="27" t="s">
        <v>97</v>
      </c>
      <c r="N17" s="27" t="s">
        <v>98</v>
      </c>
      <c r="O17" s="27" t="s">
        <v>99</v>
      </c>
      <c r="P17" s="27" t="s">
        <v>100</v>
      </c>
      <c r="R17" s="8" t="s">
        <v>10</v>
      </c>
      <c r="T17" s="27" t="s">
        <v>8</v>
      </c>
      <c r="U17" s="27" t="s">
        <v>97</v>
      </c>
      <c r="V17" s="27" t="s">
        <v>98</v>
      </c>
      <c r="W17" s="27" t="s">
        <v>99</v>
      </c>
      <c r="X17" s="27" t="s">
        <v>100</v>
      </c>
      <c r="Z17" s="8" t="s">
        <v>11</v>
      </c>
      <c r="AB17" s="27" t="s">
        <v>8</v>
      </c>
      <c r="AC17" s="27" t="s">
        <v>97</v>
      </c>
      <c r="AD17" s="27" t="s">
        <v>98</v>
      </c>
      <c r="AE17" s="27" t="s">
        <v>99</v>
      </c>
      <c r="AF17" s="27" t="s">
        <v>100</v>
      </c>
    </row>
    <row r="18" spans="2:32">
      <c r="B18" s="11" t="s">
        <v>12</v>
      </c>
      <c r="C18" s="11"/>
      <c r="D18" s="12">
        <v>0</v>
      </c>
      <c r="E18" s="12" t="str">
        <f t="shared" ref="E18:E19" si="0">MID($B$4,2*D18+1,2)</f>
        <v>61</v>
      </c>
      <c r="F18" s="12">
        <f t="shared" ref="F18:F19" si="1">HEX2DEC(E18)</f>
        <v>97</v>
      </c>
      <c r="G18" s="13" t="str">
        <f>IF(OR(F18=108,F18=76),"Learning","Autre")</f>
        <v>Autre</v>
      </c>
      <c r="H18" s="14" t="s">
        <v>13</v>
      </c>
      <c r="J18" s="11" t="s">
        <v>12</v>
      </c>
      <c r="K18" s="11"/>
      <c r="L18" s="12">
        <v>0</v>
      </c>
      <c r="M18" s="12" t="str">
        <f t="shared" ref="M18:M19" si="2">MID($B$4,L18*2+1,2)</f>
        <v>61</v>
      </c>
      <c r="N18" s="12">
        <f t="shared" ref="N18:N19" si="3">HEX2DEC(M18)</f>
        <v>97</v>
      </c>
      <c r="O18" s="31" t="str">
        <f>IF(OR(N18=82,N18=114),"Report","Autre")</f>
        <v>Autre</v>
      </c>
      <c r="P18" s="31" t="s">
        <v>13</v>
      </c>
      <c r="R18" s="11" t="s">
        <v>12</v>
      </c>
      <c r="S18" s="11"/>
      <c r="T18" s="12">
        <v>0</v>
      </c>
      <c r="U18" s="12" t="str">
        <f>MID($B$4,T18*2+1,2)</f>
        <v>61</v>
      </c>
      <c r="V18" s="12">
        <f t="shared" ref="V18:V19" si="4">HEX2DEC(U18)</f>
        <v>97</v>
      </c>
      <c r="W18" s="13" t="str">
        <f>IF(OR(V18=65,V18=97),"Alarm","Autre")</f>
        <v>Alarm</v>
      </c>
      <c r="X18" s="14" t="s">
        <v>13</v>
      </c>
      <c r="Z18" s="11" t="s">
        <v>12</v>
      </c>
      <c r="AA18" s="11"/>
      <c r="AB18" s="12">
        <v>0</v>
      </c>
      <c r="AC18" s="12" t="str">
        <f>MID($B$4,AB18*2+1,2)</f>
        <v>61</v>
      </c>
      <c r="AD18" s="12">
        <f>HEX2DEC(AC18)</f>
        <v>97</v>
      </c>
      <c r="AE18" s="13" t="str">
        <f>IF(OR(AD18=83,AD18=83),"State","Autre")</f>
        <v>Autre</v>
      </c>
      <c r="AF18" s="14" t="s">
        <v>13</v>
      </c>
    </row>
    <row r="19" spans="2:32">
      <c r="B19" s="11" t="s">
        <v>14</v>
      </c>
      <c r="C19" s="11"/>
      <c r="D19" s="12">
        <v>0</v>
      </c>
      <c r="E19" s="12" t="str">
        <f t="shared" si="0"/>
        <v>61</v>
      </c>
      <c r="F19" s="12">
        <f t="shared" si="1"/>
        <v>97</v>
      </c>
      <c r="G19" s="13" t="str">
        <f>IF(F19=108,"KX","MPU")</f>
        <v>MPU</v>
      </c>
      <c r="H19" s="14" t="s">
        <v>13</v>
      </c>
      <c r="J19" s="11" t="s">
        <v>14</v>
      </c>
      <c r="K19" s="11"/>
      <c r="L19" s="12">
        <v>0</v>
      </c>
      <c r="M19" s="12" t="str">
        <f t="shared" si="2"/>
        <v>61</v>
      </c>
      <c r="N19" s="12">
        <f t="shared" si="3"/>
        <v>97</v>
      </c>
      <c r="O19" s="31" t="str">
        <f>IF(N19=114,"KX","MPU")</f>
        <v>MPU</v>
      </c>
      <c r="P19" s="31" t="s">
        <v>13</v>
      </c>
      <c r="R19" s="11" t="s">
        <v>14</v>
      </c>
      <c r="S19" s="11"/>
      <c r="T19" s="12">
        <v>0</v>
      </c>
      <c r="U19" s="12" t="str">
        <f>MID($B$4,T19*2+1,2)</f>
        <v>61</v>
      </c>
      <c r="V19" s="12">
        <f t="shared" si="4"/>
        <v>97</v>
      </c>
      <c r="W19" s="13" t="str">
        <f>IF(V19=65,"KX","MPU")</f>
        <v>MPU</v>
      </c>
      <c r="X19" s="14" t="s">
        <v>13</v>
      </c>
      <c r="Z19" s="11" t="s">
        <v>14</v>
      </c>
      <c r="AA19" s="11"/>
      <c r="AB19" s="12">
        <v>0</v>
      </c>
      <c r="AC19" s="12" t="str">
        <f>MID($B$4,AB19*2+1,2)</f>
        <v>61</v>
      </c>
      <c r="AD19" s="12">
        <f>HEX2DEC(AC19)</f>
        <v>97</v>
      </c>
      <c r="AE19" s="13" t="s">
        <v>13</v>
      </c>
      <c r="AF19" s="14" t="s">
        <v>13</v>
      </c>
    </row>
    <row r="20" spans="2:32">
      <c r="B20" s="11" t="s">
        <v>15</v>
      </c>
      <c r="C20" s="11" t="s">
        <v>27</v>
      </c>
      <c r="D20" s="12">
        <v>1</v>
      </c>
      <c r="E20" s="12" t="str">
        <f t="shared" ref="E20:E59" si="5">MID($B$4,2*D20+1,2)</f>
        <v>1A</v>
      </c>
      <c r="F20" s="12">
        <f t="shared" ref="F20:F59" si="6">HEX2DEC(E20)</f>
        <v>26</v>
      </c>
      <c r="G20" s="13">
        <f>F20</f>
        <v>26</v>
      </c>
      <c r="H20" s="14" t="s">
        <v>19</v>
      </c>
      <c r="J20" s="11" t="s">
        <v>15</v>
      </c>
      <c r="K20" s="11" t="s">
        <v>23</v>
      </c>
      <c r="L20" s="25">
        <v>1</v>
      </c>
      <c r="M20" s="25" t="str">
        <f t="shared" ref="M20:M24" si="7">MID($B$4,L20*2+1,2)</f>
        <v>1A</v>
      </c>
      <c r="N20" s="25">
        <f t="shared" ref="N20:N25" si="8">HEX2DEC(M20)</f>
        <v>26</v>
      </c>
      <c r="O20" s="43">
        <f>N20*100/127</f>
        <v>20.472440944881889</v>
      </c>
      <c r="P20" s="32" t="s">
        <v>19</v>
      </c>
      <c r="R20" s="11" t="s">
        <v>15</v>
      </c>
      <c r="S20" s="11" t="s">
        <v>23</v>
      </c>
      <c r="T20" s="12">
        <v>1</v>
      </c>
      <c r="U20" s="54" t="str">
        <f t="shared" ref="U20:U58" si="9">MID($B$4,T20*2+1,2)</f>
        <v>1A</v>
      </c>
      <c r="V20" s="54">
        <f t="shared" ref="V20:V58" si="10">HEX2DEC(U20)</f>
        <v>26</v>
      </c>
      <c r="W20" s="59">
        <f>V20*100/127</f>
        <v>20.472440944881889</v>
      </c>
      <c r="X20" s="60" t="s">
        <v>19</v>
      </c>
      <c r="Z20" s="11" t="s">
        <v>15</v>
      </c>
      <c r="AA20" s="11" t="s">
        <v>21</v>
      </c>
      <c r="AB20" s="12">
        <v>1</v>
      </c>
      <c r="AC20" s="12" t="str">
        <f>MID($B$4,AB20*2+1,2)</f>
        <v>1A</v>
      </c>
      <c r="AD20" s="12">
        <f>HEX2DEC(AC20)</f>
        <v>26</v>
      </c>
      <c r="AE20" s="13" t="str">
        <f>IF(AD20=100,"Sensor start",(IF(AD20=101,"Sensor stop",(IF(AD20=125,"Machine stop",(IF(AD20=126,"Machine start",(IF(AD20=104,"Vibration too low",(IF(AD20=105,"PowerOff Vibration too low",(IF(AD20=106,"Learning keepalive no vibration",(IF(AD20=110,"PowerOff with flash erase","Inconnu")))))))))))))))</f>
        <v>Inconnu</v>
      </c>
      <c r="AF20" s="14" t="s">
        <v>17</v>
      </c>
    </row>
    <row r="21" spans="2:32">
      <c r="B21" s="11"/>
      <c r="C21" s="11" t="s">
        <v>24</v>
      </c>
      <c r="D21" s="12">
        <v>2</v>
      </c>
      <c r="E21" s="12" t="str">
        <f t="shared" si="5"/>
        <v>36</v>
      </c>
      <c r="F21" s="12">
        <f t="shared" si="6"/>
        <v>54</v>
      </c>
      <c r="G21" s="71">
        <f>(F21*128+F22+F23/100)/10/121.45</f>
        <v>5.6912309592424872</v>
      </c>
      <c r="H21" s="72" t="s">
        <v>25</v>
      </c>
      <c r="J21" s="11"/>
      <c r="K21" s="11" t="s">
        <v>30</v>
      </c>
      <c r="L21" s="24">
        <v>2</v>
      </c>
      <c r="M21" s="24" t="str">
        <f t="shared" si="7"/>
        <v>36</v>
      </c>
      <c r="N21" s="24">
        <f t="shared" si="8"/>
        <v>54</v>
      </c>
      <c r="O21" s="33">
        <f>O25*N21/127</f>
        <v>204.09448818897638</v>
      </c>
      <c r="P21" s="33" t="s">
        <v>31</v>
      </c>
      <c r="R21" s="11"/>
      <c r="S21" s="11" t="s">
        <v>20</v>
      </c>
      <c r="T21" s="12">
        <v>2</v>
      </c>
      <c r="U21" s="12" t="str">
        <f t="shared" si="9"/>
        <v>36</v>
      </c>
      <c r="V21" s="12">
        <f t="shared" si="10"/>
        <v>54</v>
      </c>
      <c r="W21" s="13">
        <f>V21-30</f>
        <v>24</v>
      </c>
      <c r="X21" s="14" t="s">
        <v>17</v>
      </c>
      <c r="Z21" s="11"/>
      <c r="AA21" s="11" t="s">
        <v>26</v>
      </c>
      <c r="AB21" s="12">
        <v>2</v>
      </c>
      <c r="AC21" s="12" t="str">
        <f>MID($B$4,AB21*2+1,2)</f>
        <v>36</v>
      </c>
      <c r="AD21" s="12">
        <f>HEX2DEC(AC21)</f>
        <v>54</v>
      </c>
      <c r="AE21" s="13">
        <f>AD21*100/127</f>
        <v>42.519685039370081</v>
      </c>
      <c r="AF21" s="14" t="s">
        <v>19</v>
      </c>
    </row>
    <row r="22" spans="2:32">
      <c r="B22" s="11"/>
      <c r="C22" s="11"/>
      <c r="D22" s="12">
        <v>3</v>
      </c>
      <c r="E22" s="12" t="str">
        <f t="shared" si="5"/>
        <v>00</v>
      </c>
      <c r="F22" s="12">
        <f t="shared" si="6"/>
        <v>0</v>
      </c>
      <c r="G22" s="71"/>
      <c r="H22" s="73"/>
      <c r="J22" s="11"/>
      <c r="K22" s="11" t="s">
        <v>64</v>
      </c>
      <c r="L22" s="20">
        <v>3</v>
      </c>
      <c r="M22" s="51" t="str">
        <f t="shared" si="7"/>
        <v>00</v>
      </c>
      <c r="N22" s="20">
        <f t="shared" si="8"/>
        <v>0</v>
      </c>
      <c r="O22" s="44">
        <f>O21*N22/127</f>
        <v>0</v>
      </c>
      <c r="P22" s="34" t="s">
        <v>31</v>
      </c>
      <c r="R22" s="11"/>
      <c r="S22" s="11" t="s">
        <v>83</v>
      </c>
      <c r="T22" s="12">
        <v>3</v>
      </c>
      <c r="U22" s="12" t="str">
        <f t="shared" si="9"/>
        <v>00</v>
      </c>
      <c r="V22" s="12">
        <f t="shared" si="10"/>
        <v>0</v>
      </c>
      <c r="W22" s="17" t="s">
        <v>13</v>
      </c>
      <c r="X22" s="16" t="s">
        <v>13</v>
      </c>
    </row>
    <row r="23" spans="2:32">
      <c r="B23" s="11"/>
      <c r="C23" s="11"/>
      <c r="D23" s="12">
        <v>4</v>
      </c>
      <c r="E23" s="12" t="str">
        <f t="shared" si="5"/>
        <v>00</v>
      </c>
      <c r="F23" s="12">
        <f t="shared" si="6"/>
        <v>0</v>
      </c>
      <c r="G23" s="71"/>
      <c r="H23" s="74"/>
      <c r="J23" s="11"/>
      <c r="K23" s="11" t="s">
        <v>29</v>
      </c>
      <c r="L23" s="12">
        <v>4</v>
      </c>
      <c r="M23" s="12" t="str">
        <f t="shared" si="7"/>
        <v>00</v>
      </c>
      <c r="N23" s="12">
        <f t="shared" si="8"/>
        <v>0</v>
      </c>
      <c r="O23" s="31">
        <f>N23</f>
        <v>0</v>
      </c>
      <c r="P23" s="31" t="s">
        <v>13</v>
      </c>
      <c r="R23" s="11"/>
      <c r="S23" s="11" t="s">
        <v>24</v>
      </c>
      <c r="T23" s="12">
        <v>4</v>
      </c>
      <c r="U23" s="12" t="str">
        <f t="shared" si="9"/>
        <v>00</v>
      </c>
      <c r="V23" s="12">
        <f t="shared" si="10"/>
        <v>0</v>
      </c>
      <c r="W23" s="68">
        <f>(V23*128+V24+V25/100)/10/121.45</f>
        <v>6.5599011939069585E-2</v>
      </c>
      <c r="X23" s="69" t="s">
        <v>25</v>
      </c>
    </row>
    <row r="24" spans="2:32">
      <c r="B24" s="11"/>
      <c r="C24" s="11" t="s">
        <v>34</v>
      </c>
      <c r="D24" s="12">
        <v>5</v>
      </c>
      <c r="E24" s="12" t="str">
        <f t="shared" si="5"/>
        <v>4F</v>
      </c>
      <c r="F24" s="12">
        <f t="shared" si="6"/>
        <v>79</v>
      </c>
      <c r="G24" s="13">
        <f>F24+1</f>
        <v>80</v>
      </c>
      <c r="H24" s="14" t="s">
        <v>13</v>
      </c>
      <c r="J24" s="11"/>
      <c r="K24" s="11" t="s">
        <v>20</v>
      </c>
      <c r="L24" s="12">
        <v>5</v>
      </c>
      <c r="M24" s="12" t="str">
        <f t="shared" si="7"/>
        <v>4F</v>
      </c>
      <c r="N24" s="12">
        <f t="shared" si="8"/>
        <v>79</v>
      </c>
      <c r="O24" s="31">
        <f>N24-30</f>
        <v>49</v>
      </c>
      <c r="P24" s="31" t="s">
        <v>17</v>
      </c>
      <c r="R24" s="11"/>
      <c r="S24" s="11"/>
      <c r="T24" s="12">
        <v>5</v>
      </c>
      <c r="U24" s="12" t="str">
        <f t="shared" si="9"/>
        <v>4F</v>
      </c>
      <c r="V24" s="12">
        <f t="shared" si="10"/>
        <v>79</v>
      </c>
      <c r="W24" s="68"/>
      <c r="X24" s="69"/>
    </row>
    <row r="25" spans="2:32">
      <c r="B25" s="11"/>
      <c r="C25" s="11" t="s">
        <v>37</v>
      </c>
      <c r="D25" s="12">
        <v>5</v>
      </c>
      <c r="E25" s="12" t="str">
        <f t="shared" si="5"/>
        <v>4F</v>
      </c>
      <c r="F25" s="12">
        <f t="shared" si="6"/>
        <v>79</v>
      </c>
      <c r="G25" s="15">
        <f>IF((G19="KX"),(IF(G24&lt;128,G24*800/256,(G24-128)*25600/256)),(G24*1000/256))</f>
        <v>312.5</v>
      </c>
      <c r="H25" s="14" t="s">
        <v>38</v>
      </c>
      <c r="J25" s="11"/>
      <c r="K25" s="11" t="s">
        <v>57</v>
      </c>
      <c r="L25" s="61">
        <v>6</v>
      </c>
      <c r="M25" s="61" t="str">
        <f>MID($B$4,L25*2+1,2)</f>
        <v>43</v>
      </c>
      <c r="N25" s="61">
        <f t="shared" si="8"/>
        <v>67</v>
      </c>
      <c r="O25" s="63">
        <f>IF(N25&lt;59,N25,(N25-59)*60)</f>
        <v>480</v>
      </c>
      <c r="P25" s="62" t="s">
        <v>31</v>
      </c>
      <c r="R25" s="11"/>
      <c r="S25" s="11"/>
      <c r="T25" s="12">
        <v>6</v>
      </c>
      <c r="U25" s="12" t="str">
        <f t="shared" si="9"/>
        <v>43</v>
      </c>
      <c r="V25" s="12">
        <f t="shared" si="10"/>
        <v>67</v>
      </c>
      <c r="W25" s="68"/>
      <c r="X25" s="69"/>
    </row>
    <row r="26" spans="2:32">
      <c r="B26" s="11"/>
      <c r="C26" s="11" t="s">
        <v>16</v>
      </c>
      <c r="D26" s="12">
        <v>6</v>
      </c>
      <c r="E26" s="12" t="str">
        <f t="shared" si="5"/>
        <v>43</v>
      </c>
      <c r="F26" s="12">
        <f t="shared" si="6"/>
        <v>67</v>
      </c>
      <c r="G26" s="13">
        <f>F26-30</f>
        <v>37</v>
      </c>
      <c r="H26" s="14" t="s">
        <v>17</v>
      </c>
      <c r="J26" s="11"/>
      <c r="K26" s="11" t="s">
        <v>82</v>
      </c>
      <c r="L26" s="12">
        <v>7</v>
      </c>
      <c r="M26" s="12" t="str">
        <f>MID($B$4,L26*2+1,2)</f>
        <v>30</v>
      </c>
      <c r="N26" s="12">
        <f>HEX2DEC(M26)</f>
        <v>48</v>
      </c>
      <c r="O26" s="31">
        <f>N26</f>
        <v>48</v>
      </c>
      <c r="P26" s="35" t="s">
        <v>13</v>
      </c>
      <c r="R26" s="11"/>
      <c r="S26" s="11" t="s">
        <v>105</v>
      </c>
      <c r="T26" s="12">
        <v>7</v>
      </c>
      <c r="U26" s="12" t="str">
        <f t="shared" si="9"/>
        <v>30</v>
      </c>
      <c r="V26" s="12">
        <f t="shared" si="10"/>
        <v>48</v>
      </c>
      <c r="W26" s="17">
        <f>IF((W19="KX"),(IF(V26&lt;128,V26*800/256,(V26-128)*25600/256)),(V26*1000/256))</f>
        <v>187.5</v>
      </c>
      <c r="X26" s="16" t="s">
        <v>38</v>
      </c>
    </row>
    <row r="27" spans="2:32">
      <c r="B27" s="11"/>
      <c r="C27" s="11" t="s">
        <v>22</v>
      </c>
      <c r="D27" s="12">
        <v>7</v>
      </c>
      <c r="E27" s="12" t="str">
        <f t="shared" si="5"/>
        <v>30</v>
      </c>
      <c r="F27" s="12">
        <f t="shared" si="6"/>
        <v>48</v>
      </c>
      <c r="G27" s="13" t="str">
        <f>IF(F27=0,"additionnal learning","learning from 0")</f>
        <v>learning from 0</v>
      </c>
      <c r="H27" s="14" t="s">
        <v>13</v>
      </c>
      <c r="J27" s="11"/>
      <c r="K27" s="76" t="s">
        <v>24</v>
      </c>
      <c r="L27" s="12">
        <v>8</v>
      </c>
      <c r="M27" s="12" t="str">
        <f t="shared" ref="M27:M45" si="11">MID($B$4,L27*2+1,2)</f>
        <v>5B</v>
      </c>
      <c r="N27" s="12">
        <f t="shared" ref="N27:N45" si="12">HEX2DEC(M27)</f>
        <v>91</v>
      </c>
      <c r="O27" s="75">
        <f>(N27*128+N28+N29/100)/10/121.45</f>
        <v>9.6955619596541798</v>
      </c>
      <c r="P27" s="65" t="s">
        <v>25</v>
      </c>
      <c r="R27" s="11"/>
      <c r="S27" s="11" t="s">
        <v>33</v>
      </c>
      <c r="T27" s="53">
        <v>8</v>
      </c>
      <c r="U27" s="53" t="str">
        <f t="shared" si="9"/>
        <v>5B</v>
      </c>
      <c r="V27" s="53">
        <f t="shared" si="10"/>
        <v>91</v>
      </c>
      <c r="W27" s="56">
        <f>V27*$W$23/127</f>
        <v>4.7004016428782144E-2</v>
      </c>
      <c r="X27" s="57" t="s">
        <v>25</v>
      </c>
    </row>
    <row r="28" spans="2:32">
      <c r="B28" s="11"/>
      <c r="C28" s="11" t="s">
        <v>33</v>
      </c>
      <c r="D28" s="53">
        <v>8</v>
      </c>
      <c r="E28" s="53" t="str">
        <f t="shared" si="5"/>
        <v>5B</v>
      </c>
      <c r="F28" s="53">
        <f t="shared" si="6"/>
        <v>91</v>
      </c>
      <c r="G28" s="56">
        <f>F28*$G$21/127</f>
        <v>4.0779686400871373</v>
      </c>
      <c r="H28" s="57" t="s">
        <v>25</v>
      </c>
      <c r="J28" s="11"/>
      <c r="K28" s="76"/>
      <c r="L28" s="12">
        <v>9</v>
      </c>
      <c r="M28" s="12" t="str">
        <f t="shared" si="11"/>
        <v>7F</v>
      </c>
      <c r="N28" s="12">
        <f t="shared" si="12"/>
        <v>127</v>
      </c>
      <c r="O28" s="75"/>
      <c r="P28" s="66"/>
      <c r="R28" s="11"/>
      <c r="S28" s="11" t="s">
        <v>36</v>
      </c>
      <c r="T28" s="53">
        <v>9</v>
      </c>
      <c r="U28" s="53" t="str">
        <f t="shared" si="9"/>
        <v>7F</v>
      </c>
      <c r="V28" s="53">
        <f t="shared" si="10"/>
        <v>127</v>
      </c>
      <c r="W28" s="56">
        <f t="shared" ref="W28:W58" si="13">V28*$W$23/127</f>
        <v>6.5599011939069585E-2</v>
      </c>
      <c r="X28" s="57" t="s">
        <v>25</v>
      </c>
    </row>
    <row r="29" spans="2:32">
      <c r="B29" s="11"/>
      <c r="C29" s="11" t="s">
        <v>36</v>
      </c>
      <c r="D29" s="53">
        <v>9</v>
      </c>
      <c r="E29" s="53" t="str">
        <f t="shared" si="5"/>
        <v>7F</v>
      </c>
      <c r="F29" s="53">
        <f t="shared" si="6"/>
        <v>127</v>
      </c>
      <c r="G29" s="56">
        <f t="shared" ref="G29:G59" si="14">F29*$G$21/127</f>
        <v>5.6912309592424872</v>
      </c>
      <c r="H29" s="57" t="s">
        <v>25</v>
      </c>
      <c r="J29" s="11"/>
      <c r="K29" s="76"/>
      <c r="L29" s="12">
        <v>10</v>
      </c>
      <c r="M29" s="12" t="str">
        <f t="shared" si="11"/>
        <v>1A</v>
      </c>
      <c r="N29" s="12">
        <f t="shared" si="12"/>
        <v>26</v>
      </c>
      <c r="O29" s="75"/>
      <c r="P29" s="67"/>
      <c r="R29" s="11"/>
      <c r="S29" s="11" t="s">
        <v>40</v>
      </c>
      <c r="T29" s="53">
        <v>10</v>
      </c>
      <c r="U29" s="53" t="str">
        <f t="shared" si="9"/>
        <v>1A</v>
      </c>
      <c r="V29" s="53">
        <f t="shared" si="10"/>
        <v>26</v>
      </c>
      <c r="W29" s="56">
        <f t="shared" si="13"/>
        <v>1.342971897965204E-2</v>
      </c>
      <c r="X29" s="57" t="s">
        <v>25</v>
      </c>
    </row>
    <row r="30" spans="2:32">
      <c r="B30" s="11"/>
      <c r="C30" s="11" t="s">
        <v>40</v>
      </c>
      <c r="D30" s="53">
        <v>10</v>
      </c>
      <c r="E30" s="53" t="str">
        <f t="shared" si="5"/>
        <v>1A</v>
      </c>
      <c r="F30" s="53">
        <f t="shared" si="6"/>
        <v>26</v>
      </c>
      <c r="G30" s="56">
        <f t="shared" si="14"/>
        <v>1.1651338971677532</v>
      </c>
      <c r="H30" s="57" t="s">
        <v>25</v>
      </c>
      <c r="J30" s="11"/>
      <c r="K30" s="11" t="s">
        <v>34</v>
      </c>
      <c r="L30" s="12">
        <v>11</v>
      </c>
      <c r="M30" s="12" t="str">
        <f t="shared" si="11"/>
        <v>1F</v>
      </c>
      <c r="N30" s="12">
        <f t="shared" si="12"/>
        <v>31</v>
      </c>
      <c r="O30" s="31">
        <f>IF((O19="KX"),(IF(N30&lt;128,N30*800/256,(N30-128)*25600/256)),(N30*1000/256))</f>
        <v>121.09375</v>
      </c>
      <c r="P30" s="31" t="s">
        <v>38</v>
      </c>
      <c r="R30" s="11"/>
      <c r="S30" s="11" t="s">
        <v>42</v>
      </c>
      <c r="T30" s="53">
        <v>11</v>
      </c>
      <c r="U30" s="53" t="str">
        <f t="shared" si="9"/>
        <v>1F</v>
      </c>
      <c r="V30" s="53">
        <f t="shared" si="10"/>
        <v>31</v>
      </c>
      <c r="W30" s="56">
        <f t="shared" si="13"/>
        <v>1.601235724496974E-2</v>
      </c>
      <c r="X30" s="57" t="s">
        <v>25</v>
      </c>
    </row>
    <row r="31" spans="2:32">
      <c r="B31" s="11"/>
      <c r="C31" s="11" t="s">
        <v>42</v>
      </c>
      <c r="D31" s="53">
        <v>11</v>
      </c>
      <c r="E31" s="53" t="str">
        <f t="shared" si="5"/>
        <v>1F</v>
      </c>
      <c r="F31" s="53">
        <f t="shared" si="6"/>
        <v>31</v>
      </c>
      <c r="G31" s="56">
        <f t="shared" si="14"/>
        <v>1.3891981081615521</v>
      </c>
      <c r="H31" s="57" t="s">
        <v>25</v>
      </c>
      <c r="J31" s="11"/>
      <c r="K31" s="11" t="s">
        <v>46</v>
      </c>
      <c r="L31" s="19">
        <v>12</v>
      </c>
      <c r="M31" s="19" t="str">
        <f t="shared" si="11"/>
        <v>2A</v>
      </c>
      <c r="N31" s="19">
        <f t="shared" si="12"/>
        <v>42</v>
      </c>
      <c r="O31" s="45">
        <f>($O$21-$O$22)*N31/127</f>
        <v>67.495814991629985</v>
      </c>
      <c r="P31" s="36" t="s">
        <v>31</v>
      </c>
      <c r="R31" s="11"/>
      <c r="S31" s="11" t="s">
        <v>43</v>
      </c>
      <c r="T31" s="53">
        <v>12</v>
      </c>
      <c r="U31" s="53" t="str">
        <f t="shared" si="9"/>
        <v>2A</v>
      </c>
      <c r="V31" s="53">
        <f t="shared" si="10"/>
        <v>42</v>
      </c>
      <c r="W31" s="56">
        <f t="shared" si="13"/>
        <v>2.169416142866868E-2</v>
      </c>
      <c r="X31" s="57" t="s">
        <v>25</v>
      </c>
    </row>
    <row r="32" spans="2:32">
      <c r="B32" s="11"/>
      <c r="C32" s="11" t="s">
        <v>43</v>
      </c>
      <c r="D32" s="53">
        <v>12</v>
      </c>
      <c r="E32" s="53" t="str">
        <f t="shared" si="5"/>
        <v>2A</v>
      </c>
      <c r="F32" s="53">
        <f t="shared" si="6"/>
        <v>42</v>
      </c>
      <c r="G32" s="56">
        <f t="shared" si="14"/>
        <v>1.8821393723479092</v>
      </c>
      <c r="H32" s="57" t="s">
        <v>25</v>
      </c>
      <c r="J32" s="11"/>
      <c r="K32" s="11" t="s">
        <v>39</v>
      </c>
      <c r="L32" s="18">
        <v>13</v>
      </c>
      <c r="M32" s="18" t="str">
        <f t="shared" si="11"/>
        <v>1F</v>
      </c>
      <c r="N32" s="18">
        <f t="shared" si="12"/>
        <v>31</v>
      </c>
      <c r="O32" s="46">
        <f t="shared" ref="O32:O34" si="15">($O$21-$O$22)*N32/127</f>
        <v>49.818339636679276</v>
      </c>
      <c r="P32" s="37" t="s">
        <v>31</v>
      </c>
      <c r="R32" s="11"/>
      <c r="S32" s="11" t="s">
        <v>44</v>
      </c>
      <c r="T32" s="53">
        <v>13</v>
      </c>
      <c r="U32" s="53" t="str">
        <f t="shared" si="9"/>
        <v>1F</v>
      </c>
      <c r="V32" s="53">
        <f t="shared" si="10"/>
        <v>31</v>
      </c>
      <c r="W32" s="56">
        <f t="shared" si="13"/>
        <v>1.601235724496974E-2</v>
      </c>
      <c r="X32" s="57" t="s">
        <v>25</v>
      </c>
    </row>
    <row r="33" spans="2:24">
      <c r="B33" s="11"/>
      <c r="C33" s="11" t="s">
        <v>44</v>
      </c>
      <c r="D33" s="53">
        <v>13</v>
      </c>
      <c r="E33" s="53" t="str">
        <f t="shared" si="5"/>
        <v>1F</v>
      </c>
      <c r="F33" s="53">
        <f t="shared" si="6"/>
        <v>31</v>
      </c>
      <c r="G33" s="56">
        <f t="shared" si="14"/>
        <v>1.3891981081615521</v>
      </c>
      <c r="H33" s="57" t="s">
        <v>25</v>
      </c>
      <c r="J33" s="11"/>
      <c r="K33" s="11" t="s">
        <v>35</v>
      </c>
      <c r="L33" s="21">
        <v>14</v>
      </c>
      <c r="M33" s="21" t="str">
        <f t="shared" si="11"/>
        <v>1B</v>
      </c>
      <c r="N33" s="21">
        <f t="shared" si="12"/>
        <v>27</v>
      </c>
      <c r="O33" s="47">
        <f t="shared" si="15"/>
        <v>43.390166780333566</v>
      </c>
      <c r="P33" s="38" t="s">
        <v>31</v>
      </c>
      <c r="R33" s="11"/>
      <c r="S33" s="11" t="s">
        <v>45</v>
      </c>
      <c r="T33" s="53">
        <v>14</v>
      </c>
      <c r="U33" s="53" t="str">
        <f t="shared" si="9"/>
        <v>1B</v>
      </c>
      <c r="V33" s="53">
        <f t="shared" si="10"/>
        <v>27</v>
      </c>
      <c r="W33" s="56">
        <f t="shared" si="13"/>
        <v>1.3946246632715582E-2</v>
      </c>
      <c r="X33" s="57" t="s">
        <v>25</v>
      </c>
    </row>
    <row r="34" spans="2:24">
      <c r="B34" s="11"/>
      <c r="C34" s="11" t="s">
        <v>45</v>
      </c>
      <c r="D34" s="53">
        <v>14</v>
      </c>
      <c r="E34" s="53" t="str">
        <f t="shared" si="5"/>
        <v>1B</v>
      </c>
      <c r="F34" s="53">
        <f t="shared" si="6"/>
        <v>27</v>
      </c>
      <c r="G34" s="56">
        <f t="shared" si="14"/>
        <v>1.2099467393665129</v>
      </c>
      <c r="H34" s="57" t="s">
        <v>25</v>
      </c>
      <c r="J34" s="11"/>
      <c r="K34" s="11" t="s">
        <v>32</v>
      </c>
      <c r="L34" s="22">
        <v>15</v>
      </c>
      <c r="M34" s="22" t="str">
        <f t="shared" si="11"/>
        <v>18</v>
      </c>
      <c r="N34" s="22">
        <f t="shared" si="12"/>
        <v>24</v>
      </c>
      <c r="O34" s="48">
        <f t="shared" si="15"/>
        <v>38.569037138074279</v>
      </c>
      <c r="P34" s="39" t="s">
        <v>31</v>
      </c>
      <c r="R34" s="11"/>
      <c r="S34" s="11" t="s">
        <v>47</v>
      </c>
      <c r="T34" s="53">
        <v>15</v>
      </c>
      <c r="U34" s="53" t="str">
        <f t="shared" si="9"/>
        <v>18</v>
      </c>
      <c r="V34" s="53">
        <f t="shared" si="10"/>
        <v>24</v>
      </c>
      <c r="W34" s="56">
        <f t="shared" si="13"/>
        <v>1.239666367352496E-2</v>
      </c>
      <c r="X34" s="57" t="s">
        <v>25</v>
      </c>
    </row>
    <row r="35" spans="2:24">
      <c r="B35" s="11"/>
      <c r="C35" s="11" t="s">
        <v>47</v>
      </c>
      <c r="D35" s="53">
        <v>15</v>
      </c>
      <c r="E35" s="53" t="str">
        <f t="shared" si="5"/>
        <v>18</v>
      </c>
      <c r="F35" s="53">
        <f t="shared" si="6"/>
        <v>24</v>
      </c>
      <c r="G35" s="56">
        <f t="shared" si="14"/>
        <v>1.0755082127702338</v>
      </c>
      <c r="H35" s="57" t="s">
        <v>25</v>
      </c>
      <c r="J35" s="11"/>
      <c r="K35" s="11" t="s">
        <v>62</v>
      </c>
      <c r="L35" s="23">
        <v>16</v>
      </c>
      <c r="M35" s="23" t="str">
        <f t="shared" si="11"/>
        <v>12</v>
      </c>
      <c r="N35" s="23">
        <f t="shared" si="12"/>
        <v>18</v>
      </c>
      <c r="O35" s="49">
        <f>($O$21-$O$22)*N35/127</f>
        <v>28.926777853555709</v>
      </c>
      <c r="P35" s="40" t="s">
        <v>31</v>
      </c>
      <c r="R35" s="11"/>
      <c r="S35" s="11" t="s">
        <v>49</v>
      </c>
      <c r="T35" s="53">
        <v>16</v>
      </c>
      <c r="U35" s="53" t="str">
        <f t="shared" si="9"/>
        <v>12</v>
      </c>
      <c r="V35" s="53">
        <f t="shared" si="10"/>
        <v>18</v>
      </c>
      <c r="W35" s="56">
        <f t="shared" si="13"/>
        <v>9.2974977551437202E-3</v>
      </c>
      <c r="X35" s="57" t="s">
        <v>25</v>
      </c>
    </row>
    <row r="36" spans="2:24">
      <c r="B36" s="11"/>
      <c r="C36" s="11" t="s">
        <v>49</v>
      </c>
      <c r="D36" s="53">
        <v>16</v>
      </c>
      <c r="E36" s="53" t="str">
        <f t="shared" si="5"/>
        <v>12</v>
      </c>
      <c r="F36" s="53">
        <f t="shared" si="6"/>
        <v>18</v>
      </c>
      <c r="G36" s="56">
        <f t="shared" si="14"/>
        <v>0.80663115957767539</v>
      </c>
      <c r="H36" s="57" t="s">
        <v>25</v>
      </c>
      <c r="J36" s="11"/>
      <c r="K36" s="11" t="s">
        <v>18</v>
      </c>
      <c r="L36" s="12">
        <v>17</v>
      </c>
      <c r="M36" s="12" t="str">
        <f t="shared" si="11"/>
        <v>0E</v>
      </c>
      <c r="N36" s="12">
        <f t="shared" si="12"/>
        <v>14</v>
      </c>
      <c r="O36" s="50">
        <f>N36*100/127</f>
        <v>11.023622047244094</v>
      </c>
      <c r="P36" s="31" t="s">
        <v>19</v>
      </c>
      <c r="R36" s="11"/>
      <c r="S36" s="11" t="s">
        <v>51</v>
      </c>
      <c r="T36" s="53">
        <v>17</v>
      </c>
      <c r="U36" s="53" t="str">
        <f t="shared" si="9"/>
        <v>0E</v>
      </c>
      <c r="V36" s="53">
        <f t="shared" si="10"/>
        <v>14</v>
      </c>
      <c r="W36" s="56">
        <f t="shared" si="13"/>
        <v>7.2313871428895601E-3</v>
      </c>
      <c r="X36" s="57" t="s">
        <v>25</v>
      </c>
    </row>
    <row r="37" spans="2:24">
      <c r="B37" s="11"/>
      <c r="C37" s="11" t="s">
        <v>51</v>
      </c>
      <c r="D37" s="53">
        <v>17</v>
      </c>
      <c r="E37" s="53" t="str">
        <f t="shared" si="5"/>
        <v>0E</v>
      </c>
      <c r="F37" s="53">
        <f t="shared" si="6"/>
        <v>14</v>
      </c>
      <c r="G37" s="56">
        <f t="shared" si="14"/>
        <v>0.62737979078263639</v>
      </c>
      <c r="H37" s="57" t="s">
        <v>25</v>
      </c>
      <c r="J37" s="11"/>
      <c r="K37" s="11" t="s">
        <v>52</v>
      </c>
      <c r="L37" s="26">
        <v>18</v>
      </c>
      <c r="M37" s="26" t="str">
        <f t="shared" si="11"/>
        <v>10</v>
      </c>
      <c r="N37" s="26">
        <f t="shared" si="12"/>
        <v>16</v>
      </c>
      <c r="O37" s="41">
        <f t="shared" ref="O37:O45" si="16">N37</f>
        <v>16</v>
      </c>
      <c r="P37" s="41" t="s">
        <v>13</v>
      </c>
      <c r="R37" s="11"/>
      <c r="S37" s="11" t="s">
        <v>53</v>
      </c>
      <c r="T37" s="53">
        <v>18</v>
      </c>
      <c r="U37" s="53" t="str">
        <f t="shared" si="9"/>
        <v>10</v>
      </c>
      <c r="V37" s="53">
        <f t="shared" si="10"/>
        <v>16</v>
      </c>
      <c r="W37" s="56">
        <f t="shared" si="13"/>
        <v>8.2644424490166402E-3</v>
      </c>
      <c r="X37" s="57" t="s">
        <v>25</v>
      </c>
    </row>
    <row r="38" spans="2:24">
      <c r="B38" s="11"/>
      <c r="C38" s="11" t="s">
        <v>53</v>
      </c>
      <c r="D38" s="53">
        <v>18</v>
      </c>
      <c r="E38" s="53" t="str">
        <f t="shared" si="5"/>
        <v>10</v>
      </c>
      <c r="F38" s="53">
        <f t="shared" si="6"/>
        <v>16</v>
      </c>
      <c r="G38" s="56">
        <f t="shared" si="14"/>
        <v>0.71700547518015589</v>
      </c>
      <c r="H38" s="57" t="s">
        <v>25</v>
      </c>
      <c r="J38" s="11"/>
      <c r="K38" s="11" t="s">
        <v>50</v>
      </c>
      <c r="L38" s="26">
        <v>19</v>
      </c>
      <c r="M38" s="26" t="str">
        <f t="shared" si="11"/>
        <v>0D</v>
      </c>
      <c r="N38" s="26">
        <f t="shared" si="12"/>
        <v>13</v>
      </c>
      <c r="O38" s="41">
        <f t="shared" si="16"/>
        <v>13</v>
      </c>
      <c r="P38" s="41" t="s">
        <v>13</v>
      </c>
      <c r="R38" s="11"/>
      <c r="S38" s="11" t="s">
        <v>55</v>
      </c>
      <c r="T38" s="53">
        <v>19</v>
      </c>
      <c r="U38" s="53" t="str">
        <f t="shared" si="9"/>
        <v>0D</v>
      </c>
      <c r="V38" s="53">
        <f t="shared" si="10"/>
        <v>13</v>
      </c>
      <c r="W38" s="56">
        <f t="shared" si="13"/>
        <v>6.7148594898260201E-3</v>
      </c>
      <c r="X38" s="57" t="s">
        <v>25</v>
      </c>
    </row>
    <row r="39" spans="2:24">
      <c r="B39" s="11"/>
      <c r="C39" s="11" t="s">
        <v>55</v>
      </c>
      <c r="D39" s="53">
        <v>19</v>
      </c>
      <c r="E39" s="53" t="str">
        <f t="shared" si="5"/>
        <v>0D</v>
      </c>
      <c r="F39" s="53">
        <f t="shared" si="6"/>
        <v>13</v>
      </c>
      <c r="G39" s="56">
        <f t="shared" si="14"/>
        <v>0.58256694858387659</v>
      </c>
      <c r="H39" s="57" t="s">
        <v>25</v>
      </c>
      <c r="J39" s="11"/>
      <c r="K39" s="11" t="s">
        <v>68</v>
      </c>
      <c r="L39" s="26">
        <v>20</v>
      </c>
      <c r="M39" s="26" t="str">
        <f t="shared" si="11"/>
        <v>0C</v>
      </c>
      <c r="N39" s="26">
        <f t="shared" si="12"/>
        <v>12</v>
      </c>
      <c r="O39" s="41">
        <f t="shared" si="16"/>
        <v>12</v>
      </c>
      <c r="P39" s="41" t="s">
        <v>13</v>
      </c>
      <c r="R39" s="11"/>
      <c r="S39" s="11" t="s">
        <v>56</v>
      </c>
      <c r="T39" s="53">
        <v>20</v>
      </c>
      <c r="U39" s="53" t="str">
        <f t="shared" si="9"/>
        <v>0C</v>
      </c>
      <c r="V39" s="53">
        <f t="shared" si="10"/>
        <v>12</v>
      </c>
      <c r="W39" s="56">
        <f t="shared" si="13"/>
        <v>6.1983318367624801E-3</v>
      </c>
      <c r="X39" s="57" t="s">
        <v>25</v>
      </c>
    </row>
    <row r="40" spans="2:24">
      <c r="B40" s="11"/>
      <c r="C40" s="11" t="s">
        <v>56</v>
      </c>
      <c r="D40" s="53">
        <v>20</v>
      </c>
      <c r="E40" s="53" t="str">
        <f t="shared" si="5"/>
        <v>0C</v>
      </c>
      <c r="F40" s="53">
        <f t="shared" si="6"/>
        <v>12</v>
      </c>
      <c r="G40" s="56">
        <f>F40*$G$21/127</f>
        <v>0.53775410638511689</v>
      </c>
      <c r="H40" s="57" t="s">
        <v>25</v>
      </c>
      <c r="J40" s="11"/>
      <c r="K40" s="11" t="s">
        <v>59</v>
      </c>
      <c r="L40" s="26">
        <v>21</v>
      </c>
      <c r="M40" s="26" t="str">
        <f t="shared" si="11"/>
        <v>0E</v>
      </c>
      <c r="N40" s="26">
        <f t="shared" si="12"/>
        <v>14</v>
      </c>
      <c r="O40" s="41">
        <f t="shared" si="16"/>
        <v>14</v>
      </c>
      <c r="P40" s="41" t="s">
        <v>13</v>
      </c>
      <c r="R40" s="11"/>
      <c r="S40" s="11" t="s">
        <v>58</v>
      </c>
      <c r="T40" s="53">
        <v>21</v>
      </c>
      <c r="U40" s="53" t="str">
        <f t="shared" si="9"/>
        <v>0E</v>
      </c>
      <c r="V40" s="53">
        <f t="shared" si="10"/>
        <v>14</v>
      </c>
      <c r="W40" s="56">
        <f t="shared" si="13"/>
        <v>7.2313871428895601E-3</v>
      </c>
      <c r="X40" s="57" t="s">
        <v>25</v>
      </c>
    </row>
    <row r="41" spans="2:24">
      <c r="B41" s="11"/>
      <c r="C41" s="11" t="s">
        <v>58</v>
      </c>
      <c r="D41" s="53">
        <v>21</v>
      </c>
      <c r="E41" s="53" t="str">
        <f t="shared" si="5"/>
        <v>0E</v>
      </c>
      <c r="F41" s="53">
        <f t="shared" si="6"/>
        <v>14</v>
      </c>
      <c r="G41" s="56">
        <f t="shared" si="14"/>
        <v>0.62737979078263639</v>
      </c>
      <c r="H41" s="57" t="s">
        <v>25</v>
      </c>
      <c r="J41" s="11"/>
      <c r="K41" s="11" t="s">
        <v>54</v>
      </c>
      <c r="L41" s="26">
        <v>22</v>
      </c>
      <c r="M41" s="26" t="str">
        <f t="shared" si="11"/>
        <v>0B</v>
      </c>
      <c r="N41" s="26">
        <f t="shared" si="12"/>
        <v>11</v>
      </c>
      <c r="O41" s="41">
        <f t="shared" si="16"/>
        <v>11</v>
      </c>
      <c r="P41" s="41" t="s">
        <v>13</v>
      </c>
      <c r="R41" s="11"/>
      <c r="S41" s="11" t="s">
        <v>60</v>
      </c>
      <c r="T41" s="53">
        <v>22</v>
      </c>
      <c r="U41" s="53" t="str">
        <f t="shared" si="9"/>
        <v>0B</v>
      </c>
      <c r="V41" s="53">
        <f t="shared" si="10"/>
        <v>11</v>
      </c>
      <c r="W41" s="56">
        <f t="shared" si="13"/>
        <v>5.6818041836989401E-3</v>
      </c>
      <c r="X41" s="57" t="s">
        <v>25</v>
      </c>
    </row>
    <row r="42" spans="2:24">
      <c r="B42" s="11"/>
      <c r="C42" s="11" t="s">
        <v>60</v>
      </c>
      <c r="D42" s="53">
        <v>22</v>
      </c>
      <c r="E42" s="53" t="str">
        <f t="shared" si="5"/>
        <v>0B</v>
      </c>
      <c r="F42" s="53">
        <f t="shared" si="6"/>
        <v>11</v>
      </c>
      <c r="G42" s="56">
        <f t="shared" si="14"/>
        <v>0.49294126418635714</v>
      </c>
      <c r="H42" s="57" t="s">
        <v>25</v>
      </c>
      <c r="J42" s="11"/>
      <c r="K42" s="11" t="s">
        <v>41</v>
      </c>
      <c r="L42" s="26">
        <v>23</v>
      </c>
      <c r="M42" s="26" t="str">
        <f t="shared" si="11"/>
        <v>09</v>
      </c>
      <c r="N42" s="26">
        <f t="shared" si="12"/>
        <v>9</v>
      </c>
      <c r="O42" s="41">
        <f t="shared" si="16"/>
        <v>9</v>
      </c>
      <c r="P42" s="41" t="s">
        <v>13</v>
      </c>
      <c r="R42" s="11"/>
      <c r="S42" s="11" t="s">
        <v>61</v>
      </c>
      <c r="T42" s="53">
        <v>23</v>
      </c>
      <c r="U42" s="53" t="str">
        <f t="shared" si="9"/>
        <v>09</v>
      </c>
      <c r="V42" s="53">
        <f t="shared" si="10"/>
        <v>9</v>
      </c>
      <c r="W42" s="56">
        <f t="shared" si="13"/>
        <v>4.6487488775718601E-3</v>
      </c>
      <c r="X42" s="57" t="s">
        <v>25</v>
      </c>
    </row>
    <row r="43" spans="2:24">
      <c r="B43" s="11"/>
      <c r="C43" s="11" t="s">
        <v>61</v>
      </c>
      <c r="D43" s="53">
        <v>23</v>
      </c>
      <c r="E43" s="53" t="str">
        <f t="shared" si="5"/>
        <v>09</v>
      </c>
      <c r="F43" s="53">
        <f t="shared" si="6"/>
        <v>9</v>
      </c>
      <c r="G43" s="56">
        <f t="shared" si="14"/>
        <v>0.4033155797888377</v>
      </c>
      <c r="H43" s="57" t="s">
        <v>25</v>
      </c>
      <c r="J43" s="11"/>
      <c r="K43" s="11" t="s">
        <v>28</v>
      </c>
      <c r="L43" s="26">
        <v>24</v>
      </c>
      <c r="M43" s="26" t="str">
        <f t="shared" si="11"/>
        <v>0E</v>
      </c>
      <c r="N43" s="26">
        <f t="shared" si="12"/>
        <v>14</v>
      </c>
      <c r="O43" s="41">
        <f t="shared" si="16"/>
        <v>14</v>
      </c>
      <c r="P43" s="41" t="s">
        <v>13</v>
      </c>
      <c r="R43" s="11"/>
      <c r="S43" s="11" t="s">
        <v>63</v>
      </c>
      <c r="T43" s="53">
        <v>24</v>
      </c>
      <c r="U43" s="53" t="str">
        <f t="shared" si="9"/>
        <v>0E</v>
      </c>
      <c r="V43" s="53">
        <f t="shared" si="10"/>
        <v>14</v>
      </c>
      <c r="W43" s="56">
        <f t="shared" si="13"/>
        <v>7.2313871428895601E-3</v>
      </c>
      <c r="X43" s="57" t="s">
        <v>25</v>
      </c>
    </row>
    <row r="44" spans="2:24">
      <c r="B44" s="11"/>
      <c r="C44" s="11" t="s">
        <v>63</v>
      </c>
      <c r="D44" s="53">
        <v>24</v>
      </c>
      <c r="E44" s="53" t="str">
        <f t="shared" si="5"/>
        <v>0E</v>
      </c>
      <c r="F44" s="53">
        <f t="shared" si="6"/>
        <v>14</v>
      </c>
      <c r="G44" s="56">
        <f t="shared" si="14"/>
        <v>0.62737979078263639</v>
      </c>
      <c r="H44" s="57" t="s">
        <v>25</v>
      </c>
      <c r="J44" s="11"/>
      <c r="K44" s="11" t="s">
        <v>66</v>
      </c>
      <c r="L44" s="26">
        <v>25</v>
      </c>
      <c r="M44" s="26" t="str">
        <f t="shared" si="11"/>
        <v>08</v>
      </c>
      <c r="N44" s="26">
        <f t="shared" si="12"/>
        <v>8</v>
      </c>
      <c r="O44" s="41">
        <f t="shared" si="16"/>
        <v>8</v>
      </c>
      <c r="P44" s="41" t="s">
        <v>13</v>
      </c>
      <c r="R44" s="11"/>
      <c r="S44" s="11" t="s">
        <v>65</v>
      </c>
      <c r="T44" s="53">
        <v>25</v>
      </c>
      <c r="U44" s="53" t="str">
        <f t="shared" si="9"/>
        <v>08</v>
      </c>
      <c r="V44" s="53">
        <f t="shared" si="10"/>
        <v>8</v>
      </c>
      <c r="W44" s="56">
        <f t="shared" si="13"/>
        <v>4.1322212245083201E-3</v>
      </c>
      <c r="X44" s="57" t="s">
        <v>25</v>
      </c>
    </row>
    <row r="45" spans="2:24">
      <c r="B45" s="11"/>
      <c r="C45" s="11" t="s">
        <v>65</v>
      </c>
      <c r="D45" s="53">
        <v>25</v>
      </c>
      <c r="E45" s="53" t="str">
        <f t="shared" si="5"/>
        <v>08</v>
      </c>
      <c r="F45" s="53">
        <f t="shared" si="6"/>
        <v>8</v>
      </c>
      <c r="G45" s="56">
        <f t="shared" si="14"/>
        <v>0.35850273759007795</v>
      </c>
      <c r="H45" s="57" t="s">
        <v>25</v>
      </c>
      <c r="J45" s="11"/>
      <c r="K45" s="11" t="s">
        <v>48</v>
      </c>
      <c r="L45" s="26">
        <v>26</v>
      </c>
      <c r="M45" s="26" t="str">
        <f t="shared" si="11"/>
        <v>0B</v>
      </c>
      <c r="N45" s="26">
        <f t="shared" si="12"/>
        <v>11</v>
      </c>
      <c r="O45" s="41">
        <f t="shared" si="16"/>
        <v>11</v>
      </c>
      <c r="P45" s="41" t="s">
        <v>13</v>
      </c>
      <c r="R45" s="11"/>
      <c r="S45" s="11" t="s">
        <v>67</v>
      </c>
      <c r="T45" s="53">
        <v>26</v>
      </c>
      <c r="U45" s="53" t="str">
        <f t="shared" si="9"/>
        <v>0B</v>
      </c>
      <c r="V45" s="53">
        <f t="shared" si="10"/>
        <v>11</v>
      </c>
      <c r="W45" s="56">
        <f t="shared" si="13"/>
        <v>5.6818041836989401E-3</v>
      </c>
      <c r="X45" s="57" t="s">
        <v>25</v>
      </c>
    </row>
    <row r="46" spans="2:24">
      <c r="B46" s="11"/>
      <c r="C46" s="11" t="s">
        <v>67</v>
      </c>
      <c r="D46" s="53">
        <v>26</v>
      </c>
      <c r="E46" s="53" t="str">
        <f t="shared" si="5"/>
        <v>0B</v>
      </c>
      <c r="F46" s="53">
        <f t="shared" si="6"/>
        <v>11</v>
      </c>
      <c r="G46" s="56">
        <f t="shared" si="14"/>
        <v>0.49294126418635714</v>
      </c>
      <c r="H46" s="57" t="s">
        <v>25</v>
      </c>
      <c r="R46" s="11"/>
      <c r="S46" s="11" t="s">
        <v>69</v>
      </c>
      <c r="T46" s="53">
        <v>27</v>
      </c>
      <c r="U46" s="53" t="str">
        <f t="shared" si="9"/>
        <v>0C</v>
      </c>
      <c r="V46" s="53">
        <f t="shared" si="10"/>
        <v>12</v>
      </c>
      <c r="W46" s="56">
        <f t="shared" si="13"/>
        <v>6.1983318367624801E-3</v>
      </c>
      <c r="X46" s="57" t="s">
        <v>25</v>
      </c>
    </row>
    <row r="47" spans="2:24">
      <c r="B47" s="11"/>
      <c r="C47" s="11" t="s">
        <v>69</v>
      </c>
      <c r="D47" s="53">
        <v>27</v>
      </c>
      <c r="E47" s="53" t="str">
        <f t="shared" si="5"/>
        <v>0C</v>
      </c>
      <c r="F47" s="53">
        <f t="shared" si="6"/>
        <v>12</v>
      </c>
      <c r="G47" s="56">
        <f t="shared" si="14"/>
        <v>0.53775410638511689</v>
      </c>
      <c r="H47" s="57" t="s">
        <v>25</v>
      </c>
      <c r="R47" s="11"/>
      <c r="S47" s="11" t="s">
        <v>70</v>
      </c>
      <c r="T47" s="53">
        <v>28</v>
      </c>
      <c r="U47" s="53" t="str">
        <f t="shared" si="9"/>
        <v>13</v>
      </c>
      <c r="V47" s="53">
        <f t="shared" si="10"/>
        <v>19</v>
      </c>
      <c r="W47" s="56">
        <f t="shared" si="13"/>
        <v>9.8140254082072619E-3</v>
      </c>
      <c r="X47" s="57" t="s">
        <v>25</v>
      </c>
    </row>
    <row r="48" spans="2:24">
      <c r="B48" s="11"/>
      <c r="C48" s="11" t="s">
        <v>70</v>
      </c>
      <c r="D48" s="53">
        <v>28</v>
      </c>
      <c r="E48" s="53" t="str">
        <f t="shared" si="5"/>
        <v>13</v>
      </c>
      <c r="F48" s="53">
        <f t="shared" si="6"/>
        <v>19</v>
      </c>
      <c r="G48" s="56">
        <f t="shared" si="14"/>
        <v>0.85144400177643509</v>
      </c>
      <c r="H48" s="57" t="s">
        <v>25</v>
      </c>
      <c r="R48" s="11"/>
      <c r="S48" s="11" t="s">
        <v>71</v>
      </c>
      <c r="T48" s="53">
        <v>29</v>
      </c>
      <c r="U48" s="53" t="str">
        <f t="shared" si="9"/>
        <v>0D</v>
      </c>
      <c r="V48" s="53">
        <f t="shared" si="10"/>
        <v>13</v>
      </c>
      <c r="W48" s="56">
        <f t="shared" si="13"/>
        <v>6.7148594898260201E-3</v>
      </c>
      <c r="X48" s="57" t="s">
        <v>25</v>
      </c>
    </row>
    <row r="49" spans="2:24">
      <c r="B49" s="11"/>
      <c r="C49" s="11" t="s">
        <v>71</v>
      </c>
      <c r="D49" s="53">
        <v>29</v>
      </c>
      <c r="E49" s="53" t="str">
        <f t="shared" si="5"/>
        <v>0D</v>
      </c>
      <c r="F49" s="53">
        <f t="shared" si="6"/>
        <v>13</v>
      </c>
      <c r="G49" s="56">
        <f t="shared" si="14"/>
        <v>0.58256694858387659</v>
      </c>
      <c r="H49" s="57" t="s">
        <v>25</v>
      </c>
      <c r="R49" s="11"/>
      <c r="S49" s="11" t="s">
        <v>72</v>
      </c>
      <c r="T49" s="53">
        <v>30</v>
      </c>
      <c r="U49" s="53" t="str">
        <f t="shared" si="9"/>
        <v>0A</v>
      </c>
      <c r="V49" s="53">
        <f t="shared" si="10"/>
        <v>10</v>
      </c>
      <c r="W49" s="56">
        <f t="shared" si="13"/>
        <v>5.1652765306354001E-3</v>
      </c>
      <c r="X49" s="57" t="s">
        <v>25</v>
      </c>
    </row>
    <row r="50" spans="2:24">
      <c r="B50" s="11"/>
      <c r="C50" s="11" t="s">
        <v>72</v>
      </c>
      <c r="D50" s="53">
        <v>30</v>
      </c>
      <c r="E50" s="53" t="str">
        <f t="shared" si="5"/>
        <v>0A</v>
      </c>
      <c r="F50" s="53">
        <f t="shared" si="6"/>
        <v>10</v>
      </c>
      <c r="G50" s="56">
        <f t="shared" si="14"/>
        <v>0.44812842198759745</v>
      </c>
      <c r="H50" s="57" t="s">
        <v>25</v>
      </c>
      <c r="K50" s="55" t="s">
        <v>96</v>
      </c>
      <c r="N50" t="s">
        <v>87</v>
      </c>
      <c r="O50" s="30">
        <f>O25-O21</f>
        <v>275.90551181102364</v>
      </c>
      <c r="R50" s="11"/>
      <c r="S50" s="11" t="s">
        <v>73</v>
      </c>
      <c r="T50" s="53">
        <v>31</v>
      </c>
      <c r="U50" s="53" t="str">
        <f t="shared" si="9"/>
        <v>0B</v>
      </c>
      <c r="V50" s="53">
        <f t="shared" si="10"/>
        <v>11</v>
      </c>
      <c r="W50" s="56">
        <f t="shared" si="13"/>
        <v>5.6818041836989401E-3</v>
      </c>
      <c r="X50" s="57" t="s">
        <v>25</v>
      </c>
    </row>
    <row r="51" spans="2:24">
      <c r="B51" s="11"/>
      <c r="C51" s="11" t="s">
        <v>73</v>
      </c>
      <c r="D51" s="53">
        <v>31</v>
      </c>
      <c r="E51" s="53" t="str">
        <f t="shared" si="5"/>
        <v>0B</v>
      </c>
      <c r="F51" s="53">
        <f t="shared" si="6"/>
        <v>11</v>
      </c>
      <c r="G51" s="56">
        <f t="shared" si="14"/>
        <v>0.49294126418635714</v>
      </c>
      <c r="H51" s="57" t="s">
        <v>25</v>
      </c>
      <c r="N51" t="s">
        <v>88</v>
      </c>
      <c r="O51" s="29">
        <f>O22</f>
        <v>0</v>
      </c>
      <c r="R51" s="11"/>
      <c r="S51" s="11" t="s">
        <v>74</v>
      </c>
      <c r="T51" s="53">
        <v>32</v>
      </c>
      <c r="U51" s="53" t="str">
        <f t="shared" si="9"/>
        <v>09</v>
      </c>
      <c r="V51" s="53">
        <f t="shared" si="10"/>
        <v>9</v>
      </c>
      <c r="W51" s="56">
        <f t="shared" si="13"/>
        <v>4.6487488775718601E-3</v>
      </c>
      <c r="X51" s="58" t="s">
        <v>25</v>
      </c>
    </row>
    <row r="52" spans="2:24">
      <c r="B52" s="11"/>
      <c r="C52" s="11" t="s">
        <v>74</v>
      </c>
      <c r="D52" s="53">
        <v>32</v>
      </c>
      <c r="E52" s="53" t="str">
        <f t="shared" si="5"/>
        <v>09</v>
      </c>
      <c r="F52" s="53">
        <f t="shared" si="6"/>
        <v>9</v>
      </c>
      <c r="G52" s="56">
        <f t="shared" si="14"/>
        <v>0.4033155797888377</v>
      </c>
      <c r="H52" s="57" t="s">
        <v>25</v>
      </c>
      <c r="N52" t="s">
        <v>89</v>
      </c>
      <c r="O52" s="29">
        <f>O31</f>
        <v>67.495814991629985</v>
      </c>
      <c r="R52" s="11"/>
      <c r="S52" s="11" t="s">
        <v>75</v>
      </c>
      <c r="T52" s="53">
        <v>33</v>
      </c>
      <c r="U52" s="53" t="str">
        <f t="shared" si="9"/>
        <v>0A</v>
      </c>
      <c r="V52" s="53">
        <f t="shared" si="10"/>
        <v>10</v>
      </c>
      <c r="W52" s="56">
        <f t="shared" si="13"/>
        <v>5.1652765306354001E-3</v>
      </c>
      <c r="X52" s="58" t="s">
        <v>25</v>
      </c>
    </row>
    <row r="53" spans="2:24">
      <c r="B53" s="11"/>
      <c r="C53" s="11" t="s">
        <v>75</v>
      </c>
      <c r="D53" s="53">
        <v>33</v>
      </c>
      <c r="E53" s="53" t="str">
        <f t="shared" si="5"/>
        <v>0A</v>
      </c>
      <c r="F53" s="53">
        <f t="shared" si="6"/>
        <v>10</v>
      </c>
      <c r="G53" s="56">
        <f t="shared" si="14"/>
        <v>0.44812842198759745</v>
      </c>
      <c r="H53" s="58" t="s">
        <v>25</v>
      </c>
      <c r="N53" t="s">
        <v>90</v>
      </c>
      <c r="O53" s="29">
        <f t="shared" ref="O53:O56" si="17">O32</f>
        <v>49.818339636679276</v>
      </c>
      <c r="R53" s="11"/>
      <c r="S53" s="11" t="s">
        <v>76</v>
      </c>
      <c r="T53" s="53">
        <v>34</v>
      </c>
      <c r="U53" s="53" t="str">
        <f t="shared" si="9"/>
        <v>09</v>
      </c>
      <c r="V53" s="53">
        <f t="shared" si="10"/>
        <v>9</v>
      </c>
      <c r="W53" s="56">
        <f t="shared" si="13"/>
        <v>4.6487488775718601E-3</v>
      </c>
      <c r="X53" s="58" t="s">
        <v>25</v>
      </c>
    </row>
    <row r="54" spans="2:24">
      <c r="B54" s="11"/>
      <c r="C54" s="11" t="s">
        <v>76</v>
      </c>
      <c r="D54" s="53">
        <v>34</v>
      </c>
      <c r="E54" s="53" t="str">
        <f t="shared" si="5"/>
        <v>09</v>
      </c>
      <c r="F54" s="53">
        <f t="shared" si="6"/>
        <v>9</v>
      </c>
      <c r="G54" s="56">
        <f t="shared" si="14"/>
        <v>0.4033155797888377</v>
      </c>
      <c r="H54" s="58" t="s">
        <v>25</v>
      </c>
      <c r="N54" t="s">
        <v>91</v>
      </c>
      <c r="O54" s="29">
        <f t="shared" si="17"/>
        <v>43.390166780333566</v>
      </c>
      <c r="R54" s="11"/>
      <c r="S54" s="11" t="s">
        <v>77</v>
      </c>
      <c r="T54" s="53">
        <v>35</v>
      </c>
      <c r="U54" s="53" t="str">
        <f t="shared" si="9"/>
        <v>0A</v>
      </c>
      <c r="V54" s="53">
        <f t="shared" si="10"/>
        <v>10</v>
      </c>
      <c r="W54" s="56">
        <f t="shared" si="13"/>
        <v>5.1652765306354001E-3</v>
      </c>
      <c r="X54" s="57" t="s">
        <v>25</v>
      </c>
    </row>
    <row r="55" spans="2:24">
      <c r="B55" s="11"/>
      <c r="C55" s="11" t="s">
        <v>77</v>
      </c>
      <c r="D55" s="53">
        <v>35</v>
      </c>
      <c r="E55" s="53" t="str">
        <f t="shared" si="5"/>
        <v>0A</v>
      </c>
      <c r="F55" s="53">
        <f t="shared" si="6"/>
        <v>10</v>
      </c>
      <c r="G55" s="56">
        <f t="shared" si="14"/>
        <v>0.44812842198759745</v>
      </c>
      <c r="H55" s="58" t="s">
        <v>25</v>
      </c>
      <c r="N55" t="s">
        <v>92</v>
      </c>
      <c r="O55" s="29">
        <f t="shared" si="17"/>
        <v>38.569037138074279</v>
      </c>
      <c r="R55" s="11"/>
      <c r="S55" s="11" t="s">
        <v>78</v>
      </c>
      <c r="T55" s="53">
        <v>36</v>
      </c>
      <c r="U55" s="53" t="str">
        <f t="shared" si="9"/>
        <v>07</v>
      </c>
      <c r="V55" s="53">
        <f t="shared" si="10"/>
        <v>7</v>
      </c>
      <c r="W55" s="56">
        <f t="shared" si="13"/>
        <v>3.6156935714447801E-3</v>
      </c>
      <c r="X55" s="57" t="s">
        <v>25</v>
      </c>
    </row>
    <row r="56" spans="2:24">
      <c r="B56" s="11"/>
      <c r="C56" s="11" t="s">
        <v>78</v>
      </c>
      <c r="D56" s="53">
        <v>36</v>
      </c>
      <c r="E56" s="53" t="str">
        <f t="shared" si="5"/>
        <v>07</v>
      </c>
      <c r="F56" s="53">
        <f t="shared" si="6"/>
        <v>7</v>
      </c>
      <c r="G56" s="56">
        <f t="shared" si="14"/>
        <v>0.3136898953913182</v>
      </c>
      <c r="H56" s="57" t="s">
        <v>25</v>
      </c>
      <c r="N56" t="s">
        <v>93</v>
      </c>
      <c r="O56" s="29">
        <f t="shared" si="17"/>
        <v>28.926777853555709</v>
      </c>
      <c r="R56" s="11"/>
      <c r="S56" s="11" t="s">
        <v>79</v>
      </c>
      <c r="T56" s="53">
        <v>37</v>
      </c>
      <c r="U56" s="53" t="str">
        <f t="shared" si="9"/>
        <v>09</v>
      </c>
      <c r="V56" s="53">
        <f t="shared" si="10"/>
        <v>9</v>
      </c>
      <c r="W56" s="56">
        <f t="shared" si="13"/>
        <v>4.6487488775718601E-3</v>
      </c>
      <c r="X56" s="57" t="s">
        <v>25</v>
      </c>
    </row>
    <row r="57" spans="2:24">
      <c r="B57" s="11"/>
      <c r="C57" s="11" t="s">
        <v>79</v>
      </c>
      <c r="D57" s="53">
        <v>37</v>
      </c>
      <c r="E57" s="53" t="str">
        <f t="shared" si="5"/>
        <v>09</v>
      </c>
      <c r="F57" s="53">
        <f t="shared" si="6"/>
        <v>9</v>
      </c>
      <c r="G57" s="56">
        <f t="shared" si="14"/>
        <v>0.4033155797888377</v>
      </c>
      <c r="H57" s="57" t="s">
        <v>25</v>
      </c>
      <c r="R57" s="11"/>
      <c r="S57" s="11" t="s">
        <v>80</v>
      </c>
      <c r="T57" s="53">
        <v>38</v>
      </c>
      <c r="U57" s="53" t="str">
        <f t="shared" si="9"/>
        <v>0A</v>
      </c>
      <c r="V57" s="53">
        <f t="shared" si="10"/>
        <v>10</v>
      </c>
      <c r="W57" s="56">
        <f t="shared" si="13"/>
        <v>5.1652765306354001E-3</v>
      </c>
      <c r="X57" s="57" t="s">
        <v>25</v>
      </c>
    </row>
    <row r="58" spans="2:24">
      <c r="B58" s="11"/>
      <c r="C58" s="11" t="s">
        <v>80</v>
      </c>
      <c r="D58" s="53">
        <v>38</v>
      </c>
      <c r="E58" s="53" t="str">
        <f t="shared" si="5"/>
        <v>0A</v>
      </c>
      <c r="F58" s="53">
        <f t="shared" si="6"/>
        <v>10</v>
      </c>
      <c r="G58" s="56">
        <f t="shared" si="14"/>
        <v>0.44812842198759745</v>
      </c>
      <c r="H58" s="57" t="s">
        <v>25</v>
      </c>
      <c r="R58" s="11"/>
      <c r="S58" s="11" t="s">
        <v>81</v>
      </c>
      <c r="T58" s="53">
        <v>39</v>
      </c>
      <c r="U58" s="53" t="str">
        <f t="shared" si="9"/>
        <v>09</v>
      </c>
      <c r="V58" s="53">
        <f t="shared" si="10"/>
        <v>9</v>
      </c>
      <c r="W58" s="56">
        <f t="shared" si="13"/>
        <v>4.6487488775718601E-3</v>
      </c>
      <c r="X58" s="57" t="s">
        <v>25</v>
      </c>
    </row>
    <row r="59" spans="2:24">
      <c r="B59" s="11"/>
      <c r="C59" s="11" t="s">
        <v>81</v>
      </c>
      <c r="D59" s="53">
        <v>39</v>
      </c>
      <c r="E59" s="53" t="str">
        <f t="shared" si="5"/>
        <v>09</v>
      </c>
      <c r="F59" s="53">
        <f t="shared" si="6"/>
        <v>9</v>
      </c>
      <c r="G59" s="56">
        <f t="shared" si="14"/>
        <v>0.4033155797888377</v>
      </c>
      <c r="H59" s="57" t="s">
        <v>25</v>
      </c>
    </row>
  </sheetData>
  <mergeCells count="11">
    <mergeCell ref="B4:G4"/>
    <mergeCell ref="P27:P29"/>
    <mergeCell ref="W23:W25"/>
    <mergeCell ref="X23:X25"/>
    <mergeCell ref="B10:P10"/>
    <mergeCell ref="B11:P11"/>
    <mergeCell ref="B12:P12"/>
    <mergeCell ref="G21:G23"/>
    <mergeCell ref="H21:H23"/>
    <mergeCell ref="O27:O29"/>
    <mergeCell ref="K27:K29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15b8fc-ca16-4285-8fd1-26f9c3d0e52c" xsi:nil="true"/>
    <lcf76f155ced4ddcb4097134ff3c332f xmlns="a741cfdf-f449-4120-9b09-abaf60dd748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8AD472ECDD54C89556B7B84D14B28" ma:contentTypeVersion="16" ma:contentTypeDescription="Crée un document." ma:contentTypeScope="" ma:versionID="6ba885ccce42f0c31cea1c0309c7667e">
  <xsd:schema xmlns:xsd="http://www.w3.org/2001/XMLSchema" xmlns:xs="http://www.w3.org/2001/XMLSchema" xmlns:p="http://schemas.microsoft.com/office/2006/metadata/properties" xmlns:ns2="a741cfdf-f449-4120-9b09-abaf60dd7484" xmlns:ns3="6815b8fc-ca16-4285-8fd1-26f9c3d0e52c" targetNamespace="http://schemas.microsoft.com/office/2006/metadata/properties" ma:root="true" ma:fieldsID="7d72cefd006a4ab94413a31515379cfb" ns2:_="" ns3:_="">
    <xsd:import namespace="a741cfdf-f449-4120-9b09-abaf60dd7484"/>
    <xsd:import namespace="6815b8fc-ca16-4285-8fd1-26f9c3d0e5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41cfdf-f449-4120-9b09-abaf60dd74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c3e4e118-5f82-4418-9a3c-577293acf53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15b8fc-ca16-4285-8fd1-26f9c3d0e52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e1a8245-562a-466f-b787-123c713391c1}" ma:internalName="TaxCatchAll" ma:showField="CatchAllData" ma:web="6815b8fc-ca16-4285-8fd1-26f9c3d0e5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130625-C502-43AD-B121-ADAD38EE59B6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elements/1.1/"/>
    <ds:schemaRef ds:uri="6815b8fc-ca16-4285-8fd1-26f9c3d0e52c"/>
    <ds:schemaRef ds:uri="http://schemas.microsoft.com/office/infopath/2007/PartnerControls"/>
    <ds:schemaRef ds:uri="http://schemas.microsoft.com/office/2006/metadata/properties"/>
    <ds:schemaRef ds:uri="a741cfdf-f449-4120-9b09-abaf60dd748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6299ED6-6F24-4200-8F1B-ABA4ADE9B4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DB7B4E-CB5F-4C0A-B777-9C6E3178CE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41cfdf-f449-4120-9b09-abaf60dd7484"/>
    <ds:schemaRef ds:uri="6815b8fc-ca16-4285-8fd1-26f9c3d0e5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simulateur</vt:lpstr>
    </vt:vector>
  </TitlesOfParts>
  <Company>nke Watteco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>Julien LEFORT</cp:lastModifiedBy>
  <dcterms:created xsi:type="dcterms:W3CDTF">2019-11-05T13:09:52Z</dcterms:created>
  <dcterms:modified xsi:type="dcterms:W3CDTF">2024-03-11T16:23:16Z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0x01010079E8AD472ECDD54C89556B7B84D14B28</vt:lpwstr>
  </property>
</Properties>
</file>