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bookViews>
    <workbookView xWindow="0" yWindow="0" windowWidth="18270" windowHeight="7238" tabRatio="809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s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 concurrentCalc="0"/>
</workbook>
</file>

<file path=xl/calcChain.xml><?xml version="1.0" encoding="utf-8"?>
<calcChain xmlns="http://schemas.openxmlformats.org/spreadsheetml/2006/main">
  <c r="Q11" i="4" l="1"/>
  <c r="P11" i="4"/>
  <c r="O11" i="4"/>
  <c r="Q10" i="4"/>
  <c r="P10" i="4"/>
  <c r="O10" i="4"/>
  <c r="Q8" i="4"/>
  <c r="P8" i="4"/>
  <c r="O8" i="4"/>
  <c r="Q6" i="4"/>
  <c r="P6" i="4"/>
  <c r="O6" i="4"/>
  <c r="Q4" i="4"/>
  <c r="P4" i="4"/>
  <c r="O4" i="4"/>
  <c r="Q2" i="4"/>
  <c r="P2" i="4"/>
  <c r="O2" i="4"/>
  <c r="Q11" i="3"/>
  <c r="P11" i="3"/>
  <c r="O11" i="3"/>
  <c r="Q10" i="3"/>
  <c r="P10" i="3"/>
  <c r="O10" i="3"/>
  <c r="Q8" i="3"/>
  <c r="P8" i="3"/>
  <c r="O8" i="3"/>
  <c r="Q6" i="3"/>
  <c r="P6" i="3"/>
  <c r="O6" i="3"/>
  <c r="Q4" i="3"/>
  <c r="P4" i="3"/>
  <c r="O4" i="3"/>
  <c r="Q2" i="3"/>
  <c r="P2" i="3"/>
  <c r="O2" i="3"/>
  <c r="Q11" i="11"/>
  <c r="P11" i="11"/>
  <c r="O11" i="11"/>
  <c r="Q10" i="11"/>
  <c r="P10" i="11"/>
  <c r="O10" i="11"/>
  <c r="Q8" i="11"/>
  <c r="P8" i="11"/>
  <c r="O8" i="11"/>
  <c r="Q6" i="11"/>
  <c r="P6" i="11"/>
  <c r="O6" i="11"/>
  <c r="Q4" i="11"/>
  <c r="P4" i="11"/>
  <c r="O4" i="11"/>
  <c r="Q2" i="11"/>
  <c r="P2" i="11"/>
  <c r="O2" i="11"/>
  <c r="O2" i="12"/>
  <c r="Q11" i="12"/>
  <c r="P11" i="12"/>
  <c r="O11" i="12"/>
  <c r="Q10" i="12"/>
  <c r="P10" i="12"/>
  <c r="O10" i="12"/>
  <c r="Q8" i="12"/>
  <c r="P8" i="12"/>
  <c r="O8" i="12"/>
  <c r="Q6" i="12"/>
  <c r="P6" i="12"/>
  <c r="O6" i="12"/>
  <c r="Q4" i="12"/>
  <c r="P4" i="12"/>
  <c r="O4" i="12"/>
  <c r="Q2" i="12"/>
  <c r="P2" i="12"/>
  <c r="F12" i="14"/>
  <c r="E12" i="14"/>
  <c r="D12" i="14"/>
  <c r="C12" i="14"/>
  <c r="F11" i="14"/>
  <c r="E11" i="14"/>
  <c r="D11" i="14"/>
  <c r="C11" i="14"/>
  <c r="F8" i="14"/>
  <c r="E8" i="14"/>
  <c r="D8" i="14"/>
  <c r="C8" i="14"/>
  <c r="F7" i="14"/>
  <c r="E7" i="14"/>
  <c r="D7" i="14"/>
  <c r="C7" i="14"/>
  <c r="F4" i="14"/>
  <c r="E4" i="14"/>
  <c r="D4" i="14"/>
  <c r="C4" i="14"/>
  <c r="F3" i="14"/>
  <c r="E3" i="14"/>
  <c r="D3" i="14"/>
  <c r="C3" i="1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2" i="3"/>
  <c r="K2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</calcChain>
</file>

<file path=xl/sharedStrings.xml><?xml version="1.0" encoding="utf-8"?>
<sst xmlns="http://schemas.openxmlformats.org/spreadsheetml/2006/main" count="262" uniqueCount="51">
  <si>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</si>
  <si>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</si>
  <si>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</si>
  <si>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</si>
  <si>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</si>
  <si>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</si>
  <si>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</si>
  <si>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</si>
  <si>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</si>
  <si>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</si>
  <si>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</si>
  <si>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</si>
  <si>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</si>
  <si>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</si>
  <si>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</si>
  <si>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</si>
  <si>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</si>
  <si>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</si>
  <si>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</si>
  <si>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</si>
  <si>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</si>
  <si>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</si>
  <si>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</si>
  <si>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</si>
  <si>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</si>
  <si>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</si>
  <si>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</si>
  <si>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</si>
  <si>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</si>
  <si>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</si>
  <si>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</si>
  <si>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</si>
  <si>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</si>
  <si>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</si>
  <si>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</si>
  <si>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</si>
  <si>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</si>
  <si>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</si>
  <si>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</si>
  <si>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3k</t>
  </si>
  <si>
    <t>Statistic</t>
  </si>
  <si>
    <t>Correl</t>
  </si>
  <si>
    <t>Correlation (cut 40 and 90)</t>
  </si>
  <si>
    <t>Jaccard</t>
  </si>
  <si>
    <t>Up to 30</t>
  </si>
  <si>
    <t>Higher complexity, lower similarity for Jaccard and DCG.</t>
  </si>
  <si>
    <t>This is confirmed by computing the correlations between cycle size and similarity metric value.</t>
  </si>
  <si>
    <t>Mean</t>
  </si>
  <si>
    <t>Median</t>
  </si>
  <si>
    <t>Average Weighted by Cycle Size</t>
  </si>
  <si>
    <t>Average Weighted by Cycle Size (cut 40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</si>
</sst>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33" borderId="13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2" fontId="20" fillId="34" borderId="10" xfId="0" applyNumberFormat="1" applyFont="1" applyFill="1" applyBorder="1"/>
    <xf numFmtId="2" fontId="20" fillId="34" borderId="12" xfId="0" applyNumberFormat="1" applyFont="1" applyFill="1" applyBorder="1"/>
    <xf numFmtId="0" fontId="19" fillId="33" borderId="11" xfId="0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2" fontId="20" fillId="34" borderId="17" xfId="0" applyNumberFormat="1" applyFont="1" applyFill="1" applyBorder="1"/>
    <xf numFmtId="2" fontId="20" fillId="34" borderId="18" xfId="0" applyNumberFormat="1" applyFont="1" applyFill="1" applyBorder="1"/>
    <xf numFmtId="0" fontId="19" fillId="33" borderId="11" xfId="0" applyFont="1" applyFill="1" applyBorder="1" applyAlignment="1">
      <alignment horizontal="left"/>
    </xf>
    <xf numFmtId="2" fontId="19" fillId="33" borderId="10" xfId="0" applyNumberFormat="1" applyFont="1" applyFill="1" applyBorder="1" applyAlignment="1">
      <alignment horizontal="center"/>
    </xf>
    <xf numFmtId="2" fontId="19" fillId="33" borderId="1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  <c:pt idx="19">
                  <c:v>0.47499999999999998</c:v>
                </c:pt>
                <c:pt idx="20">
                  <c:v>0.24444444444444399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  <c:pt idx="19">
                  <c:v>0.94615384615384601</c:v>
                </c:pt>
                <c:pt idx="20">
                  <c:v>0.947066167290886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  <c:pt idx="19">
                  <c:v>0.69657568976983897</c:v>
                </c:pt>
                <c:pt idx="20">
                  <c:v>0.51710311019140198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4C3D-902C-A6661D6FE3ED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4C3D-902C-A6661D6FE3ED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B-4C3D-902C-A6661D6F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4C86-91B0-2C94173E8B64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4-4C86-91B0-2C94173E8B64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4-4C86-91B0-2C94173E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2-4EF1-A416-442EFF9CE54B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2-4EF1-A416-442EFF9CE54B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2-4EF1-A416-442EFF9C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0.22222222222222199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0.94444444444444398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0.90476190476190399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0.86666666666666603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  <c:pt idx="19">
                  <c:v>0.55000000000000004</c:v>
                </c:pt>
                <c:pt idx="20">
                  <c:v>0.37777777777777699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0.94615384615384601</c:v>
                </c:pt>
                <c:pt idx="20">
                  <c:v>0.96354556803994995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  <c:pt idx="19">
                  <c:v>0.80056226507482398</c:v>
                </c:pt>
                <c:pt idx="20">
                  <c:v>0.61296811677275898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0.86666666666666603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  <c:pt idx="19">
                  <c:v>0.17499999999999999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  <c:pt idx="19">
                  <c:v>0.81282051282051204</c:v>
                </c:pt>
                <c:pt idx="20">
                  <c:v>0.82571785268414399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  <c:pt idx="19">
                  <c:v>0.58376412815371403</c:v>
                </c:pt>
                <c:pt idx="20">
                  <c:v>0.416689912914466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  <c:pt idx="19">
                  <c:v>0.52500000000000002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0.86923076923076903</c:v>
                </c:pt>
                <c:pt idx="20">
                  <c:v>0.91460674157303301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  <c:pt idx="19">
                  <c:v>0.90141726976996694</c:v>
                </c:pt>
                <c:pt idx="20">
                  <c:v>0.92072117192839797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  <c:pt idx="19">
                  <c:v>0.52500000000000002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0.86923076923076903</c:v>
                </c:pt>
                <c:pt idx="20">
                  <c:v>0.91460674157303301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  <c:pt idx="19">
                  <c:v>0.90141726976996694</c:v>
                </c:pt>
                <c:pt idx="20">
                  <c:v>0.92072117192839797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  <c:pt idx="19">
                  <c:v>0.17499999999999999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  <c:pt idx="19">
                  <c:v>0.81282051282051204</c:v>
                </c:pt>
                <c:pt idx="20">
                  <c:v>0.82571785268414399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  <c:pt idx="19">
                  <c:v>0.58376412815371403</c:v>
                </c:pt>
                <c:pt idx="20">
                  <c:v>0.416689912914466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  <c:pt idx="19">
                  <c:v>0.55000000000000004</c:v>
                </c:pt>
                <c:pt idx="20">
                  <c:v>0.37777777777777699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0.94615384615384601</c:v>
                </c:pt>
                <c:pt idx="20">
                  <c:v>0.96354556803994995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  <c:pt idx="19">
                  <c:v>0.80056226507482398</c:v>
                </c:pt>
                <c:pt idx="20">
                  <c:v>0.61296811677275898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  <c:pt idx="19">
                  <c:v>0.47499999999999998</c:v>
                </c:pt>
                <c:pt idx="20">
                  <c:v>0.24444444444444399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  <c:pt idx="19">
                  <c:v>0.94615384615384601</c:v>
                </c:pt>
                <c:pt idx="20">
                  <c:v>0.947066167290886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  <c:pt idx="19">
                  <c:v>0.69657568976983897</c:v>
                </c:pt>
                <c:pt idx="20">
                  <c:v>0.51710311019140198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4-4636-977A-E28BF9F52A04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4-4636-977A-E28BF9F52A04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4-4636-977A-E28BF9F5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435429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22</xdr:row>
      <xdr:rowOff>127000</xdr:rowOff>
    </xdr:from>
    <xdr:to>
      <xdr:col>14</xdr:col>
      <xdr:colOff>515936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565150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</xdr:row>
      <xdr:rowOff>234950</xdr:rowOff>
    </xdr:from>
    <xdr:to>
      <xdr:col>29</xdr:col>
      <xdr:colOff>127000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365126</xdr:colOff>
      <xdr:row>2</xdr:row>
      <xdr:rowOff>22225</xdr:rowOff>
    </xdr:from>
    <xdr:to>
      <xdr:col>19</xdr:col>
      <xdr:colOff>498475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3175</xdr:rowOff>
    </xdr:from>
    <xdr:to>
      <xdr:col>10</xdr:col>
      <xdr:colOff>136525</xdr:colOff>
      <xdr:row>39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8E4BE3-C959-45E2-A428-87E470A8E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3175</xdr:colOff>
      <xdr:row>22</xdr:row>
      <xdr:rowOff>15875</xdr:rowOff>
    </xdr:from>
    <xdr:to>
      <xdr:col>29</xdr:col>
      <xdr:colOff>152400</xdr:colOff>
      <xdr:row>39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5444F3-FA86-4E7B-880E-01EA0AFF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285751</xdr:colOff>
      <xdr:row>22</xdr:row>
      <xdr:rowOff>9525</xdr:rowOff>
    </xdr:from>
    <xdr:to>
      <xdr:col>19</xdr:col>
      <xdr:colOff>412750</xdr:colOff>
      <xdr:row>39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DD9C07-EFBA-4309-855E-DFCA229A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269876</xdr:colOff>
      <xdr:row>22</xdr:row>
      <xdr:rowOff>1</xdr:rowOff>
    </xdr:from>
    <xdr:to>
      <xdr:col>38</xdr:col>
      <xdr:colOff>428625</xdr:colOff>
      <xdr:row>39</xdr:row>
      <xdr:rowOff>12701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F58323-9091-4F27-820E-23666EDA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51">
    <sortCondition ref="B1:B5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45"/>
    <tableColumn id="2" xr3:uid="{49AB9E08-F0C0-41E1-9B4D-CF5A4F21526E}" name="Jaccard " dataDxfId="44">
      <calculatedColumnFormula>AVERAGEIF(Table12633[[ Cycle size]],I2,Table12633[JaccardCoefficient])</calculatedColumnFormula>
    </tableColumn>
    <tableColumn id="3" xr3:uid="{9B5D77C5-B82F-4D89-BD20-97A4EB1477BB}" name="Kendall" dataDxfId="43">
      <calculatedColumnFormula>AVERAGEIF(Table12633[ [ Cycle size] ],I2,Table12633[KendallTauCorrelation])</calculatedColumnFormula>
    </tableColumn>
    <tableColumn id="4" xr3:uid="{9584E443-EF5A-4DDC-BE94-B438EABE698C}" name="DCG" dataDxfId="42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0655BE-34A7-4092-94D7-939118F0F5AF}" name="Table36342789456" displayName="Table36342789456" ref="N1:Q11" totalsRowShown="0" headerRowDxfId="41" dataDxfId="39" headerRowBorderDxfId="40" tableBorderDxfId="38" totalsRowBorderDxfId="37">
  <tableColumns count="4">
    <tableColumn id="1" xr3:uid="{549DF309-E902-40E9-AF43-716E99C62B09}" name="Statistic" dataDxfId="36"/>
    <tableColumn id="2" xr3:uid="{EFB7F673-D6BC-441F-B8FB-9060768D7806}" name="Jaccard " dataDxfId="35"/>
    <tableColumn id="3" xr3:uid="{0B5020B9-2300-4253-8D8D-252DC3B1CB31}" name="Kendall" dataDxfId="34"/>
    <tableColumn id="4" xr3:uid="{BCB4EECC-F7EE-49DA-A214-BF81EBEB3E56}" name="DCG" dataDxfId="3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84"/>
    <tableColumn id="2" xr3:uid="{DF6742EE-55DF-430B-B71D-2F427CBBA4C7}" name="Jaccard " dataDxfId="83">
      <calculatedColumnFormula>AVERAGEIF(Table1264348[[ Cycle size]],I2,Table1264348[JaccardCoefficient])</calculatedColumnFormula>
    </tableColumn>
    <tableColumn id="3" xr3:uid="{43F66FD1-4B4C-47A5-8001-0E24D7EF0650}" name="Kendall" dataDxfId="82">
      <calculatedColumnFormula>AVERAGEIF(Table1264348[ [ Cycle size] ],I2,Table1264348[KendallTauCorrelation])</calculatedColumnFormula>
    </tableColumn>
    <tableColumn id="4" xr3:uid="{AC28AFAA-DE30-4EC7-B0AF-45CEFAA1E5A3}" name="DCG" dataDxfId="81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94011-F964-4306-AD47-E5A08BB649D8}" name="Table36342789" displayName="Table36342789" ref="N1:Q11" totalsRowShown="0" headerRowDxfId="80" dataDxfId="78" headerRowBorderDxfId="79" tableBorderDxfId="77" totalsRowBorderDxfId="76">
  <tableColumns count="4">
    <tableColumn id="1" xr3:uid="{12C38FD4-C608-45C7-ACD4-AE8B44DF1537}" name="Statistic" dataDxfId="75"/>
    <tableColumn id="2" xr3:uid="{9E6A5E81-4726-4EEA-9CE2-92FE9EC115C7}" name="Jaccard " dataDxfId="74"/>
    <tableColumn id="3" xr3:uid="{279D6077-58B9-41A6-8591-275655D9E73E}" name="Kendall" dataDxfId="73"/>
    <tableColumn id="4" xr3:uid="{41C76807-F9A2-4972-8623-A289DAF2E869}" name="DCG" data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71"/>
    <tableColumn id="2" xr3:uid="{0774C44D-573D-4A8D-A3F8-7A15902EE741}" name="Jaccard " dataDxfId="70">
      <calculatedColumnFormula>AVERAGEIF(Table12643[[ Cycle size]],I2,Table12643[JaccardCoefficient])</calculatedColumnFormula>
    </tableColumn>
    <tableColumn id="3" xr3:uid="{29023569-472C-4DA3-A6FD-3778501F605D}" name="Kendall" dataDxfId="69">
      <calculatedColumnFormula>AVERAGEIF(Table12643[ [ Cycle size] ],I2,Table12643[KendallTauCorrelation])</calculatedColumnFormula>
    </tableColumn>
    <tableColumn id="4" xr3:uid="{7EA81829-E064-429A-8428-985796CAAF4A}" name="DCG" dataDxfId="68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7B9DD-E422-4740-9069-A43132DA1ED3}" name="Table363427894" displayName="Table363427894" ref="N1:Q11" totalsRowShown="0" headerRowDxfId="67" dataDxfId="65" headerRowBorderDxfId="66" tableBorderDxfId="64" totalsRowBorderDxfId="63">
  <tableColumns count="4">
    <tableColumn id="1" xr3:uid="{F30BC46A-6EA2-4593-B170-E452310A3A4E}" name="Statistic" dataDxfId="62"/>
    <tableColumn id="2" xr3:uid="{10EC8F38-84F6-4B7C-B566-D18A4CD71219}" name="Jaccard " dataDxfId="61"/>
    <tableColumn id="3" xr3:uid="{E62E29FD-BBA2-4C26-B7D4-5C256B5599EE}" name="Kendall" dataDxfId="60"/>
    <tableColumn id="4" xr3:uid="{BB313196-33BA-4B11-AD69-805532C79A51}" name="DCG" dataDxfId="5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1">
    <sortCondition ref="B1:B51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58"/>
    <tableColumn id="2" xr3:uid="{14637A0D-F072-4269-B9F5-0AABD44ABD10}" name="Jaccard " dataDxfId="57">
      <calculatedColumnFormula>AVERAGEIF(Table126[[ Cycle size]],I2,Table126[JaccardCoefficient])</calculatedColumnFormula>
    </tableColumn>
    <tableColumn id="3" xr3:uid="{B9E2DBF4-3772-4870-8716-706F230E55BF}" name="Kendall" dataDxfId="56">
      <calculatedColumnFormula>AVERAGEIF(Table126[ [ Cycle size] ],I2,Table126[KendallTauCorrelation])</calculatedColumnFormula>
    </tableColumn>
    <tableColumn id="4" xr3:uid="{FE5E51E2-3AC9-48B0-B647-01483E631810}" name="DCG" dataDxfId="55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13F8E-9D1F-44F3-B9B7-10A8C87DC17F}" name="Table3634278945" displayName="Table3634278945" ref="N1:Q11" totalsRowShown="0" headerRowDxfId="54" dataDxfId="52" headerRowBorderDxfId="53" tableBorderDxfId="51" totalsRowBorderDxfId="50">
  <tableColumns count="4">
    <tableColumn id="1" xr3:uid="{B27E02D3-9768-48BC-B789-1B9CF6F32732}" name="Statistic" dataDxfId="49"/>
    <tableColumn id="2" xr3:uid="{0AE6CC6F-8338-40B8-A7EA-0CE6C5DBEBB1}" name="Jaccard " dataDxfId="48"/>
    <tableColumn id="3" xr3:uid="{BC2F1322-C5BA-4E28-ADDC-12F63BAC71DA}" name="Kendall" dataDxfId="47"/>
    <tableColumn id="4" xr3:uid="{4701E8A8-E648-4D0E-AFA6-9F86F5F53E8C}" name="DCG" dataDxfId="4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tabSelected="1" topLeftCell="B1" zoomScale="70" zoomScaleNormal="70" workbookViewId="0">
      <selection activeCell="O15" sqref="O15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7.796875" style="11" customWidth="1"/>
    <col min="11" max="11" width="8.73046875" style="1" customWidth="1"/>
    <col min="12" max="12" width="8.73046875" style="1"/>
    <col min="13" max="13" width="8.3984375" style="1" customWidth="1"/>
    <col min="14" max="14" width="32.73046875" style="1" bestFit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40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18" t="s">
        <v>41</v>
      </c>
      <c r="O2" s="19">
        <f>CORREL(I2:I22, J2:J22)</f>
        <v>-0.71018114887203065</v>
      </c>
      <c r="P2" s="19">
        <f>CORREL(I2:I22, K2:K22)</f>
        <v>-3.1345402429609481E-2</v>
      </c>
      <c r="Q2" s="20">
        <f>CORREL(I2:I22, L2:L22)</f>
        <v>-0.87642903442130859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1</v>
      </c>
      <c r="K3" s="2">
        <f>AVERAGEIF(Table1264348[ [ Cycle size] ],I3,Table1264348[KendallTauCorrelation])</f>
        <v>1</v>
      </c>
      <c r="L3" s="2">
        <f>AVERAGEIF(Table1264348[ [ Cycle size] ],I3,Table1264348[DiscountedCumulativeGain])</f>
        <v>1</v>
      </c>
      <c r="N3" s="21" t="s">
        <v>40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AVERAGEIF(Table1264348[[ Cycle size]],I4,Table1264348[JaccardCoefficient])</f>
        <v>0.83333333333333337</v>
      </c>
      <c r="K4" s="2">
        <f>AVERAGEIF(Table1264348[ [ Cycle size] ],I4,Table1264348[KendallTauCorrelation])</f>
        <v>0.88888888888888873</v>
      </c>
      <c r="L4" s="2">
        <f>AVERAGEIF(Table1264348[ [ Cycle size] ],I4,Table1264348[DiscountedCumulativeGain])</f>
        <v>0.96596793880543197</v>
      </c>
      <c r="N4" s="24" t="s">
        <v>42</v>
      </c>
      <c r="O4" s="25">
        <f>CORREL(I2:I20, J2:J20)</f>
        <v>-0.75029799695316901</v>
      </c>
      <c r="P4" s="25">
        <f>CORREL(I2:I20, K2:K20)</f>
        <v>-0.1694141927084977</v>
      </c>
      <c r="Q4" s="26">
        <f>CORREL(I2:I20, L2:L20)</f>
        <v>-0.8627956639382367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  <c r="N5" s="27" t="s">
        <v>40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0.94776052604962568</v>
      </c>
      <c r="N6" s="24" t="s">
        <v>47</v>
      </c>
      <c r="O6" s="25">
        <f>AVERAGEA(J2:J22)</f>
        <v>0.68738350895913891</v>
      </c>
      <c r="P6" s="25">
        <f t="shared" ref="P6:Q6" si="0">AVERAGEA(K2:K22)</f>
        <v>0.94159451444939435</v>
      </c>
      <c r="Q6" s="25">
        <f t="shared" si="0"/>
        <v>0.87313992284329345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0.71428571428571397</v>
      </c>
      <c r="K7" s="2">
        <f>AVERAGEIF(Table1264348[ [ Cycle size] ],I7,Table1264348[KendallTauCorrelation])</f>
        <v>0.90476190476190421</v>
      </c>
      <c r="L7" s="2">
        <f>AVERAGEIF(Table1264348[ [ Cycle size] ],I7,Table1264348[DiscountedCumulativeGain])</f>
        <v>0.98696979638936821</v>
      </c>
      <c r="N7" s="27" t="s">
        <v>40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1</v>
      </c>
      <c r="K8" s="2">
        <f>AVERAGEIF(Table1264348[ [ Cycle size] ],I8,Table1264348[KendallTauCorrelation])</f>
        <v>1</v>
      </c>
      <c r="L8" s="2">
        <f>AVERAGEIF(Table1264348[ [ Cycle size] ],I8,Table1264348[DiscountedCumulativeGain])</f>
        <v>1</v>
      </c>
      <c r="N8" s="24" t="s">
        <v>48</v>
      </c>
      <c r="O8" s="25">
        <f>MEDIAN(J2:J22)</f>
        <v>0.7</v>
      </c>
      <c r="P8" s="25">
        <f t="shared" ref="P8:Q8" si="1">MEDIAN(K2:K22)</f>
        <v>0.93464052287581656</v>
      </c>
      <c r="Q8" s="25">
        <f t="shared" si="1"/>
        <v>0.91764155886531995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0.75555555555555498</v>
      </c>
      <c r="K9" s="2">
        <f>AVERAGEIF(Table1264348[ [ Cycle size] ],I9,Table1264348[KendallTauCorrelation])</f>
        <v>0.93333333333333302</v>
      </c>
      <c r="L9" s="2">
        <f>AVERAGEIF(Table1264348[ [ Cycle size] ],I9,Table1264348[DiscountedCumulativeGain])</f>
        <v>0.91933674497598405</v>
      </c>
      <c r="N9" s="27" t="s">
        <v>40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0.7</v>
      </c>
      <c r="G10" s="1">
        <v>0.89790381641629602</v>
      </c>
      <c r="I10" s="12">
        <v>10</v>
      </c>
      <c r="J10" s="2">
        <f>AVERAGEIF(Table1264348[[ Cycle size]],I10,Table1264348[JaccardCoefficient])</f>
        <v>0.56666666666666665</v>
      </c>
      <c r="K10" s="2">
        <f>AVERAGEIF(Table1264348[ [ Cycle size] ],I10,Table1264348[KendallTauCorrelation])</f>
        <v>0.89629629629629604</v>
      </c>
      <c r="L10" s="2">
        <f>AVERAGEIF(Table1264348[ [ Cycle size] ],I10,Table1264348[DiscountedCumulativeGain])</f>
        <v>0.89420508603206061</v>
      </c>
      <c r="N10" s="24" t="s">
        <v>49</v>
      </c>
      <c r="O10" s="25">
        <f>SUMPRODUCT($I$2:$I$22,J2:J22)/SUM($I$2:$I$22)</f>
        <v>0.5206093189964156</v>
      </c>
      <c r="P10" s="25">
        <f t="shared" ref="P10:Q10" si="2">SUMPRODUCT($I$2:$I$22,K2:K22)/SUM($I$2:$I$22)</f>
        <v>0.94025609726735448</v>
      </c>
      <c r="Q10" s="25">
        <f t="shared" si="2"/>
        <v>0.75356758395864909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0.51666666666666639</v>
      </c>
      <c r="K11" s="2">
        <f>AVERAGEIF(Table1264348[ [ Cycle size] ],I11,Table1264348[KendallTauCorrelation])</f>
        <v>0.89696969696969686</v>
      </c>
      <c r="L11" s="2">
        <f>AVERAGEIF(Table1264348[ [ Cycle size] ],I11,Table1264348[DiscountedCumulativeGain])</f>
        <v>0.83886994825984795</v>
      </c>
      <c r="N11" s="24" t="s">
        <v>50</v>
      </c>
      <c r="O11" s="25">
        <f>SUMPRODUCT(I2:I20,J2:J20)/SUM(I2:I20)</f>
        <v>0.63085399449035795</v>
      </c>
      <c r="P11" s="25">
        <f>SUMPRODUCT(I2:I20,K2:K20)/SUM(I2:I20)</f>
        <v>0.93674859207075312</v>
      </c>
      <c r="Q11" s="25">
        <f>SUMPRODUCT(L2:L20,I2:I20)/SUM(I2:I20)</f>
        <v>0.85092906497767651</v>
      </c>
    </row>
    <row r="12" spans="1:17" x14ac:dyDescent="0.4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0.80952380952380931</v>
      </c>
      <c r="K12" s="2">
        <f>AVERAGEIF(Table1264348[ [ Cycle size] ],I12,Table1264348[KendallTauCorrelation])</f>
        <v>0.97069597069597069</v>
      </c>
      <c r="L12" s="2">
        <f>AVERAGEIF(Table1264348[ [ Cycle size] ],I12,Table1264348[DiscountedCumulativeGain])</f>
        <v>0.92899345553192381</v>
      </c>
    </row>
    <row r="13" spans="1:17" x14ac:dyDescent="0.45">
      <c r="A13" s="1">
        <v>27.2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0.850332604412121</v>
      </c>
      <c r="I13" s="12">
        <v>15</v>
      </c>
      <c r="J13" s="2">
        <f>AVERAGEIF(Table1264348[[ Cycle size]],I13,Table1264348[JaccardCoefficient])</f>
        <v>1</v>
      </c>
      <c r="K13" s="2">
        <f>AVERAGEIF(Table1264348[ [ Cycle size] ],I13,Table1264348[KendallTauCorrelation])</f>
        <v>1</v>
      </c>
      <c r="L13" s="2">
        <f>AVERAGEIF(Table1264348[ [ Cycle size] ],I13,Table1264348[DiscountedCumulativeGain])</f>
        <v>1</v>
      </c>
    </row>
    <row r="14" spans="1:17" x14ac:dyDescent="0.4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0.5625</v>
      </c>
      <c r="K14" s="2">
        <f>AVERAGEIF(Table1264348[ [ Cycle size] ],I14,Table1264348[KendallTauCorrelation])</f>
        <v>0.91666666666666596</v>
      </c>
      <c r="L14" s="2">
        <f>AVERAGEIF(Table1264348[ [ Cycle size] ],I14,Table1264348[DiscountedCumulativeGain])</f>
        <v>0.8870703112124585</v>
      </c>
    </row>
    <row r="15" spans="1:17" x14ac:dyDescent="0.4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0.5588235294117645</v>
      </c>
      <c r="K15" s="2">
        <f>AVERAGEIF(Table1264348[ [ Cycle size] ],I15,Table1264348[KendallTauCorrelation])</f>
        <v>0.92647058823529349</v>
      </c>
      <c r="L15" s="2">
        <f>AVERAGEIF(Table1264348[ [ Cycle size] ],I15,Table1264348[DiscountedCumulativeGain])</f>
        <v>0.83283514403081449</v>
      </c>
    </row>
    <row r="16" spans="1:17" x14ac:dyDescent="0.4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0.93464052287581656</v>
      </c>
      <c r="L16" s="2">
        <f>AVERAGEIF(Table1264348[ [ Cycle size] ],I16,Table1264348[DiscountedCumulativeGain])</f>
        <v>0.81439469505359297</v>
      </c>
    </row>
    <row r="17" spans="1:12" x14ac:dyDescent="0.4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0.82142857142857095</v>
      </c>
      <c r="G17" s="1">
        <v>0.95366849560259803</v>
      </c>
      <c r="I17" s="12">
        <v>20</v>
      </c>
      <c r="J17" s="2">
        <f>AVERAGEIF(Table1264348[[ Cycle size]],I17,Table1264348[JaccardCoefficient])</f>
        <v>0.7</v>
      </c>
      <c r="K17" s="2">
        <f>AVERAGEIF(Table1264348[ [ Cycle size] ],I17,Table1264348[KendallTauCorrelation])</f>
        <v>0.96842105263157896</v>
      </c>
      <c r="L17" s="2">
        <f>AVERAGEIF(Table1264348[ [ Cycle size] ],I17,Table1264348[DiscountedCumulativeGain])</f>
        <v>0.91764155886531995</v>
      </c>
    </row>
    <row r="18" spans="1:12" x14ac:dyDescent="0.45">
      <c r="A18" s="1">
        <v>43.2</v>
      </c>
      <c r="B18" s="1">
        <v>7</v>
      </c>
      <c r="C18" s="1">
        <v>0.42857142857142799</v>
      </c>
      <c r="D18" s="1">
        <v>0.83333333333333304</v>
      </c>
      <c r="E18" s="1">
        <v>0.80952380952380898</v>
      </c>
      <c r="F18" s="1">
        <v>0.5</v>
      </c>
      <c r="G18" s="1">
        <v>0.99949895965230795</v>
      </c>
      <c r="I18" s="12">
        <v>21</v>
      </c>
      <c r="J18" s="2">
        <f>AVERAGEIF(Table1264348[[ Cycle size]],I18,Table1264348[JaccardCoefficient])</f>
        <v>0.52380952380952295</v>
      </c>
      <c r="K18" s="2">
        <f>AVERAGEIF(Table1264348[ [ Cycle size] ],I18,Table1264348[KendallTauCorrelation])</f>
        <v>0.92380952380952297</v>
      </c>
      <c r="L18" s="2">
        <f>AVERAGEIF(Table1264348[ [ Cycle size] ],I18,Table1264348[DiscountedCumulativeGain])</f>
        <v>0.81580790524194702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AVERAGEIF(Table1264348[[ Cycle size]],I19,Table1264348[JaccardCoefficient])</f>
        <v>0.48</v>
      </c>
      <c r="K19" s="2">
        <f>AVERAGEIF(Table1264348[ [ Cycle size] ],I19,Table1264348[KendallTauCorrelation])</f>
        <v>0.94</v>
      </c>
      <c r="L19" s="2">
        <f>AVERAGEIF(Table1264348[ [ Cycle size] ],I19,Table1264348[DiscountedCumulativeGain])</f>
        <v>0.698047457715674</v>
      </c>
    </row>
    <row r="20" spans="1:12" x14ac:dyDescent="0.4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0.33333333333333298</v>
      </c>
      <c r="K20" s="2">
        <f>AVERAGEIF(Table1264348[ [ Cycle size] ],I20,Table1264348[KendallTauCorrelation])</f>
        <v>0.91264367816091896</v>
      </c>
      <c r="L20" s="2">
        <f>AVERAGEIF(Table1264348[ [ Cycle size] ],I20,Table1264348[DiscountedCumulativeGain])</f>
        <v>0.67435901158387002</v>
      </c>
    </row>
    <row r="21" spans="1:12" x14ac:dyDescent="0.4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0.47499999999999998</v>
      </c>
      <c r="K21" s="2">
        <f>AVERAGEIF(Table1264348[ [ Cycle size] ],I21,Table1264348[KendallTauCorrelation])</f>
        <v>0.94615384615384601</v>
      </c>
      <c r="L21" s="2">
        <f>AVERAGEIF(Table1264348[ [ Cycle size] ],I21,Table1264348[DiscountedCumulativeGain])</f>
        <v>0.69657568976983897</v>
      </c>
    </row>
    <row r="22" spans="1:12" x14ac:dyDescent="0.45">
      <c r="A22" s="1">
        <v>2.2000000000000002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0.24444444444444399</v>
      </c>
      <c r="K22" s="2">
        <f>AVERAGEIF(Table1264348[ [ Cycle size] ],I22,Table1264348[KendallTauCorrelation])</f>
        <v>0.947066167290886</v>
      </c>
      <c r="L22" s="2">
        <f>AVERAGEIF(Table1264348[ [ Cycle size] ],I22,Table1264348[DiscountedCumulativeGain])</f>
        <v>0.51710311019140198</v>
      </c>
    </row>
    <row r="23" spans="1:12" x14ac:dyDescent="0.45">
      <c r="A23" s="1">
        <v>11.2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0.97777777777777697</v>
      </c>
      <c r="G23" s="1">
        <v>0.86492944988589404</v>
      </c>
      <c r="I23" s="1"/>
      <c r="J23" s="1"/>
    </row>
    <row r="24" spans="1:12" x14ac:dyDescent="0.4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0.8</v>
      </c>
      <c r="G24" s="1">
        <v>0.97117150837495003</v>
      </c>
      <c r="I24" s="1"/>
      <c r="J24" s="1"/>
    </row>
    <row r="25" spans="1:12" x14ac:dyDescent="0.4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 s="1"/>
      <c r="J25" s="1"/>
    </row>
    <row r="26" spans="1:12" x14ac:dyDescent="0.45">
      <c r="A26" s="1">
        <v>40.200000000000003</v>
      </c>
      <c r="B26" s="1">
        <v>9</v>
      </c>
      <c r="C26" s="1">
        <v>0.44444444444444398</v>
      </c>
      <c r="D26" s="1">
        <v>0.85</v>
      </c>
      <c r="E26" s="1">
        <v>0.83333333333333304</v>
      </c>
      <c r="F26" s="1">
        <v>0.64444444444444404</v>
      </c>
      <c r="G26" s="1">
        <v>0.84163769789871001</v>
      </c>
    </row>
    <row r="27" spans="1:12" x14ac:dyDescent="0.45">
      <c r="A27" s="1">
        <v>37.200000000000003</v>
      </c>
      <c r="B27" s="1">
        <v>10</v>
      </c>
      <c r="C27" s="1">
        <v>0.6</v>
      </c>
      <c r="D27" s="1">
        <v>0.92</v>
      </c>
      <c r="E27" s="1">
        <v>0.91111111111111098</v>
      </c>
      <c r="F27" s="1">
        <v>0.6</v>
      </c>
      <c r="G27" s="1">
        <v>0.95254585450761498</v>
      </c>
    </row>
    <row r="28" spans="1:12" x14ac:dyDescent="0.45">
      <c r="A28" s="1">
        <v>38.200000000000003</v>
      </c>
      <c r="B28" s="1">
        <v>10</v>
      </c>
      <c r="C28" s="1">
        <v>0.3</v>
      </c>
      <c r="D28" s="1">
        <v>0.84</v>
      </c>
      <c r="E28" s="1">
        <v>0.82222222222222197</v>
      </c>
      <c r="F28" s="1">
        <v>0.472727272727272</v>
      </c>
      <c r="G28" s="1">
        <v>0.81831469546762903</v>
      </c>
    </row>
    <row r="29" spans="1:12" x14ac:dyDescent="0.45">
      <c r="A29" s="1">
        <v>42.2</v>
      </c>
      <c r="B29" s="1">
        <v>10</v>
      </c>
      <c r="C29" s="1">
        <v>0.8</v>
      </c>
      <c r="D29" s="1">
        <v>0.96</v>
      </c>
      <c r="E29" s="1">
        <v>0.95555555555555505</v>
      </c>
      <c r="F29" s="1">
        <v>0.90909090909090895</v>
      </c>
      <c r="G29" s="1">
        <v>0.91175470812093795</v>
      </c>
    </row>
    <row r="30" spans="1:12" x14ac:dyDescent="0.45">
      <c r="A30" s="1">
        <v>3.2</v>
      </c>
      <c r="B30" s="1">
        <v>12</v>
      </c>
      <c r="C30" s="1">
        <v>0.25</v>
      </c>
      <c r="D30" s="1">
        <v>0.83333333333333304</v>
      </c>
      <c r="E30" s="1">
        <v>0.81818181818181801</v>
      </c>
      <c r="F30" s="1">
        <v>0.269230769230769</v>
      </c>
      <c r="G30" s="1">
        <v>0.86053579095541799</v>
      </c>
    </row>
    <row r="31" spans="1:12" x14ac:dyDescent="0.45">
      <c r="A31" s="1">
        <v>12.2</v>
      </c>
      <c r="B31" s="1">
        <v>12</v>
      </c>
      <c r="C31" s="1">
        <v>0.58333333333333304</v>
      </c>
      <c r="D31" s="1">
        <v>0.91666666666666596</v>
      </c>
      <c r="E31" s="1">
        <v>0.90909090909090895</v>
      </c>
      <c r="F31" s="1">
        <v>0.80769230769230704</v>
      </c>
      <c r="G31" s="1">
        <v>0.78559900907778102</v>
      </c>
    </row>
    <row r="32" spans="1:12" x14ac:dyDescent="0.45">
      <c r="A32" s="1">
        <v>15.2</v>
      </c>
      <c r="B32" s="1">
        <v>12</v>
      </c>
      <c r="C32" s="1">
        <v>0.5</v>
      </c>
      <c r="D32" s="1">
        <v>0.91666666666666596</v>
      </c>
      <c r="E32" s="1">
        <v>0.90909090909090895</v>
      </c>
      <c r="F32" s="1">
        <v>0.60256410256410198</v>
      </c>
      <c r="G32" s="1">
        <v>0.84139031640192796</v>
      </c>
    </row>
    <row r="33" spans="1:7" x14ac:dyDescent="0.45">
      <c r="A33" s="1">
        <v>41.2</v>
      </c>
      <c r="B33" s="1">
        <v>12</v>
      </c>
      <c r="C33" s="1">
        <v>0.58333333333333304</v>
      </c>
      <c r="D33" s="1">
        <v>0.91666666666666596</v>
      </c>
      <c r="E33" s="1">
        <v>0.90909090909090895</v>
      </c>
      <c r="F33" s="1">
        <v>0.73076923076922995</v>
      </c>
      <c r="G33" s="1">
        <v>0.83222855345770197</v>
      </c>
    </row>
    <row r="34" spans="1:7" x14ac:dyDescent="0.4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0.76923076923076905</v>
      </c>
      <c r="G34" s="1">
        <v>0.87459607140641005</v>
      </c>
    </row>
    <row r="35" spans="1:7" x14ac:dyDescent="0.45">
      <c r="A35" s="1">
        <v>25.2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0.628571428571428</v>
      </c>
      <c r="G35" s="1">
        <v>0.85669084259336103</v>
      </c>
    </row>
    <row r="36" spans="1:7" x14ac:dyDescent="0.4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5">
      <c r="A37" s="1">
        <v>49.2</v>
      </c>
      <c r="B37" s="1">
        <v>14</v>
      </c>
      <c r="C37" s="1">
        <v>0.85714285714285698</v>
      </c>
      <c r="D37" s="1">
        <v>0.97959183673469297</v>
      </c>
      <c r="E37" s="1">
        <v>0.97802197802197799</v>
      </c>
      <c r="F37" s="1">
        <v>0.91428571428571404</v>
      </c>
      <c r="G37" s="1">
        <v>0.93028952400241005</v>
      </c>
    </row>
    <row r="38" spans="1:7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5">
      <c r="A39" s="1">
        <v>7.2</v>
      </c>
      <c r="B39" s="1">
        <v>16</v>
      </c>
      <c r="C39" s="1">
        <v>0.625</v>
      </c>
      <c r="D39" s="1">
        <v>0.9375</v>
      </c>
      <c r="E39" s="1">
        <v>0.91666666666666596</v>
      </c>
      <c r="F39" s="1">
        <v>0.61764705882352899</v>
      </c>
      <c r="G39" s="1">
        <v>0.90664262190304901</v>
      </c>
    </row>
    <row r="40" spans="1:7" x14ac:dyDescent="0.45">
      <c r="A40" s="1">
        <v>34.200000000000003</v>
      </c>
      <c r="B40" s="1">
        <v>16</v>
      </c>
      <c r="C40" s="1">
        <v>0.5</v>
      </c>
      <c r="D40" s="1">
        <v>0.921875</v>
      </c>
      <c r="E40" s="1">
        <v>0.91666666666666596</v>
      </c>
      <c r="F40" s="1">
        <v>0.48529411764705799</v>
      </c>
      <c r="G40" s="1">
        <v>0.86749800052186798</v>
      </c>
    </row>
    <row r="41" spans="1:7" x14ac:dyDescent="0.45">
      <c r="A41" s="1">
        <v>14.2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45">
      <c r="A42" s="1">
        <v>36.200000000000003</v>
      </c>
      <c r="B42" s="1">
        <v>17</v>
      </c>
      <c r="C42" s="1">
        <v>0.52941176470588203</v>
      </c>
      <c r="D42" s="1">
        <v>0.93055555555555503</v>
      </c>
      <c r="E42" s="1">
        <v>0.91176470588235203</v>
      </c>
      <c r="F42" s="1">
        <v>0.56209150326797297</v>
      </c>
      <c r="G42" s="1">
        <v>0.83612966468928795</v>
      </c>
    </row>
    <row r="43" spans="1:7" x14ac:dyDescent="0.45">
      <c r="A43" s="1">
        <v>45.2</v>
      </c>
      <c r="B43" s="1">
        <v>18</v>
      </c>
      <c r="C43" s="1">
        <v>0.44444444444444398</v>
      </c>
      <c r="D43" s="1">
        <v>0.91358024691357997</v>
      </c>
      <c r="E43" s="1">
        <v>0.89542483660130701</v>
      </c>
      <c r="F43" s="1">
        <v>0.67251461988304095</v>
      </c>
      <c r="G43" s="1">
        <v>0.67643421718551999</v>
      </c>
    </row>
    <row r="44" spans="1:7" x14ac:dyDescent="0.45">
      <c r="A44" s="1">
        <v>48.2</v>
      </c>
      <c r="B44" s="1">
        <v>18</v>
      </c>
      <c r="C44" s="1">
        <v>0.83333333333333304</v>
      </c>
      <c r="D44" s="1">
        <v>0.97530864197530798</v>
      </c>
      <c r="E44" s="1">
        <v>0.973856209150326</v>
      </c>
      <c r="F44" s="1">
        <v>0.82456140350877105</v>
      </c>
      <c r="G44" s="1">
        <v>0.95235517292166605</v>
      </c>
    </row>
    <row r="45" spans="1:7" x14ac:dyDescent="0.4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0.71904761904761905</v>
      </c>
      <c r="G45" s="1">
        <v>0.88264554654727601</v>
      </c>
    </row>
    <row r="46" spans="1:7" x14ac:dyDescent="0.45">
      <c r="A46" s="1">
        <v>35.200000000000003</v>
      </c>
      <c r="B46" s="1">
        <v>20</v>
      </c>
      <c r="C46" s="1">
        <v>0.7</v>
      </c>
      <c r="D46" s="1">
        <v>0.97</v>
      </c>
      <c r="E46" s="1">
        <v>0.96842105263157896</v>
      </c>
      <c r="F46" s="1">
        <v>0.60476190476190395</v>
      </c>
      <c r="G46" s="1">
        <v>0.95263757118336401</v>
      </c>
    </row>
    <row r="47" spans="1:7" x14ac:dyDescent="0.45">
      <c r="A47" s="1">
        <v>24.2</v>
      </c>
      <c r="B47" s="1">
        <v>21</v>
      </c>
      <c r="C47" s="1">
        <v>0.52380952380952295</v>
      </c>
      <c r="D47" s="1">
        <v>0.93636363636363595</v>
      </c>
      <c r="E47" s="1">
        <v>0.92380952380952297</v>
      </c>
      <c r="F47" s="1">
        <v>0.53679653679653605</v>
      </c>
      <c r="G47" s="1">
        <v>0.81580790524194702</v>
      </c>
    </row>
    <row r="48" spans="1:7" x14ac:dyDescent="0.45">
      <c r="A48" s="1">
        <v>44.2</v>
      </c>
      <c r="B48" s="1">
        <v>25</v>
      </c>
      <c r="C48" s="1">
        <v>0.48</v>
      </c>
      <c r="D48" s="1">
        <v>0.94871794871794801</v>
      </c>
      <c r="E48" s="1">
        <v>0.94</v>
      </c>
      <c r="F48" s="1">
        <v>0.61846153846153795</v>
      </c>
      <c r="G48" s="1">
        <v>0.698047457715674</v>
      </c>
    </row>
    <row r="49" spans="1:7" x14ac:dyDescent="0.45">
      <c r="A49" s="1">
        <v>31.2</v>
      </c>
      <c r="B49" s="1">
        <v>30</v>
      </c>
      <c r="C49" s="1">
        <v>0.33333333333333298</v>
      </c>
      <c r="D49" s="1">
        <v>0.92444444444444396</v>
      </c>
      <c r="E49" s="1">
        <v>0.91264367816091896</v>
      </c>
      <c r="F49" s="1">
        <v>0.37204301075268797</v>
      </c>
      <c r="G49" s="1">
        <v>0.67435901158387002</v>
      </c>
    </row>
    <row r="50" spans="1:7" x14ac:dyDescent="0.45">
      <c r="A50" s="1">
        <v>16.2</v>
      </c>
      <c r="B50" s="1">
        <v>40</v>
      </c>
      <c r="C50" s="1">
        <v>0.47499999999999998</v>
      </c>
      <c r="D50" s="1">
        <v>0.95750000000000002</v>
      </c>
      <c r="E50" s="1">
        <v>0.94615384615384601</v>
      </c>
      <c r="F50" s="1">
        <v>0.53170731707316998</v>
      </c>
      <c r="G50" s="1">
        <v>0.69657568976983897</v>
      </c>
    </row>
    <row r="51" spans="1:7" x14ac:dyDescent="0.45">
      <c r="A51" s="1">
        <v>19.2</v>
      </c>
      <c r="B51" s="1">
        <v>90</v>
      </c>
      <c r="C51" s="1">
        <v>0.24444444444444399</v>
      </c>
      <c r="D51" s="1">
        <v>0.96098765432098698</v>
      </c>
      <c r="E51" s="1">
        <v>0.947066167290886</v>
      </c>
      <c r="F51" s="1">
        <v>0.26935286935286901</v>
      </c>
      <c r="G51" s="1">
        <v>0.51710311019140198</v>
      </c>
    </row>
    <row r="52" spans="1:7" x14ac:dyDescent="0.45">
      <c r="A52" s="1" t="s">
        <v>32</v>
      </c>
      <c r="C52" s="1">
        <f>SUBTOTAL(101,Table1264348[JaccardCoefficient])</f>
        <v>0.71981008403361357</v>
      </c>
      <c r="D52" s="1">
        <f>SUBTOTAL(101,Table1264348[MismatchDistanceCoefficient])</f>
        <v>0.94481512061571582</v>
      </c>
      <c r="E52" s="1">
        <f>SUBTOTAL(101,Table1264348[KendallTauCorrelation])</f>
        <v>0.93600554228880217</v>
      </c>
      <c r="F52" s="1">
        <f>SUBTOTAL(101,Table1264348[MismatchPositionCoefficient])</f>
        <v>0.76903177191018668</v>
      </c>
      <c r="G52" s="1">
        <f>SUBTOTAL(101,Table1264348[DiscountedCumulativeGain])</f>
        <v>0.90510940527641703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7">
        <f>Linear!E17</f>
        <v>0.90476190476190399</v>
      </c>
      <c r="C2" s="7">
        <f>Linear!E18</f>
        <v>1</v>
      </c>
      <c r="D2" s="7">
        <f>Linear!E19</f>
        <v>1</v>
      </c>
    </row>
    <row r="3" spans="1:4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45">
      <c r="A2" s="5" t="s">
        <v>5</v>
      </c>
      <c r="B2" s="7">
        <f>Linear!E12</f>
        <v>1</v>
      </c>
      <c r="C2" s="7">
        <f>Linear!E13</f>
        <v>1</v>
      </c>
      <c r="D2" s="7">
        <f>Linear!E14</f>
        <v>0.86666666666666603</v>
      </c>
      <c r="F2" s="1" t="str">
        <f>Table91120[[#This Row],[Model]]</f>
        <v>Linear</v>
      </c>
      <c r="G2" s="1">
        <f>Table91120[[#This Row],[5]]</f>
        <v>1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0.86666666666666603</v>
      </c>
      <c r="P2" s="1">
        <f>D8</f>
        <v>0.97551020408163236</v>
      </c>
    </row>
    <row r="3" spans="1:16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4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4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17</v>
      </c>
    </row>
    <row r="19" spans="6:6" x14ac:dyDescent="0.45">
      <c r="F19" s="1" t="s">
        <v>18</v>
      </c>
    </row>
    <row r="20" spans="6:6" x14ac:dyDescent="0.45">
      <c r="F20" s="1" t="s">
        <v>19</v>
      </c>
    </row>
    <row r="21" spans="6:6" x14ac:dyDescent="0.45">
      <c r="F21" s="1" t="s">
        <v>20</v>
      </c>
    </row>
    <row r="22" spans="6:6" x14ac:dyDescent="0.45">
      <c r="F22" s="1" t="s">
        <v>21</v>
      </c>
    </row>
    <row r="23" spans="6:6" x14ac:dyDescent="0.4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D1" zoomScale="80" zoomScaleNormal="80" workbookViewId="0">
      <selection activeCell="O10" sqref="O10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13.06640625" style="11" customWidth="1"/>
    <col min="11" max="11" width="10.33203125" style="1" customWidth="1"/>
    <col min="12" max="12" width="8.73046875" style="1"/>
    <col min="13" max="13" width="10.59765625" style="1" customWidth="1"/>
    <col min="14" max="14" width="32.19921875" style="1" bestFit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40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18" t="s">
        <v>41</v>
      </c>
      <c r="O2" s="19">
        <f>CORREL(I2:I22, J2:J22)</f>
        <v>-0.79359322745568095</v>
      </c>
      <c r="P2" s="19">
        <f>CORREL(I2:I22, K2:K22)</f>
        <v>-1.5624617602267566E-2</v>
      </c>
      <c r="Q2" s="20">
        <f>CORREL(I2:I22, L2:L22)</f>
        <v>-0.9093991241335091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AVERAGEIF(Table12643[[ Cycle size]],I3,Table12643[JaccardCoefficient])</f>
        <v>1</v>
      </c>
      <c r="K3" s="2">
        <f>AVERAGEIF(Table12643[ [ Cycle size] ],I3,Table12643[KendallTauCorrelation])</f>
        <v>1</v>
      </c>
      <c r="L3" s="2">
        <f>AVERAGEIF(Table12643[ [ Cycle size] ],I3,Table12643[DiscountedCumulativeGain])</f>
        <v>1</v>
      </c>
      <c r="N3" s="21" t="s">
        <v>40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0.88343675279582001</v>
      </c>
      <c r="N4" s="24" t="s">
        <v>42</v>
      </c>
      <c r="O4" s="25">
        <f>CORREL(I2:I20, J2:J20)</f>
        <v>-0.62230641800395947</v>
      </c>
      <c r="P4" s="25">
        <f>CORREL(I2:I20, K2:K20)</f>
        <v>7.0987319974828253E-2</v>
      </c>
      <c r="Q4" s="26">
        <f>CORREL(I2:I20, L2:L20)</f>
        <v>-0.71782163823377798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  <c r="N5" s="27" t="s">
        <v>40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AVERAGEIF(Table12643[[ Cycle size]],I6,Table12643[JaccardCoefficient])</f>
        <v>0.88888888888888873</v>
      </c>
      <c r="K6" s="2">
        <f>AVERAGEIF(Table12643[ [ Cycle size] ],I6,Table12643[KendallTauCorrelation])</f>
        <v>0.95555555555555538</v>
      </c>
      <c r="L6" s="2">
        <f>AVERAGEIF(Table12643[ [ Cycle size] ],I6,Table12643[DiscountedCumulativeGain])</f>
        <v>0.98379425657401498</v>
      </c>
      <c r="N6" s="24" t="s">
        <v>47</v>
      </c>
      <c r="O6" s="25">
        <f>AVERAGEA(J2:J22)</f>
        <v>0.82032624160775403</v>
      </c>
      <c r="P6" s="25">
        <f t="shared" ref="P6:Q6" si="0">AVERAGEA(K2:K22)</f>
        <v>0.96646053765865891</v>
      </c>
      <c r="Q6" s="25">
        <f t="shared" si="0"/>
        <v>0.9228881505969917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AVERAGEIF(Table12643[[ Cycle size]],I7,Table12643[JaccardCoefficient])</f>
        <v>1</v>
      </c>
      <c r="K7" s="2">
        <f>AVERAGEIF(Table12643[ [ Cycle size] ],I7,Table12643[KendallTauCorrelation])</f>
        <v>1</v>
      </c>
      <c r="L7" s="2">
        <f>AVERAGEIF(Table12643[ [ Cycle size] ],I7,Table12643[DiscountedCumulativeGain])</f>
        <v>1</v>
      </c>
      <c r="N7" s="27" t="s">
        <v>40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26.2</v>
      </c>
      <c r="B8" s="1">
        <v>4</v>
      </c>
      <c r="C8" s="1">
        <v>0.5</v>
      </c>
      <c r="D8" s="1">
        <v>0.75</v>
      </c>
      <c r="E8" s="1">
        <v>0.66666666666666596</v>
      </c>
      <c r="F8" s="1">
        <v>0.7</v>
      </c>
      <c r="G8" s="1">
        <v>0.89790381641629602</v>
      </c>
      <c r="I8" s="12">
        <v>8</v>
      </c>
      <c r="J8" s="2">
        <f>AVERAGEIF(Table12643[[ Cycle size]],I8,Table12643[JaccardCoefficient])</f>
        <v>0.91666666666666663</v>
      </c>
      <c r="K8" s="2">
        <f>AVERAGEIF(Table12643[ [ Cycle size] ],I8,Table12643[KendallTauCorrelation])</f>
        <v>0.97619047619047594</v>
      </c>
      <c r="L8" s="2">
        <f>AVERAGEIF(Table12643[ [ Cycle size] ],I8,Table12643[DiscountedCumulativeGain])</f>
        <v>0.96622711196681932</v>
      </c>
      <c r="N8" s="24" t="s">
        <v>48</v>
      </c>
      <c r="O8" s="25">
        <f>MEDIAN(J2:J22)</f>
        <v>0.8571428571428571</v>
      </c>
      <c r="P8" s="25">
        <f t="shared" ref="P8:Q8" si="1">MEDIAN(K2:K22)</f>
        <v>0.97619047619047594</v>
      </c>
      <c r="Q8" s="25">
        <f t="shared" si="1"/>
        <v>0.95694829540600446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AVERAGEIF(Table12643[[ Cycle size]],I9,Table12643[JaccardCoefficient])</f>
        <v>1</v>
      </c>
      <c r="K9" s="2">
        <f>AVERAGEIF(Table12643[ [ Cycle size] ],I9,Table12643[KendallTauCorrelation])</f>
        <v>1</v>
      </c>
      <c r="L9" s="2">
        <f>AVERAGEIF(Table12643[ [ Cycle size] ],I9,Table12643[DiscountedCumulativeGain])</f>
        <v>1</v>
      </c>
      <c r="N9" s="27" t="s">
        <v>40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AVERAGEIF(Table12643[[ Cycle size]],I10,Table12643[JaccardCoefficient])</f>
        <v>0.93333333333333324</v>
      </c>
      <c r="K10" s="2">
        <f>AVERAGEIF(Table12643[ [ Cycle size] ],I10,Table12643[KendallTauCorrelation])</f>
        <v>0.98518518518518494</v>
      </c>
      <c r="L10" s="2">
        <f>AVERAGEIF(Table12643[ [ Cycle size] ],I10,Table12643[DiscountedCumulativeGain])</f>
        <v>0.99910259665740531</v>
      </c>
      <c r="N10" s="24" t="s">
        <v>49</v>
      </c>
      <c r="O10" s="25">
        <f>SUMPRODUCT($I$2:$I$22,J2:J22)/SUM($I$2:$I$22)</f>
        <v>0.67706093189964134</v>
      </c>
      <c r="P10" s="25">
        <f t="shared" ref="P10:Q10" si="2">SUMPRODUCT($I$2:$I$22,K2:K22)/SUM($I$2:$I$22)</f>
        <v>0.96570108067146765</v>
      </c>
      <c r="Q10" s="25">
        <f t="shared" si="2"/>
        <v>0.83360223552573831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AVERAGEIF(Table12643[[ Cycle size]],I11,Table12643[JaccardCoefficient])</f>
        <v>0.84999999999999987</v>
      </c>
      <c r="K11" s="2">
        <f>AVERAGEIF(Table12643[ [ Cycle size] ],I11,Table12643[KendallTauCorrelation])</f>
        <v>0.96969696969696939</v>
      </c>
      <c r="L11" s="2">
        <f>AVERAGEIF(Table12643[ [ Cycle size] ],I11,Table12643[DiscountedCumulativeGain])</f>
        <v>0.94109506075935678</v>
      </c>
      <c r="N11" s="24" t="s">
        <v>50</v>
      </c>
      <c r="O11" s="25">
        <f>SUMPRODUCT(I2:I20,J2:J20)/SUM(I2:I20)</f>
        <v>0.80936639118457276</v>
      </c>
      <c r="P11" s="25">
        <f>SUMPRODUCT(I2:I20,K2:K20)/SUM(I2:I20)</f>
        <v>0.96973366545469708</v>
      </c>
      <c r="Q11" s="25">
        <f>SUMPRODUCT(L2:L20,I2:I20)/SUM(I2:I20)</f>
        <v>0.92111739877286536</v>
      </c>
    </row>
    <row r="12" spans="1:17" x14ac:dyDescent="0.4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AVERAGEIF(Table12643[[ Cycle size]],I12,Table12643[JaccardCoefficient])</f>
        <v>0.8571428571428571</v>
      </c>
      <c r="K12" s="2">
        <f>AVERAGEIF(Table12643[ [ Cycle size] ],I12,Table12643[KendallTauCorrelation])</f>
        <v>0.9780219780219781</v>
      </c>
      <c r="L12" s="2">
        <f>AVERAGEIF(Table12643[ [ Cycle size] ],I12,Table12643[DiscountedCumulativeGain])</f>
        <v>0.9255273975617726</v>
      </c>
    </row>
    <row r="13" spans="1:17" x14ac:dyDescent="0.45">
      <c r="A13" s="1">
        <v>27.2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0.66666666666666596</v>
      </c>
      <c r="G13" s="1">
        <v>0.95138276972204505</v>
      </c>
      <c r="I13" s="12">
        <v>15</v>
      </c>
      <c r="J13" s="2">
        <f>AVERAGEIF(Table12643[[ Cycle size]],I13,Table12643[JaccardCoefficient])</f>
        <v>0.86666666666666603</v>
      </c>
      <c r="K13" s="2">
        <f>AVERAGEIF(Table12643[ [ Cycle size] ],I13,Table12643[KendallTauCorrelation])</f>
        <v>0.94285714285714195</v>
      </c>
      <c r="L13" s="2">
        <f>AVERAGEIF(Table12643[ [ Cycle size] ],I13,Table12643[DiscountedCumulativeGain])</f>
        <v>0.96558984646078805</v>
      </c>
    </row>
    <row r="14" spans="1:17" x14ac:dyDescent="0.4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AVERAGEIF(Table12643[[ Cycle size]],I14,Table12643[JaccardCoefficient])</f>
        <v>0.8125</v>
      </c>
      <c r="K14" s="2">
        <f>AVERAGEIF(Table12643[ [ Cycle size] ],I14,Table12643[KendallTauCorrelation])</f>
        <v>0.97499999999999942</v>
      </c>
      <c r="L14" s="2">
        <f>AVERAGEIF(Table12643[ [ Cycle size] ],I14,Table12643[DiscountedCumulativeGain])</f>
        <v>0.89589498787780997</v>
      </c>
    </row>
    <row r="15" spans="1:17" x14ac:dyDescent="0.4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AVERAGEIF(Table12643[[ Cycle size]],I15,Table12643[JaccardCoefficient])</f>
        <v>0.94117647058823506</v>
      </c>
      <c r="K15" s="2">
        <f>AVERAGEIF(Table12643[ [ Cycle size] ],I15,Table12643[KendallTauCorrelation])</f>
        <v>0.99264705882352899</v>
      </c>
      <c r="L15" s="2">
        <f>AVERAGEIF(Table12643[ [ Cycle size] ],I15,Table12643[DiscountedCumulativeGain])</f>
        <v>0.97197381744595401</v>
      </c>
    </row>
    <row r="16" spans="1:17" x14ac:dyDescent="0.4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AVERAGEIF(Table12643[[ Cycle size]],I16,Table12643[JaccardCoefficient])</f>
        <v>0.72222222222222143</v>
      </c>
      <c r="K16" s="2">
        <f>AVERAGEIF(Table12643[ [ Cycle size] ],I16,Table12643[KendallTauCorrelation])</f>
        <v>0.96732026143790795</v>
      </c>
      <c r="L16" s="2">
        <f>AVERAGEIF(Table12643[ [ Cycle size] ],I16,Table12643[DiscountedCumulativeGain])</f>
        <v>0.90898845629243308</v>
      </c>
    </row>
    <row r="17" spans="1:12" x14ac:dyDescent="0.45">
      <c r="A17" s="1">
        <v>8.1999999999999993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AVERAGEIF(Table12643[[ Cycle size]],I17,Table12643[JaccardCoefficient])</f>
        <v>0.7</v>
      </c>
      <c r="K17" s="2">
        <f>AVERAGEIF(Table12643[ [ Cycle size] ],I17,Table12643[KendallTauCorrelation])</f>
        <v>0.96315789473684199</v>
      </c>
      <c r="L17" s="2">
        <f>AVERAGEIF(Table12643[ [ Cycle size] ],I17,Table12643[DiscountedCumulativeGain])</f>
        <v>0.95694829540600446</v>
      </c>
    </row>
    <row r="18" spans="1:12" x14ac:dyDescent="0.4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0.85714285714285698</v>
      </c>
      <c r="K18" s="2">
        <f>AVERAGEIF(Table12643[ [ Cycle size] ],I18,Table12643[KendallTauCorrelation])</f>
        <v>0.98095238095238002</v>
      </c>
      <c r="L18" s="2">
        <f>AVERAGEIF(Table12643[ [ Cycle size] ],I18,Table12643[DiscountedCumulativeGain])</f>
        <v>0.93200183522997604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AVERAGEIF(Table12643[[ Cycle size]],I19,Table12643[JaccardCoefficient])</f>
        <v>0.52</v>
      </c>
      <c r="K19" s="2">
        <f>AVERAGEIF(Table12643[ [ Cycle size] ],I19,Table12643[KendallTauCorrelation])</f>
        <v>0.94</v>
      </c>
      <c r="L19" s="2">
        <f>AVERAGEIF(Table12643[ [ Cycle size] ],I19,Table12643[DiscountedCumulativeGain])</f>
        <v>0.80163984709273295</v>
      </c>
    </row>
    <row r="20" spans="1:12" x14ac:dyDescent="0.4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AVERAGEIF(Table12643[[ Cycle size]],I20,Table12643[JaccardCoefficient])</f>
        <v>0.76666666666666605</v>
      </c>
      <c r="K20" s="2">
        <f>AVERAGEIF(Table12643[ [ Cycle size] ],I20,Table12643[KendallTauCorrelation])</f>
        <v>0.98160919540229796</v>
      </c>
      <c r="L20" s="2">
        <f>AVERAGEIF(Table12643[ [ Cycle size] ],I20,Table12643[DiscountedCumulativeGain])</f>
        <v>0.83490051856835301</v>
      </c>
    </row>
    <row r="21" spans="1:12" x14ac:dyDescent="0.45">
      <c r="A21" s="1">
        <v>29.2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0.91666666666666596</v>
      </c>
      <c r="G21" s="1">
        <v>0.89868133590045796</v>
      </c>
      <c r="I21" s="12">
        <v>40</v>
      </c>
      <c r="J21" s="2">
        <f>AVERAGEIF(Table12643[[ Cycle size]],I21,Table12643[JaccardCoefficient])</f>
        <v>0.55000000000000004</v>
      </c>
      <c r="K21" s="2">
        <f>AVERAGEIF(Table12643[ [ Cycle size] ],I21,Table12643[KendallTauCorrelation])</f>
        <v>0.94615384615384601</v>
      </c>
      <c r="L21" s="2">
        <f>AVERAGEIF(Table12643[ [ Cycle size] ],I21,Table12643[DiscountedCumulativeGain])</f>
        <v>0.80056226507482398</v>
      </c>
    </row>
    <row r="22" spans="1:12" x14ac:dyDescent="0.45">
      <c r="A22" s="1">
        <v>2.2000000000000002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AVERAGEIF(Table12643[[ Cycle size]],I22,Table12643[JaccardCoefficient])</f>
        <v>0.37777777777777699</v>
      </c>
      <c r="K22" s="2">
        <f>AVERAGEIF(Table12643[ [ Cycle size] ],I22,Table12643[KendallTauCorrelation])</f>
        <v>0.96354556803994995</v>
      </c>
      <c r="L22" s="2">
        <f>AVERAGEIF(Table12643[ [ Cycle size] ],I22,Table12643[DiscountedCumulativeGain])</f>
        <v>0.61296811677275898</v>
      </c>
    </row>
    <row r="23" spans="1:12" x14ac:dyDescent="0.4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/>
      <c r="J23" s="1"/>
    </row>
    <row r="24" spans="1:12" x14ac:dyDescent="0.45">
      <c r="A24" s="1">
        <v>17.2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4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 s="1"/>
      <c r="J25" s="1"/>
    </row>
    <row r="26" spans="1:12" x14ac:dyDescent="0.4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2" x14ac:dyDescent="0.45">
      <c r="A27" s="1">
        <v>37.200000000000003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2" x14ac:dyDescent="0.45">
      <c r="A28" s="1">
        <v>38.200000000000003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0.763636363636363</v>
      </c>
      <c r="G28" s="1">
        <v>0.99730778997221603</v>
      </c>
    </row>
    <row r="29" spans="1:12" x14ac:dyDescent="0.4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4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0.987179487179487</v>
      </c>
      <c r="G30" s="1">
        <v>0.87377072779210996</v>
      </c>
    </row>
    <row r="31" spans="1:12" x14ac:dyDescent="0.4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45">
      <c r="A32" s="1">
        <v>15.2</v>
      </c>
      <c r="B32" s="1">
        <v>12</v>
      </c>
      <c r="C32" s="1">
        <v>0.75</v>
      </c>
      <c r="D32" s="1">
        <v>0.94444444444444398</v>
      </c>
      <c r="E32" s="1">
        <v>0.939393939393939</v>
      </c>
      <c r="F32" s="1">
        <v>0.76923076923076905</v>
      </c>
      <c r="G32" s="1">
        <v>0.94217742347741995</v>
      </c>
    </row>
    <row r="33" spans="1:7" x14ac:dyDescent="0.45">
      <c r="A33" s="1">
        <v>41.2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4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0.74358974358974295</v>
      </c>
      <c r="G34" s="1">
        <v>0.88952715252725401</v>
      </c>
    </row>
    <row r="35" spans="1:7" x14ac:dyDescent="0.45">
      <c r="A35" s="1">
        <v>25.2</v>
      </c>
      <c r="B35" s="1">
        <v>14</v>
      </c>
      <c r="C35" s="1">
        <v>0.85714285714285698</v>
      </c>
      <c r="D35" s="1">
        <v>0.97959183673469297</v>
      </c>
      <c r="E35" s="1">
        <v>0.97802197802197799</v>
      </c>
      <c r="F35" s="1">
        <v>0.99047619047618995</v>
      </c>
      <c r="G35" s="1">
        <v>0.88170522422904196</v>
      </c>
    </row>
    <row r="36" spans="1:7" x14ac:dyDescent="0.4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5">
      <c r="A37" s="1">
        <v>49.2</v>
      </c>
      <c r="B37" s="1">
        <v>14</v>
      </c>
      <c r="C37" s="1">
        <v>0.71428571428571397</v>
      </c>
      <c r="D37" s="1">
        <v>0.95918367346938704</v>
      </c>
      <c r="E37" s="1">
        <v>0.95604395604395598</v>
      </c>
      <c r="F37" s="1">
        <v>0.77142857142857102</v>
      </c>
      <c r="G37" s="1">
        <v>0.89487696845627596</v>
      </c>
    </row>
    <row r="38" spans="1:7" x14ac:dyDescent="0.45">
      <c r="A38" s="1">
        <v>46.2</v>
      </c>
      <c r="B38" s="1">
        <v>15</v>
      </c>
      <c r="C38" s="1">
        <v>0.86666666666666603</v>
      </c>
      <c r="D38" s="1">
        <v>0.96428571428571397</v>
      </c>
      <c r="E38" s="1">
        <v>0.94285714285714195</v>
      </c>
      <c r="F38" s="1">
        <v>0.86666666666666603</v>
      </c>
      <c r="G38" s="1">
        <v>0.96558984646078805</v>
      </c>
    </row>
    <row r="39" spans="1:7" x14ac:dyDescent="0.45">
      <c r="A39" s="1">
        <v>7.2</v>
      </c>
      <c r="B39" s="1">
        <v>16</v>
      </c>
      <c r="C39" s="1">
        <v>0.75</v>
      </c>
      <c r="D39" s="1">
        <v>0.96875</v>
      </c>
      <c r="E39" s="1">
        <v>0.96666666666666601</v>
      </c>
      <c r="F39" s="1">
        <v>0.88235294117647001</v>
      </c>
      <c r="G39" s="1">
        <v>0.84561056384199496</v>
      </c>
    </row>
    <row r="40" spans="1:7" x14ac:dyDescent="0.45">
      <c r="A40" s="1">
        <v>34.200000000000003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0.90441176470588203</v>
      </c>
      <c r="G40" s="1">
        <v>0.94617941191362498</v>
      </c>
    </row>
    <row r="41" spans="1:7" x14ac:dyDescent="0.45">
      <c r="A41" s="1">
        <v>14.2</v>
      </c>
      <c r="B41" s="1">
        <v>17</v>
      </c>
      <c r="C41" s="1">
        <v>0.88235294117647001</v>
      </c>
      <c r="D41" s="1">
        <v>0.98611111111111105</v>
      </c>
      <c r="E41" s="1">
        <v>0.98529411764705799</v>
      </c>
      <c r="F41" s="1">
        <v>0.91503267973856195</v>
      </c>
      <c r="G41" s="1">
        <v>0.94394763489190803</v>
      </c>
    </row>
    <row r="42" spans="1:7" x14ac:dyDescent="0.4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45">
      <c r="A43" s="1">
        <v>45.2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0.76023391812865504</v>
      </c>
      <c r="G43" s="1">
        <v>0.83333662060677605</v>
      </c>
    </row>
    <row r="44" spans="1:7" x14ac:dyDescent="0.45">
      <c r="A44" s="1">
        <v>48.2</v>
      </c>
      <c r="B44" s="1">
        <v>18</v>
      </c>
      <c r="C44" s="1">
        <v>0.77777777777777701</v>
      </c>
      <c r="D44" s="1">
        <v>0.97530864197530798</v>
      </c>
      <c r="E44" s="1">
        <v>0.973856209150326</v>
      </c>
      <c r="F44" s="1">
        <v>0.68421052631578905</v>
      </c>
      <c r="G44" s="1">
        <v>0.98464029197809</v>
      </c>
    </row>
    <row r="45" spans="1:7" x14ac:dyDescent="0.4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0.64285714285714202</v>
      </c>
      <c r="G45" s="1">
        <v>0.92778568199039402</v>
      </c>
    </row>
    <row r="46" spans="1:7" x14ac:dyDescent="0.45">
      <c r="A46" s="1">
        <v>35.200000000000003</v>
      </c>
      <c r="B46" s="1">
        <v>20</v>
      </c>
      <c r="C46" s="1">
        <v>0.7</v>
      </c>
      <c r="D46" s="1">
        <v>0.96</v>
      </c>
      <c r="E46" s="1">
        <v>0.95789473684210502</v>
      </c>
      <c r="F46" s="1">
        <v>0.55714285714285705</v>
      </c>
      <c r="G46" s="1">
        <v>0.98611090882161501</v>
      </c>
    </row>
    <row r="47" spans="1:7" x14ac:dyDescent="0.45">
      <c r="A47" s="1">
        <v>24.2</v>
      </c>
      <c r="B47" s="1">
        <v>21</v>
      </c>
      <c r="C47" s="1">
        <v>0.85714285714285698</v>
      </c>
      <c r="D47" s="1">
        <v>0.98181818181818103</v>
      </c>
      <c r="E47" s="1">
        <v>0.98095238095238002</v>
      </c>
      <c r="F47" s="1">
        <v>0.88311688311688297</v>
      </c>
      <c r="G47" s="1">
        <v>0.93200183522997604</v>
      </c>
    </row>
    <row r="48" spans="1:7" x14ac:dyDescent="0.45">
      <c r="A48" s="1">
        <v>44.2</v>
      </c>
      <c r="B48" s="1">
        <v>25</v>
      </c>
      <c r="C48" s="1">
        <v>0.52</v>
      </c>
      <c r="D48" s="1">
        <v>0.94871794871794801</v>
      </c>
      <c r="E48" s="1">
        <v>0.94</v>
      </c>
      <c r="F48" s="1">
        <v>0.52</v>
      </c>
      <c r="G48" s="1">
        <v>0.80163984709273295</v>
      </c>
    </row>
    <row r="49" spans="1:7" x14ac:dyDescent="0.45">
      <c r="A49" s="1">
        <v>31.2</v>
      </c>
      <c r="B49" s="1">
        <v>30</v>
      </c>
      <c r="C49" s="1">
        <v>0.76666666666666605</v>
      </c>
      <c r="D49" s="1">
        <v>0.982222222222222</v>
      </c>
      <c r="E49" s="1">
        <v>0.98160919540229796</v>
      </c>
      <c r="F49" s="1">
        <v>0.85806451612903201</v>
      </c>
      <c r="G49" s="1">
        <v>0.83490051856835301</v>
      </c>
    </row>
    <row r="50" spans="1:7" x14ac:dyDescent="0.45">
      <c r="A50" s="1">
        <v>16.2</v>
      </c>
      <c r="B50" s="1">
        <v>40</v>
      </c>
      <c r="C50" s="1">
        <v>0.55000000000000004</v>
      </c>
      <c r="D50" s="1">
        <v>0.96</v>
      </c>
      <c r="E50" s="1">
        <v>0.94615384615384601</v>
      </c>
      <c r="F50" s="1">
        <v>0.51219512195121897</v>
      </c>
      <c r="G50" s="1">
        <v>0.80056226507482398</v>
      </c>
    </row>
    <row r="51" spans="1:7" x14ac:dyDescent="0.45">
      <c r="A51" s="1">
        <v>19.2</v>
      </c>
      <c r="B51" s="1">
        <v>90</v>
      </c>
      <c r="C51" s="1">
        <v>0.37777777777777699</v>
      </c>
      <c r="D51" s="1">
        <v>0.96938271604938198</v>
      </c>
      <c r="E51" s="1">
        <v>0.96354556803994995</v>
      </c>
      <c r="F51" s="1">
        <v>0.38485958485958399</v>
      </c>
      <c r="G51" s="1">
        <v>0.61296811677275898</v>
      </c>
    </row>
    <row r="52" spans="1:7" x14ac:dyDescent="0.45">
      <c r="A52" s="1" t="s">
        <v>32</v>
      </c>
      <c r="C52" s="1">
        <f>SUBTOTAL(101,Table12643[JaccardCoefficient])</f>
        <v>0.86656293183940236</v>
      </c>
      <c r="D52" s="1">
        <f>SUBTOTAL(101,Table12643[MismatchDistanceCoefficient])</f>
        <v>0.97400420018693823</v>
      </c>
      <c r="E52" s="1">
        <f>SUBTOTAL(101,Table12643[KendallTauCorrelation])</f>
        <v>0.96836092660159867</v>
      </c>
      <c r="F52" s="1">
        <f>SUBTOTAL(101,Table12643[MismatchPositionCoefficient])</f>
        <v>0.8836003812332639</v>
      </c>
      <c r="G52" s="1">
        <f>SUBTOTAL(101,Table12643[DiscountedCumulativeGain])</f>
        <v>0.94790026387416215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G1" workbookViewId="0">
      <selection activeCell="O10" sqref="O10:Q10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8.33203125" customWidth="1"/>
    <col min="9" max="9" width="12.9296875" style="11" customWidth="1"/>
    <col min="10" max="10" width="13.06640625" style="11" customWidth="1"/>
    <col min="11" max="11" width="10.33203125" customWidth="1"/>
    <col min="13" max="13" width="10.59765625" customWidth="1"/>
    <col min="14" max="14" width="32.19921875" bestFit="1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15" t="s">
        <v>40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18" t="s">
        <v>41</v>
      </c>
      <c r="O2" s="19">
        <f>CORREL(I2:I22, J2:J22)</f>
        <v>-0.75392270877999112</v>
      </c>
      <c r="P2" s="19">
        <f>CORREL(I2:I22, K2:K22)</f>
        <v>-0.57593386729312046</v>
      </c>
      <c r="Q2" s="20">
        <f>CORREL(I2:I22, L2:L22)</f>
        <v>-0.90669507372884584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AVERAGEIF(Table126[[ Cycle size]],I3,Table126[JaccardCoefficient])</f>
        <v>1</v>
      </c>
      <c r="K3" s="2">
        <f>AVERAGEIF(Table126[ [ Cycle size] ],I3,Table126[KendallTauCorrelation])</f>
        <v>1</v>
      </c>
      <c r="L3" s="2">
        <f>AVERAGEIF(Table126[ [ Cycle size] ],I3,Table126[DiscountedCumulativeGain])</f>
        <v>1</v>
      </c>
      <c r="N3" s="21" t="s">
        <v>40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AVERAGEIF(Table126[[ Cycle size]],I4,Table126[JaccardCoefficient])</f>
        <v>1</v>
      </c>
      <c r="K4" s="2">
        <f>AVERAGEIF(Table126[ [ Cycle size] ],I4,Table126[KendallTauCorrelation])</f>
        <v>1</v>
      </c>
      <c r="L4" s="2">
        <f>AVERAGEIF(Table126[ [ Cycle size] ],I4,Table126[DiscountedCumulativeGain])</f>
        <v>1</v>
      </c>
      <c r="N4" s="24" t="s">
        <v>42</v>
      </c>
      <c r="O4" s="25">
        <f>CORREL(I2:I20, J2:J20)</f>
        <v>-0.87172115521818738</v>
      </c>
      <c r="P4" s="25">
        <f>CORREL(I2:I20, K2:K20)</f>
        <v>-0.57656548619946735</v>
      </c>
      <c r="Q4" s="26">
        <f>CORREL(I2:I20, L2:L20)</f>
        <v>-0.90904383536546407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AVERAGEIF(Table126[[ Cycle size]],I5,Table126[JaccardCoefficient])</f>
        <v>1</v>
      </c>
      <c r="K5" s="2">
        <f>AVERAGEIF(Table126[ [ Cycle size] ],I5,Table126[KendallTauCorrelation])</f>
        <v>1</v>
      </c>
      <c r="L5" s="2">
        <f>AVERAGEIF(Table126[ [ Cycle size] ],I5,Table126[DiscountedCumulativeGain])</f>
        <v>1</v>
      </c>
      <c r="N5" s="27" t="s">
        <v>40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AVERAGEIF(Table126[[ Cycle size]],I6,Table126[JaccardCoefficient])</f>
        <v>0.88888888888888873</v>
      </c>
      <c r="K6" s="2">
        <f>AVERAGEIF(Table126[ [ Cycle size] ],I6,Table126[KendallTauCorrelation])</f>
        <v>0.95555555555555538</v>
      </c>
      <c r="L6" s="2">
        <f>AVERAGEIF(Table126[ [ Cycle size] ],I6,Table126[DiscountedCumulativeGain])</f>
        <v>0.96069943523351797</v>
      </c>
      <c r="N6" s="24" t="s">
        <v>47</v>
      </c>
      <c r="O6" s="25">
        <f>AVERAGEA(J2:J22)</f>
        <v>0.60898776177137515</v>
      </c>
      <c r="P6" s="25">
        <f t="shared" ref="P6:Q6" si="0">AVERAGEA(K2:K22)</f>
        <v>0.91354750013264019</v>
      </c>
      <c r="Q6" s="25">
        <f t="shared" si="0"/>
        <v>0.84049342491359558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AVERAGEIF(Table126[[ Cycle size]],I7,Table126[JaccardCoefficient])</f>
        <v>0.78571428571428548</v>
      </c>
      <c r="K7" s="2">
        <f>AVERAGEIF(Table126[ [ Cycle size] ],I7,Table126[KendallTauCorrelation])</f>
        <v>0.92857142857142794</v>
      </c>
      <c r="L7" s="2">
        <f>AVERAGEIF(Table126[ [ Cycle size] ],I7,Table126[DiscountedCumulativeGain])</f>
        <v>0.9467346797629661</v>
      </c>
      <c r="N7" s="27" t="s">
        <v>40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AVERAGEIF(Table126[[ Cycle size]],I8,Table126[JaccardCoefficient])</f>
        <v>0.83333333333333337</v>
      </c>
      <c r="K8" s="2">
        <f>AVERAGEIF(Table126[ [ Cycle size] ],I8,Table126[KendallTauCorrelation])</f>
        <v>0.952380952380952</v>
      </c>
      <c r="L8" s="2">
        <f>AVERAGEIF(Table126[ [ Cycle size] ],I8,Table126[DiscountedCumulativeGain])</f>
        <v>0.94330178251970465</v>
      </c>
      <c r="N8" s="24" t="s">
        <v>48</v>
      </c>
      <c r="O8" s="25">
        <f>MEDIAN(J2:J22)</f>
        <v>0.6</v>
      </c>
      <c r="P8" s="25">
        <f t="shared" ref="P8:Q8" si="1">MEDIAN(K2:K22)</f>
        <v>0.92380952380952297</v>
      </c>
      <c r="Q8" s="25">
        <f t="shared" si="1"/>
        <v>0.85413295421660096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AVERAGEIF(Table126[[ Cycle size]],I9,Table126[JaccardCoefficient])</f>
        <v>0.6666666666666663</v>
      </c>
      <c r="K9" s="2">
        <f>AVERAGEIF(Table126[ [ Cycle size] ],I9,Table126[KendallTauCorrelation])</f>
        <v>0.91111111111111054</v>
      </c>
      <c r="L9" s="2">
        <f>AVERAGEIF(Table126[ [ Cycle size] ],I9,Table126[DiscountedCumulativeGain])</f>
        <v>0.94740840847466856</v>
      </c>
      <c r="N9" s="27" t="s">
        <v>40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0.76666666666666661</v>
      </c>
      <c r="K10" s="2">
        <f>AVERAGEIF(Table126[ [ Cycle size] ],I10,Table126[KendallTauCorrelation])</f>
        <v>0.89629629629629604</v>
      </c>
      <c r="L10" s="2">
        <f>AVERAGEIF(Table126[ [ Cycle size] ],I10,Table126[DiscountedCumulativeGain])</f>
        <v>0.94850809375189193</v>
      </c>
      <c r="N10" s="24" t="s">
        <v>49</v>
      </c>
      <c r="O10" s="25">
        <f>SUMPRODUCT($I$2:$I$22,J2:J22)/SUM($I$2:$I$22)</f>
        <v>0.38924731182795685</v>
      </c>
      <c r="P10" s="25">
        <f t="shared" ref="P10:Q10" si="2">SUMPRODUCT($I$2:$I$22,K2:K22)/SUM($I$2:$I$22)</f>
        <v>0.87460851285976071</v>
      </c>
      <c r="Q10" s="25">
        <f t="shared" si="2"/>
        <v>0.69677348684625862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AVERAGEIF(Table126[[ Cycle size]],I11,Table126[JaccardCoefficient])</f>
        <v>0.64999999999999969</v>
      </c>
      <c r="K11" s="2">
        <f>AVERAGEIF(Table126[ [ Cycle size] ],I11,Table126[KendallTauCorrelation])</f>
        <v>0.93333333333333268</v>
      </c>
      <c r="L11" s="2">
        <f>AVERAGEIF(Table126[ [ Cycle size] ],I11,Table126[DiscountedCumulativeGain])</f>
        <v>0.90490118089261495</v>
      </c>
      <c r="N11" s="24" t="s">
        <v>50</v>
      </c>
      <c r="O11" s="25">
        <f>SUMPRODUCT(I2:I20,J2:J20)/SUM(I2:I20)</f>
        <v>0.53223140495867749</v>
      </c>
      <c r="P11" s="25">
        <f>SUMPRODUCT(I2:I20,K2:K20)/SUM(I2:I20)</f>
        <v>0.90300388235304774</v>
      </c>
      <c r="Q11" s="25">
        <f>SUMPRODUCT(L2:L20,I2:I20)/SUM(I2:I20)</f>
        <v>0.81961603230726332</v>
      </c>
    </row>
    <row r="12" spans="1:17" x14ac:dyDescent="0.4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AVERAGEIF(Table126[[ Cycle size]],I12,Table126[JaccardCoefficient])</f>
        <v>0.30952380952380903</v>
      </c>
      <c r="K12" s="2">
        <f>AVERAGEIF(Table126[ [ Cycle size] ],I12,Table126[KendallTauCorrelation])</f>
        <v>0.86080586080586075</v>
      </c>
      <c r="L12" s="2">
        <f>AVERAGEIF(Table126[ [ Cycle size] ],I12,Table126[DiscountedCumulativeGain])</f>
        <v>0.80743719386966328</v>
      </c>
    </row>
    <row r="13" spans="1:17" x14ac:dyDescent="0.45">
      <c r="A13" s="1">
        <v>27.2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0.57142857142857095</v>
      </c>
      <c r="G13" s="1">
        <v>0.88209830570055403</v>
      </c>
      <c r="I13" s="12">
        <v>15</v>
      </c>
      <c r="J13" s="2">
        <f>AVERAGEIF(Table126[[ Cycle size]],I13,Table126[JaccardCoefficient])</f>
        <v>0.53333333333333299</v>
      </c>
      <c r="K13" s="2">
        <f>AVERAGEIF(Table126[ [ Cycle size] ],I13,Table126[KendallTauCorrelation])</f>
        <v>0.92380952380952297</v>
      </c>
      <c r="L13" s="2">
        <f>AVERAGEIF(Table126[ [ Cycle size] ],I13,Table126[DiscountedCumulativeGain])</f>
        <v>0.81391438702469698</v>
      </c>
    </row>
    <row r="14" spans="1:17" x14ac:dyDescent="0.4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AVERAGEIF(Table126[[ Cycle size]],I14,Table126[JaccardCoefficient])</f>
        <v>0.53125</v>
      </c>
      <c r="K14" s="2">
        <f>AVERAGEIF(Table126[ [ Cycle size] ],I14,Table126[KendallTauCorrelation])</f>
        <v>0.91666666666666652</v>
      </c>
      <c r="L14" s="2">
        <f>AVERAGEIF(Table126[ [ Cycle size] ],I14,Table126[DiscountedCumulativeGain])</f>
        <v>0.83304215370786605</v>
      </c>
    </row>
    <row r="15" spans="1:17" x14ac:dyDescent="0.4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0.67857142857142805</v>
      </c>
      <c r="G15" s="1">
        <v>0.96353707729153404</v>
      </c>
      <c r="I15" s="12">
        <v>17</v>
      </c>
      <c r="J15" s="2">
        <f>AVERAGEIF(Table126[[ Cycle size]],I15,Table126[JaccardCoefficient])</f>
        <v>0.47058823529411697</v>
      </c>
      <c r="K15" s="2">
        <f>AVERAGEIF(Table126[ [ Cycle size] ],I15,Table126[KendallTauCorrelation])</f>
        <v>0.88235294117647001</v>
      </c>
      <c r="L15" s="2">
        <f>AVERAGEIF(Table126[ [ Cycle size] ],I15,Table126[DiscountedCumulativeGain])</f>
        <v>0.79270046140149297</v>
      </c>
    </row>
    <row r="16" spans="1:17" x14ac:dyDescent="0.45">
      <c r="A16" s="1">
        <v>6.2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0.82142857142857095</v>
      </c>
      <c r="G16" s="1">
        <v>0.95366849560259803</v>
      </c>
      <c r="I16" s="12">
        <v>18</v>
      </c>
      <c r="J16" s="2">
        <f>AVERAGEIF(Table126[[ Cycle size]],I16,Table126[JaccardCoefficient])</f>
        <v>0.44444444444444398</v>
      </c>
      <c r="K16" s="2">
        <f>AVERAGEIF(Table126[ [ Cycle size] ],I16,Table126[KendallTauCorrelation])</f>
        <v>0.90196078431372495</v>
      </c>
      <c r="L16" s="2">
        <f>AVERAGEIF(Table126[ [ Cycle size] ],I16,Table126[DiscountedCumulativeGain])</f>
        <v>0.773008536221795</v>
      </c>
    </row>
    <row r="17" spans="1:12" x14ac:dyDescent="0.45">
      <c r="A17" s="1">
        <v>8.1999999999999993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AVERAGEIF(Table126[[ Cycle size]],I17,Table126[JaccardCoefficient])</f>
        <v>0.4</v>
      </c>
      <c r="K17" s="2">
        <f>AVERAGEIF(Table126[ [ Cycle size] ],I17,Table126[KendallTauCorrelation])</f>
        <v>0.83684210526315761</v>
      </c>
      <c r="L17" s="2">
        <f>AVERAGEIF(Table126[ [ Cycle size] ],I17,Table126[DiscountedCumulativeGain])</f>
        <v>0.76159065201422793</v>
      </c>
    </row>
    <row r="18" spans="1:12" x14ac:dyDescent="0.45">
      <c r="A18" s="1">
        <v>43.2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0.96428571428571397</v>
      </c>
      <c r="G18" s="1">
        <v>0.86973314615773201</v>
      </c>
      <c r="I18" s="12">
        <v>21</v>
      </c>
      <c r="J18" s="2">
        <f>AVERAGEIF(Table126[[ Cycle size]],I18,Table126[JaccardCoefficient])</f>
        <v>0.33333333333333298</v>
      </c>
      <c r="K18" s="2">
        <f>AVERAGEIF(Table126[ [ Cycle size] ],I18,Table126[KendallTauCorrelation])</f>
        <v>0.76190476190476097</v>
      </c>
      <c r="L18" s="2">
        <f>AVERAGEIF(Table126[ [ Cycle size] ],I18,Table126[DiscountedCumulativeGain])</f>
        <v>0.68375476191127904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AVERAGEIF(Table126[[ Cycle size]],I19,Table126[JaccardCoefficient])</f>
        <v>0.6</v>
      </c>
      <c r="K19" s="2">
        <f>AVERAGEIF(Table126[ [ Cycle size] ],I19,Table126[KendallTauCorrelation])</f>
        <v>0.95333333333333303</v>
      </c>
      <c r="L19" s="2">
        <f>AVERAGEIF(Table126[ [ Cycle size] ],I19,Table126[DiscountedCumulativeGain])</f>
        <v>0.85413295421660096</v>
      </c>
    </row>
    <row r="20" spans="1:12" x14ac:dyDescent="0.45">
      <c r="A20" s="1">
        <v>13.2</v>
      </c>
      <c r="B20" s="1">
        <v>8</v>
      </c>
      <c r="C20" s="1">
        <v>0.75</v>
      </c>
      <c r="D20" s="1">
        <v>0.9375</v>
      </c>
      <c r="E20" s="1">
        <v>0.92857142857142805</v>
      </c>
      <c r="F20" s="1">
        <v>0.91666666666666596</v>
      </c>
      <c r="G20" s="1">
        <v>0.89868133590045796</v>
      </c>
      <c r="I20" s="12">
        <v>30</v>
      </c>
      <c r="J20" s="2">
        <f>AVERAGEIF(Table126[[ Cycle size]],I20,Table126[JaccardCoefficient])</f>
        <v>0.3</v>
      </c>
      <c r="K20" s="2">
        <f>AVERAGEIF(Table126[ [ Cycle size] ],I20,Table126[KendallTauCorrelation])</f>
        <v>0.93103448275862</v>
      </c>
      <c r="L20" s="2">
        <f>AVERAGEIF(Table126[ [ Cycle size] ],I20,Table126[DiscountedCumulativeGain])</f>
        <v>0.67877320111433803</v>
      </c>
    </row>
    <row r="21" spans="1:12" x14ac:dyDescent="0.45">
      <c r="A21" s="1">
        <v>29.2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0.63888888888888795</v>
      </c>
      <c r="G21" s="1">
        <v>0.93122401165865598</v>
      </c>
      <c r="I21" s="12">
        <v>40</v>
      </c>
      <c r="J21" s="2">
        <f>AVERAGEIF(Table126[[ Cycle size]],I21,Table126[JaccardCoefficient])</f>
        <v>0.17499999999999999</v>
      </c>
      <c r="K21" s="2">
        <f>AVERAGEIF(Table126[ [ Cycle size] ],I21,Table126[KendallTauCorrelation])</f>
        <v>0.81282051282051204</v>
      </c>
      <c r="L21" s="2">
        <f>AVERAGEIF(Table126[ [ Cycle size] ],I21,Table126[DiscountedCumulativeGain])</f>
        <v>0.58376412815371403</v>
      </c>
    </row>
    <row r="22" spans="1:12" x14ac:dyDescent="0.45">
      <c r="A22" s="1">
        <v>2.2000000000000002</v>
      </c>
      <c r="B22" s="1">
        <v>9</v>
      </c>
      <c r="C22" s="1">
        <v>0.55555555555555503</v>
      </c>
      <c r="D22" s="1">
        <v>0.9</v>
      </c>
      <c r="E22" s="1">
        <v>0.88888888888888795</v>
      </c>
      <c r="F22" s="1">
        <v>0.6</v>
      </c>
      <c r="G22" s="1">
        <v>0.94163310951674495</v>
      </c>
      <c r="I22" s="12">
        <v>90</v>
      </c>
      <c r="J22" s="2">
        <f>AVERAGEIF(Table126[[ Cycle size]],I22,Table126[JaccardCoefficient])</f>
        <v>0.1</v>
      </c>
      <c r="K22" s="2">
        <f>AVERAGEIF(Table126[ [ Cycle size] ],I22,Table126[KendallTauCorrelation])</f>
        <v>0.82571785268414399</v>
      </c>
      <c r="L22" s="2">
        <f>AVERAGEIF(Table126[ [ Cycle size] ],I22,Table126[DiscountedCumulativeGain])</f>
        <v>0.416689912914466</v>
      </c>
    </row>
    <row r="23" spans="1:12" x14ac:dyDescent="0.45">
      <c r="A23" s="1">
        <v>11.2</v>
      </c>
      <c r="B23" s="1">
        <v>9</v>
      </c>
      <c r="C23" s="1">
        <v>0.22222222222222199</v>
      </c>
      <c r="D23" s="1">
        <v>0.8</v>
      </c>
      <c r="E23" s="1">
        <v>0.77777777777777701</v>
      </c>
      <c r="F23" s="1">
        <v>0.37777777777777699</v>
      </c>
      <c r="G23" s="1">
        <v>0.85340844401395799</v>
      </c>
      <c r="I23"/>
      <c r="J23"/>
    </row>
    <row r="24" spans="1:12" x14ac:dyDescent="0.4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0.75555555555555498</v>
      </c>
      <c r="G24" s="1">
        <v>0.99670952107715205</v>
      </c>
      <c r="I24"/>
      <c r="J24"/>
    </row>
    <row r="25" spans="1:12" x14ac:dyDescent="0.4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/>
      <c r="J25"/>
    </row>
    <row r="26" spans="1:12" x14ac:dyDescent="0.45">
      <c r="A26" s="1">
        <v>40.200000000000003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0.844444444444444</v>
      </c>
      <c r="G26" s="1">
        <v>0.94529096776548804</v>
      </c>
    </row>
    <row r="27" spans="1:12" x14ac:dyDescent="0.45">
      <c r="A27" s="1">
        <v>37.200000000000003</v>
      </c>
      <c r="B27" s="1">
        <v>10</v>
      </c>
      <c r="C27" s="1">
        <v>0.3</v>
      </c>
      <c r="D27" s="1">
        <v>0.76</v>
      </c>
      <c r="E27" s="1">
        <v>0.688888888888888</v>
      </c>
      <c r="F27" s="1">
        <v>0.43636363636363601</v>
      </c>
      <c r="G27" s="1">
        <v>0.84552428125567602</v>
      </c>
    </row>
    <row r="28" spans="1:12" x14ac:dyDescent="0.45">
      <c r="A28" s="1">
        <v>38.200000000000003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4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45">
      <c r="A30" s="1">
        <v>3.2</v>
      </c>
      <c r="B30" s="1">
        <v>12</v>
      </c>
      <c r="C30" s="1">
        <v>0.66666666666666596</v>
      </c>
      <c r="D30" s="1">
        <v>0.94444444444444398</v>
      </c>
      <c r="E30" s="1">
        <v>0.939393939393939</v>
      </c>
      <c r="F30" s="1">
        <v>0.89743589743589702</v>
      </c>
      <c r="G30" s="1">
        <v>0.79584541041858803</v>
      </c>
    </row>
    <row r="31" spans="1:12" x14ac:dyDescent="0.45">
      <c r="A31" s="1">
        <v>12.2</v>
      </c>
      <c r="B31" s="1">
        <v>12</v>
      </c>
      <c r="C31" s="1">
        <v>0.83333333333333304</v>
      </c>
      <c r="D31" s="1">
        <v>0.97222222222222199</v>
      </c>
      <c r="E31" s="1">
        <v>0.96969696969696895</v>
      </c>
      <c r="F31" s="1">
        <v>0.88461538461538403</v>
      </c>
      <c r="G31" s="1">
        <v>0.93777575572630201</v>
      </c>
    </row>
    <row r="32" spans="1:12" x14ac:dyDescent="0.45">
      <c r="A32" s="1">
        <v>15.2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0.85897435897435903</v>
      </c>
      <c r="G32" s="1">
        <v>0.95323753964636504</v>
      </c>
    </row>
    <row r="33" spans="1:7" x14ac:dyDescent="0.45">
      <c r="A33" s="1">
        <v>41.2</v>
      </c>
      <c r="B33" s="1">
        <v>12</v>
      </c>
      <c r="C33" s="1">
        <v>0.58333333333333304</v>
      </c>
      <c r="D33" s="1">
        <v>0.91666666666666596</v>
      </c>
      <c r="E33" s="1">
        <v>0.90909090909090895</v>
      </c>
      <c r="F33" s="1">
        <v>0.47435897435897401</v>
      </c>
      <c r="G33" s="1">
        <v>0.993532607689255</v>
      </c>
    </row>
    <row r="34" spans="1:7" x14ac:dyDescent="0.45">
      <c r="A34" s="1">
        <v>47.2</v>
      </c>
      <c r="B34" s="1">
        <v>12</v>
      </c>
      <c r="C34" s="1">
        <v>0.33333333333333298</v>
      </c>
      <c r="D34" s="1">
        <v>0.88888888888888795</v>
      </c>
      <c r="E34" s="1">
        <v>0.87878787878787801</v>
      </c>
      <c r="F34" s="1">
        <v>0.38461538461538403</v>
      </c>
      <c r="G34" s="1">
        <v>0.84411459098256403</v>
      </c>
    </row>
    <row r="35" spans="1:7" x14ac:dyDescent="0.45">
      <c r="A35" s="1">
        <v>25.2</v>
      </c>
      <c r="B35" s="1">
        <v>14</v>
      </c>
      <c r="C35" s="1">
        <v>0.5</v>
      </c>
      <c r="D35" s="1">
        <v>0.91836734693877498</v>
      </c>
      <c r="E35" s="1">
        <v>0.91208791208791196</v>
      </c>
      <c r="F35" s="1">
        <v>0.46666666666666601</v>
      </c>
      <c r="G35" s="1">
        <v>0.89928363550731005</v>
      </c>
    </row>
    <row r="36" spans="1:7" x14ac:dyDescent="0.45">
      <c r="A36" s="1">
        <v>28.2</v>
      </c>
      <c r="B36" s="1">
        <v>14</v>
      </c>
      <c r="C36" s="1">
        <v>0.14285714285714199</v>
      </c>
      <c r="D36" s="1">
        <v>0.81632653061224403</v>
      </c>
      <c r="E36" s="1">
        <v>0.80219780219780201</v>
      </c>
      <c r="F36" s="1">
        <v>0.18095238095238</v>
      </c>
      <c r="G36" s="1">
        <v>0.77456814130702401</v>
      </c>
    </row>
    <row r="37" spans="1:7" x14ac:dyDescent="0.45">
      <c r="A37" s="1">
        <v>49.2</v>
      </c>
      <c r="B37" s="1">
        <v>14</v>
      </c>
      <c r="C37" s="1">
        <v>0.28571428571428498</v>
      </c>
      <c r="D37" s="1">
        <v>0.87755102040816302</v>
      </c>
      <c r="E37" s="1">
        <v>0.86813186813186805</v>
      </c>
      <c r="F37" s="1">
        <v>0.40952380952380901</v>
      </c>
      <c r="G37" s="1">
        <v>0.74845980479465601</v>
      </c>
    </row>
    <row r="38" spans="1:7" x14ac:dyDescent="0.45">
      <c r="A38" s="1">
        <v>46.2</v>
      </c>
      <c r="B38" s="1">
        <v>15</v>
      </c>
      <c r="C38" s="1">
        <v>0.53333333333333299</v>
      </c>
      <c r="D38" s="1">
        <v>0.92857142857142805</v>
      </c>
      <c r="E38" s="1">
        <v>0.92380952380952297</v>
      </c>
      <c r="F38" s="1">
        <v>0.63333333333333297</v>
      </c>
      <c r="G38" s="1">
        <v>0.81391438702469698</v>
      </c>
    </row>
    <row r="39" spans="1:7" x14ac:dyDescent="0.45">
      <c r="A39" s="1">
        <v>7.2</v>
      </c>
      <c r="B39" s="1">
        <v>16</v>
      </c>
      <c r="C39" s="1">
        <v>0.4375</v>
      </c>
      <c r="D39" s="1">
        <v>0.90625</v>
      </c>
      <c r="E39" s="1">
        <v>0.88333333333333297</v>
      </c>
      <c r="F39" s="1">
        <v>0.41911764705882298</v>
      </c>
      <c r="G39" s="1">
        <v>0.847913286376901</v>
      </c>
    </row>
    <row r="40" spans="1:7" x14ac:dyDescent="0.45">
      <c r="A40" s="1">
        <v>34.200000000000003</v>
      </c>
      <c r="B40" s="1">
        <v>16</v>
      </c>
      <c r="C40" s="1">
        <v>0.625</v>
      </c>
      <c r="D40" s="1">
        <v>0.953125</v>
      </c>
      <c r="E40" s="1">
        <v>0.95</v>
      </c>
      <c r="F40" s="1">
        <v>0.74264705882352899</v>
      </c>
      <c r="G40" s="1">
        <v>0.81817102103883099</v>
      </c>
    </row>
    <row r="41" spans="1:7" x14ac:dyDescent="0.45">
      <c r="A41" s="1">
        <v>14.2</v>
      </c>
      <c r="B41" s="1">
        <v>17</v>
      </c>
      <c r="C41" s="1">
        <v>0.29411764705882298</v>
      </c>
      <c r="D41" s="1">
        <v>0.875</v>
      </c>
      <c r="E41" s="1">
        <v>0.85294117647058798</v>
      </c>
      <c r="F41" s="1">
        <v>0.28104575163398599</v>
      </c>
      <c r="G41" s="1">
        <v>0.79230645683637402</v>
      </c>
    </row>
    <row r="42" spans="1:7" x14ac:dyDescent="0.45">
      <c r="A42" s="1">
        <v>36.200000000000003</v>
      </c>
      <c r="B42" s="1">
        <v>17</v>
      </c>
      <c r="C42" s="1">
        <v>0.64705882352941102</v>
      </c>
      <c r="D42" s="1">
        <v>0.93055555555555503</v>
      </c>
      <c r="E42" s="1">
        <v>0.91176470588235203</v>
      </c>
      <c r="F42" s="1">
        <v>0.80392156862745101</v>
      </c>
      <c r="G42" s="1">
        <v>0.79309446596661204</v>
      </c>
    </row>
    <row r="43" spans="1:7" x14ac:dyDescent="0.45">
      <c r="A43" s="1">
        <v>45.2</v>
      </c>
      <c r="B43" s="1">
        <v>18</v>
      </c>
      <c r="C43" s="1">
        <v>0.55555555555555503</v>
      </c>
      <c r="D43" s="1">
        <v>0.95061728395061695</v>
      </c>
      <c r="E43" s="1">
        <v>0.947712418300653</v>
      </c>
      <c r="F43" s="1">
        <v>0.64912280701754299</v>
      </c>
      <c r="G43" s="1">
        <v>0.79692830436653195</v>
      </c>
    </row>
    <row r="44" spans="1:7" x14ac:dyDescent="0.45">
      <c r="A44" s="1">
        <v>48.2</v>
      </c>
      <c r="B44" s="1">
        <v>18</v>
      </c>
      <c r="C44" s="1">
        <v>0.33333333333333298</v>
      </c>
      <c r="D44" s="1">
        <v>0.88888888888888795</v>
      </c>
      <c r="E44" s="1">
        <v>0.85620915032679701</v>
      </c>
      <c r="F44" s="1">
        <v>0.38596491228070101</v>
      </c>
      <c r="G44" s="1">
        <v>0.74908876807705804</v>
      </c>
    </row>
    <row r="45" spans="1:7" x14ac:dyDescent="0.45">
      <c r="A45" s="1">
        <v>18.2</v>
      </c>
      <c r="B45" s="1">
        <v>20</v>
      </c>
      <c r="C45" s="1">
        <v>0.25</v>
      </c>
      <c r="D45" s="1">
        <v>0.84</v>
      </c>
      <c r="E45" s="1">
        <v>0.77894736842105206</v>
      </c>
      <c r="F45" s="1">
        <v>0.338095238095238</v>
      </c>
      <c r="G45" s="1">
        <v>0.68105492551739999</v>
      </c>
    </row>
    <row r="46" spans="1:7" x14ac:dyDescent="0.45">
      <c r="A46" s="1">
        <v>35.200000000000003</v>
      </c>
      <c r="B46" s="1">
        <v>20</v>
      </c>
      <c r="C46" s="1">
        <v>0.55000000000000004</v>
      </c>
      <c r="D46" s="1">
        <v>0.91</v>
      </c>
      <c r="E46" s="1">
        <v>0.89473684210526305</v>
      </c>
      <c r="F46" s="1">
        <v>0.55238095238095197</v>
      </c>
      <c r="G46" s="1">
        <v>0.84212637851105598</v>
      </c>
    </row>
    <row r="47" spans="1:7" x14ac:dyDescent="0.45">
      <c r="A47" s="1">
        <v>24.2</v>
      </c>
      <c r="B47" s="1">
        <v>21</v>
      </c>
      <c r="C47" s="1">
        <v>0.33333333333333298</v>
      </c>
      <c r="D47" s="1">
        <v>0.82727272727272705</v>
      </c>
      <c r="E47" s="1">
        <v>0.76190476190476097</v>
      </c>
      <c r="F47" s="1">
        <v>0.493506493506493</v>
      </c>
      <c r="G47" s="1">
        <v>0.68375476191127904</v>
      </c>
    </row>
    <row r="48" spans="1:7" x14ac:dyDescent="0.45">
      <c r="A48" s="1">
        <v>44.2</v>
      </c>
      <c r="B48" s="1">
        <v>25</v>
      </c>
      <c r="C48" s="1">
        <v>0.6</v>
      </c>
      <c r="D48" s="1">
        <v>0.95512820512820495</v>
      </c>
      <c r="E48" s="1">
        <v>0.95333333333333303</v>
      </c>
      <c r="F48" s="1">
        <v>0.57230769230769196</v>
      </c>
      <c r="G48" s="1">
        <v>0.85413295421660096</v>
      </c>
    </row>
    <row r="49" spans="1:7" x14ac:dyDescent="0.45">
      <c r="A49" s="1">
        <v>31.2</v>
      </c>
      <c r="B49" s="1">
        <v>30</v>
      </c>
      <c r="C49" s="1">
        <v>0.3</v>
      </c>
      <c r="D49" s="1">
        <v>0.93777777777777704</v>
      </c>
      <c r="E49" s="1">
        <v>0.93103448275862</v>
      </c>
      <c r="F49" s="1">
        <v>0.31182795698924698</v>
      </c>
      <c r="G49" s="1">
        <v>0.67877320111433803</v>
      </c>
    </row>
    <row r="50" spans="1:7" x14ac:dyDescent="0.45">
      <c r="A50" s="1">
        <v>16.2</v>
      </c>
      <c r="B50" s="1">
        <v>40</v>
      </c>
      <c r="C50" s="1">
        <v>0.17499999999999999</v>
      </c>
      <c r="D50" s="1">
        <v>0.86250000000000004</v>
      </c>
      <c r="E50" s="1">
        <v>0.81282051282051204</v>
      </c>
      <c r="F50" s="1">
        <v>0.17804878048780401</v>
      </c>
      <c r="G50" s="1">
        <v>0.58376412815371403</v>
      </c>
    </row>
    <row r="51" spans="1:7" x14ac:dyDescent="0.45">
      <c r="A51" s="1">
        <v>19.2</v>
      </c>
      <c r="B51" s="1">
        <v>90</v>
      </c>
      <c r="C51" s="1">
        <v>0.1</v>
      </c>
      <c r="D51" s="1">
        <v>0.87456790123456796</v>
      </c>
      <c r="E51" s="1">
        <v>0.82571785268414399</v>
      </c>
      <c r="F51" s="1">
        <v>0.144566544566544</v>
      </c>
      <c r="G51" s="1">
        <v>0.416689912914466</v>
      </c>
    </row>
    <row r="52" spans="1:7" x14ac:dyDescent="0.45">
      <c r="A52" s="1" t="s">
        <v>32</v>
      </c>
      <c r="B52" s="1"/>
      <c r="C52" s="1">
        <f>SUBTOTAL(101,Table126[JaccardCoefficient])</f>
        <v>0.6771132119514468</v>
      </c>
      <c r="D52" s="1">
        <f>SUBTOTAL(101,Table126[MismatchDistanceCoefficient])</f>
        <v>0.93641665999344537</v>
      </c>
      <c r="E52" s="1">
        <f>SUBTOTAL(101,Table126[KendallTauCorrelation])</f>
        <v>0.92431778787549701</v>
      </c>
      <c r="F52" s="1">
        <f>SUBTOTAL(101,Table126[MismatchPositionCoefficient])</f>
        <v>0.71336881699326871</v>
      </c>
      <c r="G52" s="1">
        <f>SUBTOTAL(101,Table126[DiscountedCumulativeGain])</f>
        <v>0.88760078268076936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opLeftCell="G1" zoomScaleNormal="100" workbookViewId="0">
      <selection activeCell="N15" sqref="N15"/>
    </sheetView>
  </sheetViews>
  <sheetFormatPr defaultColWidth="8.73046875" defaultRowHeight="14.25" x14ac:dyDescent="0.45"/>
  <cols>
    <col min="1" max="1" width="9.9296875" style="1" customWidth="1"/>
    <col min="2" max="2" width="10.33203125" style="1" customWidth="1"/>
    <col min="3" max="3" width="8.73046875" style="1"/>
    <col min="4" max="4" width="12.9296875" style="11" customWidth="1"/>
    <col min="5" max="5" width="13.06640625" style="11" customWidth="1"/>
    <col min="6" max="6" width="10.33203125" style="1" customWidth="1"/>
    <col min="7" max="7" width="8.73046875" style="1"/>
    <col min="8" max="8" width="10.59765625" style="1" customWidth="1"/>
    <col min="9" max="9" width="15.19921875" style="1" customWidth="1"/>
    <col min="10" max="10" width="17.46484375" style="1" customWidth="1"/>
    <col min="11" max="11" width="13" style="1" customWidth="1"/>
    <col min="12" max="13" width="8.73046875" style="1"/>
    <col min="14" max="14" width="31.19921875" style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40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18" t="s">
        <v>41</v>
      </c>
      <c r="O2" s="19">
        <f>CORREL(I2:I22, J2:J22)</f>
        <v>-0.53246994822591609</v>
      </c>
      <c r="P2" s="19">
        <f>CORREL(I2:I22, K2:K22)</f>
        <v>-0.19103890278885322</v>
      </c>
      <c r="Q2" s="20">
        <f>CORREL(I2:I22, L2:L22)</f>
        <v>-0.29960088852974315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21" t="s">
        <v>40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0.83333333333333337</v>
      </c>
      <c r="K4" s="2">
        <f>AVERAGEIF(Table12633[ [ Cycle size] ],I4,Table12633[KendallTauCorrelation])</f>
        <v>0.88888888888888873</v>
      </c>
      <c r="L4" s="2">
        <f>AVERAGEIF(Table12633[ [ Cycle size] ],I4,Table12633[DiscountedCumulativeGain])</f>
        <v>0.91746881399038804</v>
      </c>
      <c r="N4" s="24" t="s">
        <v>42</v>
      </c>
      <c r="O4" s="25">
        <f>CORREL(I2:I20, J2:J20)</f>
        <v>-0.45443687792318754</v>
      </c>
      <c r="P4" s="25">
        <f>CORREL(I2:I20, K2:K20)</f>
        <v>6.6543334560536793E-3</v>
      </c>
      <c r="Q4" s="26">
        <f>CORREL(I2:I20, L2:L20)</f>
        <v>-0.44078791706766474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  <c r="N5" s="27" t="s">
        <v>40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0.88888888888888873</v>
      </c>
      <c r="K6" s="2">
        <f>AVERAGEIF(Table12633[ [ Cycle size] ],I6,Table12633[KendallTauCorrelation])</f>
        <v>0.95555555555555538</v>
      </c>
      <c r="L6" s="2">
        <f>AVERAGEIF(Table12633[ [ Cycle size] ],I6,Table12633[DiscountedCumulativeGain])</f>
        <v>0.97940822026782171</v>
      </c>
      <c r="N6" s="24" t="s">
        <v>47</v>
      </c>
      <c r="O6" s="25">
        <f>AVERAGEA(J2:J22)</f>
        <v>0.81935140722955846</v>
      </c>
      <c r="P6" s="25">
        <f t="shared" ref="P6:Q6" si="0">AVERAGEA(K2:K22)</f>
        <v>0.94289111410890603</v>
      </c>
      <c r="Q6" s="25">
        <f t="shared" si="0"/>
        <v>0.95028775733055237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0.85714285714285698</v>
      </c>
      <c r="K7" s="2">
        <f>AVERAGEIF(Table12633[ [ Cycle size] ],I7,Table12633[KendallTauCorrelation])</f>
        <v>0.952380952380952</v>
      </c>
      <c r="L7" s="2">
        <f>AVERAGEIF(Table12633[ [ Cycle size] ],I7,Table12633[DiscountedCumulativeGain])</f>
        <v>0.98176853864576707</v>
      </c>
      <c r="N7" s="27" t="s">
        <v>40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  <c r="N8" s="24" t="s">
        <v>48</v>
      </c>
      <c r="O8" s="25">
        <f>MEDIAN(J2:J22)</f>
        <v>0.83333333333333337</v>
      </c>
      <c r="P8" s="25">
        <f t="shared" ref="P8:Q8" si="1">MEDIAN(K2:K22)</f>
        <v>0.952380952380952</v>
      </c>
      <c r="Q8" s="25">
        <f t="shared" si="1"/>
        <v>0.97900587709100961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0.77777777777777757</v>
      </c>
      <c r="K9" s="2">
        <f>AVERAGEIF(Table12633[ [ Cycle size] ],I9,Table12633[KendallTauCorrelation])</f>
        <v>0.83333333333333326</v>
      </c>
      <c r="L9" s="2">
        <f>AVERAGEIF(Table12633[ [ Cycle size] ],I9,Table12633[DiscountedCumulativeGain])</f>
        <v>0.95258758044611191</v>
      </c>
      <c r="N9" s="27" t="s">
        <v>40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AVERAGEIF(Table12633[[ Cycle size]],I10,Table12633[JaccardCoefficient])</f>
        <v>0.70000000000000007</v>
      </c>
      <c r="K10" s="2">
        <f>AVERAGEIF(Table12633[ [ Cycle size] ],I10,Table12633[KendallTauCorrelation])</f>
        <v>0.83703703703703669</v>
      </c>
      <c r="L10" s="2">
        <f>AVERAGEIF(Table12633[ [ Cycle size] ],I10,Table12633[DiscountedCumulativeGain])</f>
        <v>0.97900587709100961</v>
      </c>
      <c r="N10" s="24" t="s">
        <v>49</v>
      </c>
      <c r="O10" s="25">
        <f>SUMPRODUCT($I$2:$I$22,J2:J22)/SUM($I$2:$I$22)</f>
        <v>0.72517921146953401</v>
      </c>
      <c r="P10" s="25">
        <f t="shared" ref="P10:Q10" si="2">SUMPRODUCT($I$2:$I$22,K2:K22)/SUM($I$2:$I$22)</f>
        <v>0.93176064989865581</v>
      </c>
      <c r="Q10" s="25">
        <f t="shared" si="2"/>
        <v>0.92809865425966176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0.88333333333333319</v>
      </c>
      <c r="K11" s="2">
        <f>AVERAGEIF(Table12633[ [ Cycle size] ],I11,Table12633[KendallTauCorrelation])</f>
        <v>0.96363636363636329</v>
      </c>
      <c r="L11" s="2">
        <f>AVERAGEIF(Table12633[ [ Cycle size] ],I11,Table12633[DiscountedCumulativeGain])</f>
        <v>0.98604805966739906</v>
      </c>
      <c r="N11" s="24" t="s">
        <v>50</v>
      </c>
      <c r="O11" s="25">
        <f>SUMPRODUCT(I2:I20,J2:J20)/SUM(I2:I20)</f>
        <v>0.80482093663911836</v>
      </c>
      <c r="P11" s="25">
        <f>SUMPRODUCT(I2:I20,K2:K20)/SUM(I2:I20)</f>
        <v>0.94847572004750513</v>
      </c>
      <c r="Q11" s="25">
        <f>SUMPRODUCT(L2:L20,I2:I20)/SUM(I2:I20)</f>
        <v>0.93525249223239526</v>
      </c>
    </row>
    <row r="12" spans="1:17" x14ac:dyDescent="0.4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AVERAGEIF(Table12633[[ Cycle size]],I12,Table12633[JaccardCoefficient])</f>
        <v>0.71428571428571397</v>
      </c>
      <c r="K12" s="2">
        <f>AVERAGEIF(Table12633[ [ Cycle size] ],I12,Table12633[KendallTauCorrelation])</f>
        <v>0.91941391941391937</v>
      </c>
      <c r="L12" s="2">
        <f>AVERAGEIF(Table12633[ [ Cycle size] ],I12,Table12633[DiscountedCumulativeGain])</f>
        <v>0.88636167739973459</v>
      </c>
    </row>
    <row r="13" spans="1:17" x14ac:dyDescent="0.45">
      <c r="A13" s="1">
        <v>27.2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4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0.85714285714285698</v>
      </c>
      <c r="G14" s="1">
        <v>0.938224660803465</v>
      </c>
      <c r="I14" s="12">
        <v>16</v>
      </c>
      <c r="J14" s="2">
        <f>AVERAGEIF(Table12633[[ Cycle size]],I14,Table12633[JaccardCoefficient])</f>
        <v>0.8125</v>
      </c>
      <c r="K14" s="2">
        <f>AVERAGEIF(Table12633[ [ Cycle size] ],I14,Table12633[KendallTauCorrelation])</f>
        <v>0.93333333333333302</v>
      </c>
      <c r="L14" s="2">
        <f>AVERAGEIF(Table12633[ [ Cycle size] ],I14,Table12633[DiscountedCumulativeGain])</f>
        <v>0.94951567620255894</v>
      </c>
    </row>
    <row r="15" spans="1:17" x14ac:dyDescent="0.4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0.79411764705882348</v>
      </c>
      <c r="K15" s="2">
        <f>AVERAGEIF(Table12633[ [ Cycle size] ],I15,Table12633[KendallTauCorrelation])</f>
        <v>0.94852941176470551</v>
      </c>
      <c r="L15" s="2">
        <f>AVERAGEIF(Table12633[ [ Cycle size] ],I15,Table12633[DiscountedCumulativeGain])</f>
        <v>0.96761288082387753</v>
      </c>
    </row>
    <row r="16" spans="1:17" x14ac:dyDescent="0.45">
      <c r="A16" s="1">
        <v>6.2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0.67857142857142805</v>
      </c>
      <c r="G16" s="1">
        <v>0.96353707729153404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4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0.67857142857142805</v>
      </c>
      <c r="G17" s="1">
        <v>0.96353707729153404</v>
      </c>
      <c r="I17" s="12">
        <v>20</v>
      </c>
      <c r="J17" s="2">
        <f>AVERAGEIF(Table12633[[ Cycle size]],I17,Table12633[JaccardCoefficient])</f>
        <v>0.5</v>
      </c>
      <c r="K17" s="2">
        <f>AVERAGEIF(Table12633[ [ Cycle size] ],I17,Table12633[KendallTauCorrelation])</f>
        <v>0.86315789473684146</v>
      </c>
      <c r="L17" s="2">
        <f>AVERAGEIF(Table12633[ [ Cycle size] ],I17,Table12633[DiscountedCumulativeGain])</f>
        <v>0.89375900775271699</v>
      </c>
    </row>
    <row r="18" spans="1:12" x14ac:dyDescent="0.4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0.52</v>
      </c>
      <c r="K19" s="2">
        <f>AVERAGEIF(Table12633[ [ Cycle size] ],I19,Table12633[KendallTauCorrelation])</f>
        <v>0.94</v>
      </c>
      <c r="L19" s="2">
        <f>AVERAGEIF(Table12633[ [ Cycle size] ],I19,Table12633[DiscountedCumulativeGain])</f>
        <v>0.68409645387120899</v>
      </c>
    </row>
    <row r="20" spans="1:12" x14ac:dyDescent="0.4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0.8</v>
      </c>
      <c r="K20" s="2">
        <f>AVERAGEIF(Table12633[ [ Cycle size] ],I20,Table12633[KendallTauCorrelation])</f>
        <v>0.98160919540229796</v>
      </c>
      <c r="L20" s="2">
        <f>AVERAGEIF(Table12633[ [ Cycle size] ],I20,Table12633[DiscountedCumulativeGain])</f>
        <v>0.95627167608463903</v>
      </c>
    </row>
    <row r="21" spans="1:12" x14ac:dyDescent="0.4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0.52500000000000002</v>
      </c>
      <c r="K21" s="2">
        <f>AVERAGEIF(Table12633[ [ Cycle size] ],I21,Table12633[KendallTauCorrelation])</f>
        <v>0.86923076923076903</v>
      </c>
      <c r="L21" s="2">
        <f>AVERAGEIF(Table12633[ [ Cycle size] ],I21,Table12633[DiscountedCumulativeGain])</f>
        <v>0.90141726976996694</v>
      </c>
    </row>
    <row r="22" spans="1:12" x14ac:dyDescent="0.45">
      <c r="A22" s="1">
        <v>2.2000000000000002</v>
      </c>
      <c r="B22" s="1">
        <v>9</v>
      </c>
      <c r="C22" s="1">
        <v>0.11111111111111099</v>
      </c>
      <c r="D22" s="1">
        <v>0.35</v>
      </c>
      <c r="E22" s="1">
        <v>0.22222222222222199</v>
      </c>
      <c r="F22" s="1">
        <v>0.37777777777777699</v>
      </c>
      <c r="G22" s="1">
        <v>0.84399283351019405</v>
      </c>
      <c r="I22" s="12">
        <v>90</v>
      </c>
      <c r="J22" s="2">
        <f>AVERAGEIF(Table12633[[ Cycle size]],I22,Table12633[JaccardCoefficient])</f>
        <v>0.6</v>
      </c>
      <c r="K22" s="2">
        <f>AVERAGEIF(Table12633[ [ Cycle size] ],I22,Table12633[KendallTauCorrelation])</f>
        <v>0.91460674157303301</v>
      </c>
      <c r="L22" s="2">
        <f>AVERAGEIF(Table12633[ [ Cycle size] ],I22,Table12633[DiscountedCumulativeGain])</f>
        <v>0.92072117192839797</v>
      </c>
    </row>
    <row r="23" spans="1:12" x14ac:dyDescent="0.4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4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0.88888888888888795</v>
      </c>
      <c r="G24" s="1">
        <v>0.91894506872036597</v>
      </c>
    </row>
    <row r="25" spans="1:12" x14ac:dyDescent="0.4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4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45">
      <c r="A27" s="1">
        <v>37.200000000000003</v>
      </c>
      <c r="B27" s="1">
        <v>10</v>
      </c>
      <c r="C27" s="1">
        <v>0.5</v>
      </c>
      <c r="D27" s="1">
        <v>0.76</v>
      </c>
      <c r="E27" s="1">
        <v>0.64444444444444404</v>
      </c>
      <c r="F27" s="1">
        <v>0.49090909090909002</v>
      </c>
      <c r="G27" s="1">
        <v>0.97949650064028804</v>
      </c>
      <c r="I27" s="11"/>
      <c r="J27" s="11"/>
    </row>
    <row r="28" spans="1:12" x14ac:dyDescent="0.45">
      <c r="A28" s="1">
        <v>38.200000000000003</v>
      </c>
      <c r="B28" s="1">
        <v>10</v>
      </c>
      <c r="C28" s="1">
        <v>0.6</v>
      </c>
      <c r="D28" s="1">
        <v>0.88</v>
      </c>
      <c r="E28" s="1">
        <v>0.86666666666666603</v>
      </c>
      <c r="F28" s="1">
        <v>0.6</v>
      </c>
      <c r="G28" s="1">
        <v>0.95752113063274102</v>
      </c>
      <c r="I28" s="11"/>
      <c r="J28" s="11"/>
    </row>
    <row r="29" spans="1:12" x14ac:dyDescent="0.4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4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0.88461538461538403</v>
      </c>
      <c r="G30" s="1">
        <v>0.93777575572630201</v>
      </c>
      <c r="I30" s="11"/>
      <c r="J30" s="11"/>
    </row>
    <row r="31" spans="1:12" x14ac:dyDescent="0.4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45">
      <c r="A32" s="1">
        <v>15.2</v>
      </c>
      <c r="B32" s="1">
        <v>12</v>
      </c>
      <c r="C32" s="1">
        <v>0.58333333333333304</v>
      </c>
      <c r="D32" s="1">
        <v>0.86111111111111105</v>
      </c>
      <c r="E32" s="1">
        <v>0.84848484848484795</v>
      </c>
      <c r="F32" s="1">
        <v>0.487179487179487</v>
      </c>
      <c r="G32" s="1">
        <v>0.99246454261069295</v>
      </c>
      <c r="I32" s="11"/>
      <c r="J32" s="11"/>
    </row>
    <row r="33" spans="1:10" x14ac:dyDescent="0.45">
      <c r="A33" s="1">
        <v>41.2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I33" s="11"/>
      <c r="J33" s="11"/>
    </row>
    <row r="34" spans="1:10" x14ac:dyDescent="0.45">
      <c r="A34" s="1">
        <v>47.2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45">
      <c r="A35" s="1">
        <v>25.2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45">
      <c r="A36" s="1">
        <v>28.2</v>
      </c>
      <c r="B36" s="1">
        <v>14</v>
      </c>
      <c r="C36" s="1">
        <v>0.57142857142857095</v>
      </c>
      <c r="D36" s="1">
        <v>0.87755102040816302</v>
      </c>
      <c r="E36" s="1">
        <v>0.86813186813186805</v>
      </c>
      <c r="F36" s="1">
        <v>0.74285714285714199</v>
      </c>
      <c r="G36" s="1">
        <v>0.79294171850588602</v>
      </c>
      <c r="I36" s="11"/>
      <c r="J36" s="11"/>
    </row>
    <row r="37" spans="1:10" x14ac:dyDescent="0.45">
      <c r="A37" s="1">
        <v>49.2</v>
      </c>
      <c r="B37" s="1">
        <v>14</v>
      </c>
      <c r="C37" s="1">
        <v>0.57142857142857095</v>
      </c>
      <c r="D37" s="1">
        <v>0.89795918367346905</v>
      </c>
      <c r="E37" s="1">
        <v>0.89010989010988995</v>
      </c>
      <c r="F37" s="1">
        <v>0.628571428571428</v>
      </c>
      <c r="G37" s="1">
        <v>0.86614331369331798</v>
      </c>
      <c r="I37" s="11"/>
      <c r="J37" s="11"/>
    </row>
    <row r="38" spans="1:10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45">
      <c r="A39" s="1">
        <v>7.2</v>
      </c>
      <c r="B39" s="1">
        <v>16</v>
      </c>
      <c r="C39" s="1">
        <v>0.625</v>
      </c>
      <c r="D39" s="1">
        <v>0.875</v>
      </c>
      <c r="E39" s="1">
        <v>0.86666666666666603</v>
      </c>
      <c r="F39" s="1">
        <v>0.625</v>
      </c>
      <c r="G39" s="1">
        <v>0.899031352405118</v>
      </c>
      <c r="I39" s="11"/>
      <c r="J39" s="11"/>
    </row>
    <row r="40" spans="1:10" x14ac:dyDescent="0.4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45">
      <c r="A41" s="1">
        <v>14.2</v>
      </c>
      <c r="B41" s="1">
        <v>17</v>
      </c>
      <c r="C41" s="1">
        <v>0.58823529411764697</v>
      </c>
      <c r="D41" s="1">
        <v>0.90277777777777701</v>
      </c>
      <c r="E41" s="1">
        <v>0.89705882352941102</v>
      </c>
      <c r="F41" s="1">
        <v>0.49673202614378997</v>
      </c>
      <c r="G41" s="1">
        <v>0.93522576164775495</v>
      </c>
      <c r="I41" s="11"/>
      <c r="J41" s="11"/>
    </row>
    <row r="42" spans="1:10" x14ac:dyDescent="0.4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45">
      <c r="A43" s="1">
        <v>45.2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45">
      <c r="A44" s="1">
        <v>48.2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45">
      <c r="A45" s="1">
        <v>18.2</v>
      </c>
      <c r="B45" s="1">
        <v>20</v>
      </c>
      <c r="C45" s="1">
        <v>0.5</v>
      </c>
      <c r="D45" s="1">
        <v>0.85</v>
      </c>
      <c r="E45" s="1">
        <v>0.84210526315789402</v>
      </c>
      <c r="F45" s="1">
        <v>0.30952380952380898</v>
      </c>
      <c r="G45" s="1">
        <v>0.96090067853169103</v>
      </c>
      <c r="I45" s="11"/>
      <c r="J45" s="11"/>
    </row>
    <row r="46" spans="1:10" x14ac:dyDescent="0.45">
      <c r="A46" s="1">
        <v>35.200000000000003</v>
      </c>
      <c r="B46" s="1">
        <v>20</v>
      </c>
      <c r="C46" s="1">
        <v>0.5</v>
      </c>
      <c r="D46" s="1">
        <v>0.89</v>
      </c>
      <c r="E46" s="1">
        <v>0.884210526315789</v>
      </c>
      <c r="F46" s="1">
        <v>0.5</v>
      </c>
      <c r="G46" s="1">
        <v>0.82661733697374296</v>
      </c>
      <c r="I46" s="11"/>
      <c r="J46" s="11"/>
    </row>
    <row r="47" spans="1:10" x14ac:dyDescent="0.45">
      <c r="A47" s="1">
        <v>24.2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45">
      <c r="A48" s="1">
        <v>44.2</v>
      </c>
      <c r="B48" s="1">
        <v>25</v>
      </c>
      <c r="C48" s="1">
        <v>0.52</v>
      </c>
      <c r="D48" s="1">
        <v>0.94230769230769196</v>
      </c>
      <c r="E48" s="1">
        <v>0.94</v>
      </c>
      <c r="F48" s="1">
        <v>0.70461538461538398</v>
      </c>
      <c r="G48" s="1">
        <v>0.68409645387120899</v>
      </c>
      <c r="I48" s="11"/>
      <c r="J48" s="11"/>
    </row>
    <row r="49" spans="1:10" x14ac:dyDescent="0.45">
      <c r="A49" s="1">
        <v>31.2</v>
      </c>
      <c r="B49" s="1">
        <v>30</v>
      </c>
      <c r="C49" s="1">
        <v>0.8</v>
      </c>
      <c r="D49" s="1">
        <v>0.982222222222222</v>
      </c>
      <c r="E49" s="1">
        <v>0.98160919540229796</v>
      </c>
      <c r="F49" s="1">
        <v>0.72903225806451599</v>
      </c>
      <c r="G49" s="1">
        <v>0.95627167608463903</v>
      </c>
      <c r="I49" s="11"/>
      <c r="J49" s="11"/>
    </row>
    <row r="50" spans="1:10" x14ac:dyDescent="0.45">
      <c r="A50" s="1">
        <v>16.2</v>
      </c>
      <c r="B50" s="1">
        <v>40</v>
      </c>
      <c r="C50" s="1">
        <v>0.52500000000000002</v>
      </c>
      <c r="D50" s="1">
        <v>0.87250000000000005</v>
      </c>
      <c r="E50" s="1">
        <v>0.86923076923076903</v>
      </c>
      <c r="F50" s="1">
        <v>0.328048780487804</v>
      </c>
      <c r="G50" s="1">
        <v>0.90141726976996694</v>
      </c>
      <c r="I50" s="11"/>
      <c r="J50" s="11"/>
    </row>
    <row r="51" spans="1:10" x14ac:dyDescent="0.45">
      <c r="A51" s="1">
        <v>19.2</v>
      </c>
      <c r="B51" s="1">
        <v>90</v>
      </c>
      <c r="C51" s="1">
        <v>0.6</v>
      </c>
      <c r="D51" s="1">
        <v>0.91555555555555501</v>
      </c>
      <c r="E51" s="1">
        <v>0.91460674157303301</v>
      </c>
      <c r="F51" s="1">
        <v>0.371428571428571</v>
      </c>
      <c r="G51" s="1">
        <v>0.92072117192839797</v>
      </c>
      <c r="I51" s="11"/>
      <c r="J51" s="11"/>
    </row>
    <row r="52" spans="1:10" x14ac:dyDescent="0.45">
      <c r="A52" s="1" t="s">
        <v>32</v>
      </c>
      <c r="C52" s="1">
        <f>SUBTOTAL(101,Table12633[JaccardCoefficient])</f>
        <v>0.83603772175536872</v>
      </c>
      <c r="D52" s="1">
        <f>SUBTOTAL(101,Table12633[MismatchDistanceCoefficient])</f>
        <v>0.94502858015000879</v>
      </c>
      <c r="E52" s="1">
        <f>SUBTOTAL(101,Table12633[KendallTauCorrelation])</f>
        <v>0.9358509296586871</v>
      </c>
      <c r="F52" s="1">
        <f>SUBTOTAL(101,Table12633[MismatchPositionCoefficient])</f>
        <v>0.83758931490697575</v>
      </c>
      <c r="G52" s="1">
        <f>SUBTOTAL(101,Table12633[DiscountedCumulativeGain])</f>
        <v>0.95982535645220013</v>
      </c>
      <c r="I52" s="11"/>
      <c r="J52" s="1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N38"/>
  <sheetViews>
    <sheetView showGridLines="0" zoomScale="40" zoomScaleNormal="40" workbookViewId="0">
      <selection activeCell="H45" sqref="H45"/>
    </sheetView>
  </sheetViews>
  <sheetFormatPr defaultRowHeight="14.25" x14ac:dyDescent="0.45"/>
  <cols>
    <col min="1" max="1" width="6.46484375" customWidth="1"/>
  </cols>
  <sheetData>
    <row r="2" spans="1:34" s="14" customFormat="1" ht="18" x14ac:dyDescent="0.55000000000000004">
      <c r="F2" s="14" t="s">
        <v>35</v>
      </c>
      <c r="O2" s="14" t="s">
        <v>37</v>
      </c>
      <c r="Y2" s="14" t="s">
        <v>36</v>
      </c>
      <c r="AH2" s="14" t="s">
        <v>38</v>
      </c>
    </row>
    <row r="10" spans="1:34" ht="18" x14ac:dyDescent="0.55000000000000004">
      <c r="A10" s="13" t="s">
        <v>39</v>
      </c>
    </row>
    <row r="22" spans="1:40" s="14" customFormat="1" ht="18" x14ac:dyDescent="0.55000000000000004">
      <c r="F22" s="14" t="s">
        <v>35</v>
      </c>
      <c r="O22" s="14" t="s">
        <v>37</v>
      </c>
      <c r="Y22" s="14" t="s">
        <v>36</v>
      </c>
      <c r="AH22" s="14" t="s">
        <v>38</v>
      </c>
    </row>
    <row r="23" spans="1:40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55000000000000004">
      <c r="A28" s="13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6035-73C4-4010-B22F-1760326F507E}">
  <dimension ref="B2:G16"/>
  <sheetViews>
    <sheetView workbookViewId="0">
      <selection activeCell="M11" sqref="M11"/>
    </sheetView>
  </sheetViews>
  <sheetFormatPr defaultRowHeight="14.25" x14ac:dyDescent="0.45"/>
  <sheetData>
    <row r="2" spans="2:7" x14ac:dyDescent="0.45">
      <c r="B2" s="1" t="s">
        <v>43</v>
      </c>
      <c r="C2" s="1" t="s">
        <v>5</v>
      </c>
      <c r="D2" s="1" t="s">
        <v>7</v>
      </c>
      <c r="E2" s="1" t="s">
        <v>6</v>
      </c>
      <c r="F2" s="1" t="s">
        <v>8</v>
      </c>
      <c r="G2" s="1"/>
    </row>
    <row r="3" spans="2:7" x14ac:dyDescent="0.45">
      <c r="B3" s="1" t="s">
        <v>31</v>
      </c>
      <c r="C3" s="2">
        <f>Linear!O2</f>
        <v>-0.53246994822591609</v>
      </c>
      <c r="D3" s="2">
        <f>Discontinuous!O2</f>
        <v>-0.79359322745568095</v>
      </c>
      <c r="E3" s="2">
        <f>Saturating!O2</f>
        <v>-0.75392270877999112</v>
      </c>
      <c r="F3" s="2">
        <f>Combined!O2</f>
        <v>-0.71018114887203065</v>
      </c>
      <c r="G3" s="1"/>
    </row>
    <row r="4" spans="2:7" x14ac:dyDescent="0.45">
      <c r="B4" s="1" t="s">
        <v>44</v>
      </c>
      <c r="C4" s="2">
        <f>Linear!O4</f>
        <v>-0.45443687792318754</v>
      </c>
      <c r="D4" s="2">
        <f>Discontinuous!O4</f>
        <v>-0.62230641800395947</v>
      </c>
      <c r="E4" s="2">
        <f>Saturating!O4</f>
        <v>-0.87172115521818738</v>
      </c>
      <c r="F4" s="2">
        <f>Combined!O4</f>
        <v>-0.75029799695316901</v>
      </c>
      <c r="G4" s="1"/>
    </row>
    <row r="5" spans="2:7" x14ac:dyDescent="0.45">
      <c r="B5" s="1"/>
      <c r="C5" s="1"/>
      <c r="D5" s="1"/>
      <c r="E5" s="1"/>
      <c r="F5" s="1"/>
      <c r="G5" s="1"/>
    </row>
    <row r="6" spans="2:7" x14ac:dyDescent="0.45">
      <c r="B6" s="1" t="s">
        <v>29</v>
      </c>
      <c r="C6" s="1" t="s">
        <v>5</v>
      </c>
      <c r="D6" s="1" t="s">
        <v>7</v>
      </c>
      <c r="E6" s="1" t="s">
        <v>6</v>
      </c>
      <c r="F6" s="1" t="s">
        <v>8</v>
      </c>
      <c r="G6" s="1"/>
    </row>
    <row r="7" spans="2:7" x14ac:dyDescent="0.45">
      <c r="B7" s="1" t="s">
        <v>31</v>
      </c>
      <c r="C7" s="2">
        <f>Linear!P2</f>
        <v>-0.19103890278885322</v>
      </c>
      <c r="D7" s="2">
        <f>Discontinuous!P2</f>
        <v>-1.5624617602267566E-2</v>
      </c>
      <c r="E7" s="2">
        <f>Saturating!P2</f>
        <v>-0.57593386729312046</v>
      </c>
      <c r="F7" s="2">
        <f>Combined!P2</f>
        <v>-3.1345402429609481E-2</v>
      </c>
      <c r="G7" s="1"/>
    </row>
    <row r="8" spans="2:7" x14ac:dyDescent="0.45">
      <c r="B8" s="1" t="s">
        <v>44</v>
      </c>
      <c r="C8" s="2">
        <f>Linear!P4</f>
        <v>6.6543334560536793E-3</v>
      </c>
      <c r="D8" s="2">
        <f>Discontinuous!P4</f>
        <v>7.0987319974828253E-2</v>
      </c>
      <c r="E8" s="2">
        <f>Saturating!P4</f>
        <v>-0.57656548619946735</v>
      </c>
      <c r="F8" s="2">
        <f>Combined!P4</f>
        <v>-0.1694141927084977</v>
      </c>
      <c r="G8" s="1"/>
    </row>
    <row r="9" spans="2:7" x14ac:dyDescent="0.45">
      <c r="B9" s="1"/>
      <c r="C9" s="1"/>
      <c r="D9" s="1"/>
      <c r="E9" s="1"/>
      <c r="F9" s="1"/>
      <c r="G9" s="1"/>
    </row>
    <row r="10" spans="2:7" x14ac:dyDescent="0.45">
      <c r="B10" s="1" t="s">
        <v>34</v>
      </c>
      <c r="C10" s="1" t="s">
        <v>5</v>
      </c>
      <c r="D10" s="1" t="s">
        <v>7</v>
      </c>
      <c r="E10" s="1" t="s">
        <v>6</v>
      </c>
      <c r="F10" s="1" t="s">
        <v>8</v>
      </c>
      <c r="G10" s="1"/>
    </row>
    <row r="11" spans="2:7" x14ac:dyDescent="0.45">
      <c r="B11" s="1" t="s">
        <v>31</v>
      </c>
      <c r="C11" s="2">
        <f>Linear!Q2</f>
        <v>-0.29960088852974315</v>
      </c>
      <c r="D11" s="2">
        <f>Discontinuous!Q2</f>
        <v>-0.9093991241335091</v>
      </c>
      <c r="E11" s="2">
        <f>Saturating!Q2</f>
        <v>-0.90669507372884584</v>
      </c>
      <c r="F11" s="2">
        <f>Combined!Q2</f>
        <v>-0.87642903442130859</v>
      </c>
      <c r="G11" s="1"/>
    </row>
    <row r="12" spans="2:7" x14ac:dyDescent="0.45">
      <c r="B12" s="1" t="s">
        <v>44</v>
      </c>
      <c r="C12" s="2">
        <f>Linear!Q4</f>
        <v>-0.44078791706766474</v>
      </c>
      <c r="D12" s="2">
        <f>Discontinuous!Q4</f>
        <v>-0.71782163823377798</v>
      </c>
      <c r="E12" s="2">
        <f>Saturating!Q4</f>
        <v>-0.90904383536546407</v>
      </c>
      <c r="F12" s="2">
        <f>Combined!Q4</f>
        <v>-0.8627956639382367</v>
      </c>
      <c r="G12" s="1"/>
    </row>
    <row r="13" spans="2:7" x14ac:dyDescent="0.45">
      <c r="B13" s="1"/>
      <c r="C13" s="1"/>
      <c r="D13" s="1"/>
      <c r="E13" s="1"/>
      <c r="F13" s="1"/>
      <c r="G13" s="1"/>
    </row>
    <row r="14" spans="2:7" x14ac:dyDescent="0.45">
      <c r="B14" s="1"/>
      <c r="C14" s="1"/>
      <c r="D14" s="1"/>
      <c r="E14" s="1"/>
      <c r="F14" s="1"/>
      <c r="G14" s="1"/>
    </row>
    <row r="15" spans="2:7" x14ac:dyDescent="0.45">
      <c r="B15" s="1" t="s">
        <v>45</v>
      </c>
      <c r="C15" s="1"/>
      <c r="D15" s="1"/>
      <c r="E15" s="1"/>
      <c r="F15" s="1"/>
      <c r="G15" s="1"/>
    </row>
    <row r="16" spans="2:7" x14ac:dyDescent="0.45">
      <c r="B16" s="1" t="s">
        <v>46</v>
      </c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4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t="s">
        <v>13</v>
      </c>
    </row>
    <row r="19" spans="6:6" x14ac:dyDescent="0.45">
      <c r="F19" t="s">
        <v>14</v>
      </c>
    </row>
    <row r="20" spans="6:6" x14ac:dyDescent="0.45">
      <c r="F20" t="s">
        <v>15</v>
      </c>
    </row>
    <row r="21" spans="6:6" x14ac:dyDescent="0.4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>
        <f>Linear!E22</f>
        <v>0.22222222222222199</v>
      </c>
      <c r="C2" s="3">
        <f>Linear!E23</f>
        <v>1</v>
      </c>
      <c r="D2" s="3">
        <f>Linear!E24</f>
        <v>0.94444444444444398</v>
      </c>
    </row>
    <row r="3" spans="1:4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Correlations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2018-01-26T15:42:45Z</dcterms:modified>
</cp:coreProperties>
</file>