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tables/table16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ML_SelfHealingUtility\data\Ranking\9K\FullTrace\"/>
    </mc:Choice>
  </mc:AlternateContent>
  <bookViews>
    <workbookView xWindow="0" yWindow="0" windowWidth="18270" windowHeight="7238" tabRatio="809" activeTab="3" xr2:uid="{00000000-000D-0000-FFFF-FFFF00000000}"/>
  </bookViews>
  <sheets>
    <sheet name="Combined" sheetId="12" r:id="rId1"/>
    <sheet name="Discontinuous" sheetId="11" r:id="rId2"/>
    <sheet name="Saturating" sheetId="3" r:id="rId3"/>
    <sheet name="Linear" sheetId="4" r:id="rId4"/>
    <sheet name="Charts" sheetId="13" r:id="rId5"/>
    <sheet name="Correlation" sheetId="14" r:id="rId6"/>
    <sheet name="Jaccard" sheetId="5" r:id="rId7"/>
    <sheet name="KendallTau" sheetId="6" r:id="rId8"/>
    <sheet name="DiscountedCumGain" sheetId="10" r:id="rId9"/>
    <sheet name="MismatchPosition" sheetId="8" r:id="rId10"/>
    <sheet name="MismatchDistance" sheetId="7" r:id="rId11"/>
  </sheets>
  <calcPr calcId="171027" concurrentCalc="0"/>
</workbook>
</file>

<file path=xl/calcChain.xml><?xml version="1.0" encoding="utf-8"?>
<calcChain xmlns="http://schemas.openxmlformats.org/spreadsheetml/2006/main">
  <c r="Q11" i="4" l="1"/>
  <c r="P11" i="4"/>
  <c r="O11" i="4"/>
  <c r="Q10" i="4"/>
  <c r="P10" i="4"/>
  <c r="O10" i="4"/>
  <c r="Q8" i="4"/>
  <c r="P8" i="4"/>
  <c r="O8" i="4"/>
  <c r="Q6" i="4"/>
  <c r="P6" i="4"/>
  <c r="O6" i="4"/>
  <c r="Q4" i="4"/>
  <c r="P4" i="4"/>
  <c r="O4" i="4"/>
  <c r="Q2" i="4"/>
  <c r="P2" i="4"/>
  <c r="O2" i="4"/>
  <c r="Q11" i="3"/>
  <c r="P11" i="3"/>
  <c r="O11" i="3"/>
  <c r="Q10" i="3"/>
  <c r="P10" i="3"/>
  <c r="O10" i="3"/>
  <c r="Q8" i="3"/>
  <c r="P8" i="3"/>
  <c r="O8" i="3"/>
  <c r="Q6" i="3"/>
  <c r="P6" i="3"/>
  <c r="O6" i="3"/>
  <c r="Q4" i="3"/>
  <c r="P4" i="3"/>
  <c r="O4" i="3"/>
  <c r="Q2" i="3"/>
  <c r="P2" i="3"/>
  <c r="O2" i="3"/>
  <c r="Q11" i="11"/>
  <c r="P11" i="11"/>
  <c r="O11" i="11"/>
  <c r="Q10" i="11"/>
  <c r="P10" i="11"/>
  <c r="O10" i="11"/>
  <c r="Q8" i="11"/>
  <c r="P8" i="11"/>
  <c r="O8" i="11"/>
  <c r="Q6" i="11"/>
  <c r="P6" i="11"/>
  <c r="O6" i="11"/>
  <c r="Q4" i="11"/>
  <c r="P4" i="11"/>
  <c r="O4" i="11"/>
  <c r="Q2" i="11"/>
  <c r="P2" i="11"/>
  <c r="O2" i="11"/>
  <c r="O10" i="12"/>
  <c r="Q11" i="12"/>
  <c r="P11" i="12"/>
  <c r="O11" i="12"/>
  <c r="Q10" i="12"/>
  <c r="P10" i="12"/>
  <c r="Q8" i="12"/>
  <c r="P8" i="12"/>
  <c r="O8" i="12"/>
  <c r="Q6" i="12"/>
  <c r="P6" i="12"/>
  <c r="O6" i="12"/>
  <c r="Q4" i="12"/>
  <c r="P4" i="12"/>
  <c r="O4" i="12"/>
  <c r="Q2" i="12"/>
  <c r="P2" i="12"/>
  <c r="O2" i="12"/>
  <c r="F12" i="14"/>
  <c r="D12" i="14"/>
  <c r="E12" i="14"/>
  <c r="C12" i="14"/>
  <c r="F11" i="14"/>
  <c r="D11" i="14"/>
  <c r="E11" i="14"/>
  <c r="C11" i="14"/>
  <c r="F8" i="14"/>
  <c r="D8" i="14"/>
  <c r="E8" i="14"/>
  <c r="C8" i="14"/>
  <c r="F7" i="14"/>
  <c r="D7" i="14"/>
  <c r="E7" i="14"/>
  <c r="C7" i="14"/>
  <c r="F4" i="14"/>
  <c r="D4" i="14"/>
  <c r="E4" i="14"/>
  <c r="C4" i="14"/>
  <c r="F3" i="14"/>
  <c r="D3" i="14"/>
  <c r="E3" i="14"/>
  <c r="C3" i="14"/>
  <c r="C52" i="11"/>
  <c r="D52" i="11"/>
  <c r="E52" i="11"/>
  <c r="F52" i="11"/>
  <c r="G52" i="11"/>
  <c r="G52" i="12"/>
  <c r="F52" i="12"/>
  <c r="E52" i="12"/>
  <c r="D52" i="12"/>
  <c r="C52" i="12"/>
  <c r="L22" i="12"/>
  <c r="K22" i="12"/>
  <c r="J22" i="12"/>
  <c r="L21" i="12"/>
  <c r="K21" i="12"/>
  <c r="J21" i="12"/>
  <c r="L20" i="12"/>
  <c r="K20" i="12"/>
  <c r="J20" i="12"/>
  <c r="L19" i="12"/>
  <c r="K19" i="12"/>
  <c r="J19" i="12"/>
  <c r="L18" i="12"/>
  <c r="K18" i="12"/>
  <c r="J18" i="12"/>
  <c r="L17" i="12"/>
  <c r="K17" i="12"/>
  <c r="J17" i="12"/>
  <c r="L16" i="12"/>
  <c r="K16" i="12"/>
  <c r="J16" i="12"/>
  <c r="L15" i="12"/>
  <c r="K15" i="12"/>
  <c r="J15" i="12"/>
  <c r="L14" i="12"/>
  <c r="K14" i="12"/>
  <c r="J14" i="12"/>
  <c r="L13" i="12"/>
  <c r="K13" i="12"/>
  <c r="J13" i="12"/>
  <c r="L12" i="12"/>
  <c r="K12" i="12"/>
  <c r="J12" i="12"/>
  <c r="L11" i="12"/>
  <c r="K11" i="12"/>
  <c r="J11" i="12"/>
  <c r="L10" i="12"/>
  <c r="K10" i="12"/>
  <c r="J10" i="12"/>
  <c r="L9" i="12"/>
  <c r="K9" i="12"/>
  <c r="J9" i="12"/>
  <c r="L8" i="12"/>
  <c r="K8" i="12"/>
  <c r="J8" i="12"/>
  <c r="L7" i="12"/>
  <c r="K7" i="12"/>
  <c r="J7" i="12"/>
  <c r="L6" i="12"/>
  <c r="K6" i="12"/>
  <c r="J6" i="12"/>
  <c r="L5" i="12"/>
  <c r="K5" i="12"/>
  <c r="J5" i="12"/>
  <c r="L4" i="12"/>
  <c r="K4" i="12"/>
  <c r="J4" i="12"/>
  <c r="L3" i="12"/>
  <c r="K3" i="12"/>
  <c r="J3" i="12"/>
  <c r="L2" i="12"/>
  <c r="K2" i="12"/>
  <c r="J2" i="12"/>
  <c r="L22" i="11"/>
  <c r="K22" i="11"/>
  <c r="J22" i="11"/>
  <c r="L21" i="11"/>
  <c r="K21" i="11"/>
  <c r="J21" i="11"/>
  <c r="L20" i="11"/>
  <c r="K20" i="11"/>
  <c r="J20" i="11"/>
  <c r="L19" i="11"/>
  <c r="K19" i="11"/>
  <c r="J19" i="11"/>
  <c r="L18" i="11"/>
  <c r="K18" i="11"/>
  <c r="J18" i="11"/>
  <c r="L17" i="11"/>
  <c r="K17" i="11"/>
  <c r="J17" i="11"/>
  <c r="L16" i="11"/>
  <c r="K16" i="11"/>
  <c r="J16" i="11"/>
  <c r="L15" i="11"/>
  <c r="K15" i="11"/>
  <c r="J15" i="11"/>
  <c r="L14" i="11"/>
  <c r="K14" i="11"/>
  <c r="J14" i="11"/>
  <c r="L13" i="11"/>
  <c r="K13" i="11"/>
  <c r="J13" i="11"/>
  <c r="L12" i="11"/>
  <c r="K12" i="11"/>
  <c r="J12" i="11"/>
  <c r="L11" i="11"/>
  <c r="K11" i="11"/>
  <c r="J11" i="11"/>
  <c r="L10" i="11"/>
  <c r="K10" i="11"/>
  <c r="J10" i="11"/>
  <c r="L9" i="11"/>
  <c r="K9" i="11"/>
  <c r="J9" i="11"/>
  <c r="L8" i="11"/>
  <c r="K8" i="11"/>
  <c r="J8" i="11"/>
  <c r="L7" i="11"/>
  <c r="K7" i="11"/>
  <c r="J7" i="11"/>
  <c r="L6" i="11"/>
  <c r="K6" i="11"/>
  <c r="J6" i="11"/>
  <c r="L5" i="11"/>
  <c r="K5" i="11"/>
  <c r="J5" i="11"/>
  <c r="L4" i="11"/>
  <c r="K4" i="11"/>
  <c r="J4" i="11"/>
  <c r="L3" i="11"/>
  <c r="K3" i="11"/>
  <c r="J3" i="11"/>
  <c r="L2" i="11"/>
  <c r="K2" i="11"/>
  <c r="J2" i="11"/>
  <c r="E52" i="4"/>
  <c r="C52" i="4"/>
  <c r="G52" i="4"/>
  <c r="F52" i="4"/>
  <c r="D52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L4" i="4"/>
  <c r="K4" i="4"/>
  <c r="J4" i="4"/>
  <c r="L3" i="4"/>
  <c r="K3" i="4"/>
  <c r="J3" i="4"/>
  <c r="L2" i="4"/>
  <c r="K2" i="4"/>
  <c r="J2" i="4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L2" i="3"/>
  <c r="K2" i="3"/>
  <c r="J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G52" i="3"/>
  <c r="F52" i="3"/>
  <c r="E52" i="3"/>
  <c r="C52" i="3"/>
  <c r="D52" i="3"/>
  <c r="B3" i="10"/>
  <c r="B2" i="10"/>
  <c r="D2" i="10"/>
  <c r="C2" i="10"/>
  <c r="D3" i="10"/>
  <c r="C3" i="10"/>
  <c r="D4" i="10"/>
  <c r="C4" i="10"/>
  <c r="B4" i="10"/>
  <c r="D5" i="10"/>
  <c r="C5" i="10"/>
  <c r="B5" i="10"/>
  <c r="P3" i="7"/>
  <c r="P4" i="7"/>
  <c r="P5" i="7"/>
  <c r="P2" i="7"/>
  <c r="N5" i="7"/>
  <c r="N4" i="7"/>
  <c r="N3" i="7"/>
  <c r="N2" i="7"/>
  <c r="L3" i="7"/>
  <c r="L4" i="7"/>
  <c r="L5" i="7"/>
  <c r="L2" i="7"/>
  <c r="J5" i="7"/>
  <c r="J4" i="7"/>
  <c r="J3" i="7"/>
  <c r="J2" i="7"/>
  <c r="F3" i="7"/>
  <c r="F4" i="7"/>
  <c r="F5" i="7"/>
  <c r="F2" i="7"/>
  <c r="H3" i="7"/>
  <c r="H4" i="7"/>
  <c r="H5" i="7"/>
  <c r="H2" i="7"/>
  <c r="B3" i="8"/>
  <c r="D4" i="8"/>
  <c r="C5" i="8"/>
  <c r="B2" i="8"/>
  <c r="C2" i="8"/>
  <c r="D2" i="8"/>
  <c r="C3" i="8"/>
  <c r="D3" i="8"/>
  <c r="B4" i="8"/>
  <c r="C4" i="8"/>
  <c r="B5" i="8"/>
  <c r="D5" i="8"/>
  <c r="D3" i="7"/>
  <c r="O3" i="7"/>
  <c r="D5" i="7"/>
  <c r="O5" i="7"/>
  <c r="C5" i="7"/>
  <c r="K5" i="7"/>
  <c r="B5" i="7"/>
  <c r="G5" i="7"/>
  <c r="D4" i="7"/>
  <c r="O4" i="7"/>
  <c r="B4" i="7"/>
  <c r="G4" i="7"/>
  <c r="B2" i="7"/>
  <c r="G2" i="7"/>
  <c r="C3" i="7"/>
  <c r="K3" i="7"/>
  <c r="B3" i="7"/>
  <c r="G3" i="7"/>
  <c r="D2" i="7"/>
  <c r="O2" i="7"/>
  <c r="C2" i="7"/>
  <c r="K2" i="7"/>
  <c r="C4" i="7"/>
  <c r="K4" i="7"/>
  <c r="D2" i="6"/>
  <c r="C2" i="6"/>
  <c r="B2" i="6"/>
  <c r="D4" i="6"/>
  <c r="C4" i="6"/>
  <c r="B4" i="6"/>
  <c r="D3" i="6"/>
  <c r="C3" i="6"/>
  <c r="B3" i="6"/>
  <c r="D5" i="6"/>
  <c r="C5" i="6"/>
  <c r="B5" i="6"/>
  <c r="D2" i="5"/>
  <c r="C2" i="5"/>
  <c r="B2" i="5"/>
  <c r="D3" i="5"/>
  <c r="C3" i="5"/>
  <c r="B3" i="5"/>
  <c r="D4" i="5"/>
  <c r="C4" i="5"/>
  <c r="B4" i="5"/>
  <c r="D5" i="5"/>
  <c r="C5" i="5"/>
  <c r="B5" i="5"/>
</calcChain>
</file>

<file path=xl/sharedStrings.xml><?xml version="1.0" encoding="utf-8"?>
<sst xmlns="http://schemas.openxmlformats.org/spreadsheetml/2006/main" count="267" uniqueCount="51">
  <si>
    <t>Cycle id</t>
  </si>
  <si>
    <t xml:space="preserve"> Cycle size</t>
  </si>
  <si>
    <t>JaccardCoefficient</t>
  </si>
  <si>
    <t>KendallTauCorrelation</t>
  </si>
  <si>
    <t>Cycle size</t>
  </si>
  <si>
    <t>Linear</t>
  </si>
  <si>
    <t>Saturating</t>
  </si>
  <si>
    <t>Discontinuous</t>
  </si>
  <si>
    <t>Combined</t>
  </si>
  <si>
    <t>Model</t>
  </si>
  <si>
    <t>5</t>
  </si>
  <si>
    <t>25</t>
  </si>
  <si>
    <t>50</t>
  </si>
  <si>
    <t>Model complexity and cycle size are inversely correlated with the Jaccard coefficient.</t>
  </si>
  <si>
    <t>This follows the same pattern of the prediction errors observed before.</t>
  </si>
  <si>
    <t>Therefore, when dealing with complex models and having a high density of failures,</t>
  </si>
  <si>
    <t xml:space="preserve">we should expect a larger proportion of mismatches in the ranking. </t>
  </si>
  <si>
    <t>Rank correlation metrics are not sensitive enough to the distance of the mismatches.</t>
  </si>
  <si>
    <t xml:space="preserve">We computed the Kendall and Spearman correlations. Since these correlations also take into consideration the </t>
  </si>
  <si>
    <t xml:space="preserve">concordant pairs, the mismatch distance will only significantly affect the metric  if the </t>
  </si>
  <si>
    <t>proportion of concordant to discordant pairs remains the same.</t>
  </si>
  <si>
    <t xml:space="preserve">In the face of that, we decided to build on top of the Jaccard metric by </t>
  </si>
  <si>
    <t>adding weights to the mismatches.</t>
  </si>
  <si>
    <t>MismatchDistanceCoefficient</t>
  </si>
  <si>
    <t>MismatchPositionCoefficient</t>
  </si>
  <si>
    <t xml:space="preserve">Mismatches happening at the top of the ranking have higher impact on the metric </t>
  </si>
  <si>
    <t>compared with mismatches at the bottom of the ranking</t>
  </si>
  <si>
    <t>DK</t>
  </si>
  <si>
    <t>Distance</t>
  </si>
  <si>
    <t>Kendall</t>
  </si>
  <si>
    <t>DiscountedCumulativeGain</t>
  </si>
  <si>
    <t>All</t>
  </si>
  <si>
    <t>Total</t>
  </si>
  <si>
    <t xml:space="preserve">Jaccard </t>
  </si>
  <si>
    <t>DCG</t>
  </si>
  <si>
    <t>LINEAR</t>
  </si>
  <si>
    <t>SATURATING</t>
  </si>
  <si>
    <t>DISCONTINUOUS</t>
  </si>
  <si>
    <t>COMBINED</t>
  </si>
  <si>
    <t>9k</t>
  </si>
  <si>
    <t>Jaccard</t>
  </si>
  <si>
    <t>Up to 30</t>
  </si>
  <si>
    <t>Higher complexity, lower similarity for Jaccard and DCG.</t>
  </si>
  <si>
    <t>This is confirmed by computing the correlations between cycle size and similarity metric value.</t>
  </si>
  <si>
    <t>Statistic</t>
  </si>
  <si>
    <t>Correl</t>
  </si>
  <si>
    <t>Correlation (cut 40 and 90)</t>
  </si>
  <si>
    <t>Mean</t>
  </si>
  <si>
    <t>Median</t>
  </si>
  <si>
    <t>Average Weighted by Cycle Size</t>
  </si>
  <si>
    <t>Average Weighted by Cycle Size (cut 40 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</si>
</sst>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2" tint="-0.499984740745262"/>
      <name val="Calibri"/>
      <family val="2"/>
      <scheme val="minor"/>
    </font>
    <font>
      <sz val="10"/>
      <color theme="2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ill="1" applyBorder="1"/>
    <xf numFmtId="0" fontId="16" fillId="0" borderId="0" xfId="0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9" fillId="33" borderId="11" xfId="0" applyFont="1" applyFill="1" applyBorder="1"/>
    <xf numFmtId="0" fontId="19" fillId="33" borderId="12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20" fillId="34" borderId="14" xfId="0" applyFont="1" applyFill="1" applyBorder="1" applyAlignment="1">
      <alignment horizontal="center"/>
    </xf>
    <xf numFmtId="2" fontId="20" fillId="34" borderId="10" xfId="0" applyNumberFormat="1" applyFont="1" applyFill="1" applyBorder="1"/>
    <xf numFmtId="2" fontId="20" fillId="34" borderId="15" xfId="0" applyNumberFormat="1" applyFont="1" applyFill="1" applyBorder="1"/>
    <xf numFmtId="0" fontId="19" fillId="33" borderId="14" xfId="0" applyFont="1" applyFill="1" applyBorder="1"/>
    <xf numFmtId="0" fontId="19" fillId="33" borderId="10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20" fillId="34" borderId="16" xfId="0" applyFont="1" applyFill="1" applyBorder="1" applyAlignment="1">
      <alignment horizontal="center"/>
    </xf>
    <xf numFmtId="2" fontId="20" fillId="34" borderId="17" xfId="0" applyNumberFormat="1" applyFont="1" applyFill="1" applyBorder="1"/>
    <xf numFmtId="2" fontId="20" fillId="34" borderId="18" xfId="0" applyNumberFormat="1" applyFont="1" applyFill="1" applyBorder="1"/>
    <xf numFmtId="0" fontId="19" fillId="33" borderId="14" xfId="0" applyFont="1" applyFill="1" applyBorder="1" applyAlignment="1">
      <alignment horizontal="left"/>
    </xf>
    <xf numFmtId="2" fontId="19" fillId="33" borderId="10" xfId="0" applyNumberFormat="1" applyFont="1" applyFill="1" applyBorder="1" applyAlignment="1">
      <alignment horizontal="center"/>
    </xf>
    <xf numFmtId="2" fontId="19" fillId="33" borderId="15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5"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0.72222222222222199</c:v>
                </c:pt>
                <c:pt idx="5">
                  <c:v>0.67857142857142816</c:v>
                </c:pt>
                <c:pt idx="6">
                  <c:v>0.91666666666666663</c:v>
                </c:pt>
                <c:pt idx="7">
                  <c:v>0.66666666666666596</c:v>
                </c:pt>
                <c:pt idx="8">
                  <c:v>0.73333333333333339</c:v>
                </c:pt>
                <c:pt idx="9">
                  <c:v>0.71666666666666645</c:v>
                </c:pt>
                <c:pt idx="10">
                  <c:v>0.80952380952380931</c:v>
                </c:pt>
                <c:pt idx="11">
                  <c:v>0.86666666666666603</c:v>
                </c:pt>
                <c:pt idx="12">
                  <c:v>0.53125</c:v>
                </c:pt>
                <c:pt idx="13">
                  <c:v>0.67647058823529393</c:v>
                </c:pt>
                <c:pt idx="14">
                  <c:v>0.63888888888888851</c:v>
                </c:pt>
                <c:pt idx="15">
                  <c:v>0.875</c:v>
                </c:pt>
                <c:pt idx="16">
                  <c:v>0.66666666666666596</c:v>
                </c:pt>
                <c:pt idx="17">
                  <c:v>0.6</c:v>
                </c:pt>
                <c:pt idx="18">
                  <c:v>0.6</c:v>
                </c:pt>
                <c:pt idx="19">
                  <c:v>0.52500000000000002</c:v>
                </c:pt>
                <c:pt idx="20">
                  <c:v>0.344444444444444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B-4293-9359-74343CC338E7}"/>
            </c:ext>
          </c:extLst>
        </c:ser>
        <c:ser>
          <c:idx val="1"/>
          <c:order val="1"/>
          <c:tx>
            <c:strRef>
              <c:f>Combined!$K$1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0.86666666666666625</c:v>
                </c:pt>
                <c:pt idx="5">
                  <c:v>0.83333333333333282</c:v>
                </c:pt>
                <c:pt idx="6">
                  <c:v>0.97619047619047594</c:v>
                </c:pt>
                <c:pt idx="7">
                  <c:v>0.91111111111111032</c:v>
                </c:pt>
                <c:pt idx="8">
                  <c:v>0.94074074074074066</c:v>
                </c:pt>
                <c:pt idx="9">
                  <c:v>0.94545454545454499</c:v>
                </c:pt>
                <c:pt idx="10">
                  <c:v>0.95604395604395587</c:v>
                </c:pt>
                <c:pt idx="11">
                  <c:v>0.98095238095238002</c:v>
                </c:pt>
                <c:pt idx="12">
                  <c:v>0.89999999999999947</c:v>
                </c:pt>
                <c:pt idx="13">
                  <c:v>0.94117647058823495</c:v>
                </c:pt>
                <c:pt idx="14">
                  <c:v>0.9542483660130715</c:v>
                </c:pt>
                <c:pt idx="15">
                  <c:v>0.98421052631578898</c:v>
                </c:pt>
                <c:pt idx="16">
                  <c:v>0.96190476190476104</c:v>
                </c:pt>
                <c:pt idx="17">
                  <c:v>0.96</c:v>
                </c:pt>
                <c:pt idx="18">
                  <c:v>0.958620689655172</c:v>
                </c:pt>
                <c:pt idx="19">
                  <c:v>0.96666666666666601</c:v>
                </c:pt>
                <c:pt idx="20">
                  <c:v>0.96454431960049902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B-4293-9359-74343CC338E7}"/>
            </c:ext>
          </c:extLst>
        </c:ser>
        <c:ser>
          <c:idx val="2"/>
          <c:order val="2"/>
          <c:tx>
            <c:strRef>
              <c:f>Combined!$L$1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0.93989293501860771</c:v>
                </c:pt>
                <c:pt idx="5">
                  <c:v>0.95762431091121003</c:v>
                </c:pt>
                <c:pt idx="6">
                  <c:v>0.97720456990228666</c:v>
                </c:pt>
                <c:pt idx="7">
                  <c:v>0.93469940051731903</c:v>
                </c:pt>
                <c:pt idx="8">
                  <c:v>0.91942463081157133</c:v>
                </c:pt>
                <c:pt idx="9">
                  <c:v>0.91462033741574156</c:v>
                </c:pt>
                <c:pt idx="10">
                  <c:v>0.92720598943441301</c:v>
                </c:pt>
                <c:pt idx="11">
                  <c:v>0.94934854370721</c:v>
                </c:pt>
                <c:pt idx="12">
                  <c:v>0.88816637329542703</c:v>
                </c:pt>
                <c:pt idx="13">
                  <c:v>0.87333737692619606</c:v>
                </c:pt>
                <c:pt idx="14">
                  <c:v>0.83469262984525394</c:v>
                </c:pt>
                <c:pt idx="15">
                  <c:v>0.9493160709899785</c:v>
                </c:pt>
                <c:pt idx="16">
                  <c:v>0.78196070894059699</c:v>
                </c:pt>
                <c:pt idx="17">
                  <c:v>0.71469640308924898</c:v>
                </c:pt>
                <c:pt idx="18">
                  <c:v>0.90188353345859695</c:v>
                </c:pt>
                <c:pt idx="19">
                  <c:v>0.69643054956171002</c:v>
                </c:pt>
                <c:pt idx="20">
                  <c:v>0.60267946643171399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CB-4293-9359-74343CC3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9250304979484"/>
          <c:y val="0.14170009551098375"/>
          <c:w val="0.84260468004879674"/>
          <c:h val="0.71587994194135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Saturating!$J$1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Saturating!$I$2:$I$21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Saturating!$J$2:$J$21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0.88888888888888873</c:v>
                </c:pt>
                <c:pt idx="5">
                  <c:v>0.92857142857142849</c:v>
                </c:pt>
                <c:pt idx="6">
                  <c:v>0.91666666666666663</c:v>
                </c:pt>
                <c:pt idx="7">
                  <c:v>0.73333333333333306</c:v>
                </c:pt>
                <c:pt idx="8">
                  <c:v>0.8666666666666667</c:v>
                </c:pt>
                <c:pt idx="9">
                  <c:v>0.78333333333333299</c:v>
                </c:pt>
                <c:pt idx="10">
                  <c:v>0.476190476190476</c:v>
                </c:pt>
                <c:pt idx="11">
                  <c:v>0.46666666666666601</c:v>
                </c:pt>
                <c:pt idx="12">
                  <c:v>0.5</c:v>
                </c:pt>
                <c:pt idx="13">
                  <c:v>0.38235294117647045</c:v>
                </c:pt>
                <c:pt idx="14">
                  <c:v>0.72222222222222143</c:v>
                </c:pt>
                <c:pt idx="15">
                  <c:v>0.55000000000000004</c:v>
                </c:pt>
                <c:pt idx="16">
                  <c:v>0.476190476190476</c:v>
                </c:pt>
                <c:pt idx="17">
                  <c:v>0.56000000000000005</c:v>
                </c:pt>
                <c:pt idx="18">
                  <c:v>0.53333333333333299</c:v>
                </c:pt>
                <c:pt idx="19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B-409C-9EED-BE2D8A5FEE01}"/>
            </c:ext>
          </c:extLst>
        </c:ser>
        <c:ser>
          <c:idx val="1"/>
          <c:order val="1"/>
          <c:tx>
            <c:strRef>
              <c:f>Saturating!$K$1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Saturating!$I$2:$I$21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Saturating!$K$2:$K$21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0.77777777777777735</c:v>
                </c:pt>
                <c:pt idx="3">
                  <c:v>1</c:v>
                </c:pt>
                <c:pt idx="4">
                  <c:v>0.95555555555555538</c:v>
                </c:pt>
                <c:pt idx="5">
                  <c:v>0.97619047619047605</c:v>
                </c:pt>
                <c:pt idx="6">
                  <c:v>0.97619047619047594</c:v>
                </c:pt>
                <c:pt idx="7">
                  <c:v>0.89999999999999969</c:v>
                </c:pt>
                <c:pt idx="8">
                  <c:v>0.95555555555555538</c:v>
                </c:pt>
                <c:pt idx="9">
                  <c:v>0.9575757575757573</c:v>
                </c:pt>
                <c:pt idx="10">
                  <c:v>0.87545787545787535</c:v>
                </c:pt>
                <c:pt idx="11">
                  <c:v>0.90476190476190399</c:v>
                </c:pt>
                <c:pt idx="12">
                  <c:v>0.92500000000000004</c:v>
                </c:pt>
                <c:pt idx="13">
                  <c:v>0.88970588235294101</c:v>
                </c:pt>
                <c:pt idx="14">
                  <c:v>0.96732026143790795</c:v>
                </c:pt>
                <c:pt idx="15">
                  <c:v>0.92105263157894701</c:v>
                </c:pt>
                <c:pt idx="16">
                  <c:v>0.87619047619047596</c:v>
                </c:pt>
                <c:pt idx="17">
                  <c:v>0.94</c:v>
                </c:pt>
                <c:pt idx="18">
                  <c:v>0.958620689655172</c:v>
                </c:pt>
                <c:pt idx="19">
                  <c:v>0.90512820512820502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B-409C-9EED-BE2D8A5FEE01}"/>
            </c:ext>
          </c:extLst>
        </c:ser>
        <c:ser>
          <c:idx val="2"/>
          <c:order val="2"/>
          <c:tx>
            <c:strRef>
              <c:f>Saturating!$L$1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Saturating!$I$2:$I$21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Saturating!$L$2:$L$21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0.91253309560611706</c:v>
                </c:pt>
                <c:pt idx="3">
                  <c:v>1</c:v>
                </c:pt>
                <c:pt idx="4">
                  <c:v>0.99764965791225191</c:v>
                </c:pt>
                <c:pt idx="5">
                  <c:v>0.98841712390064951</c:v>
                </c:pt>
                <c:pt idx="6">
                  <c:v>0.97720456990228666</c:v>
                </c:pt>
                <c:pt idx="7">
                  <c:v>0.93429177658279072</c:v>
                </c:pt>
                <c:pt idx="8">
                  <c:v>0.92678210948025475</c:v>
                </c:pt>
                <c:pt idx="9">
                  <c:v>0.91386663515654543</c:v>
                </c:pt>
                <c:pt idx="10">
                  <c:v>0.86255168555847106</c:v>
                </c:pt>
                <c:pt idx="11">
                  <c:v>0.74282566427766095</c:v>
                </c:pt>
                <c:pt idx="12">
                  <c:v>0.782234292492899</c:v>
                </c:pt>
                <c:pt idx="13">
                  <c:v>0.71449558754378295</c:v>
                </c:pt>
                <c:pt idx="14">
                  <c:v>0.88427265787522946</c:v>
                </c:pt>
                <c:pt idx="15">
                  <c:v>0.85175558975982057</c:v>
                </c:pt>
                <c:pt idx="16">
                  <c:v>0.81149888900304601</c:v>
                </c:pt>
                <c:pt idx="17">
                  <c:v>0.747139958403083</c:v>
                </c:pt>
                <c:pt idx="18">
                  <c:v>0.82227836858853398</c:v>
                </c:pt>
                <c:pt idx="19">
                  <c:v>0.92087308045251004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FB-409C-9EED-BE2D8A5FE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546784739557"/>
          <c:y val="7.8871441261046921E-2"/>
          <c:w val="0.45507186103729064"/>
          <c:h val="6.4532000421553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2357623089572"/>
          <c:y val="0.1432046332046332"/>
          <c:w val="0.84216003241425907"/>
          <c:h val="0.73602924634420697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Discontinuous!$J$1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Discontinuous!$I$2:$I$21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Discontinuous!$J$2:$J$21</c:f>
              <c:numCache>
                <c:formatCode>0.00</c:formatCode>
                <c:ptCount val="20"/>
                <c:pt idx="0">
                  <c:v>1</c:v>
                </c:pt>
                <c:pt idx="1">
                  <c:v>0.86666666666666659</c:v>
                </c:pt>
                <c:pt idx="2">
                  <c:v>0.66666666666666663</c:v>
                </c:pt>
                <c:pt idx="3">
                  <c:v>1</c:v>
                </c:pt>
                <c:pt idx="4">
                  <c:v>0.88888888888888873</c:v>
                </c:pt>
                <c:pt idx="5">
                  <c:v>0.92857142857142849</c:v>
                </c:pt>
                <c:pt idx="6">
                  <c:v>0.91666666666666663</c:v>
                </c:pt>
                <c:pt idx="7">
                  <c:v>0.86666666666666603</c:v>
                </c:pt>
                <c:pt idx="8">
                  <c:v>0.93333333333333324</c:v>
                </c:pt>
                <c:pt idx="9">
                  <c:v>0.83333333333333326</c:v>
                </c:pt>
                <c:pt idx="10">
                  <c:v>0.80952380952380931</c:v>
                </c:pt>
                <c:pt idx="11">
                  <c:v>1</c:v>
                </c:pt>
                <c:pt idx="12">
                  <c:v>0.9375</c:v>
                </c:pt>
                <c:pt idx="13">
                  <c:v>0.82352941176470551</c:v>
                </c:pt>
                <c:pt idx="14">
                  <c:v>0.77777777777777701</c:v>
                </c:pt>
                <c:pt idx="15">
                  <c:v>0.77500000000000002</c:v>
                </c:pt>
                <c:pt idx="16">
                  <c:v>0.80952380952380898</c:v>
                </c:pt>
                <c:pt idx="17">
                  <c:v>0.72</c:v>
                </c:pt>
                <c:pt idx="18">
                  <c:v>0.83333333333333304</c:v>
                </c:pt>
                <c:pt idx="1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D-4A99-9E3F-40DFC0E6B9A0}"/>
            </c:ext>
          </c:extLst>
        </c:ser>
        <c:ser>
          <c:idx val="1"/>
          <c:order val="1"/>
          <c:tx>
            <c:strRef>
              <c:f>Discontinuous!$K$1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Discontinuous!$I$2:$I$21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Discontinuous!$K$2:$K$21</c:f>
              <c:numCache>
                <c:formatCode>0.00</c:formatCode>
                <c:ptCount val="20"/>
                <c:pt idx="0">
                  <c:v>1</c:v>
                </c:pt>
                <c:pt idx="1">
                  <c:v>0.86666666666666659</c:v>
                </c:pt>
                <c:pt idx="2">
                  <c:v>0.77777777777777735</c:v>
                </c:pt>
                <c:pt idx="3">
                  <c:v>1</c:v>
                </c:pt>
                <c:pt idx="4">
                  <c:v>0.95555555555555538</c:v>
                </c:pt>
                <c:pt idx="5">
                  <c:v>0.97619047619047605</c:v>
                </c:pt>
                <c:pt idx="6">
                  <c:v>0.97619047619047594</c:v>
                </c:pt>
                <c:pt idx="7">
                  <c:v>0.96666666666666623</c:v>
                </c:pt>
                <c:pt idx="8">
                  <c:v>0.98518518518518494</c:v>
                </c:pt>
                <c:pt idx="9">
                  <c:v>0.96363636363636318</c:v>
                </c:pt>
                <c:pt idx="10">
                  <c:v>0.95604395604395587</c:v>
                </c:pt>
                <c:pt idx="11">
                  <c:v>1</c:v>
                </c:pt>
                <c:pt idx="12">
                  <c:v>0.99166666666666647</c:v>
                </c:pt>
                <c:pt idx="13">
                  <c:v>0.97058823529411753</c:v>
                </c:pt>
                <c:pt idx="14">
                  <c:v>0.97385620915032645</c:v>
                </c:pt>
                <c:pt idx="15">
                  <c:v>0.96842105263157852</c:v>
                </c:pt>
                <c:pt idx="16">
                  <c:v>0.98095238095238002</c:v>
                </c:pt>
                <c:pt idx="17">
                  <c:v>0.97333333333333305</c:v>
                </c:pt>
                <c:pt idx="18">
                  <c:v>0.97701149425287304</c:v>
                </c:pt>
                <c:pt idx="19">
                  <c:v>0.95128205128205101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D-4A99-9E3F-40DFC0E6B9A0}"/>
            </c:ext>
          </c:extLst>
        </c:ser>
        <c:ser>
          <c:idx val="2"/>
          <c:order val="2"/>
          <c:tx>
            <c:strRef>
              <c:f>Discontinuous!$L$1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Discontinuous!$I$2:$I$21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Discontinuous!$L$2:$L$21</c:f>
              <c:numCache>
                <c:formatCode>0.00</c:formatCode>
                <c:ptCount val="20"/>
                <c:pt idx="0">
                  <c:v>1</c:v>
                </c:pt>
                <c:pt idx="1">
                  <c:v>0.91746881399038804</c:v>
                </c:pt>
                <c:pt idx="2">
                  <c:v>0.88343675279582001</c:v>
                </c:pt>
                <c:pt idx="3">
                  <c:v>1</c:v>
                </c:pt>
                <c:pt idx="4">
                  <c:v>0.98379425657401498</c:v>
                </c:pt>
                <c:pt idx="5">
                  <c:v>0.96743328653943306</c:v>
                </c:pt>
                <c:pt idx="6">
                  <c:v>0.99054664966817541</c:v>
                </c:pt>
                <c:pt idx="7">
                  <c:v>0.94583309727434961</c:v>
                </c:pt>
                <c:pt idx="8">
                  <c:v>0.97789410965100909</c:v>
                </c:pt>
                <c:pt idx="9">
                  <c:v>0.95613837449097239</c:v>
                </c:pt>
                <c:pt idx="10">
                  <c:v>0.90449171528027505</c:v>
                </c:pt>
                <c:pt idx="11">
                  <c:v>1</c:v>
                </c:pt>
                <c:pt idx="12">
                  <c:v>0.97308970595681243</c:v>
                </c:pt>
                <c:pt idx="13">
                  <c:v>0.96964509169741242</c:v>
                </c:pt>
                <c:pt idx="14">
                  <c:v>0.90185911712120093</c:v>
                </c:pt>
                <c:pt idx="15">
                  <c:v>0.85952649152367444</c:v>
                </c:pt>
                <c:pt idx="16">
                  <c:v>0.86948087201170199</c:v>
                </c:pt>
                <c:pt idx="17">
                  <c:v>0.82639553335889504</c:v>
                </c:pt>
                <c:pt idx="18">
                  <c:v>0.91688831385987801</c:v>
                </c:pt>
                <c:pt idx="19">
                  <c:v>0.73072837244478805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DD-4A99-9E3F-40DFC0E6B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0360014299574"/>
          <c:y val="7.770224667862459E-2"/>
          <c:w val="0.451729605717266"/>
          <c:h val="6.5154896178518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47861429344"/>
          <c:y val="0.14116079923882016"/>
          <c:w val="0.84287022362031538"/>
          <c:h val="0.75502026566374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Combined!$I$2:$I$21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Combined!$J$2:$J$21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0.72222222222222199</c:v>
                </c:pt>
                <c:pt idx="5">
                  <c:v>0.67857142857142816</c:v>
                </c:pt>
                <c:pt idx="6">
                  <c:v>0.91666666666666663</c:v>
                </c:pt>
                <c:pt idx="7">
                  <c:v>0.66666666666666596</c:v>
                </c:pt>
                <c:pt idx="8">
                  <c:v>0.73333333333333339</c:v>
                </c:pt>
                <c:pt idx="9">
                  <c:v>0.71666666666666645</c:v>
                </c:pt>
                <c:pt idx="10">
                  <c:v>0.80952380952380931</c:v>
                </c:pt>
                <c:pt idx="11">
                  <c:v>0.86666666666666603</c:v>
                </c:pt>
                <c:pt idx="12">
                  <c:v>0.53125</c:v>
                </c:pt>
                <c:pt idx="13">
                  <c:v>0.67647058823529393</c:v>
                </c:pt>
                <c:pt idx="14">
                  <c:v>0.63888888888888851</c:v>
                </c:pt>
                <c:pt idx="15">
                  <c:v>0.875</c:v>
                </c:pt>
                <c:pt idx="16">
                  <c:v>0.66666666666666596</c:v>
                </c:pt>
                <c:pt idx="17">
                  <c:v>0.6</c:v>
                </c:pt>
                <c:pt idx="18">
                  <c:v>0.6</c:v>
                </c:pt>
                <c:pt idx="19">
                  <c:v>0.52500000000000002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E-4D86-8150-28AAA320473F}"/>
            </c:ext>
          </c:extLst>
        </c:ser>
        <c:ser>
          <c:idx val="1"/>
          <c:order val="1"/>
          <c:tx>
            <c:strRef>
              <c:f>Combined!$K$1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Combined!$I$2:$I$21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Combined!$K$2:$K$21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0.86666666666666625</c:v>
                </c:pt>
                <c:pt idx="5">
                  <c:v>0.83333333333333282</c:v>
                </c:pt>
                <c:pt idx="6">
                  <c:v>0.97619047619047594</c:v>
                </c:pt>
                <c:pt idx="7">
                  <c:v>0.91111111111111032</c:v>
                </c:pt>
                <c:pt idx="8">
                  <c:v>0.94074074074074066</c:v>
                </c:pt>
                <c:pt idx="9">
                  <c:v>0.94545454545454499</c:v>
                </c:pt>
                <c:pt idx="10">
                  <c:v>0.95604395604395587</c:v>
                </c:pt>
                <c:pt idx="11">
                  <c:v>0.98095238095238002</c:v>
                </c:pt>
                <c:pt idx="12">
                  <c:v>0.89999999999999947</c:v>
                </c:pt>
                <c:pt idx="13">
                  <c:v>0.94117647058823495</c:v>
                </c:pt>
                <c:pt idx="14">
                  <c:v>0.9542483660130715</c:v>
                </c:pt>
                <c:pt idx="15">
                  <c:v>0.98421052631578898</c:v>
                </c:pt>
                <c:pt idx="16">
                  <c:v>0.96190476190476104</c:v>
                </c:pt>
                <c:pt idx="17">
                  <c:v>0.96</c:v>
                </c:pt>
                <c:pt idx="18">
                  <c:v>0.958620689655172</c:v>
                </c:pt>
                <c:pt idx="19">
                  <c:v>0.96666666666666601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E-4D86-8150-28AAA320473F}"/>
            </c:ext>
          </c:extLst>
        </c:ser>
        <c:ser>
          <c:idx val="2"/>
          <c:order val="2"/>
          <c:tx>
            <c:strRef>
              <c:f>Combined!$L$1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Combined!$I$2:$I$21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Combined!$L$2:$L$21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0.93989293501860771</c:v>
                </c:pt>
                <c:pt idx="5">
                  <c:v>0.95762431091121003</c:v>
                </c:pt>
                <c:pt idx="6">
                  <c:v>0.97720456990228666</c:v>
                </c:pt>
                <c:pt idx="7">
                  <c:v>0.93469940051731903</c:v>
                </c:pt>
                <c:pt idx="8">
                  <c:v>0.91942463081157133</c:v>
                </c:pt>
                <c:pt idx="9">
                  <c:v>0.91462033741574156</c:v>
                </c:pt>
                <c:pt idx="10">
                  <c:v>0.92720598943441301</c:v>
                </c:pt>
                <c:pt idx="11">
                  <c:v>0.94934854370721</c:v>
                </c:pt>
                <c:pt idx="12">
                  <c:v>0.88816637329542703</c:v>
                </c:pt>
                <c:pt idx="13">
                  <c:v>0.87333737692619606</c:v>
                </c:pt>
                <c:pt idx="14">
                  <c:v>0.83469262984525394</c:v>
                </c:pt>
                <c:pt idx="15">
                  <c:v>0.9493160709899785</c:v>
                </c:pt>
                <c:pt idx="16">
                  <c:v>0.78196070894059699</c:v>
                </c:pt>
                <c:pt idx="17">
                  <c:v>0.71469640308924898</c:v>
                </c:pt>
                <c:pt idx="18">
                  <c:v>0.90188353345859695</c:v>
                </c:pt>
                <c:pt idx="19">
                  <c:v>0.69643054956171002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9E-4D86-8150-28AAA3204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87253781963948"/>
          <c:y val="7.9447695108520539E-2"/>
          <c:w val="0.44969707619763444"/>
          <c:h val="6.422499756512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51239494949041"/>
          <c:y val="0.17171296296296298"/>
          <c:w val="0.85110788704178664"/>
          <c:h val="0.6833999596204321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Linear!$I$2:$I$20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Linear!$J$2:$J$20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0.78571428571428548</c:v>
                </c:pt>
                <c:pt idx="6">
                  <c:v>1</c:v>
                </c:pt>
                <c:pt idx="7">
                  <c:v>1</c:v>
                </c:pt>
                <c:pt idx="8">
                  <c:v>0.93333333333333324</c:v>
                </c:pt>
                <c:pt idx="9">
                  <c:v>0.8999999999999998</c:v>
                </c:pt>
                <c:pt idx="10">
                  <c:v>0.80952380952380931</c:v>
                </c:pt>
                <c:pt idx="11">
                  <c:v>1</c:v>
                </c:pt>
                <c:pt idx="12">
                  <c:v>1</c:v>
                </c:pt>
                <c:pt idx="13">
                  <c:v>0.85294117647058798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0.68</c:v>
                </c:pt>
                <c:pt idx="18">
                  <c:v>0.93333333333333302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437-8477-C9A00589AEBF}"/>
            </c:ext>
          </c:extLst>
        </c:ser>
        <c:ser>
          <c:idx val="1"/>
          <c:order val="1"/>
          <c:tx>
            <c:strRef>
              <c:f>Linear!$K$1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Linear!$I$2:$I$20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Linear!$K$2:$K$20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0.91111111111111098</c:v>
                </c:pt>
                <c:pt idx="5">
                  <c:v>0.90476190476190443</c:v>
                </c:pt>
                <c:pt idx="6">
                  <c:v>1</c:v>
                </c:pt>
                <c:pt idx="7">
                  <c:v>1</c:v>
                </c:pt>
                <c:pt idx="8">
                  <c:v>0.98518518518518494</c:v>
                </c:pt>
                <c:pt idx="9">
                  <c:v>0.9818181818181817</c:v>
                </c:pt>
                <c:pt idx="10">
                  <c:v>0.92673992673992667</c:v>
                </c:pt>
                <c:pt idx="11">
                  <c:v>1</c:v>
                </c:pt>
                <c:pt idx="12">
                  <c:v>1</c:v>
                </c:pt>
                <c:pt idx="13">
                  <c:v>0.96323529411764697</c:v>
                </c:pt>
                <c:pt idx="14">
                  <c:v>1</c:v>
                </c:pt>
                <c:pt idx="15">
                  <c:v>0.884210526315789</c:v>
                </c:pt>
                <c:pt idx="16">
                  <c:v>1</c:v>
                </c:pt>
                <c:pt idx="17">
                  <c:v>0.95333333333333303</c:v>
                </c:pt>
                <c:pt idx="18">
                  <c:v>0.99540229885057396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F-4437-8477-C9A00589AEBF}"/>
            </c:ext>
          </c:extLst>
        </c:ser>
        <c:ser>
          <c:idx val="2"/>
          <c:order val="2"/>
          <c:tx>
            <c:strRef>
              <c:f>Linear!$L$1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Linear!$I$2:$I$20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Linear!$L$2:$L$20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0.98592613764676729</c:v>
                </c:pt>
                <c:pt idx="5">
                  <c:v>0.98321915010162608</c:v>
                </c:pt>
                <c:pt idx="6">
                  <c:v>1</c:v>
                </c:pt>
                <c:pt idx="7">
                  <c:v>1</c:v>
                </c:pt>
                <c:pt idx="8">
                  <c:v>0.992137684102259</c:v>
                </c:pt>
                <c:pt idx="9">
                  <c:v>0.96207528906942019</c:v>
                </c:pt>
                <c:pt idx="10">
                  <c:v>0.90870146542822938</c:v>
                </c:pt>
                <c:pt idx="11">
                  <c:v>1</c:v>
                </c:pt>
                <c:pt idx="12">
                  <c:v>1</c:v>
                </c:pt>
                <c:pt idx="13">
                  <c:v>0.97635362219963051</c:v>
                </c:pt>
                <c:pt idx="14">
                  <c:v>1</c:v>
                </c:pt>
                <c:pt idx="15">
                  <c:v>0.85677041723270353</c:v>
                </c:pt>
                <c:pt idx="16">
                  <c:v>1</c:v>
                </c:pt>
                <c:pt idx="17">
                  <c:v>0.864471623785805</c:v>
                </c:pt>
                <c:pt idx="18">
                  <c:v>0.97048588781225498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5F-4437-8477-C9A00589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3415292569326"/>
          <c:y val="9.1729588934463008E-2"/>
          <c:w val="0.45611024520394733"/>
          <c:h val="6.4163947187209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9250304979484"/>
          <c:y val="0.14170009551098375"/>
          <c:w val="0.84260468004879674"/>
          <c:h val="0.71587994194135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Saturating!$J$1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Saturating!$I$2:$I$20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Saturating!$J$2:$J$20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0.88888888888888873</c:v>
                </c:pt>
                <c:pt idx="5">
                  <c:v>0.92857142857142849</c:v>
                </c:pt>
                <c:pt idx="6">
                  <c:v>0.91666666666666663</c:v>
                </c:pt>
                <c:pt idx="7">
                  <c:v>0.73333333333333306</c:v>
                </c:pt>
                <c:pt idx="8">
                  <c:v>0.8666666666666667</c:v>
                </c:pt>
                <c:pt idx="9">
                  <c:v>0.78333333333333299</c:v>
                </c:pt>
                <c:pt idx="10">
                  <c:v>0.476190476190476</c:v>
                </c:pt>
                <c:pt idx="11">
                  <c:v>0.46666666666666601</c:v>
                </c:pt>
                <c:pt idx="12">
                  <c:v>0.5</c:v>
                </c:pt>
                <c:pt idx="13">
                  <c:v>0.38235294117647045</c:v>
                </c:pt>
                <c:pt idx="14">
                  <c:v>0.72222222222222143</c:v>
                </c:pt>
                <c:pt idx="15">
                  <c:v>0.55000000000000004</c:v>
                </c:pt>
                <c:pt idx="16">
                  <c:v>0.476190476190476</c:v>
                </c:pt>
                <c:pt idx="17">
                  <c:v>0.56000000000000005</c:v>
                </c:pt>
                <c:pt idx="18">
                  <c:v>0.53333333333333299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6-4C4A-96FC-EADCF7F5AEEC}"/>
            </c:ext>
          </c:extLst>
        </c:ser>
        <c:ser>
          <c:idx val="1"/>
          <c:order val="1"/>
          <c:tx>
            <c:strRef>
              <c:f>Saturating!$K$1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Saturating!$I$2:$I$20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Saturating!$K$2:$K$20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0.77777777777777735</c:v>
                </c:pt>
                <c:pt idx="3">
                  <c:v>1</c:v>
                </c:pt>
                <c:pt idx="4">
                  <c:v>0.95555555555555538</c:v>
                </c:pt>
                <c:pt idx="5">
                  <c:v>0.97619047619047605</c:v>
                </c:pt>
                <c:pt idx="6">
                  <c:v>0.97619047619047594</c:v>
                </c:pt>
                <c:pt idx="7">
                  <c:v>0.89999999999999969</c:v>
                </c:pt>
                <c:pt idx="8">
                  <c:v>0.95555555555555538</c:v>
                </c:pt>
                <c:pt idx="9">
                  <c:v>0.9575757575757573</c:v>
                </c:pt>
                <c:pt idx="10">
                  <c:v>0.87545787545787535</c:v>
                </c:pt>
                <c:pt idx="11">
                  <c:v>0.90476190476190399</c:v>
                </c:pt>
                <c:pt idx="12">
                  <c:v>0.92500000000000004</c:v>
                </c:pt>
                <c:pt idx="13">
                  <c:v>0.88970588235294101</c:v>
                </c:pt>
                <c:pt idx="14">
                  <c:v>0.96732026143790795</c:v>
                </c:pt>
                <c:pt idx="15">
                  <c:v>0.92105263157894701</c:v>
                </c:pt>
                <c:pt idx="16">
                  <c:v>0.87619047619047596</c:v>
                </c:pt>
                <c:pt idx="17">
                  <c:v>0.94</c:v>
                </c:pt>
                <c:pt idx="18">
                  <c:v>0.958620689655172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6-4C4A-96FC-EADCF7F5AEEC}"/>
            </c:ext>
          </c:extLst>
        </c:ser>
        <c:ser>
          <c:idx val="2"/>
          <c:order val="2"/>
          <c:tx>
            <c:strRef>
              <c:f>Saturating!$L$1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Saturating!$I$2:$I$20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Saturating!$L$2:$L$20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0.91253309560611706</c:v>
                </c:pt>
                <c:pt idx="3">
                  <c:v>1</c:v>
                </c:pt>
                <c:pt idx="4">
                  <c:v>0.99764965791225191</c:v>
                </c:pt>
                <c:pt idx="5">
                  <c:v>0.98841712390064951</c:v>
                </c:pt>
                <c:pt idx="6">
                  <c:v>0.97720456990228666</c:v>
                </c:pt>
                <c:pt idx="7">
                  <c:v>0.93429177658279072</c:v>
                </c:pt>
                <c:pt idx="8">
                  <c:v>0.92678210948025475</c:v>
                </c:pt>
                <c:pt idx="9">
                  <c:v>0.91386663515654543</c:v>
                </c:pt>
                <c:pt idx="10">
                  <c:v>0.86255168555847106</c:v>
                </c:pt>
                <c:pt idx="11">
                  <c:v>0.74282566427766095</c:v>
                </c:pt>
                <c:pt idx="12">
                  <c:v>0.782234292492899</c:v>
                </c:pt>
                <c:pt idx="13">
                  <c:v>0.71449558754378295</c:v>
                </c:pt>
                <c:pt idx="14">
                  <c:v>0.88427265787522946</c:v>
                </c:pt>
                <c:pt idx="15">
                  <c:v>0.85175558975982057</c:v>
                </c:pt>
                <c:pt idx="16">
                  <c:v>0.81149888900304601</c:v>
                </c:pt>
                <c:pt idx="17">
                  <c:v>0.747139958403083</c:v>
                </c:pt>
                <c:pt idx="18">
                  <c:v>0.82227836858853398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6-4C4A-96FC-EADCF7F5A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546784739557"/>
          <c:y val="7.8871441261046921E-2"/>
          <c:w val="0.45507186103729064"/>
          <c:h val="6.4532000421553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2357623089572"/>
          <c:y val="0.1432046332046332"/>
          <c:w val="0.84216003241425907"/>
          <c:h val="0.73602924634420697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Discontinuous!$J$1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Discontinuous!$I$2:$I$20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Discontinuous!$J$2:$J$20</c:f>
              <c:numCache>
                <c:formatCode>0.00</c:formatCode>
                <c:ptCount val="19"/>
                <c:pt idx="0">
                  <c:v>1</c:v>
                </c:pt>
                <c:pt idx="1">
                  <c:v>0.86666666666666659</c:v>
                </c:pt>
                <c:pt idx="2">
                  <c:v>0.66666666666666663</c:v>
                </c:pt>
                <c:pt idx="3">
                  <c:v>1</c:v>
                </c:pt>
                <c:pt idx="4">
                  <c:v>0.88888888888888873</c:v>
                </c:pt>
                <c:pt idx="5">
                  <c:v>0.92857142857142849</c:v>
                </c:pt>
                <c:pt idx="6">
                  <c:v>0.91666666666666663</c:v>
                </c:pt>
                <c:pt idx="7">
                  <c:v>0.86666666666666603</c:v>
                </c:pt>
                <c:pt idx="8">
                  <c:v>0.93333333333333324</c:v>
                </c:pt>
                <c:pt idx="9">
                  <c:v>0.83333333333333326</c:v>
                </c:pt>
                <c:pt idx="10">
                  <c:v>0.80952380952380931</c:v>
                </c:pt>
                <c:pt idx="11">
                  <c:v>1</c:v>
                </c:pt>
                <c:pt idx="12">
                  <c:v>0.9375</c:v>
                </c:pt>
                <c:pt idx="13">
                  <c:v>0.82352941176470551</c:v>
                </c:pt>
                <c:pt idx="14">
                  <c:v>0.77777777777777701</c:v>
                </c:pt>
                <c:pt idx="15">
                  <c:v>0.77500000000000002</c:v>
                </c:pt>
                <c:pt idx="16">
                  <c:v>0.80952380952380898</c:v>
                </c:pt>
                <c:pt idx="17">
                  <c:v>0.72</c:v>
                </c:pt>
                <c:pt idx="18">
                  <c:v>0.83333333333333304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8-4034-8EFD-8980226C6519}"/>
            </c:ext>
          </c:extLst>
        </c:ser>
        <c:ser>
          <c:idx val="1"/>
          <c:order val="1"/>
          <c:tx>
            <c:strRef>
              <c:f>Discontinuous!$K$1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Discontinuous!$I$2:$I$20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Discontinuous!$K$2:$K$20</c:f>
              <c:numCache>
                <c:formatCode>0.00</c:formatCode>
                <c:ptCount val="19"/>
                <c:pt idx="0">
                  <c:v>1</c:v>
                </c:pt>
                <c:pt idx="1">
                  <c:v>0.86666666666666659</c:v>
                </c:pt>
                <c:pt idx="2">
                  <c:v>0.77777777777777735</c:v>
                </c:pt>
                <c:pt idx="3">
                  <c:v>1</c:v>
                </c:pt>
                <c:pt idx="4">
                  <c:v>0.95555555555555538</c:v>
                </c:pt>
                <c:pt idx="5">
                  <c:v>0.97619047619047605</c:v>
                </c:pt>
                <c:pt idx="6">
                  <c:v>0.97619047619047594</c:v>
                </c:pt>
                <c:pt idx="7">
                  <c:v>0.96666666666666623</c:v>
                </c:pt>
                <c:pt idx="8">
                  <c:v>0.98518518518518494</c:v>
                </c:pt>
                <c:pt idx="9">
                  <c:v>0.96363636363636318</c:v>
                </c:pt>
                <c:pt idx="10">
                  <c:v>0.95604395604395587</c:v>
                </c:pt>
                <c:pt idx="11">
                  <c:v>1</c:v>
                </c:pt>
                <c:pt idx="12">
                  <c:v>0.99166666666666647</c:v>
                </c:pt>
                <c:pt idx="13">
                  <c:v>0.97058823529411753</c:v>
                </c:pt>
                <c:pt idx="14">
                  <c:v>0.97385620915032645</c:v>
                </c:pt>
                <c:pt idx="15">
                  <c:v>0.96842105263157852</c:v>
                </c:pt>
                <c:pt idx="16">
                  <c:v>0.98095238095238002</c:v>
                </c:pt>
                <c:pt idx="17">
                  <c:v>0.97333333333333305</c:v>
                </c:pt>
                <c:pt idx="18">
                  <c:v>0.97701149425287304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8-4034-8EFD-8980226C6519}"/>
            </c:ext>
          </c:extLst>
        </c:ser>
        <c:ser>
          <c:idx val="2"/>
          <c:order val="2"/>
          <c:tx>
            <c:strRef>
              <c:f>Discontinuous!$L$1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Discontinuous!$I$2:$I$20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Discontinuous!$L$2:$L$20</c:f>
              <c:numCache>
                <c:formatCode>0.00</c:formatCode>
                <c:ptCount val="19"/>
                <c:pt idx="0">
                  <c:v>1</c:v>
                </c:pt>
                <c:pt idx="1">
                  <c:v>0.91746881399038804</c:v>
                </c:pt>
                <c:pt idx="2">
                  <c:v>0.88343675279582001</c:v>
                </c:pt>
                <c:pt idx="3">
                  <c:v>1</c:v>
                </c:pt>
                <c:pt idx="4">
                  <c:v>0.98379425657401498</c:v>
                </c:pt>
                <c:pt idx="5">
                  <c:v>0.96743328653943306</c:v>
                </c:pt>
                <c:pt idx="6">
                  <c:v>0.99054664966817541</c:v>
                </c:pt>
                <c:pt idx="7">
                  <c:v>0.94583309727434961</c:v>
                </c:pt>
                <c:pt idx="8">
                  <c:v>0.97789410965100909</c:v>
                </c:pt>
                <c:pt idx="9">
                  <c:v>0.95613837449097239</c:v>
                </c:pt>
                <c:pt idx="10">
                  <c:v>0.90449171528027505</c:v>
                </c:pt>
                <c:pt idx="11">
                  <c:v>1</c:v>
                </c:pt>
                <c:pt idx="12">
                  <c:v>0.97308970595681243</c:v>
                </c:pt>
                <c:pt idx="13">
                  <c:v>0.96964509169741242</c:v>
                </c:pt>
                <c:pt idx="14">
                  <c:v>0.90185911712120093</c:v>
                </c:pt>
                <c:pt idx="15">
                  <c:v>0.85952649152367444</c:v>
                </c:pt>
                <c:pt idx="16">
                  <c:v>0.86948087201170199</c:v>
                </c:pt>
                <c:pt idx="17">
                  <c:v>0.82639553335889504</c:v>
                </c:pt>
                <c:pt idx="18">
                  <c:v>0.91688831385987801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8-4034-8EFD-8980226C6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0360014299574"/>
          <c:y val="7.770224667862459E-2"/>
          <c:w val="0.451729605717266"/>
          <c:h val="6.5154896178518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47861429344"/>
          <c:y val="0.14116079923882016"/>
          <c:w val="0.84287022362031538"/>
          <c:h val="0.75502026566374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Combined!$I$2:$I$20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Combined!$J$2:$J$20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0.72222222222222199</c:v>
                </c:pt>
                <c:pt idx="5">
                  <c:v>0.67857142857142816</c:v>
                </c:pt>
                <c:pt idx="6">
                  <c:v>0.91666666666666663</c:v>
                </c:pt>
                <c:pt idx="7">
                  <c:v>0.66666666666666596</c:v>
                </c:pt>
                <c:pt idx="8">
                  <c:v>0.73333333333333339</c:v>
                </c:pt>
                <c:pt idx="9">
                  <c:v>0.71666666666666645</c:v>
                </c:pt>
                <c:pt idx="10">
                  <c:v>0.80952380952380931</c:v>
                </c:pt>
                <c:pt idx="11">
                  <c:v>0.86666666666666603</c:v>
                </c:pt>
                <c:pt idx="12">
                  <c:v>0.53125</c:v>
                </c:pt>
                <c:pt idx="13">
                  <c:v>0.67647058823529393</c:v>
                </c:pt>
                <c:pt idx="14">
                  <c:v>0.63888888888888851</c:v>
                </c:pt>
                <c:pt idx="15">
                  <c:v>0.875</c:v>
                </c:pt>
                <c:pt idx="16">
                  <c:v>0.66666666666666596</c:v>
                </c:pt>
                <c:pt idx="17">
                  <c:v>0.6</c:v>
                </c:pt>
                <c:pt idx="18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2-4BA8-A740-F1F0A2E6A12C}"/>
            </c:ext>
          </c:extLst>
        </c:ser>
        <c:ser>
          <c:idx val="1"/>
          <c:order val="1"/>
          <c:tx>
            <c:strRef>
              <c:f>Combined!$K$1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Combined!$I$2:$I$20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Combined!$K$2:$K$20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0.86666666666666625</c:v>
                </c:pt>
                <c:pt idx="5">
                  <c:v>0.83333333333333282</c:v>
                </c:pt>
                <c:pt idx="6">
                  <c:v>0.97619047619047594</c:v>
                </c:pt>
                <c:pt idx="7">
                  <c:v>0.91111111111111032</c:v>
                </c:pt>
                <c:pt idx="8">
                  <c:v>0.94074074074074066</c:v>
                </c:pt>
                <c:pt idx="9">
                  <c:v>0.94545454545454499</c:v>
                </c:pt>
                <c:pt idx="10">
                  <c:v>0.95604395604395587</c:v>
                </c:pt>
                <c:pt idx="11">
                  <c:v>0.98095238095238002</c:v>
                </c:pt>
                <c:pt idx="12">
                  <c:v>0.89999999999999947</c:v>
                </c:pt>
                <c:pt idx="13">
                  <c:v>0.94117647058823495</c:v>
                </c:pt>
                <c:pt idx="14">
                  <c:v>0.9542483660130715</c:v>
                </c:pt>
                <c:pt idx="15">
                  <c:v>0.98421052631578898</c:v>
                </c:pt>
                <c:pt idx="16">
                  <c:v>0.96190476190476104</c:v>
                </c:pt>
                <c:pt idx="17">
                  <c:v>0.96</c:v>
                </c:pt>
                <c:pt idx="18">
                  <c:v>0.958620689655172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2-4BA8-A740-F1F0A2E6A12C}"/>
            </c:ext>
          </c:extLst>
        </c:ser>
        <c:ser>
          <c:idx val="2"/>
          <c:order val="2"/>
          <c:tx>
            <c:strRef>
              <c:f>Combined!$L$1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Combined!$I$2:$I$20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Combined!$L$2:$L$20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0.93989293501860771</c:v>
                </c:pt>
                <c:pt idx="5">
                  <c:v>0.95762431091121003</c:v>
                </c:pt>
                <c:pt idx="6">
                  <c:v>0.97720456990228666</c:v>
                </c:pt>
                <c:pt idx="7">
                  <c:v>0.93469940051731903</c:v>
                </c:pt>
                <c:pt idx="8">
                  <c:v>0.91942463081157133</c:v>
                </c:pt>
                <c:pt idx="9">
                  <c:v>0.91462033741574156</c:v>
                </c:pt>
                <c:pt idx="10">
                  <c:v>0.92720598943441301</c:v>
                </c:pt>
                <c:pt idx="11">
                  <c:v>0.94934854370721</c:v>
                </c:pt>
                <c:pt idx="12">
                  <c:v>0.88816637329542703</c:v>
                </c:pt>
                <c:pt idx="13">
                  <c:v>0.87333737692619606</c:v>
                </c:pt>
                <c:pt idx="14">
                  <c:v>0.83469262984525394</c:v>
                </c:pt>
                <c:pt idx="15">
                  <c:v>0.9493160709899785</c:v>
                </c:pt>
                <c:pt idx="16">
                  <c:v>0.78196070894059699</c:v>
                </c:pt>
                <c:pt idx="17">
                  <c:v>0.71469640308924898</c:v>
                </c:pt>
                <c:pt idx="18">
                  <c:v>0.90188353345859695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C2-4BA8-A740-F1F0A2E6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87253781963948"/>
          <c:y val="7.9447695108520539E-2"/>
          <c:w val="0.44969707619763444"/>
          <c:h val="6.422499756512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Jaccard</a:t>
            </a:r>
            <a:r>
              <a:rPr lang="en-US" sz="1200" baseline="0"/>
              <a:t> coefficient for different cycle sizes </a:t>
            </a:r>
            <a:endParaRPr lang="en-US" sz="1200"/>
          </a:p>
        </c:rich>
      </c:tx>
      <c:layout>
        <c:manualLayout>
          <c:xMode val="edge"/>
          <c:yMode val="edge"/>
          <c:x val="0.1927361115229958"/>
          <c:y val="4.077314966258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7811196756569"/>
          <c:y val="0.1613052554477202"/>
          <c:w val="0.84286646068864157"/>
          <c:h val="0.64296136238784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Jaccard!$B$1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Jaccard!$B$2:$B$5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4-4226-B5BC-939A6B2FED0C}"/>
            </c:ext>
          </c:extLst>
        </c:ser>
        <c:ser>
          <c:idx val="1"/>
          <c:order val="1"/>
          <c:tx>
            <c:strRef>
              <c:f>Jaccard!$C$1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Jaccard!$C$2:$C$5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4-4226-B5BC-939A6B2FED0C}"/>
            </c:ext>
          </c:extLst>
        </c:ser>
        <c:ser>
          <c:idx val="2"/>
          <c:order val="2"/>
          <c:tx>
            <c:strRef>
              <c:f>Jaccard!$D$1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Jaccard!$D$2:$D$5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4-4226-B5BC-939A6B2FE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90070393838652"/>
          <c:y val="5.0431841311380073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Kendall tau</a:t>
            </a:r>
            <a:r>
              <a:rPr lang="en-US" baseline="0"/>
              <a:t> correlation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2789651293589"/>
          <c:y val="0.19527777777777777"/>
          <c:w val="0.83661642294713157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KendallTau!$B$1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045112781954888E-2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KendallTau!$B$2:$B$5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F-4308-A3BF-5C4A54095E8B}"/>
            </c:ext>
          </c:extLst>
        </c:ser>
        <c:ser>
          <c:idx val="1"/>
          <c:order val="1"/>
          <c:tx>
            <c:strRef>
              <c:f>KendallTau!$C$1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2030075187969926E-2"/>
                  <c:y val="1.85185185185184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KendallTau!$C$2:$C$5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F-4308-A3BF-5C4A54095E8B}"/>
            </c:ext>
          </c:extLst>
        </c:ser>
        <c:ser>
          <c:idx val="2"/>
          <c:order val="2"/>
          <c:tx>
            <c:strRef>
              <c:f>KendallTau!$D$1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052631578947368E-2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58-443A-A77B-A45A33F66518}"/>
                </c:ext>
              </c:extLst>
            </c:dLbl>
            <c:dLbl>
              <c:idx val="1"/>
              <c:layout>
                <c:manualLayout>
                  <c:x val="2.1052631578947312E-2"/>
                  <c:y val="9.25925925925921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KendallTau!$D$2:$D$5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F-4308-A3BF-5C4A54095E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Kendall tau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DCG </a:t>
            </a:r>
            <a:r>
              <a:rPr lang="en-US" sz="1200" baseline="0"/>
              <a:t>coefficient for different cycle sizes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0859839519849"/>
          <c:y val="0.18601851851851853"/>
          <c:w val="0.83413591939765974"/>
          <c:h val="0.618248031496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DiscountedCumGain!$B$1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DiscountedCumGain!$B$2:$B$5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F-429A-826F-0BC522D101A1}"/>
            </c:ext>
          </c:extLst>
        </c:ser>
        <c:ser>
          <c:idx val="1"/>
          <c:order val="1"/>
          <c:tx>
            <c:strRef>
              <c:f>DiscountedCumGain!$C$1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DiscountedCumGain!$C$2:$C$5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F-429A-826F-0BC522D101A1}"/>
            </c:ext>
          </c:extLst>
        </c:ser>
        <c:ser>
          <c:idx val="2"/>
          <c:order val="2"/>
          <c:tx>
            <c:strRef>
              <c:f>DiscountedCumGain!$D$1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DiscountedCumGain!$D$2:$D$5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F-429A-826F-0BC522D10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DCG coefficient</a:t>
                </a:r>
              </a:p>
            </c:rich>
          </c:tx>
          <c:layout>
            <c:manualLayout>
              <c:xMode val="edge"/>
              <c:yMode val="edge"/>
              <c:x val="8.8050524240415404E-3"/>
              <c:y val="0.3295230750262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24112011620795"/>
          <c:y val="3.761519393409158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Discontinuous!$J$1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Discontinuous!$J$2:$J$22</c:f>
              <c:numCache>
                <c:formatCode>0.00</c:formatCode>
                <c:ptCount val="21"/>
                <c:pt idx="0">
                  <c:v>1</c:v>
                </c:pt>
                <c:pt idx="1">
                  <c:v>0.86666666666666659</c:v>
                </c:pt>
                <c:pt idx="2">
                  <c:v>0.66666666666666663</c:v>
                </c:pt>
                <c:pt idx="3">
                  <c:v>1</c:v>
                </c:pt>
                <c:pt idx="4">
                  <c:v>0.88888888888888873</c:v>
                </c:pt>
                <c:pt idx="5">
                  <c:v>0.92857142857142849</c:v>
                </c:pt>
                <c:pt idx="6">
                  <c:v>0.91666666666666663</c:v>
                </c:pt>
                <c:pt idx="7">
                  <c:v>0.86666666666666603</c:v>
                </c:pt>
                <c:pt idx="8">
                  <c:v>0.93333333333333324</c:v>
                </c:pt>
                <c:pt idx="9">
                  <c:v>0.83333333333333326</c:v>
                </c:pt>
                <c:pt idx="10">
                  <c:v>0.80952380952380931</c:v>
                </c:pt>
                <c:pt idx="11">
                  <c:v>1</c:v>
                </c:pt>
                <c:pt idx="12">
                  <c:v>0.9375</c:v>
                </c:pt>
                <c:pt idx="13">
                  <c:v>0.82352941176470551</c:v>
                </c:pt>
                <c:pt idx="14">
                  <c:v>0.77777777777777701</c:v>
                </c:pt>
                <c:pt idx="15">
                  <c:v>0.77500000000000002</c:v>
                </c:pt>
                <c:pt idx="16">
                  <c:v>0.80952380952380898</c:v>
                </c:pt>
                <c:pt idx="17">
                  <c:v>0.72</c:v>
                </c:pt>
                <c:pt idx="18">
                  <c:v>0.83333333333333304</c:v>
                </c:pt>
                <c:pt idx="19">
                  <c:v>0.4</c:v>
                </c:pt>
                <c:pt idx="20">
                  <c:v>0.35555555555555501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B-48E8-B82D-7093EFB2D305}"/>
            </c:ext>
          </c:extLst>
        </c:ser>
        <c:ser>
          <c:idx val="1"/>
          <c:order val="1"/>
          <c:tx>
            <c:strRef>
              <c:f>Discontinuous!$K$1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Discontinuous!$K$2:$K$22</c:f>
              <c:numCache>
                <c:formatCode>0.00</c:formatCode>
                <c:ptCount val="21"/>
                <c:pt idx="0">
                  <c:v>1</c:v>
                </c:pt>
                <c:pt idx="1">
                  <c:v>0.86666666666666659</c:v>
                </c:pt>
                <c:pt idx="2">
                  <c:v>0.77777777777777735</c:v>
                </c:pt>
                <c:pt idx="3">
                  <c:v>1</c:v>
                </c:pt>
                <c:pt idx="4">
                  <c:v>0.95555555555555538</c:v>
                </c:pt>
                <c:pt idx="5">
                  <c:v>0.97619047619047605</c:v>
                </c:pt>
                <c:pt idx="6">
                  <c:v>0.97619047619047594</c:v>
                </c:pt>
                <c:pt idx="7">
                  <c:v>0.96666666666666623</c:v>
                </c:pt>
                <c:pt idx="8">
                  <c:v>0.98518518518518494</c:v>
                </c:pt>
                <c:pt idx="9">
                  <c:v>0.96363636363636318</c:v>
                </c:pt>
                <c:pt idx="10">
                  <c:v>0.95604395604395587</c:v>
                </c:pt>
                <c:pt idx="11">
                  <c:v>1</c:v>
                </c:pt>
                <c:pt idx="12">
                  <c:v>0.99166666666666647</c:v>
                </c:pt>
                <c:pt idx="13">
                  <c:v>0.97058823529411753</c:v>
                </c:pt>
                <c:pt idx="14">
                  <c:v>0.97385620915032645</c:v>
                </c:pt>
                <c:pt idx="15">
                  <c:v>0.96842105263157852</c:v>
                </c:pt>
                <c:pt idx="16">
                  <c:v>0.98095238095238002</c:v>
                </c:pt>
                <c:pt idx="17">
                  <c:v>0.97333333333333305</c:v>
                </c:pt>
                <c:pt idx="18">
                  <c:v>0.97701149425287304</c:v>
                </c:pt>
                <c:pt idx="19">
                  <c:v>0.95128205128205101</c:v>
                </c:pt>
                <c:pt idx="20">
                  <c:v>0.97153558052434397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B-48E8-B82D-7093EFB2D305}"/>
            </c:ext>
          </c:extLst>
        </c:ser>
        <c:ser>
          <c:idx val="2"/>
          <c:order val="2"/>
          <c:tx>
            <c:strRef>
              <c:f>Discontinuous!$L$1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Discontinuous!$L$2:$L$22</c:f>
              <c:numCache>
                <c:formatCode>0.00</c:formatCode>
                <c:ptCount val="21"/>
                <c:pt idx="0">
                  <c:v>1</c:v>
                </c:pt>
                <c:pt idx="1">
                  <c:v>0.91746881399038804</c:v>
                </c:pt>
                <c:pt idx="2">
                  <c:v>0.88343675279582001</c:v>
                </c:pt>
                <c:pt idx="3">
                  <c:v>1</c:v>
                </c:pt>
                <c:pt idx="4">
                  <c:v>0.98379425657401498</c:v>
                </c:pt>
                <c:pt idx="5">
                  <c:v>0.96743328653943306</c:v>
                </c:pt>
                <c:pt idx="6">
                  <c:v>0.99054664966817541</c:v>
                </c:pt>
                <c:pt idx="7">
                  <c:v>0.94583309727434961</c:v>
                </c:pt>
                <c:pt idx="8">
                  <c:v>0.97789410965100909</c:v>
                </c:pt>
                <c:pt idx="9">
                  <c:v>0.95613837449097239</c:v>
                </c:pt>
                <c:pt idx="10">
                  <c:v>0.90449171528027505</c:v>
                </c:pt>
                <c:pt idx="11">
                  <c:v>1</c:v>
                </c:pt>
                <c:pt idx="12">
                  <c:v>0.97308970595681243</c:v>
                </c:pt>
                <c:pt idx="13">
                  <c:v>0.96964509169741242</c:v>
                </c:pt>
                <c:pt idx="14">
                  <c:v>0.90185911712120093</c:v>
                </c:pt>
                <c:pt idx="15">
                  <c:v>0.85952649152367444</c:v>
                </c:pt>
                <c:pt idx="16">
                  <c:v>0.86948087201170199</c:v>
                </c:pt>
                <c:pt idx="17">
                  <c:v>0.82639553335889504</c:v>
                </c:pt>
                <c:pt idx="18">
                  <c:v>0.91688831385987801</c:v>
                </c:pt>
                <c:pt idx="19">
                  <c:v>0.73072837244478805</c:v>
                </c:pt>
                <c:pt idx="20">
                  <c:v>0.60186781760003605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B-48E8-B82D-7093EFB2D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</a:t>
            </a:r>
            <a:r>
              <a:rPr lang="en-US" baseline="0"/>
              <a:t> position coefficient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MismatchPosition!$B$1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MismatchPosition!$B$2:$B$5</c:f>
              <c:numCache>
                <c:formatCode>0.000</c:formatCode>
                <c:ptCount val="4"/>
                <c:pt idx="0">
                  <c:v>0.80952380952380898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8-4DA7-8B9A-D810405E372B}"/>
            </c:ext>
          </c:extLst>
        </c:ser>
        <c:ser>
          <c:idx val="1"/>
          <c:order val="1"/>
          <c:tx>
            <c:strRef>
              <c:f>MismatchPosition!$C$1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MismatchPosition!$C$2:$C$5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8-4DA7-8B9A-D810405E372B}"/>
            </c:ext>
          </c:extLst>
        </c:ser>
        <c:ser>
          <c:idx val="2"/>
          <c:order val="2"/>
          <c:tx>
            <c:strRef>
              <c:f>MismatchPosition!$D$1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MismatchPosition!$D$2:$D$5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8-4DA7-8B9A-D810405E3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 distance</a:t>
            </a:r>
            <a:r>
              <a:rPr lang="en-US" baseline="0"/>
              <a:t> coefficient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MismatchDistance!$B$1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MismatchDistance!$B$2:$B$5</c:f>
              <c:numCache>
                <c:formatCode>0.000</c:formatCode>
                <c:ptCount val="4"/>
                <c:pt idx="0">
                  <c:v>0.73333333333333295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0-4ACF-8F13-636548B505C2}"/>
            </c:ext>
          </c:extLst>
        </c:ser>
        <c:ser>
          <c:idx val="1"/>
          <c:order val="1"/>
          <c:tx>
            <c:strRef>
              <c:f>MismatchDistance!$C$1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MismatchDistance!$C$2:$C$5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ACF-8F13-636548B505C2}"/>
            </c:ext>
          </c:extLst>
        </c:ser>
        <c:ser>
          <c:idx val="2"/>
          <c:order val="2"/>
          <c:tx>
            <c:strRef>
              <c:f>MismatchDistance!$D$1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MismatchDistance!$D$2:$D$5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0-4ACF-8F13-636548B50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365542213947768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size</a:t>
            </a:r>
            <a:r>
              <a:rPr lang="en-US" baseline="0"/>
              <a:t>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MismatchDistance!$G$1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MismatchDistance!$G$2:$G$5</c:f>
              <c:numCache>
                <c:formatCode>General</c:formatCode>
                <c:ptCount val="4"/>
                <c:pt idx="0">
                  <c:v>0.73333333333333295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E-4896-98B1-AC3A75CFD676}"/>
            </c:ext>
          </c:extLst>
        </c:ser>
        <c:ser>
          <c:idx val="1"/>
          <c:order val="1"/>
          <c:tx>
            <c:strRef>
              <c:f>MismatchDistance!$H$1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MismatchDistance!$H$2:$H$5</c:f>
              <c:numCache>
                <c:formatCode>General</c:formatCode>
                <c:ptCount val="4"/>
                <c:pt idx="0">
                  <c:v>0.98000000000000009</c:v>
                </c:pt>
                <c:pt idx="1">
                  <c:v>0.96</c:v>
                </c:pt>
                <c:pt idx="2">
                  <c:v>0.98000000000000009</c:v>
                </c:pt>
                <c:pt idx="3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E-4896-98B1-AC3A75C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139504"/>
        <c:axId val="541139176"/>
      </c:barChart>
      <c:catAx>
        <c:axId val="5411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176"/>
        <c:crosses val="autoZero"/>
        <c:auto val="1"/>
        <c:lblAlgn val="ctr"/>
        <c:lblOffset val="100"/>
        <c:noMultiLvlLbl val="0"/>
      </c:catAx>
      <c:valAx>
        <c:axId val="5411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  <a:r>
              <a:rPr lang="en-US" baseline="0"/>
              <a:t>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MismatchDistance!$K$1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MismatchDistance!$K$2:$K$5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5-4D44-8CDB-5130541E2F88}"/>
            </c:ext>
          </c:extLst>
        </c:ser>
        <c:ser>
          <c:idx val="1"/>
          <c:order val="1"/>
          <c:tx>
            <c:strRef>
              <c:f>MismatchDistance!$L$1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MismatchDistance!$L$2:$L$5</c:f>
              <c:numCache>
                <c:formatCode>General</c:formatCode>
                <c:ptCount val="4"/>
                <c:pt idx="0">
                  <c:v>0.97933333333333294</c:v>
                </c:pt>
                <c:pt idx="1">
                  <c:v>0.98066666666666646</c:v>
                </c:pt>
                <c:pt idx="2">
                  <c:v>0.97533333333333316</c:v>
                </c:pt>
                <c:pt idx="3">
                  <c:v>0.96466666666666612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5-4D44-8CDB-5130541E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17480"/>
        <c:axId val="486229552"/>
      </c:barChart>
      <c:catAx>
        <c:axId val="48981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9552"/>
        <c:crosses val="autoZero"/>
        <c:auto val="1"/>
        <c:lblAlgn val="ctr"/>
        <c:lblOffset val="100"/>
        <c:noMultiLvlLbl val="0"/>
      </c:catAx>
      <c:valAx>
        <c:axId val="4862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MismatchDistance!$O$1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MismatchDistance!$O$2:$O$5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7-4A8A-B8EE-C9A62E81C165}"/>
            </c:ext>
          </c:extLst>
        </c:ser>
        <c:ser>
          <c:idx val="1"/>
          <c:order val="1"/>
          <c:tx>
            <c:strRef>
              <c:f>MismatchDistance!$P$1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MismatchDistance!$P$2:$P$5</c:f>
              <c:numCache>
                <c:formatCode>General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7-4A8A-B8EE-C9A62E81C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83888"/>
        <c:axId val="486586184"/>
      </c:barChart>
      <c:catAx>
        <c:axId val="4865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6184"/>
        <c:crosses val="autoZero"/>
        <c:auto val="1"/>
        <c:lblAlgn val="ctr"/>
        <c:lblOffset val="100"/>
        <c:noMultiLvlLbl val="0"/>
      </c:catAx>
      <c:valAx>
        <c:axId val="48658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Saturating!$J$1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0.88888888888888873</c:v>
                </c:pt>
                <c:pt idx="5">
                  <c:v>0.92857142857142849</c:v>
                </c:pt>
                <c:pt idx="6">
                  <c:v>0.91666666666666663</c:v>
                </c:pt>
                <c:pt idx="7">
                  <c:v>0.73333333333333306</c:v>
                </c:pt>
                <c:pt idx="8">
                  <c:v>0.8666666666666667</c:v>
                </c:pt>
                <c:pt idx="9">
                  <c:v>0.78333333333333299</c:v>
                </c:pt>
                <c:pt idx="10">
                  <c:v>0.476190476190476</c:v>
                </c:pt>
                <c:pt idx="11">
                  <c:v>0.46666666666666601</c:v>
                </c:pt>
                <c:pt idx="12">
                  <c:v>0.5</c:v>
                </c:pt>
                <c:pt idx="13">
                  <c:v>0.38235294117647045</c:v>
                </c:pt>
                <c:pt idx="14">
                  <c:v>0.72222222222222143</c:v>
                </c:pt>
                <c:pt idx="15">
                  <c:v>0.55000000000000004</c:v>
                </c:pt>
                <c:pt idx="16">
                  <c:v>0.476190476190476</c:v>
                </c:pt>
                <c:pt idx="17">
                  <c:v>0.56000000000000005</c:v>
                </c:pt>
                <c:pt idx="18">
                  <c:v>0.53333333333333299</c:v>
                </c:pt>
                <c:pt idx="19">
                  <c:v>0.625</c:v>
                </c:pt>
                <c:pt idx="20">
                  <c:v>0.17777777777777701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A-48DB-A3D7-78A45904523E}"/>
            </c:ext>
          </c:extLst>
        </c:ser>
        <c:ser>
          <c:idx val="1"/>
          <c:order val="1"/>
          <c:tx>
            <c:strRef>
              <c:f>Saturating!$K$1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0.77777777777777735</c:v>
                </c:pt>
                <c:pt idx="3">
                  <c:v>1</c:v>
                </c:pt>
                <c:pt idx="4">
                  <c:v>0.95555555555555538</c:v>
                </c:pt>
                <c:pt idx="5">
                  <c:v>0.97619047619047605</c:v>
                </c:pt>
                <c:pt idx="6">
                  <c:v>0.97619047619047594</c:v>
                </c:pt>
                <c:pt idx="7">
                  <c:v>0.89999999999999969</c:v>
                </c:pt>
                <c:pt idx="8">
                  <c:v>0.95555555555555538</c:v>
                </c:pt>
                <c:pt idx="9">
                  <c:v>0.9575757575757573</c:v>
                </c:pt>
                <c:pt idx="10">
                  <c:v>0.87545787545787535</c:v>
                </c:pt>
                <c:pt idx="11">
                  <c:v>0.90476190476190399</c:v>
                </c:pt>
                <c:pt idx="12">
                  <c:v>0.92500000000000004</c:v>
                </c:pt>
                <c:pt idx="13">
                  <c:v>0.88970588235294101</c:v>
                </c:pt>
                <c:pt idx="14">
                  <c:v>0.96732026143790795</c:v>
                </c:pt>
                <c:pt idx="15">
                  <c:v>0.92105263157894701</c:v>
                </c:pt>
                <c:pt idx="16">
                  <c:v>0.87619047619047596</c:v>
                </c:pt>
                <c:pt idx="17">
                  <c:v>0.94</c:v>
                </c:pt>
                <c:pt idx="18">
                  <c:v>0.958620689655172</c:v>
                </c:pt>
                <c:pt idx="19">
                  <c:v>0.90512820512820502</c:v>
                </c:pt>
                <c:pt idx="20">
                  <c:v>0.90561797752808904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A-48DB-A3D7-78A45904523E}"/>
            </c:ext>
          </c:extLst>
        </c:ser>
        <c:ser>
          <c:idx val="2"/>
          <c:order val="2"/>
          <c:tx>
            <c:strRef>
              <c:f>Saturating!$L$1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0.91253309560611706</c:v>
                </c:pt>
                <c:pt idx="3">
                  <c:v>1</c:v>
                </c:pt>
                <c:pt idx="4">
                  <c:v>0.99764965791225191</c:v>
                </c:pt>
                <c:pt idx="5">
                  <c:v>0.98841712390064951</c:v>
                </c:pt>
                <c:pt idx="6">
                  <c:v>0.97720456990228666</c:v>
                </c:pt>
                <c:pt idx="7">
                  <c:v>0.93429177658279072</c:v>
                </c:pt>
                <c:pt idx="8">
                  <c:v>0.92678210948025475</c:v>
                </c:pt>
                <c:pt idx="9">
                  <c:v>0.91386663515654543</c:v>
                </c:pt>
                <c:pt idx="10">
                  <c:v>0.86255168555847106</c:v>
                </c:pt>
                <c:pt idx="11">
                  <c:v>0.74282566427766095</c:v>
                </c:pt>
                <c:pt idx="12">
                  <c:v>0.782234292492899</c:v>
                </c:pt>
                <c:pt idx="13">
                  <c:v>0.71449558754378295</c:v>
                </c:pt>
                <c:pt idx="14">
                  <c:v>0.88427265787522946</c:v>
                </c:pt>
                <c:pt idx="15">
                  <c:v>0.85175558975982057</c:v>
                </c:pt>
                <c:pt idx="16">
                  <c:v>0.81149888900304601</c:v>
                </c:pt>
                <c:pt idx="17">
                  <c:v>0.747139958403083</c:v>
                </c:pt>
                <c:pt idx="18">
                  <c:v>0.82227836858853398</c:v>
                </c:pt>
                <c:pt idx="19">
                  <c:v>0.92087308045251004</c:v>
                </c:pt>
                <c:pt idx="20">
                  <c:v>0.48736772558338498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A-48DB-A3D7-78A45904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30988817180805E-2"/>
          <c:y val="0.17171296296296298"/>
          <c:w val="0.9035894274365357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0.78571428571428548</c:v>
                </c:pt>
                <c:pt idx="6">
                  <c:v>1</c:v>
                </c:pt>
                <c:pt idx="7">
                  <c:v>1</c:v>
                </c:pt>
                <c:pt idx="8">
                  <c:v>0.93333333333333324</c:v>
                </c:pt>
                <c:pt idx="9">
                  <c:v>0.8999999999999998</c:v>
                </c:pt>
                <c:pt idx="10">
                  <c:v>0.80952380952380931</c:v>
                </c:pt>
                <c:pt idx="11">
                  <c:v>1</c:v>
                </c:pt>
                <c:pt idx="12">
                  <c:v>1</c:v>
                </c:pt>
                <c:pt idx="13">
                  <c:v>0.85294117647058798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0.68</c:v>
                </c:pt>
                <c:pt idx="18">
                  <c:v>0.93333333333333302</c:v>
                </c:pt>
                <c:pt idx="19">
                  <c:v>0.57499999999999996</c:v>
                </c:pt>
                <c:pt idx="20">
                  <c:v>0.62222222222222201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0-4F6A-B021-74775AEADB5F}"/>
            </c:ext>
          </c:extLst>
        </c:ser>
        <c:ser>
          <c:idx val="1"/>
          <c:order val="1"/>
          <c:tx>
            <c:strRef>
              <c:f>Linear!$K$1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0.91111111111111098</c:v>
                </c:pt>
                <c:pt idx="5">
                  <c:v>0.90476190476190443</c:v>
                </c:pt>
                <c:pt idx="6">
                  <c:v>1</c:v>
                </c:pt>
                <c:pt idx="7">
                  <c:v>1</c:v>
                </c:pt>
                <c:pt idx="8">
                  <c:v>0.98518518518518494</c:v>
                </c:pt>
                <c:pt idx="9">
                  <c:v>0.9818181818181817</c:v>
                </c:pt>
                <c:pt idx="10">
                  <c:v>0.92673992673992667</c:v>
                </c:pt>
                <c:pt idx="11">
                  <c:v>1</c:v>
                </c:pt>
                <c:pt idx="12">
                  <c:v>1</c:v>
                </c:pt>
                <c:pt idx="13">
                  <c:v>0.96323529411764697</c:v>
                </c:pt>
                <c:pt idx="14">
                  <c:v>1</c:v>
                </c:pt>
                <c:pt idx="15">
                  <c:v>0.884210526315789</c:v>
                </c:pt>
                <c:pt idx="16">
                  <c:v>1</c:v>
                </c:pt>
                <c:pt idx="17">
                  <c:v>0.95333333333333303</c:v>
                </c:pt>
                <c:pt idx="18">
                  <c:v>0.99540229885057396</c:v>
                </c:pt>
                <c:pt idx="19">
                  <c:v>0.9</c:v>
                </c:pt>
                <c:pt idx="20">
                  <c:v>0.92359550561797699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0-4F6A-B021-74775AEADB5F}"/>
            </c:ext>
          </c:extLst>
        </c:ser>
        <c:ser>
          <c:idx val="2"/>
          <c:order val="2"/>
          <c:tx>
            <c:strRef>
              <c:f>Linear!$L$1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0.98592613764676729</c:v>
                </c:pt>
                <c:pt idx="5">
                  <c:v>0.98321915010162608</c:v>
                </c:pt>
                <c:pt idx="6">
                  <c:v>1</c:v>
                </c:pt>
                <c:pt idx="7">
                  <c:v>1</c:v>
                </c:pt>
                <c:pt idx="8">
                  <c:v>0.992137684102259</c:v>
                </c:pt>
                <c:pt idx="9">
                  <c:v>0.96207528906942019</c:v>
                </c:pt>
                <c:pt idx="10">
                  <c:v>0.90870146542822938</c:v>
                </c:pt>
                <c:pt idx="11">
                  <c:v>1</c:v>
                </c:pt>
                <c:pt idx="12">
                  <c:v>1</c:v>
                </c:pt>
                <c:pt idx="13">
                  <c:v>0.97635362219963051</c:v>
                </c:pt>
                <c:pt idx="14">
                  <c:v>1</c:v>
                </c:pt>
                <c:pt idx="15">
                  <c:v>0.85677041723270353</c:v>
                </c:pt>
                <c:pt idx="16">
                  <c:v>1</c:v>
                </c:pt>
                <c:pt idx="17">
                  <c:v>0.864471623785805</c:v>
                </c:pt>
                <c:pt idx="18">
                  <c:v>0.97048588781225498</c:v>
                </c:pt>
                <c:pt idx="19">
                  <c:v>0.90907313880095297</c:v>
                </c:pt>
                <c:pt idx="20">
                  <c:v>0.92429967009387703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40-4F6A-B021-74775AEAD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51239494949041"/>
          <c:y val="0.17171296296296298"/>
          <c:w val="0.85110788704178664"/>
          <c:h val="0.6833999596204321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0.78571428571428548</c:v>
                </c:pt>
                <c:pt idx="6">
                  <c:v>1</c:v>
                </c:pt>
                <c:pt idx="7">
                  <c:v>1</c:v>
                </c:pt>
                <c:pt idx="8">
                  <c:v>0.93333333333333324</c:v>
                </c:pt>
                <c:pt idx="9">
                  <c:v>0.8999999999999998</c:v>
                </c:pt>
                <c:pt idx="10">
                  <c:v>0.80952380952380931</c:v>
                </c:pt>
                <c:pt idx="11">
                  <c:v>1</c:v>
                </c:pt>
                <c:pt idx="12">
                  <c:v>1</c:v>
                </c:pt>
                <c:pt idx="13">
                  <c:v>0.85294117647058798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0.68</c:v>
                </c:pt>
                <c:pt idx="18">
                  <c:v>0.93333333333333302</c:v>
                </c:pt>
                <c:pt idx="19">
                  <c:v>0.57499999999999996</c:v>
                </c:pt>
                <c:pt idx="20">
                  <c:v>0.62222222222222201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2-406A-9417-AE48FAA23793}"/>
            </c:ext>
          </c:extLst>
        </c:ser>
        <c:ser>
          <c:idx val="1"/>
          <c:order val="1"/>
          <c:tx>
            <c:strRef>
              <c:f>Linear!$K$1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0.91111111111111098</c:v>
                </c:pt>
                <c:pt idx="5">
                  <c:v>0.90476190476190443</c:v>
                </c:pt>
                <c:pt idx="6">
                  <c:v>1</c:v>
                </c:pt>
                <c:pt idx="7">
                  <c:v>1</c:v>
                </c:pt>
                <c:pt idx="8">
                  <c:v>0.98518518518518494</c:v>
                </c:pt>
                <c:pt idx="9">
                  <c:v>0.9818181818181817</c:v>
                </c:pt>
                <c:pt idx="10">
                  <c:v>0.92673992673992667</c:v>
                </c:pt>
                <c:pt idx="11">
                  <c:v>1</c:v>
                </c:pt>
                <c:pt idx="12">
                  <c:v>1</c:v>
                </c:pt>
                <c:pt idx="13">
                  <c:v>0.96323529411764697</c:v>
                </c:pt>
                <c:pt idx="14">
                  <c:v>1</c:v>
                </c:pt>
                <c:pt idx="15">
                  <c:v>0.884210526315789</c:v>
                </c:pt>
                <c:pt idx="16">
                  <c:v>1</c:v>
                </c:pt>
                <c:pt idx="17">
                  <c:v>0.95333333333333303</c:v>
                </c:pt>
                <c:pt idx="18">
                  <c:v>0.99540229885057396</c:v>
                </c:pt>
                <c:pt idx="19">
                  <c:v>0.9</c:v>
                </c:pt>
                <c:pt idx="20">
                  <c:v>0.92359550561797699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2-406A-9417-AE48FAA23793}"/>
            </c:ext>
          </c:extLst>
        </c:ser>
        <c:ser>
          <c:idx val="2"/>
          <c:order val="2"/>
          <c:tx>
            <c:strRef>
              <c:f>Linear!$L$1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0.98592613764676729</c:v>
                </c:pt>
                <c:pt idx="5">
                  <c:v>0.98321915010162608</c:v>
                </c:pt>
                <c:pt idx="6">
                  <c:v>1</c:v>
                </c:pt>
                <c:pt idx="7">
                  <c:v>1</c:v>
                </c:pt>
                <c:pt idx="8">
                  <c:v>0.992137684102259</c:v>
                </c:pt>
                <c:pt idx="9">
                  <c:v>0.96207528906942019</c:v>
                </c:pt>
                <c:pt idx="10">
                  <c:v>0.90870146542822938</c:v>
                </c:pt>
                <c:pt idx="11">
                  <c:v>1</c:v>
                </c:pt>
                <c:pt idx="12">
                  <c:v>1</c:v>
                </c:pt>
                <c:pt idx="13">
                  <c:v>0.97635362219963051</c:v>
                </c:pt>
                <c:pt idx="14">
                  <c:v>1</c:v>
                </c:pt>
                <c:pt idx="15">
                  <c:v>0.85677041723270353</c:v>
                </c:pt>
                <c:pt idx="16">
                  <c:v>1</c:v>
                </c:pt>
                <c:pt idx="17">
                  <c:v>0.864471623785805</c:v>
                </c:pt>
                <c:pt idx="18">
                  <c:v>0.97048588781225498</c:v>
                </c:pt>
                <c:pt idx="19">
                  <c:v>0.90907313880095297</c:v>
                </c:pt>
                <c:pt idx="20">
                  <c:v>0.92429967009387703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B2-406A-9417-AE48FAA23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3415292569326"/>
          <c:y val="9.1729588934463008E-2"/>
          <c:w val="0.45611024520394733"/>
          <c:h val="6.4163947187209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9250304979484"/>
          <c:y val="0.14170009551098375"/>
          <c:w val="0.84260468004879674"/>
          <c:h val="0.71587994194135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Saturating!$J$1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0.88888888888888873</c:v>
                </c:pt>
                <c:pt idx="5">
                  <c:v>0.92857142857142849</c:v>
                </c:pt>
                <c:pt idx="6">
                  <c:v>0.91666666666666663</c:v>
                </c:pt>
                <c:pt idx="7">
                  <c:v>0.73333333333333306</c:v>
                </c:pt>
                <c:pt idx="8">
                  <c:v>0.8666666666666667</c:v>
                </c:pt>
                <c:pt idx="9">
                  <c:v>0.78333333333333299</c:v>
                </c:pt>
                <c:pt idx="10">
                  <c:v>0.476190476190476</c:v>
                </c:pt>
                <c:pt idx="11">
                  <c:v>0.46666666666666601</c:v>
                </c:pt>
                <c:pt idx="12">
                  <c:v>0.5</c:v>
                </c:pt>
                <c:pt idx="13">
                  <c:v>0.38235294117647045</c:v>
                </c:pt>
                <c:pt idx="14">
                  <c:v>0.72222222222222143</c:v>
                </c:pt>
                <c:pt idx="15">
                  <c:v>0.55000000000000004</c:v>
                </c:pt>
                <c:pt idx="16">
                  <c:v>0.476190476190476</c:v>
                </c:pt>
                <c:pt idx="17">
                  <c:v>0.56000000000000005</c:v>
                </c:pt>
                <c:pt idx="18">
                  <c:v>0.53333333333333299</c:v>
                </c:pt>
                <c:pt idx="19">
                  <c:v>0.625</c:v>
                </c:pt>
                <c:pt idx="20">
                  <c:v>0.17777777777777701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C-4A50-B40A-3500036880C9}"/>
            </c:ext>
          </c:extLst>
        </c:ser>
        <c:ser>
          <c:idx val="1"/>
          <c:order val="1"/>
          <c:tx>
            <c:strRef>
              <c:f>Saturating!$K$1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0.77777777777777735</c:v>
                </c:pt>
                <c:pt idx="3">
                  <c:v>1</c:v>
                </c:pt>
                <c:pt idx="4">
                  <c:v>0.95555555555555538</c:v>
                </c:pt>
                <c:pt idx="5">
                  <c:v>0.97619047619047605</c:v>
                </c:pt>
                <c:pt idx="6">
                  <c:v>0.97619047619047594</c:v>
                </c:pt>
                <c:pt idx="7">
                  <c:v>0.89999999999999969</c:v>
                </c:pt>
                <c:pt idx="8">
                  <c:v>0.95555555555555538</c:v>
                </c:pt>
                <c:pt idx="9">
                  <c:v>0.9575757575757573</c:v>
                </c:pt>
                <c:pt idx="10">
                  <c:v>0.87545787545787535</c:v>
                </c:pt>
                <c:pt idx="11">
                  <c:v>0.90476190476190399</c:v>
                </c:pt>
                <c:pt idx="12">
                  <c:v>0.92500000000000004</c:v>
                </c:pt>
                <c:pt idx="13">
                  <c:v>0.88970588235294101</c:v>
                </c:pt>
                <c:pt idx="14">
                  <c:v>0.96732026143790795</c:v>
                </c:pt>
                <c:pt idx="15">
                  <c:v>0.92105263157894701</c:v>
                </c:pt>
                <c:pt idx="16">
                  <c:v>0.87619047619047596</c:v>
                </c:pt>
                <c:pt idx="17">
                  <c:v>0.94</c:v>
                </c:pt>
                <c:pt idx="18">
                  <c:v>0.958620689655172</c:v>
                </c:pt>
                <c:pt idx="19">
                  <c:v>0.90512820512820502</c:v>
                </c:pt>
                <c:pt idx="20">
                  <c:v>0.90561797752808904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C-4A50-B40A-3500036880C9}"/>
            </c:ext>
          </c:extLst>
        </c:ser>
        <c:ser>
          <c:idx val="2"/>
          <c:order val="2"/>
          <c:tx>
            <c:strRef>
              <c:f>Saturating!$L$1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0.91253309560611706</c:v>
                </c:pt>
                <c:pt idx="3">
                  <c:v>1</c:v>
                </c:pt>
                <c:pt idx="4">
                  <c:v>0.99764965791225191</c:v>
                </c:pt>
                <c:pt idx="5">
                  <c:v>0.98841712390064951</c:v>
                </c:pt>
                <c:pt idx="6">
                  <c:v>0.97720456990228666</c:v>
                </c:pt>
                <c:pt idx="7">
                  <c:v>0.93429177658279072</c:v>
                </c:pt>
                <c:pt idx="8">
                  <c:v>0.92678210948025475</c:v>
                </c:pt>
                <c:pt idx="9">
                  <c:v>0.91386663515654543</c:v>
                </c:pt>
                <c:pt idx="10">
                  <c:v>0.86255168555847106</c:v>
                </c:pt>
                <c:pt idx="11">
                  <c:v>0.74282566427766095</c:v>
                </c:pt>
                <c:pt idx="12">
                  <c:v>0.782234292492899</c:v>
                </c:pt>
                <c:pt idx="13">
                  <c:v>0.71449558754378295</c:v>
                </c:pt>
                <c:pt idx="14">
                  <c:v>0.88427265787522946</c:v>
                </c:pt>
                <c:pt idx="15">
                  <c:v>0.85175558975982057</c:v>
                </c:pt>
                <c:pt idx="16">
                  <c:v>0.81149888900304601</c:v>
                </c:pt>
                <c:pt idx="17">
                  <c:v>0.747139958403083</c:v>
                </c:pt>
                <c:pt idx="18">
                  <c:v>0.82227836858853398</c:v>
                </c:pt>
                <c:pt idx="19">
                  <c:v>0.92087308045251004</c:v>
                </c:pt>
                <c:pt idx="20">
                  <c:v>0.48736772558338498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5C-4A50-B40A-350003688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546784739557"/>
          <c:y val="7.8871441261046921E-2"/>
          <c:w val="0.45507186103729064"/>
          <c:h val="6.4532000421553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2357623089572"/>
          <c:y val="0.1432046332046332"/>
          <c:w val="0.84216003241425907"/>
          <c:h val="0.73602924634420697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Discontinuous!$J$1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Discontinuous!$J$2:$J$22</c:f>
              <c:numCache>
                <c:formatCode>0.00</c:formatCode>
                <c:ptCount val="21"/>
                <c:pt idx="0">
                  <c:v>1</c:v>
                </c:pt>
                <c:pt idx="1">
                  <c:v>0.86666666666666659</c:v>
                </c:pt>
                <c:pt idx="2">
                  <c:v>0.66666666666666663</c:v>
                </c:pt>
                <c:pt idx="3">
                  <c:v>1</c:v>
                </c:pt>
                <c:pt idx="4">
                  <c:v>0.88888888888888873</c:v>
                </c:pt>
                <c:pt idx="5">
                  <c:v>0.92857142857142849</c:v>
                </c:pt>
                <c:pt idx="6">
                  <c:v>0.91666666666666663</c:v>
                </c:pt>
                <c:pt idx="7">
                  <c:v>0.86666666666666603</c:v>
                </c:pt>
                <c:pt idx="8">
                  <c:v>0.93333333333333324</c:v>
                </c:pt>
                <c:pt idx="9">
                  <c:v>0.83333333333333326</c:v>
                </c:pt>
                <c:pt idx="10">
                  <c:v>0.80952380952380931</c:v>
                </c:pt>
                <c:pt idx="11">
                  <c:v>1</c:v>
                </c:pt>
                <c:pt idx="12">
                  <c:v>0.9375</c:v>
                </c:pt>
                <c:pt idx="13">
                  <c:v>0.82352941176470551</c:v>
                </c:pt>
                <c:pt idx="14">
                  <c:v>0.77777777777777701</c:v>
                </c:pt>
                <c:pt idx="15">
                  <c:v>0.77500000000000002</c:v>
                </c:pt>
                <c:pt idx="16">
                  <c:v>0.80952380952380898</c:v>
                </c:pt>
                <c:pt idx="17">
                  <c:v>0.72</c:v>
                </c:pt>
                <c:pt idx="18">
                  <c:v>0.83333333333333304</c:v>
                </c:pt>
                <c:pt idx="19">
                  <c:v>0.4</c:v>
                </c:pt>
                <c:pt idx="20">
                  <c:v>0.35555555555555501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7-48F9-86B2-8464A33461B7}"/>
            </c:ext>
          </c:extLst>
        </c:ser>
        <c:ser>
          <c:idx val="1"/>
          <c:order val="1"/>
          <c:tx>
            <c:strRef>
              <c:f>Discontinuous!$K$1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Discontinuous!$K$2:$K$22</c:f>
              <c:numCache>
                <c:formatCode>0.00</c:formatCode>
                <c:ptCount val="21"/>
                <c:pt idx="0">
                  <c:v>1</c:v>
                </c:pt>
                <c:pt idx="1">
                  <c:v>0.86666666666666659</c:v>
                </c:pt>
                <c:pt idx="2">
                  <c:v>0.77777777777777735</c:v>
                </c:pt>
                <c:pt idx="3">
                  <c:v>1</c:v>
                </c:pt>
                <c:pt idx="4">
                  <c:v>0.95555555555555538</c:v>
                </c:pt>
                <c:pt idx="5">
                  <c:v>0.97619047619047605</c:v>
                </c:pt>
                <c:pt idx="6">
                  <c:v>0.97619047619047594</c:v>
                </c:pt>
                <c:pt idx="7">
                  <c:v>0.96666666666666623</c:v>
                </c:pt>
                <c:pt idx="8">
                  <c:v>0.98518518518518494</c:v>
                </c:pt>
                <c:pt idx="9">
                  <c:v>0.96363636363636318</c:v>
                </c:pt>
                <c:pt idx="10">
                  <c:v>0.95604395604395587</c:v>
                </c:pt>
                <c:pt idx="11">
                  <c:v>1</c:v>
                </c:pt>
                <c:pt idx="12">
                  <c:v>0.99166666666666647</c:v>
                </c:pt>
                <c:pt idx="13">
                  <c:v>0.97058823529411753</c:v>
                </c:pt>
                <c:pt idx="14">
                  <c:v>0.97385620915032645</c:v>
                </c:pt>
                <c:pt idx="15">
                  <c:v>0.96842105263157852</c:v>
                </c:pt>
                <c:pt idx="16">
                  <c:v>0.98095238095238002</c:v>
                </c:pt>
                <c:pt idx="17">
                  <c:v>0.97333333333333305</c:v>
                </c:pt>
                <c:pt idx="18">
                  <c:v>0.97701149425287304</c:v>
                </c:pt>
                <c:pt idx="19">
                  <c:v>0.95128205128205101</c:v>
                </c:pt>
                <c:pt idx="20">
                  <c:v>0.97153558052434397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7-48F9-86B2-8464A33461B7}"/>
            </c:ext>
          </c:extLst>
        </c:ser>
        <c:ser>
          <c:idx val="2"/>
          <c:order val="2"/>
          <c:tx>
            <c:strRef>
              <c:f>Discontinuous!$L$1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Discontinuous!$L$2:$L$22</c:f>
              <c:numCache>
                <c:formatCode>0.00</c:formatCode>
                <c:ptCount val="21"/>
                <c:pt idx="0">
                  <c:v>1</c:v>
                </c:pt>
                <c:pt idx="1">
                  <c:v>0.91746881399038804</c:v>
                </c:pt>
                <c:pt idx="2">
                  <c:v>0.88343675279582001</c:v>
                </c:pt>
                <c:pt idx="3">
                  <c:v>1</c:v>
                </c:pt>
                <c:pt idx="4">
                  <c:v>0.98379425657401498</c:v>
                </c:pt>
                <c:pt idx="5">
                  <c:v>0.96743328653943306</c:v>
                </c:pt>
                <c:pt idx="6">
                  <c:v>0.99054664966817541</c:v>
                </c:pt>
                <c:pt idx="7">
                  <c:v>0.94583309727434961</c:v>
                </c:pt>
                <c:pt idx="8">
                  <c:v>0.97789410965100909</c:v>
                </c:pt>
                <c:pt idx="9">
                  <c:v>0.95613837449097239</c:v>
                </c:pt>
                <c:pt idx="10">
                  <c:v>0.90449171528027505</c:v>
                </c:pt>
                <c:pt idx="11">
                  <c:v>1</c:v>
                </c:pt>
                <c:pt idx="12">
                  <c:v>0.97308970595681243</c:v>
                </c:pt>
                <c:pt idx="13">
                  <c:v>0.96964509169741242</c:v>
                </c:pt>
                <c:pt idx="14">
                  <c:v>0.90185911712120093</c:v>
                </c:pt>
                <c:pt idx="15">
                  <c:v>0.85952649152367444</c:v>
                </c:pt>
                <c:pt idx="16">
                  <c:v>0.86948087201170199</c:v>
                </c:pt>
                <c:pt idx="17">
                  <c:v>0.82639553335889504</c:v>
                </c:pt>
                <c:pt idx="18">
                  <c:v>0.91688831385987801</c:v>
                </c:pt>
                <c:pt idx="19">
                  <c:v>0.73072837244478805</c:v>
                </c:pt>
                <c:pt idx="20">
                  <c:v>0.60186781760003605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7-48F9-86B2-8464A334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0360014299574"/>
          <c:y val="7.770224667862459E-2"/>
          <c:w val="0.451729605717266"/>
          <c:h val="6.5154896178518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47861429344"/>
          <c:y val="0.14116079923882016"/>
          <c:w val="0.84287022362031538"/>
          <c:h val="0.75502026566374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0.72222222222222199</c:v>
                </c:pt>
                <c:pt idx="5">
                  <c:v>0.67857142857142816</c:v>
                </c:pt>
                <c:pt idx="6">
                  <c:v>0.91666666666666663</c:v>
                </c:pt>
                <c:pt idx="7">
                  <c:v>0.66666666666666596</c:v>
                </c:pt>
                <c:pt idx="8">
                  <c:v>0.73333333333333339</c:v>
                </c:pt>
                <c:pt idx="9">
                  <c:v>0.71666666666666645</c:v>
                </c:pt>
                <c:pt idx="10">
                  <c:v>0.80952380952380931</c:v>
                </c:pt>
                <c:pt idx="11">
                  <c:v>0.86666666666666603</c:v>
                </c:pt>
                <c:pt idx="12">
                  <c:v>0.53125</c:v>
                </c:pt>
                <c:pt idx="13">
                  <c:v>0.67647058823529393</c:v>
                </c:pt>
                <c:pt idx="14">
                  <c:v>0.63888888888888851</c:v>
                </c:pt>
                <c:pt idx="15">
                  <c:v>0.875</c:v>
                </c:pt>
                <c:pt idx="16">
                  <c:v>0.66666666666666596</c:v>
                </c:pt>
                <c:pt idx="17">
                  <c:v>0.6</c:v>
                </c:pt>
                <c:pt idx="18">
                  <c:v>0.6</c:v>
                </c:pt>
                <c:pt idx="19">
                  <c:v>0.52500000000000002</c:v>
                </c:pt>
                <c:pt idx="20">
                  <c:v>0.344444444444444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4-4274-BB76-B9B0F52DF565}"/>
            </c:ext>
          </c:extLst>
        </c:ser>
        <c:ser>
          <c:idx val="1"/>
          <c:order val="1"/>
          <c:tx>
            <c:strRef>
              <c:f>Combined!$K$1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0.86666666666666625</c:v>
                </c:pt>
                <c:pt idx="5">
                  <c:v>0.83333333333333282</c:v>
                </c:pt>
                <c:pt idx="6">
                  <c:v>0.97619047619047594</c:v>
                </c:pt>
                <c:pt idx="7">
                  <c:v>0.91111111111111032</c:v>
                </c:pt>
                <c:pt idx="8">
                  <c:v>0.94074074074074066</c:v>
                </c:pt>
                <c:pt idx="9">
                  <c:v>0.94545454545454499</c:v>
                </c:pt>
                <c:pt idx="10">
                  <c:v>0.95604395604395587</c:v>
                </c:pt>
                <c:pt idx="11">
                  <c:v>0.98095238095238002</c:v>
                </c:pt>
                <c:pt idx="12">
                  <c:v>0.89999999999999947</c:v>
                </c:pt>
                <c:pt idx="13">
                  <c:v>0.94117647058823495</c:v>
                </c:pt>
                <c:pt idx="14">
                  <c:v>0.9542483660130715</c:v>
                </c:pt>
                <c:pt idx="15">
                  <c:v>0.98421052631578898</c:v>
                </c:pt>
                <c:pt idx="16">
                  <c:v>0.96190476190476104</c:v>
                </c:pt>
                <c:pt idx="17">
                  <c:v>0.96</c:v>
                </c:pt>
                <c:pt idx="18">
                  <c:v>0.958620689655172</c:v>
                </c:pt>
                <c:pt idx="19">
                  <c:v>0.96666666666666601</c:v>
                </c:pt>
                <c:pt idx="20">
                  <c:v>0.96454431960049902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4-4274-BB76-B9B0F52DF565}"/>
            </c:ext>
          </c:extLst>
        </c:ser>
        <c:ser>
          <c:idx val="2"/>
          <c:order val="2"/>
          <c:tx>
            <c:strRef>
              <c:f>Combined!$L$1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0.93989293501860771</c:v>
                </c:pt>
                <c:pt idx="5">
                  <c:v>0.95762431091121003</c:v>
                </c:pt>
                <c:pt idx="6">
                  <c:v>0.97720456990228666</c:v>
                </c:pt>
                <c:pt idx="7">
                  <c:v>0.93469940051731903</c:v>
                </c:pt>
                <c:pt idx="8">
                  <c:v>0.91942463081157133</c:v>
                </c:pt>
                <c:pt idx="9">
                  <c:v>0.91462033741574156</c:v>
                </c:pt>
                <c:pt idx="10">
                  <c:v>0.92720598943441301</c:v>
                </c:pt>
                <c:pt idx="11">
                  <c:v>0.94934854370721</c:v>
                </c:pt>
                <c:pt idx="12">
                  <c:v>0.88816637329542703</c:v>
                </c:pt>
                <c:pt idx="13">
                  <c:v>0.87333737692619606</c:v>
                </c:pt>
                <c:pt idx="14">
                  <c:v>0.83469262984525394</c:v>
                </c:pt>
                <c:pt idx="15">
                  <c:v>0.9493160709899785</c:v>
                </c:pt>
                <c:pt idx="16">
                  <c:v>0.78196070894059699</c:v>
                </c:pt>
                <c:pt idx="17">
                  <c:v>0.71469640308924898</c:v>
                </c:pt>
                <c:pt idx="18">
                  <c:v>0.90188353345859695</c:v>
                </c:pt>
                <c:pt idx="19">
                  <c:v>0.69643054956171002</c:v>
                </c:pt>
                <c:pt idx="20">
                  <c:v>0.60267946643171399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F4-4274-BB76-B9B0F52DF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87253781963948"/>
          <c:y val="7.9447695108520539E-2"/>
          <c:w val="0.44969707619763444"/>
          <c:h val="6.422499756512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51239494949041"/>
          <c:y val="0.17171296296296298"/>
          <c:w val="0.85110788704178664"/>
          <c:h val="0.6833999596204321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Linear!$I$2:$I$21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Linear!$J$2:$J$21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0.78571428571428548</c:v>
                </c:pt>
                <c:pt idx="6">
                  <c:v>1</c:v>
                </c:pt>
                <c:pt idx="7">
                  <c:v>1</c:v>
                </c:pt>
                <c:pt idx="8">
                  <c:v>0.93333333333333324</c:v>
                </c:pt>
                <c:pt idx="9">
                  <c:v>0.8999999999999998</c:v>
                </c:pt>
                <c:pt idx="10">
                  <c:v>0.80952380952380931</c:v>
                </c:pt>
                <c:pt idx="11">
                  <c:v>1</c:v>
                </c:pt>
                <c:pt idx="12">
                  <c:v>1</c:v>
                </c:pt>
                <c:pt idx="13">
                  <c:v>0.85294117647058798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0.68</c:v>
                </c:pt>
                <c:pt idx="18">
                  <c:v>0.93333333333333302</c:v>
                </c:pt>
                <c:pt idx="19">
                  <c:v>0.57499999999999996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D-4E62-B5BE-58B4AF41CDCB}"/>
            </c:ext>
          </c:extLst>
        </c:ser>
        <c:ser>
          <c:idx val="1"/>
          <c:order val="1"/>
          <c:tx>
            <c:strRef>
              <c:f>Linear!$K$1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Linear!$I$2:$I$21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Linear!$K$2:$K$21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0.91111111111111098</c:v>
                </c:pt>
                <c:pt idx="5">
                  <c:v>0.90476190476190443</c:v>
                </c:pt>
                <c:pt idx="6">
                  <c:v>1</c:v>
                </c:pt>
                <c:pt idx="7">
                  <c:v>1</c:v>
                </c:pt>
                <c:pt idx="8">
                  <c:v>0.98518518518518494</c:v>
                </c:pt>
                <c:pt idx="9">
                  <c:v>0.9818181818181817</c:v>
                </c:pt>
                <c:pt idx="10">
                  <c:v>0.92673992673992667</c:v>
                </c:pt>
                <c:pt idx="11">
                  <c:v>1</c:v>
                </c:pt>
                <c:pt idx="12">
                  <c:v>1</c:v>
                </c:pt>
                <c:pt idx="13">
                  <c:v>0.96323529411764697</c:v>
                </c:pt>
                <c:pt idx="14">
                  <c:v>1</c:v>
                </c:pt>
                <c:pt idx="15">
                  <c:v>0.884210526315789</c:v>
                </c:pt>
                <c:pt idx="16">
                  <c:v>1</c:v>
                </c:pt>
                <c:pt idx="17">
                  <c:v>0.95333333333333303</c:v>
                </c:pt>
                <c:pt idx="18">
                  <c:v>0.99540229885057396</c:v>
                </c:pt>
                <c:pt idx="1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D-4E62-B5BE-58B4AF41CDCB}"/>
            </c:ext>
          </c:extLst>
        </c:ser>
        <c:ser>
          <c:idx val="2"/>
          <c:order val="2"/>
          <c:tx>
            <c:strRef>
              <c:f>Linear!$L$1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Linear!$I$2:$I$21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Linear!$L$2:$L$21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0.98592613764676729</c:v>
                </c:pt>
                <c:pt idx="5">
                  <c:v>0.98321915010162608</c:v>
                </c:pt>
                <c:pt idx="6">
                  <c:v>1</c:v>
                </c:pt>
                <c:pt idx="7">
                  <c:v>1</c:v>
                </c:pt>
                <c:pt idx="8">
                  <c:v>0.992137684102259</c:v>
                </c:pt>
                <c:pt idx="9">
                  <c:v>0.96207528906942019</c:v>
                </c:pt>
                <c:pt idx="10">
                  <c:v>0.90870146542822938</c:v>
                </c:pt>
                <c:pt idx="11">
                  <c:v>1</c:v>
                </c:pt>
                <c:pt idx="12">
                  <c:v>1</c:v>
                </c:pt>
                <c:pt idx="13">
                  <c:v>0.97635362219963051</c:v>
                </c:pt>
                <c:pt idx="14">
                  <c:v>1</c:v>
                </c:pt>
                <c:pt idx="15">
                  <c:v>0.85677041723270353</c:v>
                </c:pt>
                <c:pt idx="16">
                  <c:v>1</c:v>
                </c:pt>
                <c:pt idx="17">
                  <c:v>0.864471623785805</c:v>
                </c:pt>
                <c:pt idx="18">
                  <c:v>0.97048588781225498</c:v>
                </c:pt>
                <c:pt idx="19">
                  <c:v>0.90907313880095297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D-4E62-B5BE-58B4AF41C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3415292569326"/>
          <c:y val="9.1729588934463008E-2"/>
          <c:w val="0.45611024520394733"/>
          <c:h val="6.4163947187209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22</xdr:row>
      <xdr:rowOff>127000</xdr:rowOff>
    </xdr:from>
    <xdr:to>
      <xdr:col>13</xdr:col>
      <xdr:colOff>12700</xdr:colOff>
      <xdr:row>37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0BFB6-E17B-426E-A3DB-546623997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5</xdr:row>
      <xdr:rowOff>85725</xdr:rowOff>
    </xdr:from>
    <xdr:to>
      <xdr:col>14</xdr:col>
      <xdr:colOff>488950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AA5A6-D5BF-4E6B-AA1F-ADF561924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11</xdr:row>
      <xdr:rowOff>95249</xdr:rowOff>
    </xdr:from>
    <xdr:to>
      <xdr:col>4</xdr:col>
      <xdr:colOff>596900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58848-56D7-46CC-BCC1-7AB159F86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21</xdr:row>
      <xdr:rowOff>79375</xdr:rowOff>
    </xdr:from>
    <xdr:to>
      <xdr:col>11</xdr:col>
      <xdr:colOff>127000</xdr:colOff>
      <xdr:row>33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42591-748D-462D-9BC2-E70A82705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361950</xdr:colOff>
      <xdr:row>20</xdr:row>
      <xdr:rowOff>98425</xdr:rowOff>
    </xdr:from>
    <xdr:to>
      <xdr:col>17</xdr:col>
      <xdr:colOff>190500</xdr:colOff>
      <xdr:row>32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2767D0-743B-486D-8D71-24394AD92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22</xdr:row>
      <xdr:rowOff>127000</xdr:rowOff>
    </xdr:from>
    <xdr:to>
      <xdr:col>13</xdr:col>
      <xdr:colOff>12700</xdr:colOff>
      <xdr:row>37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3D20E-2EC7-46ED-86BD-B55FC4CDF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22</xdr:row>
      <xdr:rowOff>127000</xdr:rowOff>
    </xdr:from>
    <xdr:to>
      <xdr:col>13</xdr:col>
      <xdr:colOff>12700</xdr:colOff>
      <xdr:row>37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1C87A-9196-425E-9E93-8112A15DA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22</xdr:row>
      <xdr:rowOff>127000</xdr:rowOff>
    </xdr:from>
    <xdr:to>
      <xdr:col>13</xdr:col>
      <xdr:colOff>12700</xdr:colOff>
      <xdr:row>37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D8036-A359-4699-B6F4-748C9EC76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149225</xdr:colOff>
      <xdr:row>2</xdr:row>
      <xdr:rowOff>15875</xdr:rowOff>
    </xdr:from>
    <xdr:to>
      <xdr:col>10</xdr:col>
      <xdr:colOff>285750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CD122-2E9F-4EFB-951D-D32EB086E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104775</xdr:colOff>
      <xdr:row>2</xdr:row>
      <xdr:rowOff>28575</xdr:rowOff>
    </xdr:from>
    <xdr:to>
      <xdr:col>29</xdr:col>
      <xdr:colOff>254000</xdr:colOff>
      <xdr:row>19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57A091-4EE1-4A8C-95FD-C61258072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555626</xdr:colOff>
      <xdr:row>2</xdr:row>
      <xdr:rowOff>53975</xdr:rowOff>
    </xdr:from>
    <xdr:to>
      <xdr:col>20</xdr:col>
      <xdr:colOff>85725</xdr:colOff>
      <xdr:row>19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2823F2-551D-4B46-AEE4-BF9264161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307976</xdr:colOff>
      <xdr:row>2</xdr:row>
      <xdr:rowOff>12701</xdr:rowOff>
    </xdr:from>
    <xdr:to>
      <xdr:col>38</xdr:col>
      <xdr:colOff>466725</xdr:colOff>
      <xdr:row>19</xdr:row>
      <xdr:rowOff>25401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0C10B8-6100-4477-ADD8-9309839FC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</xdr:row>
      <xdr:rowOff>3175</xdr:rowOff>
    </xdr:from>
    <xdr:to>
      <xdr:col>10</xdr:col>
      <xdr:colOff>136525</xdr:colOff>
      <xdr:row>40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023271-8565-4D13-BA1E-4E4172A0C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415925</xdr:colOff>
      <xdr:row>23</xdr:row>
      <xdr:rowOff>0</xdr:rowOff>
    </xdr:from>
    <xdr:to>
      <xdr:col>28</xdr:col>
      <xdr:colOff>565150</xdr:colOff>
      <xdr:row>40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B152E2-F57E-4262-BF6B-C1D01D9EA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190501</xdr:colOff>
      <xdr:row>23</xdr:row>
      <xdr:rowOff>0</xdr:rowOff>
    </xdr:from>
    <xdr:to>
      <xdr:col>19</xdr:col>
      <xdr:colOff>317500</xdr:colOff>
      <xdr:row>39</xdr:row>
      <xdr:rowOff>184150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6A07DA-3443-42FA-A3D6-41B5EB69D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158751</xdr:colOff>
      <xdr:row>23</xdr:row>
      <xdr:rowOff>1</xdr:rowOff>
    </xdr:from>
    <xdr:to>
      <xdr:col>38</xdr:col>
      <xdr:colOff>317500</xdr:colOff>
      <xdr:row>40</xdr:row>
      <xdr:rowOff>12701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CC0EFD-1B6F-4F2C-95FE-061508825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45</xdr:row>
      <xdr:rowOff>3175</xdr:rowOff>
    </xdr:from>
    <xdr:to>
      <xdr:col>10</xdr:col>
      <xdr:colOff>136525</xdr:colOff>
      <xdr:row>62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241ADC-4146-4389-907E-669908030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463550</xdr:colOff>
      <xdr:row>45</xdr:row>
      <xdr:rowOff>0</xdr:rowOff>
    </xdr:from>
    <xdr:to>
      <xdr:col>29</xdr:col>
      <xdr:colOff>9525</xdr:colOff>
      <xdr:row>62</xdr:row>
      <xdr:rowOff>34925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119845-8F09-418B-9FD0-41C9B229F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222251</xdr:colOff>
      <xdr:row>45</xdr:row>
      <xdr:rowOff>9525</xdr:rowOff>
    </xdr:from>
    <xdr:to>
      <xdr:col>19</xdr:col>
      <xdr:colOff>349250</xdr:colOff>
      <xdr:row>62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222C6B2-486B-4871-9D9D-C03ABCA05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158751</xdr:colOff>
      <xdr:row>45</xdr:row>
      <xdr:rowOff>1</xdr:rowOff>
    </xdr:from>
    <xdr:to>
      <xdr:col>38</xdr:col>
      <xdr:colOff>317500</xdr:colOff>
      <xdr:row>62</xdr:row>
      <xdr:rowOff>12701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E8D7DB5-831A-448E-BA6E-B0DC52463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127000</xdr:rowOff>
    </xdr:from>
    <xdr:to>
      <xdr:col>12</xdr:col>
      <xdr:colOff>41628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7AF0C-7A23-4679-A8A9-9EEC77544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342900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A440C-C875-4D0C-9F8E-26A274F3A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457200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796EA-F34E-4C45-AA98-7EA5E9993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14</xdr:col>
      <xdr:colOff>146050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E766C-9D74-42FA-A5F6-FD88617CA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C7CB328-959E-4A60-B47F-C5BE4432D001}" name="Table1264348" displayName="Table1264348" ref="A1:G52" totalsRowCount="1">
  <autoFilter ref="A1:G51" xr:uid="{23CD3825-5CF2-4BAA-9AFF-E8A1CC84BDCB}"/>
  <sortState ref="A2:G51">
    <sortCondition ref="B1:B51"/>
  </sortState>
  <tableColumns count="7">
    <tableColumn id="1" xr3:uid="{E4A87F51-F768-49B1-B0B6-B35AFE419D5A}" name="Cycle id" totalsRowLabel="Total"/>
    <tableColumn id="2" xr3:uid="{43DF47D8-544E-469E-97B6-A8A37F7866FA}" name=" Cycle size"/>
    <tableColumn id="3" xr3:uid="{A8515A0E-F5DC-46FB-8A16-E7D11997E83B}" name="JaccardCoefficient" totalsRowFunction="average"/>
    <tableColumn id="4" xr3:uid="{AB29773E-EAE6-428B-83A5-B5CE03C5D3CA}" name="MismatchDistanceCoefficient" totalsRowFunction="average"/>
    <tableColumn id="5" xr3:uid="{0357104E-F729-4458-B363-767F27E5E8BA}" name="KendallTauCorrelation" totalsRowFunction="average"/>
    <tableColumn id="6" xr3:uid="{A83A8951-7DCA-4C8B-B98F-D45CA17130EE}" name="MismatchPositionCoefficient" totalsRowFunction="average"/>
    <tableColumn id="7" xr3:uid="{966F9BF4-E0FB-47E8-A10A-5809D2242C57}" name="DiscountedCumulativeGain" totalsRowFunction="averag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99C9843-858C-4DF7-B7DF-C947B704A4A3}" name="Table12633" displayName="Table12633" ref="A1:G52" totalsRowCount="1">
  <autoFilter ref="A1:G51" xr:uid="{CD200457-848E-431A-96AF-C7762CE39C3D}"/>
  <sortState ref="A2:G51">
    <sortCondition ref="B1:B51"/>
  </sortState>
  <tableColumns count="7">
    <tableColumn id="1" xr3:uid="{C99F4F58-FEB5-4DA6-A79F-C2E952EE5045}" name="Cycle id" totalsRowLabel="Total"/>
    <tableColumn id="2" xr3:uid="{C0D06C3A-C545-44F5-A2E0-28161055BD72}" name=" Cycle size"/>
    <tableColumn id="3" xr3:uid="{90AA1839-1C4A-4F77-A90C-A28FA2446C5B}" name="JaccardCoefficient" totalsRowFunction="average"/>
    <tableColumn id="4" xr3:uid="{77D8A137-6A03-4C80-8173-017F6BD3025E}" name="MismatchDistanceCoefficient" totalsRowFunction="average"/>
    <tableColumn id="5" xr3:uid="{7262B6E8-15CE-4B2D-A290-205ECD2E8083}" name="KendallTauCorrelation" totalsRowFunction="average"/>
    <tableColumn id="6" xr3:uid="{E4EA6AE1-8398-4F5A-8C12-03FC3DAEFA98}" name="MismatchPositionCoefficient" totalsRowFunction="average"/>
    <tableColumn id="7" xr3:uid="{DBDE42B3-AE80-43B8-9046-A3DC4AB87BE1}" name="DiscountedCumulativeGain" totalsRowFunction="average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1EF5BA4-9C17-4EF6-9EF4-9D5095729180}" name="Table3634" displayName="Table3634" ref="I1:L22" totalsRowShown="0">
  <tableColumns count="4">
    <tableColumn id="1" xr3:uid="{A1C6A7F0-762F-48EF-927C-5D2585BC2901}" name="Cycle size" dataDxfId="72"/>
    <tableColumn id="2" xr3:uid="{49AB9E08-F0C0-41E1-9B4D-CF5A4F21526E}" name="Jaccard " dataDxfId="71">
      <calculatedColumnFormula>AVERAGEIF(Table12633[[ Cycle size]],I2,Table12633[JaccardCoefficient])</calculatedColumnFormula>
    </tableColumn>
    <tableColumn id="3" xr3:uid="{9B5D77C5-B82F-4D89-BD20-97A4EB1477BB}" name="Kendall" dataDxfId="70">
      <calculatedColumnFormula>AVERAGEIF(Table12633[ [ Cycle size] ],I2,Table12633[KendallTauCorrelation])</calculatedColumnFormula>
    </tableColumn>
    <tableColumn id="4" xr3:uid="{9584E443-EF5A-4DDC-BE94-B438EABE698C}" name="DCG" dataDxfId="69">
      <calculatedColumnFormula>AVERAGEIF(Table12633[ [ Cycle size] ],I2,Table12633[DiscountedCumulativeGain])</calculatedColumnFormula>
    </tableColumn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EA5B5C-0B0B-4633-8299-65D6E0194381}" name="Table36342789345" displayName="Table36342789345" ref="N1:Q11" totalsRowShown="0" headerRowDxfId="8" dataDxfId="7" headerRowBorderDxfId="5" tableBorderDxfId="6" totalsRowBorderDxfId="4">
  <tableColumns count="4">
    <tableColumn id="1" xr3:uid="{A393FC18-90A0-4BAA-8AA1-855C3D518CCE}" name="Statistic" dataDxfId="3"/>
    <tableColumn id="2" xr3:uid="{3F386FAB-A471-40FB-976F-1CBA2BD977FF}" name="Jaccard " dataDxfId="2"/>
    <tableColumn id="3" xr3:uid="{A0D68E40-32DF-4F30-8B58-44CE7D7661E6}" name="Kendall" dataDxfId="1"/>
    <tableColumn id="4" xr3:uid="{1EED6060-D397-40D6-BE82-8EB5C4FC0F45}" name="DCG" dataDxfId="0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D5" totalsRowShown="0" headerRowDxfId="68" dataDxfId="67">
  <autoFilter ref="A1:D5" xr:uid="{00000000-0009-0000-0100-000009000000}"/>
  <tableColumns count="4">
    <tableColumn id="1" xr3:uid="{00000000-0010-0000-0800-000001000000}" name="Model" dataDxfId="66"/>
    <tableColumn id="2" xr3:uid="{00000000-0010-0000-0800-000002000000}" name="5" dataDxfId="65"/>
    <tableColumn id="3" xr3:uid="{00000000-0010-0000-0800-000003000000}" name="25" dataDxfId="64"/>
    <tableColumn id="4" xr3:uid="{00000000-0010-0000-0800-000004000000}" name="50" dataDxfId="63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3AF1A9-F53B-48C9-B950-B7402A918367}" name="Table911" displayName="Table911" ref="A1:D5" totalsRowShown="0" headerRowDxfId="62" dataDxfId="61">
  <autoFilter ref="A1:D5" xr:uid="{8A959E55-9473-4EF7-ADCD-173BCA70F2F6}"/>
  <tableColumns count="4">
    <tableColumn id="1" xr3:uid="{239E2949-9546-4517-84DE-87E133191387}" name="Model" dataDxfId="60"/>
    <tableColumn id="2" xr3:uid="{774D349E-D602-4D8A-90D6-61DB6BD2AD4E}" name="5" dataDxfId="59"/>
    <tableColumn id="3" xr3:uid="{832CDC12-250F-4522-9610-EBB53510889F}" name="25" dataDxfId="58"/>
    <tableColumn id="4" xr3:uid="{8C7FC36E-6CFF-491C-9B72-866C71E0AC87}" name="50" dataDxfId="5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24E9678-84F6-4FC3-9A95-6EEDF2E4BD24}" name="Table911202228" displayName="Table911202228" ref="A1:D5" totalsRowShown="0" headerRowDxfId="56" dataDxfId="55">
  <autoFilter ref="A1:D5" xr:uid="{8A959E55-9473-4EF7-ADCD-173BCA70F2F6}"/>
  <tableColumns count="4">
    <tableColumn id="1" xr3:uid="{A2304EAD-C29E-41E6-90F1-2750C01D329E}" name="Model" dataDxfId="54"/>
    <tableColumn id="2" xr3:uid="{09BC7742-4DA7-4249-93E5-324E3D7C9D47}" name="5" dataDxfId="53"/>
    <tableColumn id="3" xr3:uid="{A71ACE98-5F26-4CDD-9717-2F0C6E76B864}" name="25" dataDxfId="52"/>
    <tableColumn id="4" xr3:uid="{72EC72BD-E403-4E55-898D-CC711A20C4EF}" name="50" dataDxfId="5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FC7ECCE-AF3A-4118-9E8F-B11B5E544FB8}" name="Table9112022" displayName="Table9112022" ref="A1:D5" totalsRowShown="0" headerRowDxfId="50" dataDxfId="49">
  <autoFilter ref="A1:D5" xr:uid="{8A959E55-9473-4EF7-ADCD-173BCA70F2F6}"/>
  <tableColumns count="4">
    <tableColumn id="1" xr3:uid="{F5D38831-3CF8-4141-A1F4-E53ADB3A804C}" name="Model" dataDxfId="48"/>
    <tableColumn id="2" xr3:uid="{18A57BE0-AC3D-4A45-B274-4383A0ABC6B7}" name="5" dataDxfId="47"/>
    <tableColumn id="3" xr3:uid="{4D6B4A6C-09E0-4E65-AD8C-808C63E64927}" name="25" dataDxfId="46"/>
    <tableColumn id="4" xr3:uid="{8C5316D4-1A40-48BF-90C7-4D27CEB38B4D}" name="50" dataDxfId="45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92EEF1D-0A64-4DF5-AD52-82D4A8482C15}" name="Table91120" displayName="Table91120" ref="A1:D5" totalsRowShown="0" headerRowDxfId="44" dataDxfId="43">
  <autoFilter ref="A1:D5" xr:uid="{8A959E55-9473-4EF7-ADCD-173BCA70F2F6}"/>
  <tableColumns count="4">
    <tableColumn id="1" xr3:uid="{32135BED-1F04-4B05-8683-75631D6DFA3C}" name="Model" dataDxfId="42"/>
    <tableColumn id="2" xr3:uid="{7E5A33E3-DA7F-4D46-80FD-35B8B7D693E0}" name="5" dataDxfId="41"/>
    <tableColumn id="3" xr3:uid="{FD11EDB1-049A-49E7-8954-7B22EEB5700D}" name="25" dataDxfId="40"/>
    <tableColumn id="4" xr3:uid="{46D3A56B-2A8A-46A3-A893-7FE6F12167A9}" name="50" dataDxfId="3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5F0144A-7EDF-43BF-80AE-A0BB46A0C7DA}" name="Table26" displayName="Table26" ref="A7:D11" totalsRowShown="0">
  <autoFilter ref="A7:D11" xr:uid="{4E65F4D3-9B74-4EAD-91D7-9AE23A939BA1}"/>
  <tableColumns count="4">
    <tableColumn id="1" xr3:uid="{0EEA9FAA-9BB4-46A7-92B2-B3896675349C}" name="Model"/>
    <tableColumn id="2" xr3:uid="{9AA49478-7AD4-438B-A2C7-9E7D41F7180C}" name="5" dataDxfId="38"/>
    <tableColumn id="3" xr3:uid="{9B9F262C-7988-45A2-8D49-040A0D4BDE46}" name="25" dataDxfId="37"/>
    <tableColumn id="4" xr3:uid="{D8D5F2CD-7013-410D-BE3E-1052B5FF0DE3}" name="50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C712014E-FC37-436E-8092-68E5FBF30E27}" name="Table364449" displayName="Table364449" ref="I1:L22" totalsRowShown="0">
  <tableColumns count="4">
    <tableColumn id="1" xr3:uid="{84AFCD5A-1FEB-4321-940D-7B7E6FA2D485}" name="Cycle size" dataDxfId="84"/>
    <tableColumn id="2" xr3:uid="{DF6742EE-55DF-430B-B71D-2F427CBBA4C7}" name="Jaccard " dataDxfId="83">
      <calculatedColumnFormula>AVERAGEIF(Table1264348[[ Cycle size]],I2,Table1264348[JaccardCoefficient])</calculatedColumnFormula>
    </tableColumn>
    <tableColumn id="3" xr3:uid="{43F66FD1-4B4C-47A5-8001-0E24D7EF0650}" name="Kendall" dataDxfId="82">
      <calculatedColumnFormula>AVERAGEIF(Table1264348[ [ Cycle size] ],I2,Table1264348[KendallTauCorrelation])</calculatedColumnFormula>
    </tableColumn>
    <tableColumn id="4" xr3:uid="{AC28AFAA-DE30-4EC7-B0AF-45CEFAA1E5A3}" name="DCG" dataDxfId="81">
      <calculatedColumnFormula>AVERAGEIF(Table1264348[ [ Cycle size] ],I2,Table1264348[DiscountedCumulativeGain])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5FCA7C-AEC6-4B95-82D4-B947B176C7F4}" name="Table36342789" displayName="Table36342789" ref="N1:Q11" totalsRowShown="0" headerRowDxfId="35" dataDxfId="34" headerRowBorderDxfId="32" tableBorderDxfId="33" totalsRowBorderDxfId="31">
  <tableColumns count="4">
    <tableColumn id="1" xr3:uid="{1A3E3F6F-617F-43BC-8834-889E9FD2A3C7}" name="Statistic" dataDxfId="30"/>
    <tableColumn id="2" xr3:uid="{E9CF7BA6-399E-4EAE-A701-6BB99E7FB944}" name="Jaccard " dataDxfId="29"/>
    <tableColumn id="3" xr3:uid="{1838BCDC-B214-4FB9-9E0D-4AD007F514CB}" name="Kendall" dataDxfId="28"/>
    <tableColumn id="4" xr3:uid="{D5B5A763-C974-4D46-B21B-3E3E35724A2D}" name="DCG" dataDxfId="2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AC5A7BF-945D-49B2-A2D5-708F8ACBF589}" name="Table3644" displayName="Table3644" ref="I1:L22" totalsRowShown="0">
  <tableColumns count="4">
    <tableColumn id="1" xr3:uid="{78046DA2-C9BA-4A37-A667-0B0A2C3E0471}" name="Cycle size" dataDxfId="80"/>
    <tableColumn id="2" xr3:uid="{0774C44D-573D-4A8D-A3F8-7A15902EE741}" name="Jaccard " dataDxfId="79">
      <calculatedColumnFormula>AVERAGEIF(Table12643[[ Cycle size]],I2,Table12643[JaccardCoefficient])</calculatedColumnFormula>
    </tableColumn>
    <tableColumn id="3" xr3:uid="{29023569-472C-4DA3-A6FD-3778501F605D}" name="Kendall" dataDxfId="78">
      <calculatedColumnFormula>AVERAGEIF(Table12643[ [ Cycle size] ],I2,Table12643[KendallTauCorrelation])</calculatedColumnFormula>
    </tableColumn>
    <tableColumn id="4" xr3:uid="{7EA81829-E064-429A-8428-985796CAAF4A}" name="DCG" dataDxfId="77">
      <calculatedColumnFormula>AVERAGEIF(Table12643[ [ Cycle size] ],I2,Table12643[DiscountedCumulativeGain])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E8FD01C-0C5F-43CA-9BD2-9D356F0968A0}" name="Table12643" displayName="Table12643" ref="A1:G52" totalsRowCount="1">
  <autoFilter ref="A1:G51" xr:uid="{23CD3825-5CF2-4BAA-9AFF-E8A1CC84BDCB}"/>
  <sortState ref="A2:G51">
    <sortCondition ref="B1:B51"/>
  </sortState>
  <tableColumns count="7">
    <tableColumn id="1" xr3:uid="{909C38BF-E876-4D37-843C-F12C90C69205}" name="Cycle id" totalsRowLabel="Total"/>
    <tableColumn id="2" xr3:uid="{F0D3163A-EA54-42B1-A2E6-ADD7CBC82F39}" name=" Cycle size"/>
    <tableColumn id="3" xr3:uid="{CD4324AE-4FB9-4AC8-885D-3AD5E17D0FAE}" name="JaccardCoefficient" totalsRowFunction="average"/>
    <tableColumn id="4" xr3:uid="{255CBAEB-9E5E-4C6C-BABE-7BCA2A77E08B}" name="MismatchDistanceCoefficient" totalsRowFunction="average"/>
    <tableColumn id="5" xr3:uid="{AD2DC070-5386-4D6C-86B4-3CC7B7753783}" name="KendallTauCorrelation" totalsRowFunction="average"/>
    <tableColumn id="6" xr3:uid="{5B2FD6D0-D64C-43A2-8C14-250E4DDB880D}" name="MismatchPositionCoefficient" totalsRowFunction="average"/>
    <tableColumn id="7" xr3:uid="{DF2C25AA-0D0A-4C57-8278-7885B97E244A}" name="DiscountedCumulativeGain" totalsRowFunction="average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8BA45E-2345-4EAE-9A7B-F59A2DC6558E}" name="Table363427893" displayName="Table363427893" ref="N1:Q11" totalsRowShown="0" headerRowDxfId="26" dataDxfId="25" headerRowBorderDxfId="23" tableBorderDxfId="24" totalsRowBorderDxfId="22">
  <tableColumns count="4">
    <tableColumn id="1" xr3:uid="{F097CBB6-15C8-4FD9-A8D6-53493560B742}" name="Statistic" dataDxfId="21"/>
    <tableColumn id="2" xr3:uid="{72752B8A-B758-4453-BA32-CE3FC4DE0471}" name="Jaccard " dataDxfId="20"/>
    <tableColumn id="3" xr3:uid="{FCC2DF7A-235F-4811-AECB-D357C678919C}" name="Kendall" dataDxfId="19"/>
    <tableColumn id="4" xr3:uid="{97244263-C33A-41F3-AE88-1B3C28B54FB6}" name="DCG" dataDxfId="1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4C0A0B0-5F50-414D-9CB6-E2DC65E45203}" name="Table126" displayName="Table126" ref="A1:G52" totalsRowCount="1">
  <autoFilter ref="A1:G51" xr:uid="{23CD3825-5CF2-4BAA-9AFF-E8A1CC84BDCB}"/>
  <sortState ref="A2:G51">
    <sortCondition ref="B1:B51"/>
  </sortState>
  <tableColumns count="7">
    <tableColumn id="1" xr3:uid="{A9C0F5CF-022E-49B2-A910-29705F69E36C}" name="Cycle id" totalsRowLabel="Total"/>
    <tableColumn id="2" xr3:uid="{66060E60-F26C-4186-87F7-DD78B0F5B2DD}" name=" Cycle size"/>
    <tableColumn id="3" xr3:uid="{09548EF7-C5B9-488A-AE22-319195B115A5}" name="JaccardCoefficient" totalsRowFunction="average"/>
    <tableColumn id="4" xr3:uid="{A6343149-A7AA-4D51-922F-CD425140CC2D}" name="MismatchDistanceCoefficient" totalsRowFunction="average"/>
    <tableColumn id="5" xr3:uid="{3F7BDCC7-2737-48FA-BC9F-79F8B51DAAC8}" name="KendallTauCorrelation" totalsRowFunction="average"/>
    <tableColumn id="6" xr3:uid="{55C430D5-2A4B-453C-9EF3-9B5C263FE655}" name="MismatchPositionCoefficient" totalsRowFunction="average"/>
    <tableColumn id="7" xr3:uid="{9204B3BC-A0E5-449B-B432-909C4EE048C5}" name="DiscountedCumulativeGain" totalsRowFunction="average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31C2CC0-57E2-4EE6-AE9A-6ACDA05D19C2}" name="Table36" displayName="Table36" ref="I1:L22" totalsRowShown="0">
  <tableColumns count="4">
    <tableColumn id="1" xr3:uid="{2DE05368-6AC0-4C85-A0FF-699BF3255BC3}" name="Cycle size" dataDxfId="76"/>
    <tableColumn id="2" xr3:uid="{14637A0D-F072-4269-B9F5-0AABD44ABD10}" name="Jaccard " dataDxfId="75">
      <calculatedColumnFormula>AVERAGEIF(Table126[[ Cycle size]],I2,Table126[JaccardCoefficient])</calculatedColumnFormula>
    </tableColumn>
    <tableColumn id="3" xr3:uid="{B9E2DBF4-3772-4870-8716-706F230E55BF}" name="Kendall" dataDxfId="74">
      <calculatedColumnFormula>AVERAGEIF(Table126[ [ Cycle size] ],I2,Table126[KendallTauCorrelation])</calculatedColumnFormula>
    </tableColumn>
    <tableColumn id="4" xr3:uid="{FE5E51E2-3AC9-48B0-B647-01483E631810}" name="DCG" dataDxfId="73">
      <calculatedColumnFormula>AVERAGEIF(Table126[ [ Cycle size] ],I2,Table126[DiscountedCumulativeGain])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EA071B-1663-484A-81A4-2BE6AEFF04A9}" name="Table3634278934" displayName="Table3634278934" ref="N1:Q11" totalsRowShown="0" headerRowDxfId="17" dataDxfId="16" headerRowBorderDxfId="14" tableBorderDxfId="15" totalsRowBorderDxfId="13">
  <tableColumns count="4">
    <tableColumn id="1" xr3:uid="{45C7293C-B4E5-430D-8E15-ED75A16B6DCF}" name="Statistic" dataDxfId="12"/>
    <tableColumn id="2" xr3:uid="{8067E2D6-1EB2-4521-9B3C-6192C0265E91}" name="Jaccard " dataDxfId="11"/>
    <tableColumn id="3" xr3:uid="{0768E506-0008-4032-A698-DE2AFD2BD2B4}" name="Kendall" dataDxfId="10"/>
    <tableColumn id="4" xr3:uid="{F2EBBC41-7473-437B-B7BD-C00C292392BD}" name="DCG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1AB1-78CA-4D3D-8EC0-D7986E7C189E}">
  <dimension ref="A1:Q52"/>
  <sheetViews>
    <sheetView zoomScale="60" zoomScaleNormal="60" workbookViewId="0">
      <selection activeCell="N1" sqref="N1:Q11"/>
    </sheetView>
  </sheetViews>
  <sheetFormatPr defaultColWidth="8.73046875"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6" width="18.33203125" style="1" customWidth="1"/>
    <col min="7" max="8" width="8.73046875" style="1"/>
    <col min="9" max="9" width="12.9296875" style="11" customWidth="1"/>
    <col min="10" max="10" width="7.796875" style="11" customWidth="1"/>
    <col min="11" max="11" width="8.73046875" style="1" customWidth="1"/>
    <col min="12" max="12" width="8.73046875" style="1"/>
    <col min="13" max="13" width="10.59765625" style="1" customWidth="1"/>
    <col min="14" max="14" width="32.46484375" style="1" customWidth="1"/>
    <col min="15" max="16384" width="8.73046875" style="1"/>
  </cols>
  <sheetData>
    <row r="1" spans="1:17" x14ac:dyDescent="0.4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s="1" t="s">
        <v>4</v>
      </c>
      <c r="J1" s="1" t="s">
        <v>33</v>
      </c>
      <c r="K1" s="1" t="s">
        <v>29</v>
      </c>
      <c r="L1" s="1" t="s">
        <v>34</v>
      </c>
      <c r="N1" s="15" t="s">
        <v>44</v>
      </c>
      <c r="O1" s="16" t="s">
        <v>33</v>
      </c>
      <c r="P1" s="16" t="s">
        <v>29</v>
      </c>
      <c r="Q1" s="17" t="s">
        <v>34</v>
      </c>
    </row>
    <row r="2" spans="1:17" x14ac:dyDescent="0.45">
      <c r="A2" s="1">
        <v>20.100000000000001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AVERAGEIF(Table1264348[[ Cycle size]],I2,Table1264348[JaccardCoefficient])</f>
        <v>1</v>
      </c>
      <c r="K2" s="2">
        <f>AVERAGEIF(Table1264348[ [ Cycle size] ],I2,Table1264348[KendallTauCorrelation])</f>
        <v>1</v>
      </c>
      <c r="L2" s="2">
        <f>AVERAGEIF(Table1264348[ [ Cycle size] ],I2,Table1264348[DiscountedCumulativeGain])</f>
        <v>1</v>
      </c>
      <c r="N2" s="18" t="s">
        <v>45</v>
      </c>
      <c r="O2" s="19">
        <f>CORREL(I2:I22, J2:J22)</f>
        <v>-0.7387123142517128</v>
      </c>
      <c r="P2" s="19">
        <f>CORREL(I2:I22, K2:K22)</f>
        <v>7.6033443732449343E-2</v>
      </c>
      <c r="Q2" s="20">
        <f>CORREL(I2:I22, L2:L22)</f>
        <v>-0.8569551968436695</v>
      </c>
    </row>
    <row r="3" spans="1:17" x14ac:dyDescent="0.45">
      <c r="A3" s="1">
        <v>5.0999999999999996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3</v>
      </c>
      <c r="J3" s="2">
        <f>AVERAGEIF(Table1264348[[ Cycle size]],I3,Table1264348[JaccardCoefficient])</f>
        <v>1</v>
      </c>
      <c r="K3" s="2">
        <f>AVERAGEIF(Table1264348[ [ Cycle size] ],I3,Table1264348[KendallTauCorrelation])</f>
        <v>1</v>
      </c>
      <c r="L3" s="2">
        <f>AVERAGEIF(Table1264348[ [ Cycle size] ],I3,Table1264348[DiscountedCumulativeGain])</f>
        <v>1</v>
      </c>
      <c r="N3" s="21" t="s">
        <v>44</v>
      </c>
      <c r="O3" s="22" t="s">
        <v>33</v>
      </c>
      <c r="P3" s="22" t="s">
        <v>29</v>
      </c>
      <c r="Q3" s="23" t="s">
        <v>34</v>
      </c>
    </row>
    <row r="4" spans="1:17" x14ac:dyDescent="0.45">
      <c r="A4" s="1">
        <v>10.1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4</v>
      </c>
      <c r="J4" s="2">
        <f>AVERAGEIF(Table1264348[[ Cycle size]],I4,Table1264348[JaccardCoefficient])</f>
        <v>1</v>
      </c>
      <c r="K4" s="2">
        <f>AVERAGEIF(Table1264348[ [ Cycle size] ],I4,Table1264348[KendallTauCorrelation])</f>
        <v>1</v>
      </c>
      <c r="L4" s="2">
        <f>AVERAGEIF(Table1264348[ [ Cycle size] ],I4,Table1264348[DiscountedCumulativeGain])</f>
        <v>1</v>
      </c>
      <c r="N4" s="24" t="s">
        <v>46</v>
      </c>
      <c r="O4" s="25">
        <f>CORREL(I2:I20, J2:J20)</f>
        <v>-0.66626268288222079</v>
      </c>
      <c r="P4" s="25">
        <f>CORREL(I2:I20, K2:K20)</f>
        <v>-7.6040969567188355E-3</v>
      </c>
      <c r="Q4" s="26">
        <f>CORREL(I2:I20, L2:L20)</f>
        <v>-0.75054705324224213</v>
      </c>
    </row>
    <row r="5" spans="1:17" x14ac:dyDescent="0.45">
      <c r="A5" s="1">
        <v>22.1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2">
        <v>5</v>
      </c>
      <c r="J5" s="2">
        <f>AVERAGEIF(Table1264348[[ Cycle size]],I5,Table1264348[JaccardCoefficient])</f>
        <v>1</v>
      </c>
      <c r="K5" s="2">
        <f>AVERAGEIF(Table1264348[ [ Cycle size] ],I5,Table1264348[KendallTauCorrelation])</f>
        <v>1</v>
      </c>
      <c r="L5" s="2">
        <f>AVERAGEIF(Table1264348[ [ Cycle size] ],I5,Table1264348[DiscountedCumulativeGain])</f>
        <v>1</v>
      </c>
      <c r="N5" s="27" t="s">
        <v>44</v>
      </c>
      <c r="O5" s="28" t="s">
        <v>33</v>
      </c>
      <c r="P5" s="28" t="s">
        <v>29</v>
      </c>
      <c r="Q5" s="29" t="s">
        <v>34</v>
      </c>
    </row>
    <row r="6" spans="1:17" x14ac:dyDescent="0.45">
      <c r="A6" s="1">
        <v>33.1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2">
        <v>6</v>
      </c>
      <c r="J6" s="2">
        <f>AVERAGEIF(Table1264348[[ Cycle size]],I6,Table1264348[JaccardCoefficient])</f>
        <v>0.72222222222222199</v>
      </c>
      <c r="K6" s="2">
        <f>AVERAGEIF(Table1264348[ [ Cycle size] ],I6,Table1264348[KendallTauCorrelation])</f>
        <v>0.86666666666666625</v>
      </c>
      <c r="L6" s="2">
        <f>AVERAGEIF(Table1264348[ [ Cycle size] ],I6,Table1264348[DiscountedCumulativeGain])</f>
        <v>0.93989293501860771</v>
      </c>
      <c r="N6" s="24" t="s">
        <v>47</v>
      </c>
      <c r="O6" s="25">
        <f>AVERAGEA(J2:J22)</f>
        <v>0.74133514516917864</v>
      </c>
      <c r="P6" s="25">
        <f t="shared" ref="P6:Q6" si="0">AVERAGEA(K2:K22)</f>
        <v>0.95246976243987636</v>
      </c>
      <c r="Q6" s="25">
        <f t="shared" si="0"/>
        <v>0.89348494429795622</v>
      </c>
    </row>
    <row r="7" spans="1:17" x14ac:dyDescent="0.45">
      <c r="A7" s="1">
        <v>39.1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7</v>
      </c>
      <c r="J7" s="2">
        <f>AVERAGEIF(Table1264348[[ Cycle size]],I7,Table1264348[JaccardCoefficient])</f>
        <v>0.67857142857142816</v>
      </c>
      <c r="K7" s="2">
        <f>AVERAGEIF(Table1264348[ [ Cycle size] ],I7,Table1264348[KendallTauCorrelation])</f>
        <v>0.83333333333333282</v>
      </c>
      <c r="L7" s="2">
        <f>AVERAGEIF(Table1264348[ [ Cycle size] ],I7,Table1264348[DiscountedCumulativeGain])</f>
        <v>0.95762431091121003</v>
      </c>
      <c r="N7" s="27" t="s">
        <v>44</v>
      </c>
      <c r="O7" s="28" t="s">
        <v>33</v>
      </c>
      <c r="P7" s="28" t="s">
        <v>29</v>
      </c>
      <c r="Q7" s="29" t="s">
        <v>34</v>
      </c>
    </row>
    <row r="8" spans="1:17" x14ac:dyDescent="0.45">
      <c r="A8" s="1">
        <v>26.1</v>
      </c>
      <c r="B8" s="1">
        <v>4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2">
        <v>8</v>
      </c>
      <c r="J8" s="2">
        <f>AVERAGEIF(Table1264348[[ Cycle size]],I8,Table1264348[JaccardCoefficient])</f>
        <v>0.91666666666666663</v>
      </c>
      <c r="K8" s="2">
        <f>AVERAGEIF(Table1264348[ [ Cycle size] ],I8,Table1264348[KendallTauCorrelation])</f>
        <v>0.97619047619047594</v>
      </c>
      <c r="L8" s="2">
        <f>AVERAGEIF(Table1264348[ [ Cycle size] ],I8,Table1264348[DiscountedCumulativeGain])</f>
        <v>0.97720456990228666</v>
      </c>
      <c r="N8" s="24" t="s">
        <v>48</v>
      </c>
      <c r="O8" s="25">
        <f>MEDIAN(J2:J22)</f>
        <v>0.71666666666666645</v>
      </c>
      <c r="P8" s="25">
        <f t="shared" ref="P8:Q8" si="1">MEDIAN(K2:K22)</f>
        <v>0.96</v>
      </c>
      <c r="Q8" s="25">
        <f t="shared" si="1"/>
        <v>0.92720598943441301</v>
      </c>
    </row>
    <row r="9" spans="1:17" x14ac:dyDescent="0.45">
      <c r="A9" s="1">
        <v>32.1</v>
      </c>
      <c r="B9" s="1">
        <v>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2">
        <v>9</v>
      </c>
      <c r="J9" s="2">
        <f>AVERAGEIF(Table1264348[[ Cycle size]],I9,Table1264348[JaccardCoefficient])</f>
        <v>0.66666666666666596</v>
      </c>
      <c r="K9" s="2">
        <f>AVERAGEIF(Table1264348[ [ Cycle size] ],I9,Table1264348[KendallTauCorrelation])</f>
        <v>0.91111111111111032</v>
      </c>
      <c r="L9" s="2">
        <f>AVERAGEIF(Table1264348[ [ Cycle size] ],I9,Table1264348[DiscountedCumulativeGain])</f>
        <v>0.93469940051731903</v>
      </c>
      <c r="N9" s="27" t="s">
        <v>44</v>
      </c>
      <c r="O9" s="28" t="s">
        <v>33</v>
      </c>
      <c r="P9" s="28" t="s">
        <v>29</v>
      </c>
      <c r="Q9" s="29" t="s">
        <v>34</v>
      </c>
    </row>
    <row r="10" spans="1:17" x14ac:dyDescent="0.45">
      <c r="A10" s="1">
        <v>50.1</v>
      </c>
      <c r="B10" s="1">
        <v>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I10" s="12">
        <v>10</v>
      </c>
      <c r="J10" s="2">
        <f>AVERAGEIF(Table1264348[[ Cycle size]],I10,Table1264348[JaccardCoefficient])</f>
        <v>0.73333333333333339</v>
      </c>
      <c r="K10" s="2">
        <f>AVERAGEIF(Table1264348[ [ Cycle size] ],I10,Table1264348[KendallTauCorrelation])</f>
        <v>0.94074074074074066</v>
      </c>
      <c r="L10" s="2">
        <f>AVERAGEIF(Table1264348[ [ Cycle size] ],I10,Table1264348[DiscountedCumulativeGain])</f>
        <v>0.91942463081157133</v>
      </c>
      <c r="N10" s="24" t="s">
        <v>49</v>
      </c>
      <c r="O10" s="25">
        <f>SUMPRODUCT($I$2:$I$22,J2:J22)/SUM($I$2:$I$22)</f>
        <v>0.60398745519713237</v>
      </c>
      <c r="P10" s="25">
        <f t="shared" ref="P10:Q10" si="2">SUMPRODUCT($I$2:$I$22,K2:K22)/SUM($I$2:$I$22)</f>
        <v>0.9558859608320911</v>
      </c>
      <c r="Q10" s="25">
        <f t="shared" si="2"/>
        <v>0.79697610855567047</v>
      </c>
    </row>
    <row r="11" spans="1:17" x14ac:dyDescent="0.45">
      <c r="A11" s="1">
        <v>23.1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2">
        <v>12</v>
      </c>
      <c r="J11" s="2">
        <f>AVERAGEIF(Table1264348[[ Cycle size]],I11,Table1264348[JaccardCoefficient])</f>
        <v>0.71666666666666645</v>
      </c>
      <c r="K11" s="2">
        <f>AVERAGEIF(Table1264348[ [ Cycle size] ],I11,Table1264348[KendallTauCorrelation])</f>
        <v>0.94545454545454499</v>
      </c>
      <c r="L11" s="2">
        <f>AVERAGEIF(Table1264348[ [ Cycle size] ],I11,Table1264348[DiscountedCumulativeGain])</f>
        <v>0.91462033741574156</v>
      </c>
      <c r="N11" s="24" t="s">
        <v>50</v>
      </c>
      <c r="O11" s="25">
        <f>SUMPRODUCT(I2:I20,J2:J20)/SUM(I2:I20)</f>
        <v>0.71356749311294743</v>
      </c>
      <c r="P11" s="25">
        <f>SUMPRODUCT(I2:I20,K2:K20)/SUM(I2:I20)</f>
        <v>0.95088397520176182</v>
      </c>
      <c r="Q11" s="25">
        <f>SUMPRODUCT(L2:L20,I2:I20)/SUM(I2:I20)</f>
        <v>0.88585429099746604</v>
      </c>
    </row>
    <row r="12" spans="1:17" x14ac:dyDescent="0.45">
      <c r="A12" s="1">
        <v>9.1</v>
      </c>
      <c r="B12" s="1">
        <v>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I12" s="12">
        <v>14</v>
      </c>
      <c r="J12" s="2">
        <f>AVERAGEIF(Table1264348[[ Cycle size]],I12,Table1264348[JaccardCoefficient])</f>
        <v>0.80952380952380931</v>
      </c>
      <c r="K12" s="2">
        <f>AVERAGEIF(Table1264348[ [ Cycle size] ],I12,Table1264348[KendallTauCorrelation])</f>
        <v>0.95604395604395587</v>
      </c>
      <c r="L12" s="2">
        <f>AVERAGEIF(Table1264348[ [ Cycle size] ],I12,Table1264348[DiscountedCumulativeGain])</f>
        <v>0.92720598943441301</v>
      </c>
    </row>
    <row r="13" spans="1:17" x14ac:dyDescent="0.45">
      <c r="A13" s="1">
        <v>27.1</v>
      </c>
      <c r="B13" s="1">
        <v>6</v>
      </c>
      <c r="C13" s="1">
        <v>0.5</v>
      </c>
      <c r="D13" s="1">
        <v>0.77777777777777701</v>
      </c>
      <c r="E13" s="1">
        <v>0.73333333333333295</v>
      </c>
      <c r="F13" s="1">
        <v>0.42857142857142799</v>
      </c>
      <c r="G13" s="1">
        <v>0.82672983131906697</v>
      </c>
      <c r="I13" s="12">
        <v>15</v>
      </c>
      <c r="J13" s="2">
        <f>AVERAGEIF(Table1264348[[ Cycle size]],I13,Table1264348[JaccardCoefficient])</f>
        <v>0.86666666666666603</v>
      </c>
      <c r="K13" s="2">
        <f>AVERAGEIF(Table1264348[ [ Cycle size] ],I13,Table1264348[KendallTauCorrelation])</f>
        <v>0.98095238095238002</v>
      </c>
      <c r="L13" s="2">
        <f>AVERAGEIF(Table1264348[ [ Cycle size] ],I13,Table1264348[DiscountedCumulativeGain])</f>
        <v>0.94934854370721</v>
      </c>
    </row>
    <row r="14" spans="1:17" x14ac:dyDescent="0.45">
      <c r="A14" s="1">
        <v>30.1</v>
      </c>
      <c r="B14" s="1">
        <v>6</v>
      </c>
      <c r="C14" s="1">
        <v>0.66666666666666596</v>
      </c>
      <c r="D14" s="1">
        <v>0.88888888888888795</v>
      </c>
      <c r="E14" s="1">
        <v>0.86666666666666603</v>
      </c>
      <c r="F14" s="1">
        <v>0.76190476190476097</v>
      </c>
      <c r="G14" s="1">
        <v>0.99294897373675595</v>
      </c>
      <c r="I14" s="12">
        <v>16</v>
      </c>
      <c r="J14" s="2">
        <f>AVERAGEIF(Table1264348[[ Cycle size]],I14,Table1264348[JaccardCoefficient])</f>
        <v>0.53125</v>
      </c>
      <c r="K14" s="2">
        <f>AVERAGEIF(Table1264348[ [ Cycle size] ],I14,Table1264348[KendallTauCorrelation])</f>
        <v>0.89999999999999947</v>
      </c>
      <c r="L14" s="2">
        <f>AVERAGEIF(Table1264348[ [ Cycle size] ],I14,Table1264348[DiscountedCumulativeGain])</f>
        <v>0.88816637329542703</v>
      </c>
    </row>
    <row r="15" spans="1:17" x14ac:dyDescent="0.45">
      <c r="A15" s="1">
        <v>1.1000000000000001</v>
      </c>
      <c r="B15" s="1">
        <v>7</v>
      </c>
      <c r="C15" s="1">
        <v>0.71428571428571397</v>
      </c>
      <c r="D15" s="1">
        <v>0.91666666666666596</v>
      </c>
      <c r="E15" s="1">
        <v>0.90476190476190399</v>
      </c>
      <c r="F15" s="1">
        <v>0.75</v>
      </c>
      <c r="G15" s="1">
        <v>0.99471173030256699</v>
      </c>
      <c r="I15" s="12">
        <v>17</v>
      </c>
      <c r="J15" s="2">
        <f>AVERAGEIF(Table1264348[[ Cycle size]],I15,Table1264348[JaccardCoefficient])</f>
        <v>0.67647058823529393</v>
      </c>
      <c r="K15" s="2">
        <f>AVERAGEIF(Table1264348[ [ Cycle size] ],I15,Table1264348[KendallTauCorrelation])</f>
        <v>0.94117647058823495</v>
      </c>
      <c r="L15" s="2">
        <f>AVERAGEIF(Table1264348[ [ Cycle size] ],I15,Table1264348[DiscountedCumulativeGain])</f>
        <v>0.87333737692619606</v>
      </c>
    </row>
    <row r="16" spans="1:17" x14ac:dyDescent="0.45">
      <c r="A16" s="1">
        <v>6.1</v>
      </c>
      <c r="B16" s="1">
        <v>7</v>
      </c>
      <c r="C16" s="1">
        <v>0.71428571428571397</v>
      </c>
      <c r="D16" s="1">
        <v>0.91666666666666596</v>
      </c>
      <c r="E16" s="1">
        <v>0.90476190476190399</v>
      </c>
      <c r="F16" s="1">
        <v>0.67857142857142805</v>
      </c>
      <c r="G16" s="1">
        <v>0.96353707729153404</v>
      </c>
      <c r="I16" s="12">
        <v>18</v>
      </c>
      <c r="J16" s="2">
        <f>AVERAGEIF(Table1264348[[ Cycle size]],I16,Table1264348[JaccardCoefficient])</f>
        <v>0.63888888888888851</v>
      </c>
      <c r="K16" s="2">
        <f>AVERAGEIF(Table1264348[ [ Cycle size] ],I16,Table1264348[KendallTauCorrelation])</f>
        <v>0.9542483660130715</v>
      </c>
      <c r="L16" s="2">
        <f>AVERAGEIF(Table1264348[ [ Cycle size] ],I16,Table1264348[DiscountedCumulativeGain])</f>
        <v>0.83469262984525394</v>
      </c>
    </row>
    <row r="17" spans="1:12" x14ac:dyDescent="0.45">
      <c r="A17" s="1">
        <v>8.1</v>
      </c>
      <c r="B17" s="1">
        <v>7</v>
      </c>
      <c r="C17" s="1">
        <v>0.57142857142857095</v>
      </c>
      <c r="D17" s="1">
        <v>0.75</v>
      </c>
      <c r="E17" s="1">
        <v>0.61904761904761896</v>
      </c>
      <c r="F17" s="1">
        <v>0.71428571428571397</v>
      </c>
      <c r="G17" s="1">
        <v>0.96067470677532396</v>
      </c>
      <c r="I17" s="12">
        <v>20</v>
      </c>
      <c r="J17" s="2">
        <f>AVERAGEIF(Table1264348[[ Cycle size]],I17,Table1264348[JaccardCoefficient])</f>
        <v>0.875</v>
      </c>
      <c r="K17" s="2">
        <f>AVERAGEIF(Table1264348[ [ Cycle size] ],I17,Table1264348[KendallTauCorrelation])</f>
        <v>0.98421052631578898</v>
      </c>
      <c r="L17" s="2">
        <f>AVERAGEIF(Table1264348[ [ Cycle size] ],I17,Table1264348[DiscountedCumulativeGain])</f>
        <v>0.9493160709899785</v>
      </c>
    </row>
    <row r="18" spans="1:12" x14ac:dyDescent="0.45">
      <c r="A18" s="1">
        <v>43.1</v>
      </c>
      <c r="B18" s="1">
        <v>7</v>
      </c>
      <c r="C18" s="1">
        <v>0.71428571428571397</v>
      </c>
      <c r="D18" s="1">
        <v>0.91666666666666596</v>
      </c>
      <c r="E18" s="1">
        <v>0.90476190476190399</v>
      </c>
      <c r="F18" s="1">
        <v>0.60714285714285698</v>
      </c>
      <c r="G18" s="1">
        <v>0.91157372927541502</v>
      </c>
      <c r="I18" s="12">
        <v>21</v>
      </c>
      <c r="J18" s="2">
        <f>AVERAGEIF(Table1264348[[ Cycle size]],I18,Table1264348[JaccardCoefficient])</f>
        <v>0.66666666666666596</v>
      </c>
      <c r="K18" s="2">
        <f>AVERAGEIF(Table1264348[ [ Cycle size] ],I18,Table1264348[KendallTauCorrelation])</f>
        <v>0.96190476190476104</v>
      </c>
      <c r="L18" s="2">
        <f>AVERAGEIF(Table1264348[ [ Cycle size] ],I18,Table1264348[DiscountedCumulativeGain])</f>
        <v>0.78196070894059699</v>
      </c>
    </row>
    <row r="19" spans="1:12" x14ac:dyDescent="0.45">
      <c r="A19" s="1">
        <v>4.0999999999999996</v>
      </c>
      <c r="B19" s="1">
        <v>8</v>
      </c>
      <c r="C19" s="1">
        <v>0.75</v>
      </c>
      <c r="D19" s="1">
        <v>0.9375</v>
      </c>
      <c r="E19" s="1">
        <v>0.92857142857142805</v>
      </c>
      <c r="F19" s="1">
        <v>0.86111111111111105</v>
      </c>
      <c r="G19" s="1">
        <v>0.93161370970685997</v>
      </c>
      <c r="I19" s="12">
        <v>25</v>
      </c>
      <c r="J19" s="2">
        <f>AVERAGEIF(Table1264348[[ Cycle size]],I19,Table1264348[JaccardCoefficient])</f>
        <v>0.6</v>
      </c>
      <c r="K19" s="2">
        <f>AVERAGEIF(Table1264348[ [ Cycle size] ],I19,Table1264348[KendallTauCorrelation])</f>
        <v>0.96</v>
      </c>
      <c r="L19" s="2">
        <f>AVERAGEIF(Table1264348[ [ Cycle size] ],I19,Table1264348[DiscountedCumulativeGain])</f>
        <v>0.71469640308924898</v>
      </c>
    </row>
    <row r="20" spans="1:12" x14ac:dyDescent="0.45">
      <c r="A20" s="1">
        <v>13.1</v>
      </c>
      <c r="B20" s="1">
        <v>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I20" s="12">
        <v>30</v>
      </c>
      <c r="J20" s="2">
        <f>AVERAGEIF(Table1264348[[ Cycle size]],I20,Table1264348[JaccardCoefficient])</f>
        <v>0.6</v>
      </c>
      <c r="K20" s="2">
        <f>AVERAGEIF(Table1264348[ [ Cycle size] ],I20,Table1264348[KendallTauCorrelation])</f>
        <v>0.958620689655172</v>
      </c>
      <c r="L20" s="2">
        <f>AVERAGEIF(Table1264348[ [ Cycle size] ],I20,Table1264348[DiscountedCumulativeGain])</f>
        <v>0.90188353345859695</v>
      </c>
    </row>
    <row r="21" spans="1:12" x14ac:dyDescent="0.45">
      <c r="A21" s="1">
        <v>29.1</v>
      </c>
      <c r="B21" s="1">
        <v>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I21" s="12">
        <v>40</v>
      </c>
      <c r="J21" s="2">
        <f>AVERAGEIF(Table1264348[[ Cycle size]],I21,Table1264348[JaccardCoefficient])</f>
        <v>0.52500000000000002</v>
      </c>
      <c r="K21" s="2">
        <f>AVERAGEIF(Table1264348[ [ Cycle size] ],I21,Table1264348[KendallTauCorrelation])</f>
        <v>0.96666666666666601</v>
      </c>
      <c r="L21" s="2">
        <f>AVERAGEIF(Table1264348[ [ Cycle size] ],I21,Table1264348[DiscountedCumulativeGain])</f>
        <v>0.69643054956171002</v>
      </c>
    </row>
    <row r="22" spans="1:12" x14ac:dyDescent="0.45">
      <c r="A22" s="1">
        <v>2.1</v>
      </c>
      <c r="B22" s="1">
        <v>9</v>
      </c>
      <c r="C22" s="1">
        <v>0.77777777777777701</v>
      </c>
      <c r="D22" s="1">
        <v>0.95</v>
      </c>
      <c r="E22" s="1">
        <v>0.94444444444444398</v>
      </c>
      <c r="F22" s="1">
        <v>0.88888888888888795</v>
      </c>
      <c r="G22" s="1">
        <v>0.91894506872036597</v>
      </c>
      <c r="I22" s="12">
        <v>90</v>
      </c>
      <c r="J22" s="2">
        <f>AVERAGEIF(Table1264348[[ Cycle size]],I22,Table1264348[JaccardCoefficient])</f>
        <v>0.344444444444444</v>
      </c>
      <c r="K22" s="2">
        <f>AVERAGEIF(Table1264348[ [ Cycle size] ],I22,Table1264348[KendallTauCorrelation])</f>
        <v>0.96454431960049902</v>
      </c>
      <c r="L22" s="2">
        <f>AVERAGEIF(Table1264348[ [ Cycle size] ],I22,Table1264348[DiscountedCumulativeGain])</f>
        <v>0.60267946643171399</v>
      </c>
    </row>
    <row r="23" spans="1:12" x14ac:dyDescent="0.45">
      <c r="A23" s="1">
        <v>11.1</v>
      </c>
      <c r="B23" s="1">
        <v>9</v>
      </c>
      <c r="C23" s="1">
        <v>0.77777777777777701</v>
      </c>
      <c r="D23" s="1">
        <v>0.95</v>
      </c>
      <c r="E23" s="1">
        <v>0.94444444444444398</v>
      </c>
      <c r="F23" s="1">
        <v>0.97777777777777697</v>
      </c>
      <c r="G23" s="1">
        <v>0.86492944988589404</v>
      </c>
      <c r="I23" s="1"/>
      <c r="J23" s="1"/>
    </row>
    <row r="24" spans="1:12" x14ac:dyDescent="0.45">
      <c r="A24" s="1">
        <v>17.100000000000001</v>
      </c>
      <c r="B24" s="1">
        <v>9</v>
      </c>
      <c r="C24" s="1">
        <v>0.55555555555555503</v>
      </c>
      <c r="D24" s="1">
        <v>0.9</v>
      </c>
      <c r="E24" s="1">
        <v>0.88888888888888795</v>
      </c>
      <c r="F24" s="1">
        <v>0.51111111111111096</v>
      </c>
      <c r="G24" s="1">
        <v>0.99385954917132902</v>
      </c>
      <c r="I24" s="1"/>
      <c r="J24" s="1"/>
    </row>
    <row r="25" spans="1:12" x14ac:dyDescent="0.45">
      <c r="A25" s="1">
        <v>21.1</v>
      </c>
      <c r="B25" s="1">
        <v>9</v>
      </c>
      <c r="C25" s="1">
        <v>0.55555555555555503</v>
      </c>
      <c r="D25" s="1">
        <v>0.9</v>
      </c>
      <c r="E25" s="1">
        <v>0.88888888888888795</v>
      </c>
      <c r="F25" s="1">
        <v>0.64444444444444404</v>
      </c>
      <c r="G25" s="1">
        <v>0.91565458979751901</v>
      </c>
      <c r="I25" s="1"/>
      <c r="J25" s="1"/>
    </row>
    <row r="26" spans="1:12" x14ac:dyDescent="0.45">
      <c r="A26" s="1">
        <v>40.1</v>
      </c>
      <c r="B26" s="1">
        <v>9</v>
      </c>
      <c r="C26" s="1">
        <v>0.66666666666666596</v>
      </c>
      <c r="D26" s="1">
        <v>0.9</v>
      </c>
      <c r="E26" s="1">
        <v>0.88888888888888795</v>
      </c>
      <c r="F26" s="1">
        <v>0.6</v>
      </c>
      <c r="G26" s="1">
        <v>0.98010834501148703</v>
      </c>
    </row>
    <row r="27" spans="1:12" x14ac:dyDescent="0.45">
      <c r="A27" s="1">
        <v>37.1</v>
      </c>
      <c r="B27" s="1">
        <v>10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</row>
    <row r="28" spans="1:12" x14ac:dyDescent="0.45">
      <c r="A28" s="1">
        <v>38.1</v>
      </c>
      <c r="B28" s="1">
        <v>10</v>
      </c>
      <c r="C28" s="1">
        <v>0.6</v>
      </c>
      <c r="D28" s="1">
        <v>0.92</v>
      </c>
      <c r="E28" s="1">
        <v>0.91111111111111098</v>
      </c>
      <c r="F28" s="1">
        <v>0.85454545454545405</v>
      </c>
      <c r="G28" s="1">
        <v>0.80059869295762798</v>
      </c>
    </row>
    <row r="29" spans="1:12" x14ac:dyDescent="0.45">
      <c r="A29" s="1">
        <v>42.1</v>
      </c>
      <c r="B29" s="1">
        <v>10</v>
      </c>
      <c r="C29" s="1">
        <v>0.6</v>
      </c>
      <c r="D29" s="1">
        <v>0.92</v>
      </c>
      <c r="E29" s="1">
        <v>0.91111111111111098</v>
      </c>
      <c r="F29" s="1">
        <v>0.45454545454545398</v>
      </c>
      <c r="G29" s="1">
        <v>0.95767519947708601</v>
      </c>
    </row>
    <row r="30" spans="1:12" x14ac:dyDescent="0.45">
      <c r="A30" s="1">
        <v>3.1</v>
      </c>
      <c r="B30" s="1">
        <v>12</v>
      </c>
      <c r="C30" s="1">
        <v>0.41666666666666602</v>
      </c>
      <c r="D30" s="1">
        <v>0.88888888888888795</v>
      </c>
      <c r="E30" s="1">
        <v>0.87878787878787801</v>
      </c>
      <c r="F30" s="1">
        <v>0.53846153846153799</v>
      </c>
      <c r="G30" s="1">
        <v>0.82657936320945202</v>
      </c>
    </row>
    <row r="31" spans="1:12" x14ac:dyDescent="0.45">
      <c r="A31" s="1">
        <v>12.1</v>
      </c>
      <c r="B31" s="1">
        <v>12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</row>
    <row r="32" spans="1:12" x14ac:dyDescent="0.45">
      <c r="A32" s="1">
        <v>15.1</v>
      </c>
      <c r="B32" s="1">
        <v>12</v>
      </c>
      <c r="C32" s="1">
        <v>0.5</v>
      </c>
      <c r="D32" s="1">
        <v>0.91666666666666596</v>
      </c>
      <c r="E32" s="1">
        <v>0.90909090909090895</v>
      </c>
      <c r="F32" s="1">
        <v>0.65384615384615297</v>
      </c>
      <c r="G32" s="1">
        <v>0.80964813029369398</v>
      </c>
    </row>
    <row r="33" spans="1:7" x14ac:dyDescent="0.45">
      <c r="A33" s="1">
        <v>41.1</v>
      </c>
      <c r="B33" s="1">
        <v>12</v>
      </c>
      <c r="C33" s="1">
        <v>0.83333333333333304</v>
      </c>
      <c r="D33" s="1">
        <v>0.97222222222222199</v>
      </c>
      <c r="E33" s="1">
        <v>0.96969696969696895</v>
      </c>
      <c r="F33" s="1">
        <v>0.83333333333333304</v>
      </c>
      <c r="G33" s="1">
        <v>0.968437096787781</v>
      </c>
    </row>
    <row r="34" spans="1:7" x14ac:dyDescent="0.45">
      <c r="A34" s="1">
        <v>47.1</v>
      </c>
      <c r="B34" s="1">
        <v>12</v>
      </c>
      <c r="C34" s="1">
        <v>0.83333333333333304</v>
      </c>
      <c r="D34" s="1">
        <v>0.97222222222222199</v>
      </c>
      <c r="E34" s="1">
        <v>0.96969696969696895</v>
      </c>
      <c r="F34" s="1">
        <v>0.83333333333333304</v>
      </c>
      <c r="G34" s="1">
        <v>0.968437096787781</v>
      </c>
    </row>
    <row r="35" spans="1:7" x14ac:dyDescent="0.45">
      <c r="A35" s="1">
        <v>25.1</v>
      </c>
      <c r="B35" s="1">
        <v>14</v>
      </c>
      <c r="C35" s="1">
        <v>0.57142857142857095</v>
      </c>
      <c r="D35" s="1">
        <v>0.93877551020408101</v>
      </c>
      <c r="E35" s="1">
        <v>0.93406593406593397</v>
      </c>
      <c r="F35" s="1">
        <v>0.628571428571428</v>
      </c>
      <c r="G35" s="1">
        <v>0.85669084259336103</v>
      </c>
    </row>
    <row r="36" spans="1:7" x14ac:dyDescent="0.45">
      <c r="A36" s="1">
        <v>28.1</v>
      </c>
      <c r="B36" s="1">
        <v>14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</row>
    <row r="37" spans="1:7" x14ac:dyDescent="0.45">
      <c r="A37" s="1">
        <v>49.1</v>
      </c>
      <c r="B37" s="1">
        <v>14</v>
      </c>
      <c r="C37" s="1">
        <v>0.85714285714285698</v>
      </c>
      <c r="D37" s="1">
        <v>0.95918367346938704</v>
      </c>
      <c r="E37" s="1">
        <v>0.93406593406593397</v>
      </c>
      <c r="F37" s="1">
        <v>0.92380952380952297</v>
      </c>
      <c r="G37" s="1">
        <v>0.92492712570987801</v>
      </c>
    </row>
    <row r="38" spans="1:7" x14ac:dyDescent="0.45">
      <c r="A38" s="1">
        <v>46.1</v>
      </c>
      <c r="B38" s="1">
        <v>15</v>
      </c>
      <c r="C38" s="1">
        <v>0.86666666666666603</v>
      </c>
      <c r="D38" s="1">
        <v>0.98214285714285698</v>
      </c>
      <c r="E38" s="1">
        <v>0.98095238095238002</v>
      </c>
      <c r="F38" s="1">
        <v>0.89166666666666605</v>
      </c>
      <c r="G38" s="1">
        <v>0.94934854370721</v>
      </c>
    </row>
    <row r="39" spans="1:7" x14ac:dyDescent="0.45">
      <c r="A39" s="1">
        <v>7.1</v>
      </c>
      <c r="B39" s="1">
        <v>16</v>
      </c>
      <c r="C39" s="1">
        <v>0.625</v>
      </c>
      <c r="D39" s="1">
        <v>0.9375</v>
      </c>
      <c r="E39" s="1">
        <v>0.91666666666666596</v>
      </c>
      <c r="F39" s="1">
        <v>0.61764705882352899</v>
      </c>
      <c r="G39" s="1">
        <v>0.90664262190304901</v>
      </c>
    </row>
    <row r="40" spans="1:7" x14ac:dyDescent="0.45">
      <c r="A40" s="1">
        <v>34.1</v>
      </c>
      <c r="B40" s="1">
        <v>16</v>
      </c>
      <c r="C40" s="1">
        <v>0.4375</v>
      </c>
      <c r="D40" s="1">
        <v>0.90625</v>
      </c>
      <c r="E40" s="1">
        <v>0.88333333333333297</v>
      </c>
      <c r="F40" s="1">
        <v>0.39705882352941102</v>
      </c>
      <c r="G40" s="1">
        <v>0.86969012468780504</v>
      </c>
    </row>
    <row r="41" spans="1:7" x14ac:dyDescent="0.45">
      <c r="A41" s="1">
        <v>14.1</v>
      </c>
      <c r="B41" s="1">
        <v>17</v>
      </c>
      <c r="C41" s="1">
        <v>0.58823529411764697</v>
      </c>
      <c r="D41" s="1">
        <v>0.94444444444444398</v>
      </c>
      <c r="E41" s="1">
        <v>0.94117647058823495</v>
      </c>
      <c r="F41" s="1">
        <v>0.66013071895424802</v>
      </c>
      <c r="G41" s="1">
        <v>0.82954062337234102</v>
      </c>
    </row>
    <row r="42" spans="1:7" x14ac:dyDescent="0.45">
      <c r="A42" s="1">
        <v>36.1</v>
      </c>
      <c r="B42" s="1">
        <v>17</v>
      </c>
      <c r="C42" s="1">
        <v>0.76470588235294101</v>
      </c>
      <c r="D42" s="1">
        <v>0.95833333333333304</v>
      </c>
      <c r="E42" s="1">
        <v>0.94117647058823495</v>
      </c>
      <c r="F42" s="1">
        <v>0.78431372549019596</v>
      </c>
      <c r="G42" s="1">
        <v>0.91713413048005099</v>
      </c>
    </row>
    <row r="43" spans="1:7" x14ac:dyDescent="0.45">
      <c r="A43" s="1">
        <v>45.1</v>
      </c>
      <c r="B43" s="1">
        <v>18</v>
      </c>
      <c r="C43" s="1">
        <v>0.66666666666666596</v>
      </c>
      <c r="D43" s="1">
        <v>0.96296296296296302</v>
      </c>
      <c r="E43" s="1">
        <v>0.96078431372549</v>
      </c>
      <c r="F43" s="1">
        <v>0.71345029239766</v>
      </c>
      <c r="G43" s="1">
        <v>0.86254053451695201</v>
      </c>
    </row>
    <row r="44" spans="1:7" x14ac:dyDescent="0.45">
      <c r="A44" s="1">
        <v>48.1</v>
      </c>
      <c r="B44" s="1">
        <v>18</v>
      </c>
      <c r="C44" s="1">
        <v>0.61111111111111105</v>
      </c>
      <c r="D44" s="1">
        <v>0.95061728395061695</v>
      </c>
      <c r="E44" s="1">
        <v>0.947712418300653</v>
      </c>
      <c r="F44" s="1">
        <v>0.71929824561403499</v>
      </c>
      <c r="G44" s="1">
        <v>0.80684472517355599</v>
      </c>
    </row>
    <row r="45" spans="1:7" x14ac:dyDescent="0.45">
      <c r="A45" s="1">
        <v>18.100000000000001</v>
      </c>
      <c r="B45" s="1">
        <v>20</v>
      </c>
      <c r="C45" s="1">
        <v>0.9</v>
      </c>
      <c r="D45" s="1">
        <v>0.99</v>
      </c>
      <c r="E45" s="1">
        <v>0.98947368421052595</v>
      </c>
      <c r="F45" s="1">
        <v>0.871428571428571</v>
      </c>
      <c r="G45" s="1">
        <v>0.98263108615436401</v>
      </c>
    </row>
    <row r="46" spans="1:7" x14ac:dyDescent="0.45">
      <c r="A46" s="1">
        <v>35.1</v>
      </c>
      <c r="B46" s="1">
        <v>20</v>
      </c>
      <c r="C46" s="1">
        <v>0.85</v>
      </c>
      <c r="D46" s="1">
        <v>0.98</v>
      </c>
      <c r="E46" s="1">
        <v>0.97894736842105201</v>
      </c>
      <c r="F46" s="1">
        <v>0.9</v>
      </c>
      <c r="G46" s="1">
        <v>0.91600105582559299</v>
      </c>
    </row>
    <row r="47" spans="1:7" x14ac:dyDescent="0.45">
      <c r="A47" s="1">
        <v>24.1</v>
      </c>
      <c r="B47" s="1">
        <v>21</v>
      </c>
      <c r="C47" s="1">
        <v>0.66666666666666596</v>
      </c>
      <c r="D47" s="1">
        <v>0.96363636363636296</v>
      </c>
      <c r="E47" s="1">
        <v>0.96190476190476104</v>
      </c>
      <c r="F47" s="1">
        <v>0.81818181818181801</v>
      </c>
      <c r="G47" s="1">
        <v>0.78196070894059699</v>
      </c>
    </row>
    <row r="48" spans="1:7" x14ac:dyDescent="0.45">
      <c r="A48" s="1">
        <v>44.1</v>
      </c>
      <c r="B48" s="1">
        <v>25</v>
      </c>
      <c r="C48" s="1">
        <v>0.6</v>
      </c>
      <c r="D48" s="1">
        <v>0.96153846153846101</v>
      </c>
      <c r="E48" s="1">
        <v>0.96</v>
      </c>
      <c r="F48" s="1">
        <v>0.78769230769230703</v>
      </c>
      <c r="G48" s="1">
        <v>0.71469640308924898</v>
      </c>
    </row>
    <row r="49" spans="1:7" x14ac:dyDescent="0.45">
      <c r="A49" s="1">
        <v>31.1</v>
      </c>
      <c r="B49" s="1">
        <v>30</v>
      </c>
      <c r="C49" s="1">
        <v>0.6</v>
      </c>
      <c r="D49" s="1">
        <v>0.96444444444444399</v>
      </c>
      <c r="E49" s="1">
        <v>0.958620689655172</v>
      </c>
      <c r="F49" s="1">
        <v>0.47096774193548302</v>
      </c>
      <c r="G49" s="1">
        <v>0.90188353345859695</v>
      </c>
    </row>
    <row r="50" spans="1:7" x14ac:dyDescent="0.45">
      <c r="A50" s="1">
        <v>16.100000000000001</v>
      </c>
      <c r="B50" s="1">
        <v>40</v>
      </c>
      <c r="C50" s="1">
        <v>0.52500000000000002</v>
      </c>
      <c r="D50" s="1">
        <v>0.97</v>
      </c>
      <c r="E50" s="1">
        <v>0.96666666666666601</v>
      </c>
      <c r="F50" s="1">
        <v>0.62073170731707294</v>
      </c>
      <c r="G50" s="1">
        <v>0.69643054956171002</v>
      </c>
    </row>
    <row r="51" spans="1:7" x14ac:dyDescent="0.45">
      <c r="A51" s="1">
        <v>19.100000000000001</v>
      </c>
      <c r="B51" s="1">
        <v>90</v>
      </c>
      <c r="C51" s="1">
        <v>0.344444444444444</v>
      </c>
      <c r="D51" s="1">
        <v>0.97135802469135801</v>
      </c>
      <c r="E51" s="1">
        <v>0.96454431960049902</v>
      </c>
      <c r="F51" s="1">
        <v>0.334798534798534</v>
      </c>
      <c r="G51" s="1">
        <v>0.60267946643171399</v>
      </c>
    </row>
    <row r="52" spans="1:7" x14ac:dyDescent="0.45">
      <c r="A52" s="1" t="s">
        <v>32</v>
      </c>
      <c r="C52" s="1">
        <f>SUBTOTAL(101,Table1264348[JaccardCoefficient])</f>
        <v>0.76444374416433225</v>
      </c>
      <c r="D52" s="1">
        <f>SUBTOTAL(101,Table1264348[MismatchDistanceCoefficient])</f>
        <v>0.9527070805296991</v>
      </c>
      <c r="E52" s="1">
        <f>SUBTOTAL(101,Table1264348[KendallTauCorrelation])</f>
        <v>0.9437409335940159</v>
      </c>
      <c r="F52" s="1">
        <f>SUBTOTAL(101,Table1264348[MismatchPositionCoefficient])</f>
        <v>0.79463243914170545</v>
      </c>
      <c r="G52" s="1">
        <f>SUBTOTAL(101,Table1264348[DiscountedCumulativeGain])</f>
        <v>0.92212608832227128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B344-F6CB-4BC3-B5DF-F503366E9B54}">
  <dimension ref="A1:F19"/>
  <sheetViews>
    <sheetView workbookViewId="0">
      <selection activeCell="P15" sqref="P15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4" x14ac:dyDescent="0.45">
      <c r="A1" s="6" t="s">
        <v>9</v>
      </c>
      <c r="B1" s="6" t="s">
        <v>10</v>
      </c>
      <c r="C1" s="6" t="s">
        <v>11</v>
      </c>
      <c r="D1" s="6" t="s">
        <v>12</v>
      </c>
    </row>
    <row r="2" spans="1:4" x14ac:dyDescent="0.45">
      <c r="A2" s="5" t="s">
        <v>5</v>
      </c>
      <c r="B2" s="7">
        <f>Linear!E17</f>
        <v>0.80952380952380898</v>
      </c>
      <c r="C2" s="7">
        <f>Linear!E18</f>
        <v>1</v>
      </c>
      <c r="D2" s="7">
        <f>Linear!E19</f>
        <v>1</v>
      </c>
    </row>
    <row r="3" spans="1:4" x14ac:dyDescent="0.45">
      <c r="A3" s="5" t="s">
        <v>6</v>
      </c>
      <c r="B3" s="8" t="e">
        <f>Saturating!#REF!</f>
        <v>#REF!</v>
      </c>
      <c r="C3" s="8" t="e">
        <f>Saturating!#REF!</f>
        <v>#REF!</v>
      </c>
      <c r="D3" s="8" t="e">
        <f>Saturating!#REF!</f>
        <v>#REF!</v>
      </c>
    </row>
    <row r="4" spans="1:4" x14ac:dyDescent="0.45">
      <c r="A4" s="5" t="s">
        <v>7</v>
      </c>
      <c r="B4" s="8" t="e">
        <f>#REF!</f>
        <v>#REF!</v>
      </c>
      <c r="C4" s="9" t="e">
        <f>#REF!</f>
        <v>#REF!</v>
      </c>
      <c r="D4" s="8" t="e">
        <f>#REF!</f>
        <v>#REF!</v>
      </c>
    </row>
    <row r="5" spans="1:4" x14ac:dyDescent="0.45">
      <c r="A5" s="5" t="s">
        <v>8</v>
      </c>
      <c r="B5" s="8" t="e">
        <f>#REF!</f>
        <v>#REF!</v>
      </c>
      <c r="C5" s="8" t="e">
        <f>#REF!</f>
        <v>#REF!</v>
      </c>
      <c r="D5" s="8" t="e">
        <f>#REF!</f>
        <v>#REF!</v>
      </c>
    </row>
    <row r="18" spans="6:6" x14ac:dyDescent="0.45">
      <c r="F18" s="1" t="s">
        <v>25</v>
      </c>
    </row>
    <row r="19" spans="6:6" x14ac:dyDescent="0.45">
      <c r="F19" s="1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79E7-4060-4C22-B02D-7C9B0A376AAA}">
  <dimension ref="A1:P23"/>
  <sheetViews>
    <sheetView topLeftCell="A6" workbookViewId="0">
      <selection activeCell="E11" sqref="E11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16" x14ac:dyDescent="0.45">
      <c r="A1" s="6" t="s">
        <v>9</v>
      </c>
      <c r="B1" s="6" t="s">
        <v>10</v>
      </c>
      <c r="C1" s="6" t="s">
        <v>11</v>
      </c>
      <c r="D1" s="6" t="s">
        <v>12</v>
      </c>
      <c r="F1" s="1" t="s">
        <v>27</v>
      </c>
      <c r="G1" s="1" t="s">
        <v>28</v>
      </c>
      <c r="H1" s="1" t="s">
        <v>29</v>
      </c>
      <c r="J1" s="1" t="s">
        <v>27</v>
      </c>
      <c r="K1" s="1" t="s">
        <v>28</v>
      </c>
      <c r="L1" s="1" t="s">
        <v>29</v>
      </c>
      <c r="N1" s="1" t="s">
        <v>27</v>
      </c>
      <c r="O1" s="1" t="s">
        <v>28</v>
      </c>
      <c r="P1" s="1" t="s">
        <v>29</v>
      </c>
    </row>
    <row r="2" spans="1:16" x14ac:dyDescent="0.45">
      <c r="A2" s="5" t="s">
        <v>5</v>
      </c>
      <c r="B2" s="7">
        <f>Linear!E12</f>
        <v>0.73333333333333295</v>
      </c>
      <c r="C2" s="7">
        <f>Linear!E13</f>
        <v>1</v>
      </c>
      <c r="D2" s="7">
        <f>Linear!E14</f>
        <v>1</v>
      </c>
      <c r="F2" s="1" t="str">
        <f>Table91120[[#This Row],[Model]]</f>
        <v>Linear</v>
      </c>
      <c r="G2" s="1">
        <f>Table91120[[#This Row],[5]]</f>
        <v>0.73333333333333295</v>
      </c>
      <c r="H2" s="1">
        <f>B8</f>
        <v>0.98000000000000009</v>
      </c>
      <c r="J2" s="1" t="str">
        <f>Table91120[[#This Row],[Model]]</f>
        <v>Linear</v>
      </c>
      <c r="K2" s="1">
        <f>Table91120[[#This Row],[25]]</f>
        <v>1</v>
      </c>
      <c r="L2" s="1">
        <f>C8</f>
        <v>0.97933333333333294</v>
      </c>
      <c r="N2" s="1" t="str">
        <f>Table91120[[#This Row],[Model]]</f>
        <v>Linear</v>
      </c>
      <c r="O2" s="1">
        <f>Table91120[[#This Row],[50]]</f>
        <v>1</v>
      </c>
      <c r="P2" s="1">
        <f>D8</f>
        <v>0.97551020408163236</v>
      </c>
    </row>
    <row r="3" spans="1:16" x14ac:dyDescent="0.45">
      <c r="A3" s="5" t="s">
        <v>6</v>
      </c>
      <c r="B3" s="8" t="e">
        <f>Saturating!#REF!</f>
        <v>#REF!</v>
      </c>
      <c r="C3" s="8" t="e">
        <f>Saturating!#REF!</f>
        <v>#REF!</v>
      </c>
      <c r="D3" s="8" t="e">
        <f>Saturating!#REF!</f>
        <v>#REF!</v>
      </c>
      <c r="F3" s="1" t="str">
        <f>Table91120[[#This Row],[Model]]</f>
        <v>Saturating</v>
      </c>
      <c r="G3" s="1" t="e">
        <f>Table91120[[#This Row],[5]]</f>
        <v>#REF!</v>
      </c>
      <c r="H3" s="1">
        <f t="shared" ref="H3:H5" si="0">B9</f>
        <v>0.96</v>
      </c>
      <c r="J3" s="1" t="str">
        <f>Table91120[[#This Row],[Model]]</f>
        <v>Saturating</v>
      </c>
      <c r="K3" s="1" t="e">
        <f>Table91120[[#This Row],[25]]</f>
        <v>#REF!</v>
      </c>
      <c r="L3" s="1">
        <f t="shared" ref="L3:L5" si="1">C9</f>
        <v>0.98066666666666646</v>
      </c>
      <c r="N3" s="1" t="str">
        <f>Table91120[[#This Row],[Model]]</f>
        <v>Saturating</v>
      </c>
      <c r="O3" s="1" t="e">
        <f>Table91120[[#This Row],[50]]</f>
        <v>#REF!</v>
      </c>
      <c r="P3" s="1">
        <f t="shared" ref="P3:P5" si="2">D9</f>
        <v>0.9756734693877549</v>
      </c>
    </row>
    <row r="4" spans="1:16" x14ac:dyDescent="0.45">
      <c r="A4" s="5" t="s">
        <v>7</v>
      </c>
      <c r="B4" s="8" t="e">
        <f>#REF!</f>
        <v>#REF!</v>
      </c>
      <c r="C4" s="9" t="e">
        <f>#REF!</f>
        <v>#REF!</v>
      </c>
      <c r="D4" s="8" t="e">
        <f>#REF!</f>
        <v>#REF!</v>
      </c>
      <c r="F4" s="1" t="str">
        <f>Table91120[[#This Row],[Model]]</f>
        <v>Discontinuous</v>
      </c>
      <c r="G4" s="1" t="e">
        <f>Table91120[[#This Row],[5]]</f>
        <v>#REF!</v>
      </c>
      <c r="H4" s="1">
        <f t="shared" si="0"/>
        <v>0.98000000000000009</v>
      </c>
      <c r="J4" s="1" t="str">
        <f>Table91120[[#This Row],[Model]]</f>
        <v>Discontinuous</v>
      </c>
      <c r="K4" s="1" t="e">
        <f>Table91120[[#This Row],[25]]</f>
        <v>#REF!</v>
      </c>
      <c r="L4" s="1">
        <f t="shared" si="1"/>
        <v>0.97533333333333316</v>
      </c>
      <c r="N4" s="1" t="str">
        <f>Table91120[[#This Row],[Model]]</f>
        <v>Discontinuous</v>
      </c>
      <c r="O4" s="1" t="e">
        <f>Table91120[[#This Row],[50]]</f>
        <v>#REF!</v>
      </c>
      <c r="P4" s="1">
        <f t="shared" si="2"/>
        <v>0.98302040816326475</v>
      </c>
    </row>
    <row r="5" spans="1:16" x14ac:dyDescent="0.45">
      <c r="A5" s="5" t="s">
        <v>8</v>
      </c>
      <c r="B5" s="8" t="e">
        <f>#REF!</f>
        <v>#REF!</v>
      </c>
      <c r="C5" s="8" t="e">
        <f>#REF!</f>
        <v>#REF!</v>
      </c>
      <c r="D5" s="8" t="e">
        <f>#REF!</f>
        <v>#REF!</v>
      </c>
      <c r="F5" s="1" t="str">
        <f>Table91120[[#This Row],[Model]]</f>
        <v>Combined</v>
      </c>
      <c r="G5" s="1" t="e">
        <f>Table91120[[#This Row],[5]]</f>
        <v>#REF!</v>
      </c>
      <c r="H5" s="1">
        <f t="shared" si="0"/>
        <v>0.93333333333333335</v>
      </c>
      <c r="J5" s="1" t="str">
        <f>Table91120[[#This Row],[Model]]</f>
        <v>Combined</v>
      </c>
      <c r="K5" s="1" t="e">
        <f>Table91120[[#This Row],[25]]</f>
        <v>#REF!</v>
      </c>
      <c r="L5" s="1">
        <f t="shared" si="1"/>
        <v>0.96466666666666612</v>
      </c>
      <c r="N5" s="1" t="str">
        <f>Table91120[[#This Row],[Model]]</f>
        <v>Combined</v>
      </c>
      <c r="O5" s="1" t="e">
        <f>Table91120[[#This Row],[50]]</f>
        <v>#REF!</v>
      </c>
      <c r="P5" s="1">
        <f t="shared" si="2"/>
        <v>0.96767346938775467</v>
      </c>
    </row>
    <row r="7" spans="1:16" x14ac:dyDescent="0.45">
      <c r="A7" s="1" t="s">
        <v>9</v>
      </c>
      <c r="B7" s="1" t="s">
        <v>10</v>
      </c>
      <c r="C7" s="1" t="s">
        <v>11</v>
      </c>
      <c r="D7" s="1" t="s">
        <v>12</v>
      </c>
    </row>
    <row r="8" spans="1:16" x14ac:dyDescent="0.45">
      <c r="A8" s="1" t="s">
        <v>5</v>
      </c>
      <c r="B8" s="2">
        <v>0.98000000000000009</v>
      </c>
      <c r="C8" s="2">
        <v>0.97933333333333294</v>
      </c>
      <c r="D8" s="2">
        <v>0.97551020408163236</v>
      </c>
    </row>
    <row r="9" spans="1:16" x14ac:dyDescent="0.45">
      <c r="A9" s="1" t="s">
        <v>6</v>
      </c>
      <c r="B9" s="2">
        <v>0.96</v>
      </c>
      <c r="C9" s="2">
        <v>0.98066666666666646</v>
      </c>
      <c r="D9" s="2">
        <v>0.9756734693877549</v>
      </c>
    </row>
    <row r="10" spans="1:16" x14ac:dyDescent="0.45">
      <c r="A10" s="1" t="s">
        <v>7</v>
      </c>
      <c r="B10" s="2">
        <v>0.98000000000000009</v>
      </c>
      <c r="C10" s="2">
        <v>0.97533333333333316</v>
      </c>
      <c r="D10" s="2">
        <v>0.98302040816326475</v>
      </c>
    </row>
    <row r="11" spans="1:16" x14ac:dyDescent="0.45">
      <c r="A11" s="1" t="s">
        <v>8</v>
      </c>
      <c r="B11" s="2">
        <v>0.93333333333333335</v>
      </c>
      <c r="C11" s="2">
        <v>0.96466666666666612</v>
      </c>
      <c r="D11" s="2">
        <v>0.96767346938775467</v>
      </c>
    </row>
    <row r="18" spans="6:6" x14ac:dyDescent="0.45">
      <c r="F18" s="1" t="s">
        <v>17</v>
      </c>
    </row>
    <row r="19" spans="6:6" x14ac:dyDescent="0.45">
      <c r="F19" s="1" t="s">
        <v>18</v>
      </c>
    </row>
    <row r="20" spans="6:6" x14ac:dyDescent="0.45">
      <c r="F20" s="1" t="s">
        <v>19</v>
      </c>
    </row>
    <row r="21" spans="6:6" x14ac:dyDescent="0.45">
      <c r="F21" s="1" t="s">
        <v>20</v>
      </c>
    </row>
    <row r="22" spans="6:6" x14ac:dyDescent="0.45">
      <c r="F22" s="1" t="s">
        <v>21</v>
      </c>
    </row>
    <row r="23" spans="6:6" x14ac:dyDescent="0.45">
      <c r="F23" s="1" t="s">
        <v>22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36F8-A377-477D-A967-CD096EDB59F9}">
  <dimension ref="A1:Q52"/>
  <sheetViews>
    <sheetView topLeftCell="D1" zoomScale="80" zoomScaleNormal="80" workbookViewId="0">
      <selection activeCell="N1" sqref="N1:Q11"/>
    </sheetView>
  </sheetViews>
  <sheetFormatPr defaultColWidth="8.73046875"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6" width="18.33203125" style="1" customWidth="1"/>
    <col min="7" max="8" width="8.73046875" style="1"/>
    <col min="9" max="9" width="12.9296875" style="11" customWidth="1"/>
    <col min="10" max="10" width="13.06640625" style="11" customWidth="1"/>
    <col min="11" max="11" width="10.33203125" style="1" customWidth="1"/>
    <col min="12" max="12" width="8.73046875" style="1"/>
    <col min="13" max="13" width="10.59765625" style="1" customWidth="1"/>
    <col min="14" max="14" width="30.796875" style="1" customWidth="1"/>
    <col min="15" max="16384" width="8.73046875" style="1"/>
  </cols>
  <sheetData>
    <row r="1" spans="1:17" x14ac:dyDescent="0.4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s="1" t="s">
        <v>4</v>
      </c>
      <c r="J1" s="1" t="s">
        <v>33</v>
      </c>
      <c r="K1" s="1" t="s">
        <v>29</v>
      </c>
      <c r="L1" s="1" t="s">
        <v>34</v>
      </c>
      <c r="N1" s="15" t="s">
        <v>44</v>
      </c>
      <c r="O1" s="16" t="s">
        <v>33</v>
      </c>
      <c r="P1" s="16" t="s">
        <v>29</v>
      </c>
      <c r="Q1" s="17" t="s">
        <v>34</v>
      </c>
    </row>
    <row r="2" spans="1:17" x14ac:dyDescent="0.45">
      <c r="A2" s="1">
        <v>20.399999999999999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AVERAGEIF(Table12643[[ Cycle size]],I2,Table12643[JaccardCoefficient])</f>
        <v>1</v>
      </c>
      <c r="K2" s="2">
        <f>AVERAGEIF(Table12643[ [ Cycle size] ],I2,Table12643[KendallTauCorrelation])</f>
        <v>1</v>
      </c>
      <c r="L2" s="2">
        <f>AVERAGEIF(Table12643[ [ Cycle size] ],I2,Table12643[DiscountedCumulativeGain])</f>
        <v>1</v>
      </c>
      <c r="N2" s="18" t="s">
        <v>45</v>
      </c>
      <c r="O2" s="19">
        <f>CORREL(I2:I22, J2:J22)</f>
        <v>-0.80095082363904357</v>
      </c>
      <c r="P2" s="19">
        <f>CORREL(I2:I22, K2:K22)</f>
        <v>0.15981874291995243</v>
      </c>
      <c r="Q2" s="20">
        <f>CORREL(I2:I22, L2:L22)</f>
        <v>-0.8793866776678575</v>
      </c>
    </row>
    <row r="3" spans="1:17" x14ac:dyDescent="0.45">
      <c r="A3" s="1">
        <v>5.4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3</v>
      </c>
      <c r="J3" s="2">
        <f>AVERAGEIF(Table12643[[ Cycle size]],I3,Table12643[JaccardCoefficient])</f>
        <v>0.86666666666666659</v>
      </c>
      <c r="K3" s="2">
        <f>AVERAGEIF(Table12643[ [ Cycle size] ],I3,Table12643[KendallTauCorrelation])</f>
        <v>0.86666666666666659</v>
      </c>
      <c r="L3" s="2">
        <f>AVERAGEIF(Table12643[ [ Cycle size] ],I3,Table12643[DiscountedCumulativeGain])</f>
        <v>0.91746881399038804</v>
      </c>
      <c r="N3" s="21" t="s">
        <v>44</v>
      </c>
      <c r="O3" s="22" t="s">
        <v>33</v>
      </c>
      <c r="P3" s="22" t="s">
        <v>29</v>
      </c>
      <c r="Q3" s="23" t="s">
        <v>34</v>
      </c>
    </row>
    <row r="4" spans="1:17" x14ac:dyDescent="0.45">
      <c r="A4" s="1">
        <v>10.4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4</v>
      </c>
      <c r="J4" s="2">
        <f>AVERAGEIF(Table12643[[ Cycle size]],I4,Table12643[JaccardCoefficient])</f>
        <v>0.66666666666666663</v>
      </c>
      <c r="K4" s="2">
        <f>AVERAGEIF(Table12643[ [ Cycle size] ],I4,Table12643[KendallTauCorrelation])</f>
        <v>0.77777777777777735</v>
      </c>
      <c r="L4" s="2">
        <f>AVERAGEIF(Table12643[ [ Cycle size] ],I4,Table12643[DiscountedCumulativeGain])</f>
        <v>0.88343675279582001</v>
      </c>
      <c r="N4" s="24" t="s">
        <v>46</v>
      </c>
      <c r="O4" s="25">
        <f>CORREL(I2:I20, J2:J20)</f>
        <v>-0.40347336681283164</v>
      </c>
      <c r="P4" s="25">
        <f>CORREL(I2:I20, K2:K20)</f>
        <v>0.33930944629576543</v>
      </c>
      <c r="Q4" s="26">
        <f>CORREL(I2:I20, L2:L20)</f>
        <v>-0.54134520440419731</v>
      </c>
    </row>
    <row r="5" spans="1:17" x14ac:dyDescent="0.45">
      <c r="A5" s="1">
        <v>22.4</v>
      </c>
      <c r="B5" s="1">
        <v>3</v>
      </c>
      <c r="C5" s="1">
        <v>0.33333333333333298</v>
      </c>
      <c r="D5" s="1">
        <v>0.5</v>
      </c>
      <c r="E5" s="1">
        <v>0.33333333333333298</v>
      </c>
      <c r="F5" s="1">
        <v>0.5</v>
      </c>
      <c r="G5" s="1">
        <v>0.58734406995194</v>
      </c>
      <c r="I5" s="12">
        <v>5</v>
      </c>
      <c r="J5" s="2">
        <f>AVERAGEIF(Table12643[[ Cycle size]],I5,Table12643[JaccardCoefficient])</f>
        <v>1</v>
      </c>
      <c r="K5" s="2">
        <f>AVERAGEIF(Table12643[ [ Cycle size] ],I5,Table12643[KendallTauCorrelation])</f>
        <v>1</v>
      </c>
      <c r="L5" s="2">
        <f>AVERAGEIF(Table12643[ [ Cycle size] ],I5,Table12643[DiscountedCumulativeGain])</f>
        <v>1</v>
      </c>
      <c r="N5" s="27" t="s">
        <v>44</v>
      </c>
      <c r="O5" s="28" t="s">
        <v>33</v>
      </c>
      <c r="P5" s="28" t="s">
        <v>29</v>
      </c>
      <c r="Q5" s="29" t="s">
        <v>34</v>
      </c>
    </row>
    <row r="6" spans="1:17" x14ac:dyDescent="0.45">
      <c r="A6" s="1">
        <v>33.4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2">
        <v>6</v>
      </c>
      <c r="J6" s="2">
        <f>AVERAGEIF(Table12643[[ Cycle size]],I6,Table12643[JaccardCoefficient])</f>
        <v>0.88888888888888873</v>
      </c>
      <c r="K6" s="2">
        <f>AVERAGEIF(Table12643[ [ Cycle size] ],I6,Table12643[KendallTauCorrelation])</f>
        <v>0.95555555555555538</v>
      </c>
      <c r="L6" s="2">
        <f>AVERAGEIF(Table12643[ [ Cycle size] ],I6,Table12643[DiscountedCumulativeGain])</f>
        <v>0.98379425657401498</v>
      </c>
      <c r="N6" s="24" t="s">
        <v>47</v>
      </c>
      <c r="O6" s="25">
        <f>AVERAGEA(J2:J22)</f>
        <v>0.81631130229869697</v>
      </c>
      <c r="P6" s="25">
        <f t="shared" ref="P6:Q6" si="0">AVERAGEA(K2:K22)</f>
        <v>0.9610742918095615</v>
      </c>
      <c r="Q6" s="25">
        <f t="shared" si="0"/>
        <v>0.91316754151613522</v>
      </c>
    </row>
    <row r="7" spans="1:17" x14ac:dyDescent="0.45">
      <c r="A7" s="1">
        <v>39.4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7</v>
      </c>
      <c r="J7" s="2">
        <f>AVERAGEIF(Table12643[[ Cycle size]],I7,Table12643[JaccardCoefficient])</f>
        <v>0.92857142857142849</v>
      </c>
      <c r="K7" s="2">
        <f>AVERAGEIF(Table12643[ [ Cycle size] ],I7,Table12643[KendallTauCorrelation])</f>
        <v>0.97619047619047605</v>
      </c>
      <c r="L7" s="2">
        <f>AVERAGEIF(Table12643[ [ Cycle size] ],I7,Table12643[DiscountedCumulativeGain])</f>
        <v>0.96743328653943306</v>
      </c>
      <c r="N7" s="27" t="s">
        <v>44</v>
      </c>
      <c r="O7" s="28" t="s">
        <v>33</v>
      </c>
      <c r="P7" s="28" t="s">
        <v>29</v>
      </c>
      <c r="Q7" s="29" t="s">
        <v>34</v>
      </c>
    </row>
    <row r="8" spans="1:17" x14ac:dyDescent="0.45">
      <c r="A8" s="1">
        <v>26.4</v>
      </c>
      <c r="B8" s="1">
        <v>4</v>
      </c>
      <c r="C8" s="1">
        <v>0.5</v>
      </c>
      <c r="D8" s="1">
        <v>0.75</v>
      </c>
      <c r="E8" s="1">
        <v>0.66666666666666596</v>
      </c>
      <c r="F8" s="1">
        <v>0.7</v>
      </c>
      <c r="G8" s="1">
        <v>0.89790381641629602</v>
      </c>
      <c r="I8" s="12">
        <v>8</v>
      </c>
      <c r="J8" s="2">
        <f>AVERAGEIF(Table12643[[ Cycle size]],I8,Table12643[JaccardCoefficient])</f>
        <v>0.91666666666666663</v>
      </c>
      <c r="K8" s="2">
        <f>AVERAGEIF(Table12643[ [ Cycle size] ],I8,Table12643[KendallTauCorrelation])</f>
        <v>0.97619047619047594</v>
      </c>
      <c r="L8" s="2">
        <f>AVERAGEIF(Table12643[ [ Cycle size] ],I8,Table12643[DiscountedCumulativeGain])</f>
        <v>0.99054664966817541</v>
      </c>
      <c r="N8" s="24" t="s">
        <v>48</v>
      </c>
      <c r="O8" s="25">
        <f>MEDIAN(J2:J22)</f>
        <v>0.83333333333333326</v>
      </c>
      <c r="P8" s="25">
        <f t="shared" ref="P8:Q8" si="1">MEDIAN(K2:K22)</f>
        <v>0.97333333333333305</v>
      </c>
      <c r="Q8" s="25">
        <f t="shared" si="1"/>
        <v>0.94583309727434961</v>
      </c>
    </row>
    <row r="9" spans="1:17" x14ac:dyDescent="0.45">
      <c r="A9" s="1">
        <v>32.4</v>
      </c>
      <c r="B9" s="1">
        <v>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2">
        <v>9</v>
      </c>
      <c r="J9" s="2">
        <f>AVERAGEIF(Table12643[[ Cycle size]],I9,Table12643[JaccardCoefficient])</f>
        <v>0.86666666666666603</v>
      </c>
      <c r="K9" s="2">
        <f>AVERAGEIF(Table12643[ [ Cycle size] ],I9,Table12643[KendallTauCorrelation])</f>
        <v>0.96666666666666623</v>
      </c>
      <c r="L9" s="2">
        <f>AVERAGEIF(Table12643[ [ Cycle size] ],I9,Table12643[DiscountedCumulativeGain])</f>
        <v>0.94583309727434961</v>
      </c>
      <c r="N9" s="27" t="s">
        <v>44</v>
      </c>
      <c r="O9" s="28" t="s">
        <v>33</v>
      </c>
      <c r="P9" s="28" t="s">
        <v>29</v>
      </c>
      <c r="Q9" s="29" t="s">
        <v>34</v>
      </c>
    </row>
    <row r="10" spans="1:17" x14ac:dyDescent="0.45">
      <c r="A10" s="1">
        <v>50.4</v>
      </c>
      <c r="B10" s="1">
        <v>4</v>
      </c>
      <c r="C10" s="1">
        <v>0.5</v>
      </c>
      <c r="D10" s="1">
        <v>0.75</v>
      </c>
      <c r="E10" s="1">
        <v>0.66666666666666596</v>
      </c>
      <c r="F10" s="1">
        <v>0.5</v>
      </c>
      <c r="G10" s="1">
        <v>0.75240644197116402</v>
      </c>
      <c r="I10" s="12">
        <v>10</v>
      </c>
      <c r="J10" s="2">
        <f>AVERAGEIF(Table12643[[ Cycle size]],I10,Table12643[JaccardCoefficient])</f>
        <v>0.93333333333333324</v>
      </c>
      <c r="K10" s="2">
        <f>AVERAGEIF(Table12643[ [ Cycle size] ],I10,Table12643[KendallTauCorrelation])</f>
        <v>0.98518518518518494</v>
      </c>
      <c r="L10" s="2">
        <f>AVERAGEIF(Table12643[ [ Cycle size] ],I10,Table12643[DiscountedCumulativeGain])</f>
        <v>0.97789410965100909</v>
      </c>
      <c r="N10" s="24" t="s">
        <v>49</v>
      </c>
      <c r="O10" s="25">
        <f>SUMPRODUCT($I$2:$I$22,J2:J22)/SUM($I$2:$I$22)</f>
        <v>0.67580645161290298</v>
      </c>
      <c r="P10" s="25">
        <f t="shared" ref="P10:Q10" si="2">SUMPRODUCT($I$2:$I$22,K2:K22)/SUM($I$2:$I$22)</f>
        <v>0.96931469658817659</v>
      </c>
      <c r="Q10" s="25">
        <f t="shared" si="2"/>
        <v>0.82423005110791425</v>
      </c>
    </row>
    <row r="11" spans="1:17" x14ac:dyDescent="0.45">
      <c r="A11" s="1">
        <v>23.4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2">
        <v>12</v>
      </c>
      <c r="J11" s="2">
        <f>AVERAGEIF(Table12643[[ Cycle size]],I11,Table12643[JaccardCoefficient])</f>
        <v>0.83333333333333326</v>
      </c>
      <c r="K11" s="2">
        <f>AVERAGEIF(Table12643[ [ Cycle size] ],I11,Table12643[KendallTauCorrelation])</f>
        <v>0.96363636363636318</v>
      </c>
      <c r="L11" s="2">
        <f>AVERAGEIF(Table12643[ [ Cycle size] ],I11,Table12643[DiscountedCumulativeGain])</f>
        <v>0.95613837449097239</v>
      </c>
      <c r="N11" s="24" t="s">
        <v>50</v>
      </c>
      <c r="O11" s="25">
        <f>SUMPRODUCT(I2:I20,J2:J20)/SUM(I2:I20)</f>
        <v>0.84049586776859497</v>
      </c>
      <c r="P11" s="25">
        <f>SUMPRODUCT(I2:I20,K2:K20)/SUM(I2:I20)</f>
        <v>0.97146935054681305</v>
      </c>
      <c r="Q11" s="25">
        <f>SUMPRODUCT(L2:L20,I2:I20)/SUM(I2:I20)</f>
        <v>0.92238157243946006</v>
      </c>
    </row>
    <row r="12" spans="1:17" x14ac:dyDescent="0.45">
      <c r="A12" s="1">
        <v>9.4</v>
      </c>
      <c r="B12" s="1">
        <v>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I12" s="12">
        <v>14</v>
      </c>
      <c r="J12" s="2">
        <f>AVERAGEIF(Table12643[[ Cycle size]],I12,Table12643[JaccardCoefficient])</f>
        <v>0.80952380952380931</v>
      </c>
      <c r="K12" s="2">
        <f>AVERAGEIF(Table12643[ [ Cycle size] ],I12,Table12643[KendallTauCorrelation])</f>
        <v>0.95604395604395587</v>
      </c>
      <c r="L12" s="2">
        <f>AVERAGEIF(Table12643[ [ Cycle size] ],I12,Table12643[DiscountedCumulativeGain])</f>
        <v>0.90449171528027505</v>
      </c>
    </row>
    <row r="13" spans="1:17" x14ac:dyDescent="0.45">
      <c r="A13" s="1">
        <v>27.4</v>
      </c>
      <c r="B13" s="1">
        <v>6</v>
      </c>
      <c r="C13" s="1">
        <v>0.66666666666666596</v>
      </c>
      <c r="D13" s="1">
        <v>0.88888888888888795</v>
      </c>
      <c r="E13" s="1">
        <v>0.86666666666666603</v>
      </c>
      <c r="F13" s="1">
        <v>0.66666666666666596</v>
      </c>
      <c r="G13" s="1">
        <v>0.95138276972204505</v>
      </c>
      <c r="I13" s="12">
        <v>15</v>
      </c>
      <c r="J13" s="2">
        <f>AVERAGEIF(Table12643[[ Cycle size]],I13,Table12643[JaccardCoefficient])</f>
        <v>1</v>
      </c>
      <c r="K13" s="2">
        <f>AVERAGEIF(Table12643[ [ Cycle size] ],I13,Table12643[KendallTauCorrelation])</f>
        <v>1</v>
      </c>
      <c r="L13" s="2">
        <f>AVERAGEIF(Table12643[ [ Cycle size] ],I13,Table12643[DiscountedCumulativeGain])</f>
        <v>1</v>
      </c>
    </row>
    <row r="14" spans="1:17" x14ac:dyDescent="0.45">
      <c r="A14" s="1">
        <v>30.4</v>
      </c>
      <c r="B14" s="1">
        <v>6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I14" s="12">
        <v>16</v>
      </c>
      <c r="J14" s="2">
        <f>AVERAGEIF(Table12643[[ Cycle size]],I14,Table12643[JaccardCoefficient])</f>
        <v>0.9375</v>
      </c>
      <c r="K14" s="2">
        <f>AVERAGEIF(Table12643[ [ Cycle size] ],I14,Table12643[KendallTauCorrelation])</f>
        <v>0.99166666666666647</v>
      </c>
      <c r="L14" s="2">
        <f>AVERAGEIF(Table12643[ [ Cycle size] ],I14,Table12643[DiscountedCumulativeGain])</f>
        <v>0.97308970595681243</v>
      </c>
    </row>
    <row r="15" spans="1:17" x14ac:dyDescent="0.45">
      <c r="A15" s="1">
        <v>1.4</v>
      </c>
      <c r="B15" s="1">
        <v>7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I15" s="12">
        <v>17</v>
      </c>
      <c r="J15" s="2">
        <f>AVERAGEIF(Table12643[[ Cycle size]],I15,Table12643[JaccardCoefficient])</f>
        <v>0.82352941176470551</v>
      </c>
      <c r="K15" s="2">
        <f>AVERAGEIF(Table12643[ [ Cycle size] ],I15,Table12643[KendallTauCorrelation])</f>
        <v>0.97058823529411753</v>
      </c>
      <c r="L15" s="2">
        <f>AVERAGEIF(Table12643[ [ Cycle size] ],I15,Table12643[DiscountedCumulativeGain])</f>
        <v>0.96964509169741242</v>
      </c>
    </row>
    <row r="16" spans="1:17" x14ac:dyDescent="0.45">
      <c r="A16" s="1">
        <v>6.4</v>
      </c>
      <c r="B16" s="1">
        <v>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I16" s="12">
        <v>18</v>
      </c>
      <c r="J16" s="2">
        <f>AVERAGEIF(Table12643[[ Cycle size]],I16,Table12643[JaccardCoefficient])</f>
        <v>0.77777777777777701</v>
      </c>
      <c r="K16" s="2">
        <f>AVERAGEIF(Table12643[ [ Cycle size] ],I16,Table12643[KendallTauCorrelation])</f>
        <v>0.97385620915032645</v>
      </c>
      <c r="L16" s="2">
        <f>AVERAGEIF(Table12643[ [ Cycle size] ],I16,Table12643[DiscountedCumulativeGain])</f>
        <v>0.90185911712120093</v>
      </c>
    </row>
    <row r="17" spans="1:12" x14ac:dyDescent="0.45">
      <c r="A17" s="1">
        <v>8.4</v>
      </c>
      <c r="B17" s="1">
        <v>7</v>
      </c>
      <c r="C17" s="1">
        <v>0.71428571428571397</v>
      </c>
      <c r="D17" s="1">
        <v>0.91666666666666596</v>
      </c>
      <c r="E17" s="1">
        <v>0.90476190476190399</v>
      </c>
      <c r="F17" s="1">
        <v>0.96428571428571397</v>
      </c>
      <c r="G17" s="1">
        <v>0.86973314615773201</v>
      </c>
      <c r="I17" s="12">
        <v>20</v>
      </c>
      <c r="J17" s="2">
        <f>AVERAGEIF(Table12643[[ Cycle size]],I17,Table12643[JaccardCoefficient])</f>
        <v>0.77500000000000002</v>
      </c>
      <c r="K17" s="2">
        <f>AVERAGEIF(Table12643[ [ Cycle size] ],I17,Table12643[KendallTauCorrelation])</f>
        <v>0.96842105263157852</v>
      </c>
      <c r="L17" s="2">
        <f>AVERAGEIF(Table12643[ [ Cycle size] ],I17,Table12643[DiscountedCumulativeGain])</f>
        <v>0.85952649152367444</v>
      </c>
    </row>
    <row r="18" spans="1:12" x14ac:dyDescent="0.45">
      <c r="A18" s="1">
        <v>43.4</v>
      </c>
      <c r="B18" s="1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I18" s="12">
        <v>21</v>
      </c>
      <c r="J18" s="2">
        <f>AVERAGEIF(Table12643[[ Cycle size]],I18,Table12643[JaccardCoefficient])</f>
        <v>0.80952380952380898</v>
      </c>
      <c r="K18" s="2">
        <f>AVERAGEIF(Table12643[ [ Cycle size] ],I18,Table12643[KendallTauCorrelation])</f>
        <v>0.98095238095238002</v>
      </c>
      <c r="L18" s="2">
        <f>AVERAGEIF(Table12643[ [ Cycle size] ],I18,Table12643[DiscountedCumulativeGain])</f>
        <v>0.86948087201170199</v>
      </c>
    </row>
    <row r="19" spans="1:12" x14ac:dyDescent="0.45">
      <c r="A19" s="1">
        <v>4.4000000000000004</v>
      </c>
      <c r="B19" s="1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2">
        <v>25</v>
      </c>
      <c r="J19" s="2">
        <f>AVERAGEIF(Table12643[[ Cycle size]],I19,Table12643[JaccardCoefficient])</f>
        <v>0.72</v>
      </c>
      <c r="K19" s="2">
        <f>AVERAGEIF(Table12643[ [ Cycle size] ],I19,Table12643[KendallTauCorrelation])</f>
        <v>0.97333333333333305</v>
      </c>
      <c r="L19" s="2">
        <f>AVERAGEIF(Table12643[ [ Cycle size] ],I19,Table12643[DiscountedCumulativeGain])</f>
        <v>0.82639553335889504</v>
      </c>
    </row>
    <row r="20" spans="1:12" x14ac:dyDescent="0.45">
      <c r="A20" s="1">
        <v>13.4</v>
      </c>
      <c r="B20" s="1">
        <v>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I20" s="12">
        <v>30</v>
      </c>
      <c r="J20" s="2">
        <f>AVERAGEIF(Table12643[[ Cycle size]],I20,Table12643[JaccardCoefficient])</f>
        <v>0.83333333333333304</v>
      </c>
      <c r="K20" s="2">
        <f>AVERAGEIF(Table12643[ [ Cycle size] ],I20,Table12643[KendallTauCorrelation])</f>
        <v>0.97701149425287304</v>
      </c>
      <c r="L20" s="2">
        <f>AVERAGEIF(Table12643[ [ Cycle size] ],I20,Table12643[DiscountedCumulativeGain])</f>
        <v>0.91688831385987801</v>
      </c>
    </row>
    <row r="21" spans="1:12" x14ac:dyDescent="0.45">
      <c r="A21" s="1">
        <v>29.4</v>
      </c>
      <c r="B21" s="1">
        <v>8</v>
      </c>
      <c r="C21" s="1">
        <v>0.75</v>
      </c>
      <c r="D21" s="1">
        <v>0.9375</v>
      </c>
      <c r="E21" s="1">
        <v>0.92857142857142805</v>
      </c>
      <c r="F21" s="1">
        <v>0.69444444444444398</v>
      </c>
      <c r="G21" s="1">
        <v>0.97163994900452599</v>
      </c>
      <c r="I21" s="12">
        <v>40</v>
      </c>
      <c r="J21" s="2">
        <f>AVERAGEIF(Table12643[[ Cycle size]],I21,Table12643[JaccardCoefficient])</f>
        <v>0.4</v>
      </c>
      <c r="K21" s="2">
        <f>AVERAGEIF(Table12643[ [ Cycle size] ],I21,Table12643[KendallTauCorrelation])</f>
        <v>0.95128205128205101</v>
      </c>
      <c r="L21" s="2">
        <f>AVERAGEIF(Table12643[ [ Cycle size] ],I21,Table12643[DiscountedCumulativeGain])</f>
        <v>0.73072837244478805</v>
      </c>
    </row>
    <row r="22" spans="1:12" x14ac:dyDescent="0.45">
      <c r="A22" s="1">
        <v>2.4</v>
      </c>
      <c r="B22" s="1">
        <v>9</v>
      </c>
      <c r="C22" s="1">
        <v>0.77777777777777701</v>
      </c>
      <c r="D22" s="1">
        <v>0.95</v>
      </c>
      <c r="E22" s="1">
        <v>0.94444444444444398</v>
      </c>
      <c r="F22" s="1">
        <v>0.88888888888888795</v>
      </c>
      <c r="G22" s="1">
        <v>0.91894506872036597</v>
      </c>
      <c r="I22" s="12">
        <v>90</v>
      </c>
      <c r="J22" s="2">
        <f>AVERAGEIF(Table12643[[ Cycle size]],I22,Table12643[JaccardCoefficient])</f>
        <v>0.35555555555555501</v>
      </c>
      <c r="K22" s="2">
        <f>AVERAGEIF(Table12643[ [ Cycle size] ],I22,Table12643[KendallTauCorrelation])</f>
        <v>0.97153558052434397</v>
      </c>
      <c r="L22" s="2">
        <f>AVERAGEIF(Table12643[ [ Cycle size] ],I22,Table12643[DiscountedCumulativeGain])</f>
        <v>0.60186781760003605</v>
      </c>
    </row>
    <row r="23" spans="1:12" x14ac:dyDescent="0.45">
      <c r="A23" s="1">
        <v>11.4</v>
      </c>
      <c r="B23" s="1">
        <v>9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I23" s="1"/>
      <c r="J23" s="1"/>
    </row>
    <row r="24" spans="1:12" x14ac:dyDescent="0.45">
      <c r="A24" s="1">
        <v>17.399999999999999</v>
      </c>
      <c r="B24" s="1">
        <v>9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I24" s="1"/>
      <c r="J24" s="1"/>
    </row>
    <row r="25" spans="1:12" x14ac:dyDescent="0.45">
      <c r="A25" s="1">
        <v>21.4</v>
      </c>
      <c r="B25" s="1">
        <v>9</v>
      </c>
      <c r="C25" s="1">
        <v>0.77777777777777701</v>
      </c>
      <c r="D25" s="1">
        <v>0.95</v>
      </c>
      <c r="E25" s="1">
        <v>0.94444444444444398</v>
      </c>
      <c r="F25" s="1">
        <v>0.97777777777777697</v>
      </c>
      <c r="G25" s="1">
        <v>0.86492944988589404</v>
      </c>
      <c r="I25" s="1"/>
      <c r="J25" s="1"/>
    </row>
    <row r="26" spans="1:12" x14ac:dyDescent="0.45">
      <c r="A26" s="1">
        <v>40.4</v>
      </c>
      <c r="B26" s="1">
        <v>9</v>
      </c>
      <c r="C26" s="1">
        <v>0.77777777777777701</v>
      </c>
      <c r="D26" s="1">
        <v>0.95</v>
      </c>
      <c r="E26" s="1">
        <v>0.94444444444444398</v>
      </c>
      <c r="F26" s="1">
        <v>0.844444444444444</v>
      </c>
      <c r="G26" s="1">
        <v>0.94529096776548804</v>
      </c>
    </row>
    <row r="27" spans="1:12" x14ac:dyDescent="0.45">
      <c r="A27" s="1">
        <v>37.4</v>
      </c>
      <c r="B27" s="1">
        <v>10</v>
      </c>
      <c r="C27" s="1">
        <v>0.8</v>
      </c>
      <c r="D27" s="1">
        <v>0.96</v>
      </c>
      <c r="E27" s="1">
        <v>0.95555555555555505</v>
      </c>
      <c r="F27" s="1">
        <v>0.87272727272727202</v>
      </c>
      <c r="G27" s="1">
        <v>0.93368232895302705</v>
      </c>
    </row>
    <row r="28" spans="1:12" x14ac:dyDescent="0.45">
      <c r="A28" s="1">
        <v>38.4</v>
      </c>
      <c r="B28" s="1">
        <v>10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</row>
    <row r="29" spans="1:12" x14ac:dyDescent="0.45">
      <c r="A29" s="1">
        <v>42.4</v>
      </c>
      <c r="B29" s="1">
        <v>10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</row>
    <row r="30" spans="1:12" x14ac:dyDescent="0.45">
      <c r="A30" s="1">
        <v>3.4</v>
      </c>
      <c r="B30" s="1">
        <v>12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</row>
    <row r="31" spans="1:12" x14ac:dyDescent="0.45">
      <c r="A31" s="1">
        <v>3.1</v>
      </c>
      <c r="B31" s="1">
        <v>12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</row>
    <row r="32" spans="1:12" x14ac:dyDescent="0.45">
      <c r="A32" s="1">
        <v>15.4</v>
      </c>
      <c r="B32" s="1">
        <v>12</v>
      </c>
      <c r="C32" s="1">
        <v>0.83333333333333304</v>
      </c>
      <c r="D32" s="1">
        <v>0.97222222222222199</v>
      </c>
      <c r="E32" s="1">
        <v>0.96969696969696895</v>
      </c>
      <c r="F32" s="1">
        <v>0.83333333333333304</v>
      </c>
      <c r="G32" s="1">
        <v>0.968437096787781</v>
      </c>
    </row>
    <row r="33" spans="1:7" x14ac:dyDescent="0.45">
      <c r="A33" s="1">
        <v>41.4</v>
      </c>
      <c r="B33" s="1">
        <v>12</v>
      </c>
      <c r="C33" s="1">
        <v>0.83333333333333304</v>
      </c>
      <c r="D33" s="1">
        <v>0.97222222222222199</v>
      </c>
      <c r="E33" s="1">
        <v>0.96969696969696895</v>
      </c>
      <c r="F33" s="1">
        <v>0.83333333333333304</v>
      </c>
      <c r="G33" s="1">
        <v>0.968437096787781</v>
      </c>
    </row>
    <row r="34" spans="1:7" x14ac:dyDescent="0.45">
      <c r="A34" s="1">
        <v>47.4</v>
      </c>
      <c r="B34" s="1">
        <v>12</v>
      </c>
      <c r="C34" s="1">
        <v>0.5</v>
      </c>
      <c r="D34" s="1">
        <v>0.88888888888888795</v>
      </c>
      <c r="E34" s="1">
        <v>0.87878787878787801</v>
      </c>
      <c r="F34" s="1">
        <v>0.60256410256410198</v>
      </c>
      <c r="G34" s="1">
        <v>0.84381767887930004</v>
      </c>
    </row>
    <row r="35" spans="1:7" x14ac:dyDescent="0.45">
      <c r="A35" s="1">
        <v>25.4</v>
      </c>
      <c r="B35" s="1">
        <v>14</v>
      </c>
      <c r="C35" s="1">
        <v>0.85714285714285698</v>
      </c>
      <c r="D35" s="1">
        <v>0.97959183673469297</v>
      </c>
      <c r="E35" s="1">
        <v>0.97802197802197799</v>
      </c>
      <c r="F35" s="1">
        <v>0.99047619047618995</v>
      </c>
      <c r="G35" s="1">
        <v>0.88170522422904196</v>
      </c>
    </row>
    <row r="36" spans="1:7" x14ac:dyDescent="0.45">
      <c r="A36" s="1">
        <v>28.4</v>
      </c>
      <c r="B36" s="1">
        <v>14</v>
      </c>
      <c r="C36" s="1">
        <v>0.85714285714285698</v>
      </c>
      <c r="D36" s="1">
        <v>0.97959183673469297</v>
      </c>
      <c r="E36" s="1">
        <v>0.97802197802197799</v>
      </c>
      <c r="F36" s="1">
        <v>0.91428571428571404</v>
      </c>
      <c r="G36" s="1">
        <v>0.93028952400241005</v>
      </c>
    </row>
    <row r="37" spans="1:7" x14ac:dyDescent="0.45">
      <c r="A37" s="1">
        <v>49.4</v>
      </c>
      <c r="B37" s="1">
        <v>14</v>
      </c>
      <c r="C37" s="1">
        <v>0.71428571428571397</v>
      </c>
      <c r="D37" s="1">
        <v>0.93877551020408101</v>
      </c>
      <c r="E37" s="1">
        <v>0.91208791208791196</v>
      </c>
      <c r="F37" s="1">
        <v>0.76190476190476097</v>
      </c>
      <c r="G37" s="1">
        <v>0.90148039760937304</v>
      </c>
    </row>
    <row r="38" spans="1:7" x14ac:dyDescent="0.45">
      <c r="A38" s="1">
        <v>46.4</v>
      </c>
      <c r="B38" s="1">
        <v>15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</row>
    <row r="39" spans="1:7" x14ac:dyDescent="0.45">
      <c r="A39" s="1">
        <v>34.1</v>
      </c>
      <c r="B39" s="1">
        <v>16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</row>
    <row r="40" spans="1:7" x14ac:dyDescent="0.45">
      <c r="A40" s="1">
        <v>34.4</v>
      </c>
      <c r="B40" s="1">
        <v>16</v>
      </c>
      <c r="C40" s="1">
        <v>0.875</v>
      </c>
      <c r="D40" s="1">
        <v>0.984375</v>
      </c>
      <c r="E40" s="1">
        <v>0.98333333333333295</v>
      </c>
      <c r="F40" s="1">
        <v>0.90441176470588203</v>
      </c>
      <c r="G40" s="1">
        <v>0.94617941191362498</v>
      </c>
    </row>
    <row r="41" spans="1:7" x14ac:dyDescent="0.45">
      <c r="A41" s="1">
        <v>14.4</v>
      </c>
      <c r="B41" s="1">
        <v>17</v>
      </c>
      <c r="C41" s="1">
        <v>0.64705882352941102</v>
      </c>
      <c r="D41" s="1">
        <v>0.94444444444444398</v>
      </c>
      <c r="E41" s="1">
        <v>0.94117647058823495</v>
      </c>
      <c r="F41" s="1">
        <v>0.57516339869280997</v>
      </c>
      <c r="G41" s="1">
        <v>0.93929018339482495</v>
      </c>
    </row>
    <row r="42" spans="1:7" x14ac:dyDescent="0.45">
      <c r="A42" s="1">
        <v>14.1</v>
      </c>
      <c r="B42" s="1">
        <v>17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</row>
    <row r="43" spans="1:7" x14ac:dyDescent="0.45">
      <c r="A43" s="1">
        <v>45.4</v>
      </c>
      <c r="B43" s="1">
        <v>18</v>
      </c>
      <c r="C43" s="1">
        <v>0.66666666666666596</v>
      </c>
      <c r="D43" s="1">
        <v>0.96296296296296302</v>
      </c>
      <c r="E43" s="1">
        <v>0.96078431372549</v>
      </c>
      <c r="F43" s="1">
        <v>0.79532163742689999</v>
      </c>
      <c r="G43" s="1">
        <v>0.80968877129408101</v>
      </c>
    </row>
    <row r="44" spans="1:7" x14ac:dyDescent="0.45">
      <c r="A44" s="1">
        <v>48.4</v>
      </c>
      <c r="B44" s="1">
        <v>18</v>
      </c>
      <c r="C44" s="1">
        <v>0.88888888888888795</v>
      </c>
      <c r="D44" s="1">
        <v>0.98765432098765404</v>
      </c>
      <c r="E44" s="1">
        <v>0.986928104575163</v>
      </c>
      <c r="F44" s="1">
        <v>0.81871345029239695</v>
      </c>
      <c r="G44" s="1">
        <v>0.99402946294832095</v>
      </c>
    </row>
    <row r="45" spans="1:7" x14ac:dyDescent="0.45">
      <c r="A45" s="1">
        <v>18.399999999999999</v>
      </c>
      <c r="B45" s="1">
        <v>20</v>
      </c>
      <c r="C45" s="1">
        <v>0.55000000000000004</v>
      </c>
      <c r="D45" s="1">
        <v>0.94</v>
      </c>
      <c r="E45" s="1">
        <v>0.93684210526315703</v>
      </c>
      <c r="F45" s="1">
        <v>0.74285714285714199</v>
      </c>
      <c r="G45" s="1">
        <v>0.71905298304734899</v>
      </c>
    </row>
    <row r="46" spans="1:7" x14ac:dyDescent="0.45">
      <c r="A46" s="1">
        <v>35.4</v>
      </c>
      <c r="B46" s="1">
        <v>20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</row>
    <row r="47" spans="1:7" x14ac:dyDescent="0.45">
      <c r="A47" s="1">
        <v>24.4</v>
      </c>
      <c r="B47" s="1">
        <v>21</v>
      </c>
      <c r="C47" s="1">
        <v>0.80952380952380898</v>
      </c>
      <c r="D47" s="1">
        <v>0.98181818181818103</v>
      </c>
      <c r="E47" s="1">
        <v>0.98095238095238002</v>
      </c>
      <c r="F47" s="1">
        <v>0.90476190476190399</v>
      </c>
      <c r="G47" s="1">
        <v>0.86948087201170199</v>
      </c>
    </row>
    <row r="48" spans="1:7" x14ac:dyDescent="0.45">
      <c r="A48" s="1">
        <v>44.4</v>
      </c>
      <c r="B48" s="1">
        <v>25</v>
      </c>
      <c r="C48" s="1">
        <v>0.72</v>
      </c>
      <c r="D48" s="1">
        <v>0.97435897435897401</v>
      </c>
      <c r="E48" s="1">
        <v>0.97333333333333305</v>
      </c>
      <c r="F48" s="1">
        <v>0.80923076923076898</v>
      </c>
      <c r="G48" s="1">
        <v>0.82639553335889504</v>
      </c>
    </row>
    <row r="49" spans="1:7" x14ac:dyDescent="0.45">
      <c r="A49" s="1">
        <v>31.4</v>
      </c>
      <c r="B49" s="1">
        <v>30</v>
      </c>
      <c r="C49" s="1">
        <v>0.83333333333333304</v>
      </c>
      <c r="D49" s="1">
        <v>0.982222222222222</v>
      </c>
      <c r="E49" s="1">
        <v>0.97701149425287304</v>
      </c>
      <c r="F49" s="1">
        <v>0.84731182795698901</v>
      </c>
      <c r="G49" s="1">
        <v>0.91688831385987801</v>
      </c>
    </row>
    <row r="50" spans="1:7" x14ac:dyDescent="0.45">
      <c r="A50" s="1">
        <v>16.399999999999999</v>
      </c>
      <c r="B50" s="1">
        <v>40</v>
      </c>
      <c r="C50" s="1">
        <v>0.4</v>
      </c>
      <c r="D50" s="1">
        <v>0.95499999999999996</v>
      </c>
      <c r="E50" s="1">
        <v>0.95128205128205101</v>
      </c>
      <c r="F50" s="1">
        <v>0.34878048780487803</v>
      </c>
      <c r="G50" s="1">
        <v>0.73072837244478805</v>
      </c>
    </row>
    <row r="51" spans="1:7" x14ac:dyDescent="0.45">
      <c r="A51" s="1">
        <v>19.399999999999999</v>
      </c>
      <c r="B51" s="1">
        <v>90</v>
      </c>
      <c r="C51" s="1">
        <v>0.35555555555555501</v>
      </c>
      <c r="D51" s="1">
        <v>0.97432098765432096</v>
      </c>
      <c r="E51" s="1">
        <v>0.97153558052434397</v>
      </c>
      <c r="F51" s="1">
        <v>0.35628815628815602</v>
      </c>
      <c r="G51" s="1">
        <v>0.60186781760003605</v>
      </c>
    </row>
    <row r="52" spans="1:7" x14ac:dyDescent="0.45">
      <c r="A52" s="1" t="s">
        <v>32</v>
      </c>
      <c r="C52" s="1">
        <f>SUBTOTAL(101,Table12643[JaccardCoefficient])</f>
        <v>0.83877768440709599</v>
      </c>
      <c r="D52" s="1">
        <f>SUBTOTAL(101,Table12643[MismatchDistanceCoefficient])</f>
        <v>0.95943010334022205</v>
      </c>
      <c r="E52" s="1">
        <f>SUBTOTAL(101,Table12643[KendallTauCorrelation])</f>
        <v>0.95010096819399181</v>
      </c>
      <c r="F52" s="1">
        <f>SUBTOTAL(101,Table12643[MismatchPositionCoefficient])</f>
        <v>0.87295946370300936</v>
      </c>
      <c r="G52" s="1">
        <f>SUBTOTAL(101,Table12643[DiscountedCumulativeGain])</f>
        <v>0.93082053497435335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2"/>
  <sheetViews>
    <sheetView topLeftCell="F1" workbookViewId="0">
      <selection activeCell="N1" sqref="N1:Q11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  <col min="6" max="6" width="18.33203125" customWidth="1"/>
    <col min="9" max="9" width="12.9296875" style="11" customWidth="1"/>
    <col min="10" max="10" width="13.06640625" style="11" customWidth="1"/>
    <col min="11" max="11" width="10.33203125" customWidth="1"/>
    <col min="13" max="13" width="10.59765625" customWidth="1"/>
    <col min="14" max="14" width="31.3984375" customWidth="1"/>
  </cols>
  <sheetData>
    <row r="1" spans="1:17" x14ac:dyDescent="0.4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t="s">
        <v>4</v>
      </c>
      <c r="J1" t="s">
        <v>33</v>
      </c>
      <c r="K1" t="s">
        <v>29</v>
      </c>
      <c r="L1" t="s">
        <v>34</v>
      </c>
      <c r="N1" s="15" t="s">
        <v>44</v>
      </c>
      <c r="O1" s="16" t="s">
        <v>33</v>
      </c>
      <c r="P1" s="16" t="s">
        <v>29</v>
      </c>
      <c r="Q1" s="17" t="s">
        <v>34</v>
      </c>
    </row>
    <row r="2" spans="1:17" x14ac:dyDescent="0.45">
      <c r="A2" s="1">
        <v>20.100000000000001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AVERAGEIF(Table126[[ Cycle size]],I2,Table126[JaccardCoefficient])</f>
        <v>1</v>
      </c>
      <c r="K2" s="2">
        <f>AVERAGEIF(Table126[ [ Cycle size] ],I2,Table126[KendallTauCorrelation])</f>
        <v>1</v>
      </c>
      <c r="L2" s="2">
        <f>AVERAGEIF(Table126[ [ Cycle size] ],I2,Table126[DiscountedCumulativeGain])</f>
        <v>1</v>
      </c>
      <c r="N2" s="18" t="s">
        <v>45</v>
      </c>
      <c r="O2" s="19">
        <f>CORREL(I2:I22, J2:J22)</f>
        <v>-0.70901597017509299</v>
      </c>
      <c r="P2" s="19">
        <f>CORREL(I2:I22, K2:K22)</f>
        <v>-0.19843610814515833</v>
      </c>
      <c r="Q2" s="20">
        <f>CORREL(I2:I22, L2:L22)</f>
        <v>-0.80154448031778835</v>
      </c>
    </row>
    <row r="3" spans="1:17" x14ac:dyDescent="0.45">
      <c r="A3" s="1">
        <v>5.0999999999999996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3</v>
      </c>
      <c r="J3" s="2">
        <f>AVERAGEIF(Table126[[ Cycle size]],I3,Table126[JaccardCoefficient])</f>
        <v>1</v>
      </c>
      <c r="K3" s="2">
        <f>AVERAGEIF(Table126[ [ Cycle size] ],I3,Table126[KendallTauCorrelation])</f>
        <v>1</v>
      </c>
      <c r="L3" s="2">
        <f>AVERAGEIF(Table126[ [ Cycle size] ],I3,Table126[DiscountedCumulativeGain])</f>
        <v>1</v>
      </c>
      <c r="N3" s="21" t="s">
        <v>44</v>
      </c>
      <c r="O3" s="22" t="s">
        <v>33</v>
      </c>
      <c r="P3" s="22" t="s">
        <v>29</v>
      </c>
      <c r="Q3" s="23" t="s">
        <v>34</v>
      </c>
    </row>
    <row r="4" spans="1:17" x14ac:dyDescent="0.45">
      <c r="A4" s="1">
        <v>10.1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4</v>
      </c>
      <c r="J4" s="2">
        <f>AVERAGEIF(Table126[[ Cycle size]],I4,Table126[JaccardCoefficient])</f>
        <v>0.66666666666666663</v>
      </c>
      <c r="K4" s="2">
        <f>AVERAGEIF(Table126[ [ Cycle size] ],I4,Table126[KendallTauCorrelation])</f>
        <v>0.77777777777777735</v>
      </c>
      <c r="L4" s="2">
        <f>AVERAGEIF(Table126[ [ Cycle size] ],I4,Table126[DiscountedCumulativeGain])</f>
        <v>0.91253309560611706</v>
      </c>
      <c r="N4" s="24" t="s">
        <v>46</v>
      </c>
      <c r="O4" s="25">
        <f>CORREL(I2:I20, J2:J20)</f>
        <v>-0.76011956622295818</v>
      </c>
      <c r="P4" s="25">
        <f>CORREL(I2:I20, K2:K20)</f>
        <v>-0.16527367850382241</v>
      </c>
      <c r="Q4" s="26">
        <f>CORREL(I2:I20, L2:L20)</f>
        <v>-0.78390812098357465</v>
      </c>
    </row>
    <row r="5" spans="1:17" x14ac:dyDescent="0.45">
      <c r="A5" s="1">
        <v>22.1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2">
        <v>5</v>
      </c>
      <c r="J5" s="2">
        <f>AVERAGEIF(Table126[[ Cycle size]],I5,Table126[JaccardCoefficient])</f>
        <v>1</v>
      </c>
      <c r="K5" s="2">
        <f>AVERAGEIF(Table126[ [ Cycle size] ],I5,Table126[KendallTauCorrelation])</f>
        <v>1</v>
      </c>
      <c r="L5" s="2">
        <f>AVERAGEIF(Table126[ [ Cycle size] ],I5,Table126[DiscountedCumulativeGain])</f>
        <v>1</v>
      </c>
      <c r="N5" s="27" t="s">
        <v>44</v>
      </c>
      <c r="O5" s="28" t="s">
        <v>33</v>
      </c>
      <c r="P5" s="28" t="s">
        <v>29</v>
      </c>
      <c r="Q5" s="29" t="s">
        <v>34</v>
      </c>
    </row>
    <row r="6" spans="1:17" x14ac:dyDescent="0.45">
      <c r="A6" s="1">
        <v>33.1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2">
        <v>6</v>
      </c>
      <c r="J6" s="2">
        <f>AVERAGEIF(Table126[[ Cycle size]],I6,Table126[JaccardCoefficient])</f>
        <v>0.88888888888888873</v>
      </c>
      <c r="K6" s="2">
        <f>AVERAGEIF(Table126[ [ Cycle size] ],I6,Table126[KendallTauCorrelation])</f>
        <v>0.95555555555555538</v>
      </c>
      <c r="L6" s="2">
        <f>AVERAGEIF(Table126[ [ Cycle size] ],I6,Table126[DiscountedCumulativeGain])</f>
        <v>0.99764965791225191</v>
      </c>
      <c r="N6" s="24" t="s">
        <v>47</v>
      </c>
      <c r="O6" s="25">
        <f>AVERAGEA(J2:J22)</f>
        <v>0.67875527988973372</v>
      </c>
      <c r="P6" s="25">
        <f t="shared" ref="P6:Q6" si="0">AVERAGEA(K2:K22)</f>
        <v>0.93179530966367219</v>
      </c>
      <c r="Q6" s="25">
        <f t="shared" si="0"/>
        <v>0.87038278419425319</v>
      </c>
    </row>
    <row r="7" spans="1:17" x14ac:dyDescent="0.45">
      <c r="A7" s="1">
        <v>39.1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7</v>
      </c>
      <c r="J7" s="2">
        <f>AVERAGEIF(Table126[[ Cycle size]],I7,Table126[JaccardCoefficient])</f>
        <v>0.92857142857142849</v>
      </c>
      <c r="K7" s="2">
        <f>AVERAGEIF(Table126[ [ Cycle size] ],I7,Table126[KendallTauCorrelation])</f>
        <v>0.97619047619047605</v>
      </c>
      <c r="L7" s="2">
        <f>AVERAGEIF(Table126[ [ Cycle size] ],I7,Table126[DiscountedCumulativeGain])</f>
        <v>0.98841712390064951</v>
      </c>
      <c r="N7" s="27" t="s">
        <v>44</v>
      </c>
      <c r="O7" s="28" t="s">
        <v>33</v>
      </c>
      <c r="P7" s="28" t="s">
        <v>29</v>
      </c>
      <c r="Q7" s="29" t="s">
        <v>34</v>
      </c>
    </row>
    <row r="8" spans="1:17" x14ac:dyDescent="0.45">
      <c r="A8" s="1">
        <v>26.1</v>
      </c>
      <c r="B8" s="1">
        <v>4</v>
      </c>
      <c r="C8" s="1">
        <v>0.5</v>
      </c>
      <c r="D8" s="1">
        <v>0.75</v>
      </c>
      <c r="E8" s="1">
        <v>0.66666666666666596</v>
      </c>
      <c r="F8" s="1">
        <v>0.9</v>
      </c>
      <c r="G8" s="1">
        <v>0.98519284484718705</v>
      </c>
      <c r="I8" s="12">
        <v>8</v>
      </c>
      <c r="J8" s="2">
        <f>AVERAGEIF(Table126[[ Cycle size]],I8,Table126[JaccardCoefficient])</f>
        <v>0.91666666666666663</v>
      </c>
      <c r="K8" s="2">
        <f>AVERAGEIF(Table126[ [ Cycle size] ],I8,Table126[KendallTauCorrelation])</f>
        <v>0.97619047619047594</v>
      </c>
      <c r="L8" s="2">
        <f>AVERAGEIF(Table126[ [ Cycle size] ],I8,Table126[DiscountedCumulativeGain])</f>
        <v>0.97720456990228666</v>
      </c>
      <c r="N8" s="24" t="s">
        <v>48</v>
      </c>
      <c r="O8" s="25">
        <f>MEDIAN(J2:J22)</f>
        <v>0.66666666666666663</v>
      </c>
      <c r="P8" s="25">
        <f t="shared" ref="P8:Q8" si="1">MEDIAN(K2:K22)</f>
        <v>0.94</v>
      </c>
      <c r="Q8" s="25">
        <f t="shared" si="1"/>
        <v>0.91253309560611706</v>
      </c>
    </row>
    <row r="9" spans="1:17" x14ac:dyDescent="0.45">
      <c r="A9" s="1">
        <v>32.1</v>
      </c>
      <c r="B9" s="1">
        <v>4</v>
      </c>
      <c r="C9" s="1">
        <v>0.5</v>
      </c>
      <c r="D9" s="1">
        <v>0.75</v>
      </c>
      <c r="E9" s="1">
        <v>0.66666666666666596</v>
      </c>
      <c r="F9" s="1">
        <v>0.5</v>
      </c>
      <c r="G9" s="1">
        <v>0.75240644197116402</v>
      </c>
      <c r="I9" s="12">
        <v>9</v>
      </c>
      <c r="J9" s="2">
        <f>AVERAGEIF(Table126[[ Cycle size]],I9,Table126[JaccardCoefficient])</f>
        <v>0.73333333333333306</v>
      </c>
      <c r="K9" s="2">
        <f>AVERAGEIF(Table126[ [ Cycle size] ],I9,Table126[KendallTauCorrelation])</f>
        <v>0.89999999999999969</v>
      </c>
      <c r="L9" s="2">
        <f>AVERAGEIF(Table126[ [ Cycle size] ],I9,Table126[DiscountedCumulativeGain])</f>
        <v>0.93429177658279072</v>
      </c>
      <c r="N9" s="27" t="s">
        <v>44</v>
      </c>
      <c r="O9" s="28" t="s">
        <v>33</v>
      </c>
      <c r="P9" s="28" t="s">
        <v>29</v>
      </c>
      <c r="Q9" s="29" t="s">
        <v>34</v>
      </c>
    </row>
    <row r="10" spans="1:17" x14ac:dyDescent="0.45">
      <c r="A10" s="1">
        <v>50.1</v>
      </c>
      <c r="B10" s="1">
        <v>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I10" s="12">
        <v>10</v>
      </c>
      <c r="J10" s="2">
        <f>AVERAGEIF(Table126[[ Cycle size]],I10,Table126[JaccardCoefficient])</f>
        <v>0.8666666666666667</v>
      </c>
      <c r="K10" s="2">
        <f>AVERAGEIF(Table126[ [ Cycle size] ],I10,Table126[KendallTauCorrelation])</f>
        <v>0.95555555555555538</v>
      </c>
      <c r="L10" s="2">
        <f>AVERAGEIF(Table126[ [ Cycle size] ],I10,Table126[DiscountedCumulativeGain])</f>
        <v>0.92678210948025475</v>
      </c>
      <c r="N10" s="24" t="s">
        <v>49</v>
      </c>
      <c r="O10" s="25">
        <f>SUMPRODUCT($I$2:$I$22,J2:J22)/SUM($I$2:$I$22)</f>
        <v>0.50985663082437249</v>
      </c>
      <c r="P10" s="25">
        <f t="shared" ref="P10:Q10" si="2">SUMPRODUCT($I$2:$I$22,K2:K22)/SUM($I$2:$I$22)</f>
        <v>0.92093760556821957</v>
      </c>
      <c r="Q10" s="25">
        <f t="shared" si="2"/>
        <v>0.76595182940003714</v>
      </c>
    </row>
    <row r="11" spans="1:17" x14ac:dyDescent="0.45">
      <c r="A11" s="1">
        <v>23.1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2">
        <v>12</v>
      </c>
      <c r="J11" s="2">
        <f>AVERAGEIF(Table126[[ Cycle size]],I11,Table126[JaccardCoefficient])</f>
        <v>0.78333333333333299</v>
      </c>
      <c r="K11" s="2">
        <f>AVERAGEIF(Table126[ [ Cycle size] ],I11,Table126[KendallTauCorrelation])</f>
        <v>0.9575757575757573</v>
      </c>
      <c r="L11" s="2">
        <f>AVERAGEIF(Table126[ [ Cycle size] ],I11,Table126[DiscountedCumulativeGain])</f>
        <v>0.91386663515654543</v>
      </c>
      <c r="N11" s="24" t="s">
        <v>50</v>
      </c>
      <c r="O11" s="25">
        <f>SUMPRODUCT(I2:I20,J2:J20)/SUM(I2:I20)</f>
        <v>0.61432506887052329</v>
      </c>
      <c r="P11" s="25">
        <f>SUMPRODUCT(I2:I20,K2:K20)/SUM(I2:I20)</f>
        <v>0.92924811193686563</v>
      </c>
      <c r="Q11" s="25">
        <f>SUMPRODUCT(L2:L20,I2:I20)/SUM(I2:I20)</f>
        <v>0.8439506694884662</v>
      </c>
    </row>
    <row r="12" spans="1:17" x14ac:dyDescent="0.45">
      <c r="A12" s="1">
        <v>9.1</v>
      </c>
      <c r="B12" s="1">
        <v>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I12" s="12">
        <v>14</v>
      </c>
      <c r="J12" s="2">
        <f>AVERAGEIF(Table126[[ Cycle size]],I12,Table126[JaccardCoefficient])</f>
        <v>0.476190476190476</v>
      </c>
      <c r="K12" s="2">
        <f>AVERAGEIF(Table126[ [ Cycle size] ],I12,Table126[KendallTauCorrelation])</f>
        <v>0.87545787545787535</v>
      </c>
      <c r="L12" s="2">
        <f>AVERAGEIF(Table126[ [ Cycle size] ],I12,Table126[DiscountedCumulativeGain])</f>
        <v>0.86255168555847106</v>
      </c>
    </row>
    <row r="13" spans="1:17" x14ac:dyDescent="0.45">
      <c r="A13" s="1">
        <v>27.1</v>
      </c>
      <c r="B13" s="1">
        <v>6</v>
      </c>
      <c r="C13" s="1">
        <v>0.66666666666666596</v>
      </c>
      <c r="D13" s="1">
        <v>0.88888888888888795</v>
      </c>
      <c r="E13" s="1">
        <v>0.86666666666666603</v>
      </c>
      <c r="F13" s="1">
        <v>0.76190476190476097</v>
      </c>
      <c r="G13" s="1">
        <v>0.99294897373675595</v>
      </c>
      <c r="I13" s="12">
        <v>15</v>
      </c>
      <c r="J13" s="2">
        <f>AVERAGEIF(Table126[[ Cycle size]],I13,Table126[JaccardCoefficient])</f>
        <v>0.46666666666666601</v>
      </c>
      <c r="K13" s="2">
        <f>AVERAGEIF(Table126[ [ Cycle size] ],I13,Table126[KendallTauCorrelation])</f>
        <v>0.90476190476190399</v>
      </c>
      <c r="L13" s="2">
        <f>AVERAGEIF(Table126[ [ Cycle size] ],I13,Table126[DiscountedCumulativeGain])</f>
        <v>0.74282566427766095</v>
      </c>
    </row>
    <row r="14" spans="1:17" x14ac:dyDescent="0.45">
      <c r="A14" s="1">
        <v>30.1</v>
      </c>
      <c r="B14" s="1">
        <v>6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I14" s="12">
        <v>16</v>
      </c>
      <c r="J14" s="2">
        <f>AVERAGEIF(Table126[[ Cycle size]],I14,Table126[JaccardCoefficient])</f>
        <v>0.5</v>
      </c>
      <c r="K14" s="2">
        <f>AVERAGEIF(Table126[ [ Cycle size] ],I14,Table126[KendallTauCorrelation])</f>
        <v>0.92500000000000004</v>
      </c>
      <c r="L14" s="2">
        <f>AVERAGEIF(Table126[ [ Cycle size] ],I14,Table126[DiscountedCumulativeGain])</f>
        <v>0.782234292492899</v>
      </c>
    </row>
    <row r="15" spans="1:17" x14ac:dyDescent="0.45">
      <c r="A15" s="1">
        <v>1.1000000000000001</v>
      </c>
      <c r="B15" s="1">
        <v>7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I15" s="12">
        <v>17</v>
      </c>
      <c r="J15" s="2">
        <f>AVERAGEIF(Table126[[ Cycle size]],I15,Table126[JaccardCoefficient])</f>
        <v>0.38235294117647045</v>
      </c>
      <c r="K15" s="2">
        <f>AVERAGEIF(Table126[ [ Cycle size] ],I15,Table126[KendallTauCorrelation])</f>
        <v>0.88970588235294101</v>
      </c>
      <c r="L15" s="2">
        <f>AVERAGEIF(Table126[ [ Cycle size] ],I15,Table126[DiscountedCumulativeGain])</f>
        <v>0.71449558754378295</v>
      </c>
    </row>
    <row r="16" spans="1:17" x14ac:dyDescent="0.45">
      <c r="A16" s="1">
        <v>6.1</v>
      </c>
      <c r="B16" s="1">
        <v>7</v>
      </c>
      <c r="C16" s="1">
        <v>0.71428571428571397</v>
      </c>
      <c r="D16" s="1">
        <v>0.91666666666666596</v>
      </c>
      <c r="E16" s="1">
        <v>0.90476190476190399</v>
      </c>
      <c r="F16" s="1">
        <v>0.82142857142857095</v>
      </c>
      <c r="G16" s="1">
        <v>0.95366849560259803</v>
      </c>
      <c r="I16" s="12">
        <v>18</v>
      </c>
      <c r="J16" s="2">
        <f>AVERAGEIF(Table126[[ Cycle size]],I16,Table126[JaccardCoefficient])</f>
        <v>0.72222222222222143</v>
      </c>
      <c r="K16" s="2">
        <f>AVERAGEIF(Table126[ [ Cycle size] ],I16,Table126[KendallTauCorrelation])</f>
        <v>0.96732026143790795</v>
      </c>
      <c r="L16" s="2">
        <f>AVERAGEIF(Table126[ [ Cycle size] ],I16,Table126[DiscountedCumulativeGain])</f>
        <v>0.88427265787522946</v>
      </c>
    </row>
    <row r="17" spans="1:12" x14ac:dyDescent="0.45">
      <c r="A17" s="1">
        <v>8.1</v>
      </c>
      <c r="B17" s="1">
        <v>7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I17" s="12">
        <v>20</v>
      </c>
      <c r="J17" s="2">
        <f>AVERAGEIF(Table126[[ Cycle size]],I17,Table126[JaccardCoefficient])</f>
        <v>0.55000000000000004</v>
      </c>
      <c r="K17" s="2">
        <f>AVERAGEIF(Table126[ [ Cycle size] ],I17,Table126[KendallTauCorrelation])</f>
        <v>0.92105263157894701</v>
      </c>
      <c r="L17" s="2">
        <f>AVERAGEIF(Table126[ [ Cycle size] ],I17,Table126[DiscountedCumulativeGain])</f>
        <v>0.85175558975982057</v>
      </c>
    </row>
    <row r="18" spans="1:12" x14ac:dyDescent="0.45">
      <c r="A18" s="1">
        <v>43.1</v>
      </c>
      <c r="B18" s="1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I18" s="12">
        <v>21</v>
      </c>
      <c r="J18" s="2">
        <f>AVERAGEIF(Table126[[ Cycle size]],I18,Table126[JaccardCoefficient])</f>
        <v>0.476190476190476</v>
      </c>
      <c r="K18" s="2">
        <f>AVERAGEIF(Table126[ [ Cycle size] ],I18,Table126[KendallTauCorrelation])</f>
        <v>0.87619047619047596</v>
      </c>
      <c r="L18" s="2">
        <f>AVERAGEIF(Table126[ [ Cycle size] ],I18,Table126[DiscountedCumulativeGain])</f>
        <v>0.81149888900304601</v>
      </c>
    </row>
    <row r="19" spans="1:12" x14ac:dyDescent="0.45">
      <c r="A19" s="1">
        <v>4.0999999999999996</v>
      </c>
      <c r="B19" s="1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2">
        <v>25</v>
      </c>
      <c r="J19" s="2">
        <f>AVERAGEIF(Table126[[ Cycle size]],I19,Table126[JaccardCoefficient])</f>
        <v>0.56000000000000005</v>
      </c>
      <c r="K19" s="2">
        <f>AVERAGEIF(Table126[ [ Cycle size] ],I19,Table126[KendallTauCorrelation])</f>
        <v>0.94</v>
      </c>
      <c r="L19" s="2">
        <f>AVERAGEIF(Table126[ [ Cycle size] ],I19,Table126[DiscountedCumulativeGain])</f>
        <v>0.747139958403083</v>
      </c>
    </row>
    <row r="20" spans="1:12" x14ac:dyDescent="0.45">
      <c r="A20" s="1">
        <v>13.1</v>
      </c>
      <c r="B20" s="1">
        <v>8</v>
      </c>
      <c r="C20" s="1">
        <v>0.75</v>
      </c>
      <c r="D20" s="1">
        <v>0.9375</v>
      </c>
      <c r="E20" s="1">
        <v>0.92857142857142805</v>
      </c>
      <c r="F20" s="1">
        <v>0.86111111111111105</v>
      </c>
      <c r="G20" s="1">
        <v>0.93161370970685997</v>
      </c>
      <c r="I20" s="12">
        <v>30</v>
      </c>
      <c r="J20" s="2">
        <f>AVERAGEIF(Table126[[ Cycle size]],I20,Table126[JaccardCoefficient])</f>
        <v>0.53333333333333299</v>
      </c>
      <c r="K20" s="2">
        <f>AVERAGEIF(Table126[ [ Cycle size] ],I20,Table126[KendallTauCorrelation])</f>
        <v>0.958620689655172</v>
      </c>
      <c r="L20" s="2">
        <f>AVERAGEIF(Table126[ [ Cycle size] ],I20,Table126[DiscountedCumulativeGain])</f>
        <v>0.82227836858853398</v>
      </c>
    </row>
    <row r="21" spans="1:12" x14ac:dyDescent="0.45">
      <c r="A21" s="1">
        <v>29.1</v>
      </c>
      <c r="B21" s="1">
        <v>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I21" s="12">
        <v>40</v>
      </c>
      <c r="J21" s="2">
        <f>AVERAGEIF(Table126[[ Cycle size]],I21,Table126[JaccardCoefficient])</f>
        <v>0.625</v>
      </c>
      <c r="K21" s="2">
        <f>AVERAGEIF(Table126[ [ Cycle size] ],I21,Table126[KendallTauCorrelation])</f>
        <v>0.90512820512820502</v>
      </c>
      <c r="L21" s="2">
        <f>AVERAGEIF(Table126[ [ Cycle size] ],I21,Table126[DiscountedCumulativeGain])</f>
        <v>0.92087308045251004</v>
      </c>
    </row>
    <row r="22" spans="1:12" x14ac:dyDescent="0.45">
      <c r="A22" s="1">
        <v>2.1</v>
      </c>
      <c r="B22" s="1">
        <v>9</v>
      </c>
      <c r="C22" s="1">
        <v>0.66666666666666596</v>
      </c>
      <c r="D22" s="1">
        <v>0.85</v>
      </c>
      <c r="E22" s="1">
        <v>0.77777777777777701</v>
      </c>
      <c r="F22" s="1">
        <v>0.91111111111111098</v>
      </c>
      <c r="G22" s="1">
        <v>0.83555344388164199</v>
      </c>
      <c r="I22" s="12">
        <v>90</v>
      </c>
      <c r="J22" s="2">
        <f>AVERAGEIF(Table126[[ Cycle size]],I22,Table126[JaccardCoefficient])</f>
        <v>0.17777777777777701</v>
      </c>
      <c r="K22" s="2">
        <f>AVERAGEIF(Table126[ [ Cycle size] ],I22,Table126[KendallTauCorrelation])</f>
        <v>0.90561797752808904</v>
      </c>
      <c r="L22" s="2">
        <f>AVERAGEIF(Table126[ [ Cycle size] ],I22,Table126[DiscountedCumulativeGain])</f>
        <v>0.48736772558338498</v>
      </c>
    </row>
    <row r="23" spans="1:12" x14ac:dyDescent="0.45">
      <c r="A23" s="1">
        <v>11.1</v>
      </c>
      <c r="B23" s="1">
        <v>9</v>
      </c>
      <c r="C23" s="1">
        <v>0.22222222222222199</v>
      </c>
      <c r="D23" s="1">
        <v>0.8</v>
      </c>
      <c r="E23" s="1">
        <v>0.77777777777777701</v>
      </c>
      <c r="F23" s="1">
        <v>0.22222222222222199</v>
      </c>
      <c r="G23" s="1">
        <v>0.97097598914641803</v>
      </c>
      <c r="I23"/>
      <c r="J23"/>
    </row>
    <row r="24" spans="1:12" x14ac:dyDescent="0.45">
      <c r="A24" s="1">
        <v>17.100000000000001</v>
      </c>
      <c r="B24" s="1">
        <v>9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I24"/>
      <c r="J24"/>
    </row>
    <row r="25" spans="1:12" x14ac:dyDescent="0.45">
      <c r="A25" s="1">
        <v>21.1</v>
      </c>
      <c r="B25" s="1">
        <v>9</v>
      </c>
      <c r="C25" s="1">
        <v>0.77777777777777701</v>
      </c>
      <c r="D25" s="1">
        <v>0.95</v>
      </c>
      <c r="E25" s="1">
        <v>0.94444444444444398</v>
      </c>
      <c r="F25" s="1">
        <v>0.97777777777777697</v>
      </c>
      <c r="G25" s="1">
        <v>0.86492944988589404</v>
      </c>
      <c r="I25"/>
      <c r="J25"/>
    </row>
    <row r="26" spans="1:12" x14ac:dyDescent="0.45">
      <c r="A26" s="1">
        <v>40.1</v>
      </c>
      <c r="B26" s="1">
        <v>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</row>
    <row r="27" spans="1:12" x14ac:dyDescent="0.45">
      <c r="A27" s="1">
        <v>37.1</v>
      </c>
      <c r="B27" s="1">
        <v>10</v>
      </c>
      <c r="C27" s="1">
        <v>0.6</v>
      </c>
      <c r="D27" s="1">
        <v>0.88</v>
      </c>
      <c r="E27" s="1">
        <v>0.86666666666666603</v>
      </c>
      <c r="F27" s="1">
        <v>0.89090909090908998</v>
      </c>
      <c r="G27" s="1">
        <v>0.78034632844076401</v>
      </c>
    </row>
    <row r="28" spans="1:12" x14ac:dyDescent="0.45">
      <c r="A28" s="1">
        <v>38.1</v>
      </c>
      <c r="B28" s="1">
        <v>10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</row>
    <row r="29" spans="1:12" x14ac:dyDescent="0.45">
      <c r="A29" s="1">
        <v>42.1</v>
      </c>
      <c r="B29" s="1">
        <v>10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</row>
    <row r="30" spans="1:12" x14ac:dyDescent="0.45">
      <c r="A30" s="1">
        <v>3.1</v>
      </c>
      <c r="B30" s="1">
        <v>12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</row>
    <row r="31" spans="1:12" x14ac:dyDescent="0.45">
      <c r="A31" s="1">
        <v>12.1</v>
      </c>
      <c r="B31" s="1">
        <v>12</v>
      </c>
      <c r="C31" s="1">
        <v>0.66666666666666596</v>
      </c>
      <c r="D31" s="1">
        <v>0.94444444444444398</v>
      </c>
      <c r="E31" s="1">
        <v>0.939393939393939</v>
      </c>
      <c r="F31" s="1">
        <v>0.87179487179487103</v>
      </c>
      <c r="G31" s="1">
        <v>0.81154648351841296</v>
      </c>
    </row>
    <row r="32" spans="1:12" x14ac:dyDescent="0.45">
      <c r="A32" s="1">
        <v>15.1</v>
      </c>
      <c r="B32" s="1">
        <v>12</v>
      </c>
      <c r="C32" s="1">
        <v>0.75</v>
      </c>
      <c r="D32" s="1">
        <v>0.94444444444444398</v>
      </c>
      <c r="E32" s="1">
        <v>0.939393939393939</v>
      </c>
      <c r="F32" s="1">
        <v>0.96153846153846101</v>
      </c>
      <c r="G32" s="1">
        <v>0.82320266216219795</v>
      </c>
    </row>
    <row r="33" spans="1:7" x14ac:dyDescent="0.45">
      <c r="A33" s="1">
        <v>41.1</v>
      </c>
      <c r="B33" s="1">
        <v>12</v>
      </c>
      <c r="C33" s="1">
        <v>0.66666666666666596</v>
      </c>
      <c r="D33" s="1">
        <v>0.94444444444444398</v>
      </c>
      <c r="E33" s="1">
        <v>0.939393939393939</v>
      </c>
      <c r="F33" s="1">
        <v>0.61538461538461497</v>
      </c>
      <c r="G33" s="1">
        <v>0.96632679395196797</v>
      </c>
    </row>
    <row r="34" spans="1:7" x14ac:dyDescent="0.45">
      <c r="A34" s="1">
        <v>47.1</v>
      </c>
      <c r="B34" s="1">
        <v>12</v>
      </c>
      <c r="C34" s="1">
        <v>0.83333333333333304</v>
      </c>
      <c r="D34" s="1">
        <v>0.97222222222222199</v>
      </c>
      <c r="E34" s="1">
        <v>0.96969696969696895</v>
      </c>
      <c r="F34" s="1">
        <v>0.73076923076922995</v>
      </c>
      <c r="G34" s="1">
        <v>0.96825723615014903</v>
      </c>
    </row>
    <row r="35" spans="1:7" x14ac:dyDescent="0.45">
      <c r="A35" s="1">
        <v>25.1</v>
      </c>
      <c r="B35" s="1">
        <v>14</v>
      </c>
      <c r="C35" s="1">
        <v>0.5</v>
      </c>
      <c r="D35" s="1">
        <v>0.91836734693877498</v>
      </c>
      <c r="E35" s="1">
        <v>0.91208791208791196</v>
      </c>
      <c r="F35" s="1">
        <v>0.46666666666666601</v>
      </c>
      <c r="G35" s="1">
        <v>0.90400419012592104</v>
      </c>
    </row>
    <row r="36" spans="1:7" x14ac:dyDescent="0.45">
      <c r="A36" s="1">
        <v>28.1</v>
      </c>
      <c r="B36" s="1">
        <v>14</v>
      </c>
      <c r="C36" s="1">
        <v>0.214285714285714</v>
      </c>
      <c r="D36" s="1">
        <v>0.81632653061224403</v>
      </c>
      <c r="E36" s="1">
        <v>0.78021978021978</v>
      </c>
      <c r="F36" s="1">
        <v>0.27619047619047599</v>
      </c>
      <c r="G36" s="1">
        <v>0.77521347711262001</v>
      </c>
    </row>
    <row r="37" spans="1:7" x14ac:dyDescent="0.45">
      <c r="A37" s="1">
        <v>49.1</v>
      </c>
      <c r="B37" s="1">
        <v>14</v>
      </c>
      <c r="C37" s="1">
        <v>0.71428571428571397</v>
      </c>
      <c r="D37" s="1">
        <v>0.93877551020408101</v>
      </c>
      <c r="E37" s="1">
        <v>0.93406593406593397</v>
      </c>
      <c r="F37" s="1">
        <v>0.75238095238095204</v>
      </c>
      <c r="G37" s="1">
        <v>0.90843738943687202</v>
      </c>
    </row>
    <row r="38" spans="1:7" x14ac:dyDescent="0.45">
      <c r="A38" s="1">
        <v>46.1</v>
      </c>
      <c r="B38" s="1">
        <v>15</v>
      </c>
      <c r="C38" s="1">
        <v>0.46666666666666601</v>
      </c>
      <c r="D38" s="1">
        <v>0.91071428571428503</v>
      </c>
      <c r="E38" s="1">
        <v>0.90476190476190399</v>
      </c>
      <c r="F38" s="1">
        <v>0.65</v>
      </c>
      <c r="G38" s="1">
        <v>0.74282566427766095</v>
      </c>
    </row>
    <row r="39" spans="1:7" x14ac:dyDescent="0.45">
      <c r="A39" s="1">
        <v>7.1</v>
      </c>
      <c r="B39" s="1">
        <v>16</v>
      </c>
      <c r="C39" s="1">
        <v>0.375</v>
      </c>
      <c r="D39" s="1">
        <v>0.90625</v>
      </c>
      <c r="E39" s="1">
        <v>0.9</v>
      </c>
      <c r="F39" s="1">
        <v>0.49264705882352899</v>
      </c>
      <c r="G39" s="1">
        <v>0.746297563946967</v>
      </c>
    </row>
    <row r="40" spans="1:7" x14ac:dyDescent="0.45">
      <c r="A40" s="1">
        <v>34.1</v>
      </c>
      <c r="B40" s="1">
        <v>16</v>
      </c>
      <c r="C40" s="1">
        <v>0.625</v>
      </c>
      <c r="D40" s="1">
        <v>0.953125</v>
      </c>
      <c r="E40" s="1">
        <v>0.95</v>
      </c>
      <c r="F40" s="1">
        <v>0.74264705882352899</v>
      </c>
      <c r="G40" s="1">
        <v>0.81817102103883099</v>
      </c>
    </row>
    <row r="41" spans="1:7" x14ac:dyDescent="0.45">
      <c r="A41" s="1">
        <v>14.1</v>
      </c>
      <c r="B41" s="1">
        <v>17</v>
      </c>
      <c r="C41" s="1">
        <v>0.17647058823529399</v>
      </c>
      <c r="D41" s="1">
        <v>0.86111111111111105</v>
      </c>
      <c r="E41" s="1">
        <v>0.85294117647058798</v>
      </c>
      <c r="F41" s="1">
        <v>0.24836601307189499</v>
      </c>
      <c r="G41" s="1">
        <v>0.70317412006939595</v>
      </c>
    </row>
    <row r="42" spans="1:7" x14ac:dyDescent="0.45">
      <c r="A42" s="1">
        <v>36.1</v>
      </c>
      <c r="B42" s="1">
        <v>17</v>
      </c>
      <c r="C42" s="1">
        <v>0.58823529411764697</v>
      </c>
      <c r="D42" s="1">
        <v>0.93055555555555503</v>
      </c>
      <c r="E42" s="1">
        <v>0.92647058823529405</v>
      </c>
      <c r="F42" s="1">
        <v>0.82352941176470495</v>
      </c>
      <c r="G42" s="1">
        <v>0.72581705501816995</v>
      </c>
    </row>
    <row r="43" spans="1:7" x14ac:dyDescent="0.45">
      <c r="A43" s="1">
        <v>45.1</v>
      </c>
      <c r="B43" s="1">
        <v>18</v>
      </c>
      <c r="C43" s="1">
        <v>0.55555555555555503</v>
      </c>
      <c r="D43" s="1">
        <v>0.95061728395061695</v>
      </c>
      <c r="E43" s="1">
        <v>0.947712418300653</v>
      </c>
      <c r="F43" s="1">
        <v>0.64912280701754299</v>
      </c>
      <c r="G43" s="1">
        <v>0.79692830436653195</v>
      </c>
    </row>
    <row r="44" spans="1:7" x14ac:dyDescent="0.45">
      <c r="A44" s="1">
        <v>48.1</v>
      </c>
      <c r="B44" s="1">
        <v>18</v>
      </c>
      <c r="C44" s="1">
        <v>0.88888888888888795</v>
      </c>
      <c r="D44" s="1">
        <v>0.98765432098765404</v>
      </c>
      <c r="E44" s="1">
        <v>0.986928104575163</v>
      </c>
      <c r="F44" s="1">
        <v>0.87719298245613997</v>
      </c>
      <c r="G44" s="1">
        <v>0.97161701138392698</v>
      </c>
    </row>
    <row r="45" spans="1:7" x14ac:dyDescent="0.45">
      <c r="A45" s="1">
        <v>18.100000000000001</v>
      </c>
      <c r="B45" s="1">
        <v>20</v>
      </c>
      <c r="C45" s="1">
        <v>0.6</v>
      </c>
      <c r="D45" s="1">
        <v>0.94</v>
      </c>
      <c r="E45" s="1">
        <v>0.92631578947368398</v>
      </c>
      <c r="F45" s="1">
        <v>0.61904761904761896</v>
      </c>
      <c r="G45" s="1">
        <v>0.84950528707591899</v>
      </c>
    </row>
    <row r="46" spans="1:7" x14ac:dyDescent="0.45">
      <c r="A46" s="1">
        <v>35.1</v>
      </c>
      <c r="B46" s="1">
        <v>20</v>
      </c>
      <c r="C46" s="1">
        <v>0.5</v>
      </c>
      <c r="D46" s="1">
        <v>0.92</v>
      </c>
      <c r="E46" s="1">
        <v>0.91578947368421004</v>
      </c>
      <c r="F46" s="1">
        <v>0.452380952380952</v>
      </c>
      <c r="G46" s="1">
        <v>0.85400589244372205</v>
      </c>
    </row>
    <row r="47" spans="1:7" x14ac:dyDescent="0.45">
      <c r="A47" s="1">
        <v>24.1</v>
      </c>
      <c r="B47" s="1">
        <v>21</v>
      </c>
      <c r="C47" s="1">
        <v>0.476190476190476</v>
      </c>
      <c r="D47" s="1">
        <v>0.89090909090908998</v>
      </c>
      <c r="E47" s="1">
        <v>0.87619047619047596</v>
      </c>
      <c r="F47" s="1">
        <v>0.50216450216450204</v>
      </c>
      <c r="G47" s="1">
        <v>0.81149888900304601</v>
      </c>
    </row>
    <row r="48" spans="1:7" x14ac:dyDescent="0.45">
      <c r="A48" s="1">
        <v>44.1</v>
      </c>
      <c r="B48" s="1">
        <v>25</v>
      </c>
      <c r="C48" s="1">
        <v>0.56000000000000005</v>
      </c>
      <c r="D48" s="1">
        <v>0.94871794871794801</v>
      </c>
      <c r="E48" s="1">
        <v>0.94</v>
      </c>
      <c r="F48" s="1">
        <v>0.67076923076923001</v>
      </c>
      <c r="G48" s="1">
        <v>0.747139958403083</v>
      </c>
    </row>
    <row r="49" spans="1:7" x14ac:dyDescent="0.45">
      <c r="A49" s="1">
        <v>31.1</v>
      </c>
      <c r="B49" s="1">
        <v>30</v>
      </c>
      <c r="C49" s="1">
        <v>0.53333333333333299</v>
      </c>
      <c r="D49" s="1">
        <v>0.96</v>
      </c>
      <c r="E49" s="1">
        <v>0.958620689655172</v>
      </c>
      <c r="F49" s="1">
        <v>0.48172043010752602</v>
      </c>
      <c r="G49" s="1">
        <v>0.82227836858853398</v>
      </c>
    </row>
    <row r="50" spans="1:7" x14ac:dyDescent="0.45">
      <c r="A50" s="1">
        <v>16.100000000000001</v>
      </c>
      <c r="B50" s="1">
        <v>40</v>
      </c>
      <c r="C50" s="1">
        <v>0.625</v>
      </c>
      <c r="D50" s="1">
        <v>0.9325</v>
      </c>
      <c r="E50" s="1">
        <v>0.90512820512820502</v>
      </c>
      <c r="F50" s="1">
        <v>0.46707317073170701</v>
      </c>
      <c r="G50" s="1">
        <v>0.92087308045251004</v>
      </c>
    </row>
    <row r="51" spans="1:7" x14ac:dyDescent="0.45">
      <c r="A51" s="1">
        <v>19.100000000000001</v>
      </c>
      <c r="B51" s="1">
        <v>90</v>
      </c>
      <c r="C51" s="1">
        <v>0.17777777777777701</v>
      </c>
      <c r="D51" s="1">
        <v>0.926419753086419</v>
      </c>
      <c r="E51" s="1">
        <v>0.90561797752808904</v>
      </c>
      <c r="F51" s="1">
        <v>0.18656898656898599</v>
      </c>
      <c r="G51" s="1">
        <v>0.48736772558338498</v>
      </c>
    </row>
    <row r="52" spans="1:7" x14ac:dyDescent="0.45">
      <c r="A52" s="1" t="s">
        <v>32</v>
      </c>
      <c r="B52" s="1"/>
      <c r="C52" s="1">
        <f>SUBTOTAL(101,Table126[JaccardCoefficient])</f>
        <v>0.73781951447245542</v>
      </c>
      <c r="D52" s="1">
        <f>SUBTOTAL(101,Table126[MismatchDistanceCoefficient])</f>
        <v>0.9444130969779776</v>
      </c>
      <c r="E52" s="1">
        <f>SUBTOTAL(101,Table126[KendallTauCorrelation])</f>
        <v>0.93421458436511673</v>
      </c>
      <c r="F52" s="1">
        <f>SUBTOTAL(101,Table126[MismatchPositionCoefficient])</f>
        <v>0.78768840289835562</v>
      </c>
      <c r="G52" s="1">
        <f>SUBTOTAL(101,Table126[DiscountedCumulativeGain])</f>
        <v>0.9044424770265822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2"/>
  <sheetViews>
    <sheetView tabSelected="1" topLeftCell="G1" zoomScaleNormal="100" workbookViewId="0">
      <selection activeCell="N13" sqref="N13"/>
    </sheetView>
  </sheetViews>
  <sheetFormatPr defaultColWidth="8.73046875" defaultRowHeight="14.25" x14ac:dyDescent="0.45"/>
  <cols>
    <col min="1" max="1" width="9.9296875" style="1" customWidth="1"/>
    <col min="2" max="2" width="10.33203125" style="1" customWidth="1"/>
    <col min="3" max="3" width="8.73046875" style="1"/>
    <col min="4" max="4" width="12.9296875" style="11" customWidth="1"/>
    <col min="5" max="5" width="13.06640625" style="11" customWidth="1"/>
    <col min="6" max="6" width="10.33203125" style="1" customWidth="1"/>
    <col min="7" max="7" width="8.73046875" style="1"/>
    <col min="8" max="8" width="10.59765625" style="1" customWidth="1"/>
    <col min="9" max="9" width="15.19921875" style="1" customWidth="1"/>
    <col min="10" max="10" width="17.46484375" style="1" customWidth="1"/>
    <col min="11" max="11" width="13" style="1" customWidth="1"/>
    <col min="12" max="13" width="8.73046875" style="1"/>
    <col min="14" max="14" width="34.33203125" style="1" customWidth="1"/>
    <col min="15" max="16384" width="8.73046875" style="1"/>
  </cols>
  <sheetData>
    <row r="1" spans="1:17" x14ac:dyDescent="0.4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s="1" t="s">
        <v>4</v>
      </c>
      <c r="J1" s="1" t="s">
        <v>33</v>
      </c>
      <c r="K1" s="1" t="s">
        <v>29</v>
      </c>
      <c r="L1" s="1" t="s">
        <v>34</v>
      </c>
      <c r="N1" s="15" t="s">
        <v>44</v>
      </c>
      <c r="O1" s="16" t="s">
        <v>33</v>
      </c>
      <c r="P1" s="16" t="s">
        <v>29</v>
      </c>
      <c r="Q1" s="17" t="s">
        <v>34</v>
      </c>
    </row>
    <row r="2" spans="1:17" x14ac:dyDescent="0.45">
      <c r="A2" s="1">
        <v>20.399999999999999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AVERAGEIF(Table12633[[ Cycle size]],I2,Table12633[JaccardCoefficient])</f>
        <v>1</v>
      </c>
      <c r="K2" s="2">
        <f>AVERAGEIF(Table12633[ [ Cycle size] ],I2,Table12633[KendallTauCorrelation])</f>
        <v>1</v>
      </c>
      <c r="L2" s="2">
        <f>AVERAGEIF(Table12633[ [ Cycle size] ],I2,Table12633[DiscountedCumulativeGain])</f>
        <v>1</v>
      </c>
      <c r="N2" s="18" t="s">
        <v>45</v>
      </c>
      <c r="O2" s="19">
        <f>CORREL(I2:I22, J2:J22)</f>
        <v>-0.57230055083887155</v>
      </c>
      <c r="P2" s="19">
        <f>CORREL(I2:I22, K2:K22)</f>
        <v>-0.36902571311328258</v>
      </c>
      <c r="Q2" s="20">
        <f>CORREL(I2:I22, L2:L22)</f>
        <v>-0.46035458052708023</v>
      </c>
    </row>
    <row r="3" spans="1:17" x14ac:dyDescent="0.45">
      <c r="A3" s="1">
        <v>5.4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3</v>
      </c>
      <c r="J3" s="2">
        <f>AVERAGEIF(Table12633[[ Cycle size]],I3,Table12633[JaccardCoefficient])</f>
        <v>1</v>
      </c>
      <c r="K3" s="2">
        <f>AVERAGEIF(Table12633[ [ Cycle size] ],I3,Table12633[KendallTauCorrelation])</f>
        <v>1</v>
      </c>
      <c r="L3" s="2">
        <f>AVERAGEIF(Table12633[ [ Cycle size] ],I3,Table12633[DiscountedCumulativeGain])</f>
        <v>1</v>
      </c>
      <c r="N3" s="21" t="s">
        <v>44</v>
      </c>
      <c r="O3" s="22" t="s">
        <v>33</v>
      </c>
      <c r="P3" s="22" t="s">
        <v>29</v>
      </c>
      <c r="Q3" s="23" t="s">
        <v>34</v>
      </c>
    </row>
    <row r="4" spans="1:17" x14ac:dyDescent="0.45">
      <c r="A4" s="1">
        <v>10.4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4</v>
      </c>
      <c r="J4" s="2">
        <f>AVERAGEIF(Table12633[[ Cycle size]],I4,Table12633[JaccardCoefficient])</f>
        <v>1</v>
      </c>
      <c r="K4" s="2">
        <f>AVERAGEIF(Table12633[ [ Cycle size] ],I4,Table12633[KendallTauCorrelation])</f>
        <v>1</v>
      </c>
      <c r="L4" s="2">
        <f>AVERAGEIF(Table12633[ [ Cycle size] ],I4,Table12633[DiscountedCumulativeGain])</f>
        <v>1</v>
      </c>
      <c r="N4" s="24" t="s">
        <v>46</v>
      </c>
      <c r="O4" s="25">
        <f>CORREL(I2:I20, J2:J20)</f>
        <v>-0.36116740939242498</v>
      </c>
      <c r="P4" s="25">
        <f>CORREL(I2:I20, K2:K20)</f>
        <v>-9.9536103085989855E-2</v>
      </c>
      <c r="Q4" s="26">
        <f>CORREL(I2:I20, L2:L20)</f>
        <v>-0.4960459807218307</v>
      </c>
    </row>
    <row r="5" spans="1:17" x14ac:dyDescent="0.45">
      <c r="A5" s="1">
        <v>22.4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2">
        <v>5</v>
      </c>
      <c r="J5" s="2">
        <f>AVERAGEIF(Table12633[[ Cycle size]],I5,Table12633[JaccardCoefficient])</f>
        <v>1</v>
      </c>
      <c r="K5" s="2">
        <f>AVERAGEIF(Table12633[ [ Cycle size] ],I5,Table12633[KendallTauCorrelation])</f>
        <v>1</v>
      </c>
      <c r="L5" s="2">
        <f>AVERAGEIF(Table12633[ [ Cycle size] ],I5,Table12633[DiscountedCumulativeGain])</f>
        <v>1</v>
      </c>
      <c r="N5" s="27" t="s">
        <v>44</v>
      </c>
      <c r="O5" s="28" t="s">
        <v>33</v>
      </c>
      <c r="P5" s="28" t="s">
        <v>29</v>
      </c>
      <c r="Q5" s="29" t="s">
        <v>34</v>
      </c>
    </row>
    <row r="6" spans="1:17" x14ac:dyDescent="0.45">
      <c r="A6" s="1">
        <v>33.4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2">
        <v>6</v>
      </c>
      <c r="J6" s="2">
        <f>AVERAGEIF(Table12633[[ Cycle size]],I6,Table12633[JaccardCoefficient])</f>
        <v>0.83333333333333337</v>
      </c>
      <c r="K6" s="2">
        <f>AVERAGEIF(Table12633[ [ Cycle size] ],I6,Table12633[KendallTauCorrelation])</f>
        <v>0.91111111111111098</v>
      </c>
      <c r="L6" s="2">
        <f>AVERAGEIF(Table12633[ [ Cycle size] ],I6,Table12633[DiscountedCumulativeGain])</f>
        <v>0.98592613764676729</v>
      </c>
      <c r="N6" s="24" t="s">
        <v>47</v>
      </c>
      <c r="O6" s="25">
        <f>AVERAGEA(J2:J22)</f>
        <v>0.87740007113956708</v>
      </c>
      <c r="P6" s="25">
        <f t="shared" ref="P6:Q6" si="0">AVERAGEA(K2:K22)</f>
        <v>0.96806634608817277</v>
      </c>
      <c r="Q6" s="25">
        <f t="shared" si="0"/>
        <v>0.96826257553683448</v>
      </c>
    </row>
    <row r="7" spans="1:17" x14ac:dyDescent="0.45">
      <c r="A7" s="1">
        <v>39.4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7</v>
      </c>
      <c r="J7" s="2">
        <f>AVERAGEIF(Table12633[[ Cycle size]],I7,Table12633[JaccardCoefficient])</f>
        <v>0.78571428571428548</v>
      </c>
      <c r="K7" s="2">
        <f>AVERAGEIF(Table12633[ [ Cycle size] ],I7,Table12633[KendallTauCorrelation])</f>
        <v>0.90476190476190443</v>
      </c>
      <c r="L7" s="2">
        <f>AVERAGEIF(Table12633[ [ Cycle size] ],I7,Table12633[DiscountedCumulativeGain])</f>
        <v>0.98321915010162608</v>
      </c>
      <c r="N7" s="27" t="s">
        <v>44</v>
      </c>
      <c r="O7" s="28" t="s">
        <v>33</v>
      </c>
      <c r="P7" s="28" t="s">
        <v>29</v>
      </c>
      <c r="Q7" s="29" t="s">
        <v>34</v>
      </c>
    </row>
    <row r="8" spans="1:17" x14ac:dyDescent="0.45">
      <c r="A8" s="1">
        <v>26.4</v>
      </c>
      <c r="B8" s="1">
        <v>4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2">
        <v>8</v>
      </c>
      <c r="J8" s="2">
        <f>AVERAGEIF(Table12633[[ Cycle size]],I8,Table12633[JaccardCoefficient])</f>
        <v>1</v>
      </c>
      <c r="K8" s="2">
        <f>AVERAGEIF(Table12633[ [ Cycle size] ],I8,Table12633[KendallTauCorrelation])</f>
        <v>1</v>
      </c>
      <c r="L8" s="2">
        <f>AVERAGEIF(Table12633[ [ Cycle size] ],I8,Table12633[DiscountedCumulativeGain])</f>
        <v>1</v>
      </c>
      <c r="N8" s="24" t="s">
        <v>48</v>
      </c>
      <c r="O8" s="25">
        <f>MEDIAN(J2:J22)</f>
        <v>0.93333333333333324</v>
      </c>
      <c r="P8" s="25">
        <f t="shared" ref="P8:Q8" si="1">MEDIAN(K2:K22)</f>
        <v>0.99540229885057396</v>
      </c>
      <c r="Q8" s="25">
        <f t="shared" si="1"/>
        <v>0.992137684102259</v>
      </c>
    </row>
    <row r="9" spans="1:17" x14ac:dyDescent="0.45">
      <c r="A9" s="1">
        <v>32.4</v>
      </c>
      <c r="B9" s="1">
        <v>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2">
        <v>9</v>
      </c>
      <c r="J9" s="2">
        <f>AVERAGEIF(Table12633[[ Cycle size]],I9,Table12633[JaccardCoefficient])</f>
        <v>1</v>
      </c>
      <c r="K9" s="2">
        <f>AVERAGEIF(Table12633[ [ Cycle size] ],I9,Table12633[KendallTauCorrelation])</f>
        <v>1</v>
      </c>
      <c r="L9" s="2">
        <f>AVERAGEIF(Table12633[ [ Cycle size] ],I9,Table12633[DiscountedCumulativeGain])</f>
        <v>1</v>
      </c>
      <c r="N9" s="27" t="s">
        <v>44</v>
      </c>
      <c r="O9" s="28" t="s">
        <v>33</v>
      </c>
      <c r="P9" s="28" t="s">
        <v>29</v>
      </c>
      <c r="Q9" s="29" t="s">
        <v>34</v>
      </c>
    </row>
    <row r="10" spans="1:17" x14ac:dyDescent="0.45">
      <c r="A10" s="1">
        <v>50.4</v>
      </c>
      <c r="B10" s="1">
        <v>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I10" s="12">
        <v>10</v>
      </c>
      <c r="J10" s="2">
        <f>AVERAGEIF(Table12633[[ Cycle size]],I10,Table12633[JaccardCoefficient])</f>
        <v>0.93333333333333324</v>
      </c>
      <c r="K10" s="2">
        <f>AVERAGEIF(Table12633[ [ Cycle size] ],I10,Table12633[KendallTauCorrelation])</f>
        <v>0.98518518518518494</v>
      </c>
      <c r="L10" s="2">
        <f>AVERAGEIF(Table12633[ [ Cycle size] ],I10,Table12633[DiscountedCumulativeGain])</f>
        <v>0.992137684102259</v>
      </c>
      <c r="N10" s="24" t="s">
        <v>49</v>
      </c>
      <c r="O10" s="25">
        <f>SUMPRODUCT($I$2:$I$22,J2:J22)/SUM($I$2:$I$22)</f>
        <v>0.78351254480286736</v>
      </c>
      <c r="P10" s="25">
        <f t="shared" ref="P10:Q10" si="2">SUMPRODUCT($I$2:$I$22,K2:K22)/SUM($I$2:$I$22)</f>
        <v>0.95238235843766994</v>
      </c>
      <c r="Q10" s="25">
        <f t="shared" si="2"/>
        <v>0.94622546966126475</v>
      </c>
    </row>
    <row r="11" spans="1:17" x14ac:dyDescent="0.45">
      <c r="A11" s="1">
        <v>23.4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2">
        <v>12</v>
      </c>
      <c r="J11" s="2">
        <f>AVERAGEIF(Table12633[[ Cycle size]],I11,Table12633[JaccardCoefficient])</f>
        <v>0.8999999999999998</v>
      </c>
      <c r="K11" s="2">
        <f>AVERAGEIF(Table12633[ [ Cycle size] ],I11,Table12633[KendallTauCorrelation])</f>
        <v>0.9818181818181817</v>
      </c>
      <c r="L11" s="2">
        <f>AVERAGEIF(Table12633[ [ Cycle size] ],I11,Table12633[DiscountedCumulativeGain])</f>
        <v>0.96207528906942019</v>
      </c>
      <c r="N11" s="24" t="s">
        <v>50</v>
      </c>
      <c r="O11" s="25">
        <f>SUMPRODUCT(I2:I20,J2:J20)/SUM(I2:I20)</f>
        <v>0.87796143250688696</v>
      </c>
      <c r="P11" s="25">
        <f>SUMPRODUCT(I2:I20,K2:K20)/SUM(I2:I20)</f>
        <v>0.97174645385617897</v>
      </c>
      <c r="Q11" s="25">
        <f>SUMPRODUCT(L2:L20,I2:I20)/SUM(I2:I20)</f>
        <v>0.96052057377480737</v>
      </c>
    </row>
    <row r="12" spans="1:17" x14ac:dyDescent="0.45">
      <c r="A12" s="1">
        <v>9.4</v>
      </c>
      <c r="B12" s="1">
        <v>6</v>
      </c>
      <c r="C12" s="1">
        <v>0.5</v>
      </c>
      <c r="D12" s="1">
        <v>0.77777777777777701</v>
      </c>
      <c r="E12" s="1">
        <v>0.73333333333333295</v>
      </c>
      <c r="F12" s="1">
        <v>0.71428571428571397</v>
      </c>
      <c r="G12" s="1">
        <v>0.95777841294030197</v>
      </c>
      <c r="I12" s="12">
        <v>14</v>
      </c>
      <c r="J12" s="2">
        <f>AVERAGEIF(Table12633[[ Cycle size]],I12,Table12633[JaccardCoefficient])</f>
        <v>0.80952380952380931</v>
      </c>
      <c r="K12" s="2">
        <f>AVERAGEIF(Table12633[ [ Cycle size] ],I12,Table12633[KendallTauCorrelation])</f>
        <v>0.92673992673992667</v>
      </c>
      <c r="L12" s="2">
        <f>AVERAGEIF(Table12633[ [ Cycle size] ],I12,Table12633[DiscountedCumulativeGain])</f>
        <v>0.90870146542822938</v>
      </c>
    </row>
    <row r="13" spans="1:17" x14ac:dyDescent="0.45">
      <c r="A13" s="1">
        <v>27.4</v>
      </c>
      <c r="B13" s="1">
        <v>6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I13" s="12">
        <v>15</v>
      </c>
      <c r="J13" s="2">
        <f>AVERAGEIF(Table12633[[ Cycle size]],I13,Table12633[JaccardCoefficient])</f>
        <v>1</v>
      </c>
      <c r="K13" s="2">
        <f>AVERAGEIF(Table12633[ [ Cycle size] ],I13,Table12633[KendallTauCorrelation])</f>
        <v>1</v>
      </c>
      <c r="L13" s="2">
        <f>AVERAGEIF(Table12633[ [ Cycle size] ],I13,Table12633[DiscountedCumulativeGain])</f>
        <v>1</v>
      </c>
    </row>
    <row r="14" spans="1:17" x14ac:dyDescent="0.45">
      <c r="A14" s="1">
        <v>30.4</v>
      </c>
      <c r="B14" s="1">
        <v>6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I14" s="12">
        <v>16</v>
      </c>
      <c r="J14" s="2">
        <f>AVERAGEIF(Table12633[[ Cycle size]],I14,Table12633[JaccardCoefficient])</f>
        <v>1</v>
      </c>
      <c r="K14" s="2">
        <f>AVERAGEIF(Table12633[ [ Cycle size] ],I14,Table12633[KendallTauCorrelation])</f>
        <v>1</v>
      </c>
      <c r="L14" s="2">
        <f>AVERAGEIF(Table12633[ [ Cycle size] ],I14,Table12633[DiscountedCumulativeGain])</f>
        <v>1</v>
      </c>
    </row>
    <row r="15" spans="1:17" x14ac:dyDescent="0.45">
      <c r="A15" s="1">
        <v>1.4</v>
      </c>
      <c r="B15" s="1">
        <v>7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I15" s="12">
        <v>17</v>
      </c>
      <c r="J15" s="2">
        <f>AVERAGEIF(Table12633[[ Cycle size]],I15,Table12633[JaccardCoefficient])</f>
        <v>0.85294117647058798</v>
      </c>
      <c r="K15" s="2">
        <f>AVERAGEIF(Table12633[ [ Cycle size] ],I15,Table12633[KendallTauCorrelation])</f>
        <v>0.96323529411764697</v>
      </c>
      <c r="L15" s="2">
        <f>AVERAGEIF(Table12633[ [ Cycle size] ],I15,Table12633[DiscountedCumulativeGain])</f>
        <v>0.97635362219963051</v>
      </c>
    </row>
    <row r="16" spans="1:17" x14ac:dyDescent="0.45">
      <c r="A16" s="1">
        <v>6.4</v>
      </c>
      <c r="B16" s="1">
        <v>7</v>
      </c>
      <c r="C16" s="1">
        <v>0.57142857142857095</v>
      </c>
      <c r="D16" s="1">
        <v>0.83333333333333304</v>
      </c>
      <c r="E16" s="1">
        <v>0.80952380952380898</v>
      </c>
      <c r="F16" s="1">
        <v>0.67857142857142805</v>
      </c>
      <c r="G16" s="1">
        <v>0.96643830020325205</v>
      </c>
      <c r="I16" s="12">
        <v>18</v>
      </c>
      <c r="J16" s="2">
        <f>AVERAGEIF(Table12633[[ Cycle size]],I16,Table12633[JaccardCoefficient])</f>
        <v>1</v>
      </c>
      <c r="K16" s="2">
        <f>AVERAGEIF(Table12633[ [ Cycle size] ],I16,Table12633[KendallTauCorrelation])</f>
        <v>1</v>
      </c>
      <c r="L16" s="2">
        <f>AVERAGEIF(Table12633[ [ Cycle size] ],I16,Table12633[DiscountedCumulativeGain])</f>
        <v>1</v>
      </c>
    </row>
    <row r="17" spans="1:12" x14ac:dyDescent="0.45">
      <c r="A17" s="1">
        <v>8.4</v>
      </c>
      <c r="B17" s="1">
        <v>7</v>
      </c>
      <c r="C17" s="1">
        <v>0.57142857142857095</v>
      </c>
      <c r="D17" s="1">
        <v>0.83333333333333304</v>
      </c>
      <c r="E17" s="1">
        <v>0.80952380952380898</v>
      </c>
      <c r="F17" s="1">
        <v>0.67857142857142805</v>
      </c>
      <c r="G17" s="1">
        <v>0.96643830020325205</v>
      </c>
      <c r="I17" s="12">
        <v>20</v>
      </c>
      <c r="J17" s="2">
        <f>AVERAGEIF(Table12633[[ Cycle size]],I17,Table12633[JaccardCoefficient])</f>
        <v>0.5</v>
      </c>
      <c r="K17" s="2">
        <f>AVERAGEIF(Table12633[ [ Cycle size] ],I17,Table12633[KendallTauCorrelation])</f>
        <v>0.884210526315789</v>
      </c>
      <c r="L17" s="2">
        <f>AVERAGEIF(Table12633[ [ Cycle size] ],I17,Table12633[DiscountedCumulativeGain])</f>
        <v>0.85677041723270353</v>
      </c>
    </row>
    <row r="18" spans="1:12" x14ac:dyDescent="0.45">
      <c r="A18" s="1">
        <v>43.4</v>
      </c>
      <c r="B18" s="1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I18" s="12">
        <v>21</v>
      </c>
      <c r="J18" s="2">
        <f>AVERAGEIF(Table12633[[ Cycle size]],I18,Table12633[JaccardCoefficient])</f>
        <v>1</v>
      </c>
      <c r="K18" s="2">
        <f>AVERAGEIF(Table12633[ [ Cycle size] ],I18,Table12633[KendallTauCorrelation])</f>
        <v>1</v>
      </c>
      <c r="L18" s="2">
        <f>AVERAGEIF(Table12633[ [ Cycle size] ],I18,Table12633[DiscountedCumulativeGain])</f>
        <v>1</v>
      </c>
    </row>
    <row r="19" spans="1:12" x14ac:dyDescent="0.45">
      <c r="A19" s="1">
        <v>4.4000000000000004</v>
      </c>
      <c r="B19" s="1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2">
        <v>25</v>
      </c>
      <c r="J19" s="2">
        <f>AVERAGEIF(Table12633[[ Cycle size]],I19,Table12633[JaccardCoefficient])</f>
        <v>0.68</v>
      </c>
      <c r="K19" s="2">
        <f>AVERAGEIF(Table12633[ [ Cycle size] ],I19,Table12633[KendallTauCorrelation])</f>
        <v>0.95333333333333303</v>
      </c>
      <c r="L19" s="2">
        <f>AVERAGEIF(Table12633[ [ Cycle size] ],I19,Table12633[DiscountedCumulativeGain])</f>
        <v>0.864471623785805</v>
      </c>
    </row>
    <row r="20" spans="1:12" x14ac:dyDescent="0.45">
      <c r="A20" s="1">
        <v>13.4</v>
      </c>
      <c r="B20" s="1">
        <v>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I20" s="12">
        <v>30</v>
      </c>
      <c r="J20" s="2">
        <f>AVERAGEIF(Table12633[[ Cycle size]],I20,Table12633[JaccardCoefficient])</f>
        <v>0.93333333333333302</v>
      </c>
      <c r="K20" s="2">
        <f>AVERAGEIF(Table12633[ [ Cycle size] ],I20,Table12633[KendallTauCorrelation])</f>
        <v>0.99540229885057396</v>
      </c>
      <c r="L20" s="2">
        <f>AVERAGEIF(Table12633[ [ Cycle size] ],I20,Table12633[DiscountedCumulativeGain])</f>
        <v>0.97048588781225498</v>
      </c>
    </row>
    <row r="21" spans="1:12" x14ac:dyDescent="0.45">
      <c r="A21" s="1">
        <v>29.4</v>
      </c>
      <c r="B21" s="1">
        <v>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I21" s="12">
        <v>40</v>
      </c>
      <c r="J21" s="2">
        <f>AVERAGEIF(Table12633[[ Cycle size]],I21,Table12633[JaccardCoefficient])</f>
        <v>0.57499999999999996</v>
      </c>
      <c r="K21" s="2">
        <f>AVERAGEIF(Table12633[ [ Cycle size] ],I21,Table12633[KendallTauCorrelation])</f>
        <v>0.9</v>
      </c>
      <c r="L21" s="2">
        <f>AVERAGEIF(Table12633[ [ Cycle size] ],I21,Table12633[DiscountedCumulativeGain])</f>
        <v>0.90907313880095297</v>
      </c>
    </row>
    <row r="22" spans="1:12" x14ac:dyDescent="0.45">
      <c r="A22" s="1">
        <v>2.4</v>
      </c>
      <c r="B22" s="1">
        <v>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I22" s="12">
        <v>90</v>
      </c>
      <c r="J22" s="2">
        <f>AVERAGEIF(Table12633[[ Cycle size]],I22,Table12633[JaccardCoefficient])</f>
        <v>0.62222222222222201</v>
      </c>
      <c r="K22" s="2">
        <f>AVERAGEIF(Table12633[ [ Cycle size] ],I22,Table12633[KendallTauCorrelation])</f>
        <v>0.92359550561797699</v>
      </c>
      <c r="L22" s="2">
        <f>AVERAGEIF(Table12633[ [ Cycle size] ],I22,Table12633[DiscountedCumulativeGain])</f>
        <v>0.92429967009387703</v>
      </c>
    </row>
    <row r="23" spans="1:12" x14ac:dyDescent="0.45">
      <c r="A23" s="1">
        <v>11.4</v>
      </c>
      <c r="B23" s="1">
        <v>9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</row>
    <row r="24" spans="1:12" x14ac:dyDescent="0.45">
      <c r="A24" s="1">
        <v>17.399999999999999</v>
      </c>
      <c r="B24" s="1">
        <v>9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</row>
    <row r="25" spans="1:12" x14ac:dyDescent="0.45">
      <c r="A25" s="1">
        <v>21.4</v>
      </c>
      <c r="B25" s="1">
        <v>9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</row>
    <row r="26" spans="1:12" x14ac:dyDescent="0.45">
      <c r="A26" s="1">
        <v>40.4</v>
      </c>
      <c r="B26" s="1">
        <v>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I26" s="11"/>
      <c r="J26" s="11"/>
    </row>
    <row r="27" spans="1:12" x14ac:dyDescent="0.45">
      <c r="A27" s="1">
        <v>37.4</v>
      </c>
      <c r="B27" s="1">
        <v>10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I27" s="11"/>
      <c r="J27" s="11"/>
    </row>
    <row r="28" spans="1:12" x14ac:dyDescent="0.45">
      <c r="A28" s="1">
        <v>38.4</v>
      </c>
      <c r="B28" s="1">
        <v>10</v>
      </c>
      <c r="C28" s="1">
        <v>0.8</v>
      </c>
      <c r="D28" s="1">
        <v>0.96</v>
      </c>
      <c r="E28" s="1">
        <v>0.95555555555555505</v>
      </c>
      <c r="F28" s="1">
        <v>0.8</v>
      </c>
      <c r="G28" s="1">
        <v>0.976413052306777</v>
      </c>
      <c r="I28" s="11"/>
      <c r="J28" s="11"/>
    </row>
    <row r="29" spans="1:12" x14ac:dyDescent="0.45">
      <c r="A29" s="1">
        <v>42.4</v>
      </c>
      <c r="B29" s="1">
        <v>10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I29" s="11"/>
      <c r="J29" s="11"/>
    </row>
    <row r="30" spans="1:12" x14ac:dyDescent="0.45">
      <c r="A30" s="1">
        <v>3.4</v>
      </c>
      <c r="B30" s="1">
        <v>12</v>
      </c>
      <c r="C30" s="1">
        <v>0.66666666666666596</v>
      </c>
      <c r="D30" s="1">
        <v>0.94444444444444398</v>
      </c>
      <c r="E30" s="1">
        <v>0.939393939393939</v>
      </c>
      <c r="F30" s="1">
        <v>0.84615384615384603</v>
      </c>
      <c r="G30" s="1">
        <v>0.827008267438476</v>
      </c>
      <c r="I30" s="11"/>
      <c r="J30" s="11"/>
    </row>
    <row r="31" spans="1:12" x14ac:dyDescent="0.45">
      <c r="A31" s="1">
        <v>12.4</v>
      </c>
      <c r="B31" s="1">
        <v>12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I31" s="11"/>
      <c r="J31" s="11"/>
    </row>
    <row r="32" spans="1:12" x14ac:dyDescent="0.45">
      <c r="A32" s="1">
        <v>15.4</v>
      </c>
      <c r="B32" s="1">
        <v>12</v>
      </c>
      <c r="C32" s="1">
        <v>0.83333333333333304</v>
      </c>
      <c r="D32" s="1">
        <v>0.97222222222222199</v>
      </c>
      <c r="E32" s="1">
        <v>0.96969696969696895</v>
      </c>
      <c r="F32" s="1">
        <v>0.80769230769230704</v>
      </c>
      <c r="G32" s="1">
        <v>0.98336817790862496</v>
      </c>
      <c r="I32" s="11"/>
      <c r="J32" s="11"/>
    </row>
    <row r="33" spans="1:10" x14ac:dyDescent="0.45">
      <c r="A33" s="1">
        <v>41.4</v>
      </c>
      <c r="B33" s="1">
        <v>12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I33" s="11"/>
      <c r="J33" s="11"/>
    </row>
    <row r="34" spans="1:10" x14ac:dyDescent="0.45">
      <c r="A34" s="1">
        <v>47.4</v>
      </c>
      <c r="B34" s="1">
        <v>12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I34" s="11"/>
      <c r="J34" s="11"/>
    </row>
    <row r="35" spans="1:10" x14ac:dyDescent="0.45">
      <c r="A35" s="1">
        <v>25.4</v>
      </c>
      <c r="B35" s="1">
        <v>14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I35" s="11"/>
      <c r="J35" s="11"/>
    </row>
    <row r="36" spans="1:10" x14ac:dyDescent="0.45">
      <c r="A36" s="1">
        <v>28.4</v>
      </c>
      <c r="B36" s="1">
        <v>14</v>
      </c>
      <c r="C36" s="1">
        <v>0.42857142857142799</v>
      </c>
      <c r="D36" s="1">
        <v>0.79591836734693799</v>
      </c>
      <c r="E36" s="1">
        <v>0.78021978021978</v>
      </c>
      <c r="F36" s="1">
        <v>0.65714285714285703</v>
      </c>
      <c r="G36" s="1">
        <v>0.72610439628468804</v>
      </c>
      <c r="I36" s="11"/>
      <c r="J36" s="11"/>
    </row>
    <row r="37" spans="1:10" x14ac:dyDescent="0.45">
      <c r="A37" s="1">
        <v>49.4</v>
      </c>
      <c r="B37" s="1">
        <v>14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I37" s="11"/>
      <c r="J37" s="11"/>
    </row>
    <row r="38" spans="1:10" x14ac:dyDescent="0.45">
      <c r="A38" s="1">
        <v>46.4</v>
      </c>
      <c r="B38" s="1">
        <v>15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I38" s="11"/>
      <c r="J38" s="11"/>
    </row>
    <row r="39" spans="1:10" x14ac:dyDescent="0.45">
      <c r="A39" s="1">
        <v>7.4</v>
      </c>
      <c r="B39" s="1">
        <v>16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I39" s="11"/>
      <c r="J39" s="11"/>
    </row>
    <row r="40" spans="1:10" x14ac:dyDescent="0.45">
      <c r="A40" s="1">
        <v>34.4</v>
      </c>
      <c r="B40" s="1">
        <v>16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I40" s="11"/>
      <c r="J40" s="11"/>
    </row>
    <row r="41" spans="1:10" x14ac:dyDescent="0.45">
      <c r="A41" s="1">
        <v>14.4</v>
      </c>
      <c r="B41" s="1">
        <v>17</v>
      </c>
      <c r="C41" s="1">
        <v>0.70588235294117596</v>
      </c>
      <c r="D41" s="1">
        <v>0.93055555555555503</v>
      </c>
      <c r="E41" s="1">
        <v>0.92647058823529405</v>
      </c>
      <c r="F41" s="1">
        <v>0.64052287581699296</v>
      </c>
      <c r="G41" s="1">
        <v>0.95270724439926102</v>
      </c>
      <c r="I41" s="11"/>
      <c r="J41" s="11"/>
    </row>
    <row r="42" spans="1:10" x14ac:dyDescent="0.45">
      <c r="A42" s="1">
        <v>36.4</v>
      </c>
      <c r="B42" s="1">
        <v>17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I42" s="11"/>
      <c r="J42" s="11"/>
    </row>
    <row r="43" spans="1:10" x14ac:dyDescent="0.45">
      <c r="A43" s="1">
        <v>45.4</v>
      </c>
      <c r="B43" s="1">
        <v>18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I43" s="11"/>
      <c r="J43" s="11"/>
    </row>
    <row r="44" spans="1:10" x14ac:dyDescent="0.45">
      <c r="A44" s="1">
        <v>48.4</v>
      </c>
      <c r="B44" s="1">
        <v>18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I44" s="11"/>
      <c r="J44" s="11"/>
    </row>
    <row r="45" spans="1:10" x14ac:dyDescent="0.45">
      <c r="A45" s="1">
        <v>18.399999999999999</v>
      </c>
      <c r="B45" s="1">
        <v>20</v>
      </c>
      <c r="C45" s="1">
        <v>0.6</v>
      </c>
      <c r="D45" s="1">
        <v>0.9</v>
      </c>
      <c r="E45" s="1">
        <v>0.89473684210526305</v>
      </c>
      <c r="F45" s="1">
        <v>0.44761904761904697</v>
      </c>
      <c r="G45" s="1">
        <v>0.96130680307966299</v>
      </c>
      <c r="I45" s="11"/>
      <c r="J45" s="11"/>
    </row>
    <row r="46" spans="1:10" x14ac:dyDescent="0.45">
      <c r="A46" s="1">
        <v>35.4</v>
      </c>
      <c r="B46" s="1">
        <v>20</v>
      </c>
      <c r="C46" s="1">
        <v>0.4</v>
      </c>
      <c r="D46" s="1">
        <v>0.88</v>
      </c>
      <c r="E46" s="1">
        <v>0.87368421052631495</v>
      </c>
      <c r="F46" s="1">
        <v>0.46190476190476099</v>
      </c>
      <c r="G46" s="1">
        <v>0.75223403138574396</v>
      </c>
      <c r="I46" s="11"/>
      <c r="J46" s="11"/>
    </row>
    <row r="47" spans="1:10" x14ac:dyDescent="0.45">
      <c r="A47" s="1">
        <v>24.4</v>
      </c>
      <c r="B47" s="1">
        <v>21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I47" s="11"/>
      <c r="J47" s="11"/>
    </row>
    <row r="48" spans="1:10" x14ac:dyDescent="0.45">
      <c r="A48" s="1">
        <v>44.4</v>
      </c>
      <c r="B48" s="1">
        <v>25</v>
      </c>
      <c r="C48" s="1">
        <v>0.68</v>
      </c>
      <c r="D48" s="1">
        <v>0.95512820512820495</v>
      </c>
      <c r="E48" s="1">
        <v>0.95333333333333303</v>
      </c>
      <c r="F48" s="1">
        <v>0.68923076923076898</v>
      </c>
      <c r="G48" s="1">
        <v>0.864471623785805</v>
      </c>
      <c r="I48" s="11"/>
      <c r="J48" s="11"/>
    </row>
    <row r="49" spans="1:10" x14ac:dyDescent="0.45">
      <c r="A49" s="1">
        <v>31.4</v>
      </c>
      <c r="B49" s="1">
        <v>30</v>
      </c>
      <c r="C49" s="1">
        <v>0.93333333333333302</v>
      </c>
      <c r="D49" s="1">
        <v>0.99555555555555497</v>
      </c>
      <c r="E49" s="1">
        <v>0.99540229885057396</v>
      </c>
      <c r="F49" s="1">
        <v>0.93333333333333302</v>
      </c>
      <c r="G49" s="1">
        <v>0.97048588781225498</v>
      </c>
      <c r="I49" s="11"/>
      <c r="J49" s="11"/>
    </row>
    <row r="50" spans="1:10" x14ac:dyDescent="0.45">
      <c r="A50" s="1">
        <v>16.399999999999999</v>
      </c>
      <c r="B50" s="1">
        <v>40</v>
      </c>
      <c r="C50" s="1">
        <v>0.57499999999999996</v>
      </c>
      <c r="D50" s="1">
        <v>0.90249999999999997</v>
      </c>
      <c r="E50" s="1">
        <v>0.9</v>
      </c>
      <c r="F50" s="1">
        <v>0.39878048780487801</v>
      </c>
      <c r="G50" s="1">
        <v>0.90907313880095297</v>
      </c>
      <c r="I50" s="11"/>
      <c r="J50" s="11"/>
    </row>
    <row r="51" spans="1:10" x14ac:dyDescent="0.45">
      <c r="A51" s="1">
        <v>19.399999999999999</v>
      </c>
      <c r="B51" s="1">
        <v>90</v>
      </c>
      <c r="C51" s="1">
        <v>0.62222222222222201</v>
      </c>
      <c r="D51" s="1">
        <v>0.92444444444444396</v>
      </c>
      <c r="E51" s="1">
        <v>0.92359550561797699</v>
      </c>
      <c r="F51" s="1">
        <v>0.40634920634920602</v>
      </c>
      <c r="G51" s="1">
        <v>0.92429967009387703</v>
      </c>
      <c r="I51" s="11"/>
      <c r="J51" s="11"/>
    </row>
    <row r="52" spans="1:10" x14ac:dyDescent="0.45">
      <c r="A52" s="1" t="s">
        <v>32</v>
      </c>
      <c r="C52" s="1">
        <f>SUBTOTAL(101,Table12633[JaccardCoefficient])</f>
        <v>0.89775732959850585</v>
      </c>
      <c r="D52" s="1">
        <f>SUBTOTAL(101,Table12633[MismatchDistanceCoefficient])</f>
        <v>0.97210426478283618</v>
      </c>
      <c r="E52" s="1">
        <f>SUBTOTAL(101,Table12633[KendallTauCorrelation])</f>
        <v>0.96928939951831883</v>
      </c>
      <c r="F52" s="1">
        <f>SUBTOTAL(101,Table12633[MismatchPositionCoefficient])</f>
        <v>0.90320316128953138</v>
      </c>
      <c r="G52" s="1">
        <f>SUBTOTAL(101,Table12633[DiscountedCumulativeGain])</f>
        <v>0.97476254613285884</v>
      </c>
      <c r="I52" s="11"/>
      <c r="J52" s="11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5E81-261F-4DE3-A202-236D5CA24336}">
  <dimension ref="A2:AM64"/>
  <sheetViews>
    <sheetView showGridLines="0" zoomScale="40" zoomScaleNormal="40" workbookViewId="0">
      <selection activeCell="AN18" sqref="AN18"/>
    </sheetView>
  </sheetViews>
  <sheetFormatPr defaultRowHeight="14.25" x14ac:dyDescent="0.45"/>
  <cols>
    <col min="1" max="1" width="6.46484375" customWidth="1"/>
  </cols>
  <sheetData>
    <row r="2" spans="1:34" s="14" customFormat="1" ht="18" x14ac:dyDescent="0.55000000000000004">
      <c r="F2" s="14" t="s">
        <v>35</v>
      </c>
      <c r="O2" s="14" t="s">
        <v>37</v>
      </c>
      <c r="Y2" s="14" t="s">
        <v>36</v>
      </c>
      <c r="AH2" s="14" t="s">
        <v>38</v>
      </c>
    </row>
    <row r="10" spans="1:34" ht="18" x14ac:dyDescent="0.55000000000000004">
      <c r="A10" s="13" t="s">
        <v>39</v>
      </c>
    </row>
    <row r="23" spans="1:39" s="14" customFormat="1" ht="18" x14ac:dyDescent="0.55000000000000004">
      <c r="F23" s="14" t="s">
        <v>35</v>
      </c>
      <c r="O23" s="14" t="s">
        <v>37</v>
      </c>
      <c r="Y23" s="14" t="s">
        <v>36</v>
      </c>
      <c r="AH23" s="14" t="s">
        <v>38</v>
      </c>
    </row>
    <row r="24" spans="1:39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4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8" x14ac:dyDescent="0.55000000000000004">
      <c r="A30" s="13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5" spans="1:39" s="14" customFormat="1" ht="18" x14ac:dyDescent="0.55000000000000004">
      <c r="F45" s="14" t="s">
        <v>35</v>
      </c>
      <c r="P45" s="14" t="s">
        <v>37</v>
      </c>
      <c r="Y45" s="14" t="s">
        <v>36</v>
      </c>
      <c r="AH45" s="14" t="s">
        <v>38</v>
      </c>
    </row>
    <row r="46" spans="1:39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8" x14ac:dyDescent="0.55000000000000004">
      <c r="A52" s="13" t="s">
        <v>39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9524-ACBE-4CA4-AA45-C8356AE41068}">
  <dimension ref="B2:F16"/>
  <sheetViews>
    <sheetView workbookViewId="0">
      <selection activeCell="B12" sqref="B12:F12"/>
    </sheetView>
  </sheetViews>
  <sheetFormatPr defaultColWidth="8.73046875" defaultRowHeight="14.25" x14ac:dyDescent="0.45"/>
  <cols>
    <col min="1" max="3" width="8.73046875" style="1"/>
    <col min="4" max="4" width="10.9296875" style="1" customWidth="1"/>
    <col min="5" max="5" width="13.73046875" style="1" customWidth="1"/>
    <col min="6" max="6" width="10.73046875" style="1" customWidth="1"/>
    <col min="7" max="16384" width="8.73046875" style="1"/>
  </cols>
  <sheetData>
    <row r="2" spans="2:6" x14ac:dyDescent="0.45">
      <c r="B2" s="1" t="s">
        <v>40</v>
      </c>
      <c r="C2" s="1" t="s">
        <v>5</v>
      </c>
      <c r="D2" s="1" t="s">
        <v>7</v>
      </c>
      <c r="E2" s="1" t="s">
        <v>6</v>
      </c>
      <c r="F2" s="1" t="s">
        <v>8</v>
      </c>
    </row>
    <row r="3" spans="2:6" x14ac:dyDescent="0.45">
      <c r="B3" s="1" t="s">
        <v>31</v>
      </c>
      <c r="C3" s="2">
        <f>Linear!O2</f>
        <v>-0.57230055083887155</v>
      </c>
      <c r="D3" s="2">
        <f>Discontinuous!O2</f>
        <v>-0.80095082363904357</v>
      </c>
      <c r="E3" s="2">
        <f>Saturating!O2</f>
        <v>-0.70901597017509299</v>
      </c>
      <c r="F3" s="2">
        <f>Combined!O2</f>
        <v>-0.7387123142517128</v>
      </c>
    </row>
    <row r="4" spans="2:6" x14ac:dyDescent="0.45">
      <c r="B4" s="1" t="s">
        <v>41</v>
      </c>
      <c r="C4" s="2">
        <f>Linear!O4</f>
        <v>-0.36116740939242498</v>
      </c>
      <c r="D4" s="2">
        <f>Discontinuous!O4</f>
        <v>-0.40347336681283164</v>
      </c>
      <c r="E4" s="2">
        <f>Saturating!O4</f>
        <v>-0.76011956622295818</v>
      </c>
      <c r="F4" s="2">
        <f>Combined!O4</f>
        <v>-0.66626268288222079</v>
      </c>
    </row>
    <row r="6" spans="2:6" x14ac:dyDescent="0.45">
      <c r="B6" s="1" t="s">
        <v>29</v>
      </c>
      <c r="C6" s="1" t="s">
        <v>5</v>
      </c>
      <c r="D6" s="1" t="s">
        <v>7</v>
      </c>
      <c r="E6" s="1" t="s">
        <v>6</v>
      </c>
      <c r="F6" s="1" t="s">
        <v>8</v>
      </c>
    </row>
    <row r="7" spans="2:6" x14ac:dyDescent="0.45">
      <c r="B7" s="1" t="s">
        <v>31</v>
      </c>
      <c r="C7" s="2">
        <f>Linear!P2</f>
        <v>-0.36902571311328258</v>
      </c>
      <c r="D7" s="2">
        <f>Discontinuous!P2</f>
        <v>0.15981874291995243</v>
      </c>
      <c r="E7" s="2">
        <f>Saturating!P2</f>
        <v>-0.19843610814515833</v>
      </c>
      <c r="F7" s="2">
        <f>Combined!P2</f>
        <v>7.6033443732449343E-2</v>
      </c>
    </row>
    <row r="8" spans="2:6" x14ac:dyDescent="0.45">
      <c r="B8" s="1" t="s">
        <v>41</v>
      </c>
      <c r="C8" s="2">
        <f>Linear!P4</f>
        <v>-9.9536103085989855E-2</v>
      </c>
      <c r="D8" s="2">
        <f>Discontinuous!P4</f>
        <v>0.33930944629576543</v>
      </c>
      <c r="E8" s="2">
        <f>Saturating!P4</f>
        <v>-0.16527367850382241</v>
      </c>
      <c r="F8" s="2">
        <f>Combined!P4</f>
        <v>-7.6040969567188355E-3</v>
      </c>
    </row>
    <row r="10" spans="2:6" x14ac:dyDescent="0.45">
      <c r="B10" s="1" t="s">
        <v>34</v>
      </c>
      <c r="C10" s="1" t="s">
        <v>5</v>
      </c>
      <c r="D10" s="1" t="s">
        <v>7</v>
      </c>
      <c r="E10" s="1" t="s">
        <v>6</v>
      </c>
      <c r="F10" s="1" t="s">
        <v>8</v>
      </c>
    </row>
    <row r="11" spans="2:6" x14ac:dyDescent="0.45">
      <c r="B11" s="1" t="s">
        <v>31</v>
      </c>
      <c r="C11" s="2">
        <f>Linear!Q2</f>
        <v>-0.46035458052708023</v>
      </c>
      <c r="D11" s="2">
        <f>Discontinuous!Q2</f>
        <v>-0.8793866776678575</v>
      </c>
      <c r="E11" s="2">
        <f>Saturating!Q2</f>
        <v>-0.80154448031778835</v>
      </c>
      <c r="F11" s="2">
        <f>Combined!Q2</f>
        <v>-0.8569551968436695</v>
      </c>
    </row>
    <row r="12" spans="2:6" x14ac:dyDescent="0.45">
      <c r="B12" s="1" t="s">
        <v>41</v>
      </c>
      <c r="C12" s="2">
        <f>Linear!Q4</f>
        <v>-0.4960459807218307</v>
      </c>
      <c r="D12" s="2">
        <f>Discontinuous!Q4</f>
        <v>-0.54134520440419731</v>
      </c>
      <c r="E12" s="2">
        <f>Saturating!Q4</f>
        <v>-0.78390812098357465</v>
      </c>
      <c r="F12" s="2">
        <f>Combined!Q4</f>
        <v>-0.75054705324224213</v>
      </c>
    </row>
    <row r="15" spans="2:6" x14ac:dyDescent="0.45">
      <c r="B15" s="1" t="s">
        <v>42</v>
      </c>
    </row>
    <row r="16" spans="2:6" x14ac:dyDescent="0.45">
      <c r="B16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B5" sqref="B5"/>
    </sheetView>
  </sheetViews>
  <sheetFormatPr defaultRowHeight="14.25" x14ac:dyDescent="0.45"/>
  <cols>
    <col min="1" max="1" width="12.73046875" customWidth="1"/>
  </cols>
  <sheetData>
    <row r="1" spans="1:4" x14ac:dyDescent="0.45">
      <c r="A1" s="6" t="s">
        <v>9</v>
      </c>
      <c r="B1" s="6" t="s">
        <v>10</v>
      </c>
      <c r="C1" s="6" t="s">
        <v>11</v>
      </c>
      <c r="D1" s="6" t="s">
        <v>12</v>
      </c>
    </row>
    <row r="2" spans="1:4" x14ac:dyDescent="0.45">
      <c r="A2" s="5" t="s">
        <v>5</v>
      </c>
      <c r="B2" s="3" t="e">
        <f>#REF!</f>
        <v>#REF!</v>
      </c>
      <c r="C2" s="3">
        <f>Linear!E3</f>
        <v>1</v>
      </c>
      <c r="D2" s="3">
        <f>Linear!E4</f>
        <v>1</v>
      </c>
    </row>
    <row r="3" spans="1:4" x14ac:dyDescent="0.45">
      <c r="A3" s="5" t="s">
        <v>6</v>
      </c>
      <c r="B3" s="4" t="e">
        <f>Saturating!#REF!</f>
        <v>#REF!</v>
      </c>
      <c r="C3" s="4" t="e">
        <f>#REF!</f>
        <v>#REF!</v>
      </c>
      <c r="D3" s="4" t="e">
        <f>Saturating!#REF!</f>
        <v>#REF!</v>
      </c>
    </row>
    <row r="4" spans="1:4" x14ac:dyDescent="0.45">
      <c r="A4" s="5" t="s">
        <v>7</v>
      </c>
      <c r="B4" s="4" t="e">
        <f>#REF!</f>
        <v>#REF!</v>
      </c>
      <c r="C4" s="4" t="e">
        <f>#REF!</f>
        <v>#REF!</v>
      </c>
      <c r="D4" s="4" t="e">
        <f>#REF!</f>
        <v>#REF!</v>
      </c>
    </row>
    <row r="5" spans="1:4" x14ac:dyDescent="0.45">
      <c r="A5" s="5" t="s">
        <v>8</v>
      </c>
      <c r="B5" s="4" t="e">
        <f>#REF!</f>
        <v>#REF!</v>
      </c>
      <c r="C5" s="4" t="e">
        <f>#REF!</f>
        <v>#REF!</v>
      </c>
      <c r="D5" s="4" t="e">
        <f>#REF!</f>
        <v>#REF!</v>
      </c>
    </row>
    <row r="18" spans="6:6" x14ac:dyDescent="0.45">
      <c r="F18" t="s">
        <v>13</v>
      </c>
    </row>
    <row r="19" spans="6:6" x14ac:dyDescent="0.45">
      <c r="F19" t="s">
        <v>14</v>
      </c>
    </row>
    <row r="20" spans="6:6" x14ac:dyDescent="0.45">
      <c r="F20" t="s">
        <v>15</v>
      </c>
    </row>
    <row r="21" spans="6:6" x14ac:dyDescent="0.45">
      <c r="F21" t="s">
        <v>16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workbookViewId="0">
      <selection activeCell="D7" sqref="D7"/>
    </sheetView>
  </sheetViews>
  <sheetFormatPr defaultRowHeight="14.25" x14ac:dyDescent="0.45"/>
  <cols>
    <col min="1" max="1" width="13.73046875" customWidth="1"/>
  </cols>
  <sheetData>
    <row r="1" spans="1:13" x14ac:dyDescent="0.45">
      <c r="A1" s="6" t="s">
        <v>9</v>
      </c>
      <c r="B1" s="6" t="s">
        <v>10</v>
      </c>
      <c r="C1" s="6" t="s">
        <v>11</v>
      </c>
      <c r="D1" s="6" t="s">
        <v>12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45">
      <c r="A2" s="5" t="s">
        <v>5</v>
      </c>
      <c r="B2" s="3">
        <f>Linear!E7</f>
        <v>1</v>
      </c>
      <c r="C2" s="3">
        <f>Linear!E8</f>
        <v>1</v>
      </c>
      <c r="D2" s="3">
        <f>Linear!E9</f>
        <v>1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45">
      <c r="A3" s="5" t="s">
        <v>6</v>
      </c>
      <c r="B3" s="4" t="e">
        <f>Saturating!#REF!</f>
        <v>#REF!</v>
      </c>
      <c r="C3" s="4" t="e">
        <f>Saturating!#REF!</f>
        <v>#REF!</v>
      </c>
      <c r="D3" s="4" t="e">
        <f>Saturating!#REF!</f>
        <v>#REF!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45">
      <c r="A4" s="5" t="s">
        <v>7</v>
      </c>
      <c r="B4" s="4" t="e">
        <f>#REF!</f>
        <v>#REF!</v>
      </c>
      <c r="C4" s="10" t="e">
        <f>#REF!</f>
        <v>#REF!</v>
      </c>
      <c r="D4" s="4" t="e">
        <f>#REF!</f>
        <v>#REF!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45">
      <c r="A5" s="5" t="s">
        <v>8</v>
      </c>
      <c r="B5" s="4" t="e">
        <f>#REF!</f>
        <v>#REF!</v>
      </c>
      <c r="C5" s="4" t="e">
        <f>#REF!</f>
        <v>#REF!</v>
      </c>
      <c r="D5" s="4" t="e">
        <f>#REF!</f>
        <v>#REF!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45">
      <c r="A18" s="1"/>
      <c r="B18" s="1"/>
      <c r="C18" s="1"/>
      <c r="D18" s="1"/>
      <c r="E18" s="1"/>
      <c r="F18" s="1" t="s">
        <v>17</v>
      </c>
      <c r="G18" s="1"/>
      <c r="H18" s="1"/>
      <c r="I18" s="1"/>
      <c r="J18" s="1"/>
      <c r="K18" s="1"/>
      <c r="L18" s="1"/>
      <c r="M18" s="1"/>
    </row>
    <row r="19" spans="1:13" x14ac:dyDescent="0.45">
      <c r="A19" s="1"/>
      <c r="B19" s="1"/>
      <c r="C19" s="1"/>
      <c r="D19" s="1"/>
      <c r="E19" s="1"/>
      <c r="F19" s="1" t="s">
        <v>18</v>
      </c>
      <c r="G19" s="1"/>
      <c r="H19" s="1"/>
      <c r="I19" s="1"/>
      <c r="J19" s="1"/>
      <c r="K19" s="1"/>
      <c r="L19" s="1"/>
      <c r="M19" s="1"/>
    </row>
    <row r="20" spans="1:13" x14ac:dyDescent="0.45">
      <c r="A20" s="1"/>
      <c r="B20" s="1"/>
      <c r="C20" s="1"/>
      <c r="D20" s="1"/>
      <c r="E20" s="1"/>
      <c r="F20" s="1" t="s">
        <v>19</v>
      </c>
      <c r="G20" s="1"/>
      <c r="H20" s="1"/>
      <c r="I20" s="1"/>
      <c r="J20" s="1"/>
      <c r="K20" s="1"/>
      <c r="L20" s="1"/>
      <c r="M20" s="1"/>
    </row>
    <row r="21" spans="1:13" x14ac:dyDescent="0.45">
      <c r="A21" s="1"/>
      <c r="B21" s="1"/>
      <c r="C21" s="1"/>
      <c r="D21" s="1"/>
      <c r="E21" s="1"/>
      <c r="F21" s="1" t="s">
        <v>20</v>
      </c>
      <c r="G21" s="1"/>
      <c r="H21" s="1"/>
      <c r="I21" s="1"/>
      <c r="J21" s="1"/>
      <c r="K21" s="1"/>
      <c r="L21" s="1"/>
      <c r="M21" s="1"/>
    </row>
    <row r="22" spans="1:13" x14ac:dyDescent="0.45">
      <c r="A22" s="1"/>
      <c r="B22" s="1"/>
      <c r="C22" s="1"/>
      <c r="D22" s="1"/>
      <c r="E22" s="1"/>
      <c r="F22" s="1" t="s">
        <v>21</v>
      </c>
      <c r="G22" s="1"/>
      <c r="H22" s="1"/>
      <c r="I22" s="1"/>
      <c r="J22" s="1"/>
      <c r="K22" s="1"/>
      <c r="L22" s="1"/>
      <c r="M22" s="1"/>
    </row>
    <row r="23" spans="1:13" x14ac:dyDescent="0.45">
      <c r="F23" t="s">
        <v>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D6F6-4C44-4C2E-BA06-B950F2AF1015}">
  <dimension ref="A1:F19"/>
  <sheetViews>
    <sheetView zoomScale="90" zoomScaleNormal="90" workbookViewId="0">
      <selection activeCell="O13" sqref="O13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4" x14ac:dyDescent="0.45">
      <c r="A1" s="6" t="s">
        <v>9</v>
      </c>
      <c r="B1" s="6" t="s">
        <v>10</v>
      </c>
      <c r="C1" s="6" t="s">
        <v>11</v>
      </c>
      <c r="D1" s="6" t="s">
        <v>12</v>
      </c>
    </row>
    <row r="2" spans="1:4" x14ac:dyDescent="0.45">
      <c r="A2" s="5" t="s">
        <v>5</v>
      </c>
      <c r="B2" s="3">
        <f>Linear!E22</f>
        <v>1</v>
      </c>
      <c r="C2" s="3">
        <f>Linear!E23</f>
        <v>1</v>
      </c>
      <c r="D2" s="3">
        <f>Linear!E24</f>
        <v>1</v>
      </c>
    </row>
    <row r="3" spans="1:4" x14ac:dyDescent="0.45">
      <c r="A3" s="5" t="s">
        <v>6</v>
      </c>
      <c r="B3" s="4" t="e">
        <f>Saturating!#REF!</f>
        <v>#REF!</v>
      </c>
      <c r="C3" s="4" t="e">
        <f>Saturating!#REF!</f>
        <v>#REF!</v>
      </c>
      <c r="D3" s="4" t="e">
        <f>Saturating!#REF!</f>
        <v>#REF!</v>
      </c>
    </row>
    <row r="4" spans="1:4" x14ac:dyDescent="0.45">
      <c r="A4" s="5" t="s">
        <v>7</v>
      </c>
      <c r="B4" s="4" t="e">
        <f>#REF!</f>
        <v>#REF!</v>
      </c>
      <c r="C4" s="10" t="e">
        <f>#REF!</f>
        <v>#REF!</v>
      </c>
      <c r="D4" s="4" t="e">
        <f>#REF!</f>
        <v>#REF!</v>
      </c>
    </row>
    <row r="5" spans="1:4" x14ac:dyDescent="0.45">
      <c r="A5" s="5" t="s">
        <v>8</v>
      </c>
      <c r="B5" s="4" t="e">
        <f>#REF!</f>
        <v>#REF!</v>
      </c>
      <c r="C5" s="4" t="e">
        <f>#REF!</f>
        <v>#REF!</v>
      </c>
      <c r="D5" s="4" t="e">
        <f>#REF!</f>
        <v>#REF!</v>
      </c>
    </row>
    <row r="18" spans="6:6" x14ac:dyDescent="0.45">
      <c r="F18" s="1" t="s">
        <v>25</v>
      </c>
    </row>
    <row r="19" spans="6:6" x14ac:dyDescent="0.45">
      <c r="F19" s="1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Combined</vt:lpstr>
      <vt:lpstr>Discontinuous</vt:lpstr>
      <vt:lpstr>Saturating</vt:lpstr>
      <vt:lpstr>Linear</vt:lpstr>
      <vt:lpstr>Charts</vt:lpstr>
      <vt:lpstr>Correlation</vt:lpstr>
      <vt:lpstr>Jaccard</vt:lpstr>
      <vt:lpstr>KendallTau</vt:lpstr>
      <vt:lpstr>DiscountedCumGain</vt:lpstr>
      <vt:lpstr>MismatchPosition</vt:lpstr>
      <vt:lpstr>MismatchDistance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</cp:lastModifiedBy>
  <dcterms:created xsi:type="dcterms:W3CDTF">2018-01-14T16:10:58Z</dcterms:created>
  <dcterms:modified xsi:type="dcterms:W3CDTF">2018-01-26T15:45:21Z</dcterms:modified>
</cp:coreProperties>
</file>