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bookViews>
    <workbookView xWindow="0" yWindow="0" windowWidth="18270" windowHeight="7238" tabRatio="809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s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/>
</workbook>
</file>

<file path=xl/calcChain.xml><?xml version="1.0" encoding="utf-8"?>
<calcChain xmlns="http://schemas.openxmlformats.org/spreadsheetml/2006/main">
  <c r="J9" i="11" l="1"/>
  <c r="J8" i="11"/>
  <c r="J7" i="11"/>
  <c r="J6" i="11"/>
  <c r="J5" i="11"/>
  <c r="J4" i="11"/>
  <c r="O11" i="11" s="1"/>
  <c r="J3" i="11"/>
  <c r="J2" i="11"/>
  <c r="J22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O8" i="3" s="1"/>
  <c r="J2" i="3"/>
  <c r="Q11" i="4"/>
  <c r="P11" i="4"/>
  <c r="O11" i="4"/>
  <c r="Q10" i="4"/>
  <c r="P10" i="4"/>
  <c r="O10" i="4"/>
  <c r="Q8" i="4"/>
  <c r="P8" i="4"/>
  <c r="O8" i="4"/>
  <c r="Q6" i="4"/>
  <c r="P6" i="4"/>
  <c r="O6" i="4"/>
  <c r="L2" i="3"/>
  <c r="L3" i="3"/>
  <c r="L4" i="3"/>
  <c r="Q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K2" i="3"/>
  <c r="P4" i="3" s="1"/>
  <c r="D8" i="1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6" i="3" s="1"/>
  <c r="K20" i="3"/>
  <c r="K21" i="3"/>
  <c r="K22" i="3"/>
  <c r="J18" i="3"/>
  <c r="J19" i="3"/>
  <c r="J20" i="3"/>
  <c r="J21" i="3"/>
  <c r="O6" i="3" s="1"/>
  <c r="P10" i="12"/>
  <c r="Q10" i="12"/>
  <c r="O10" i="12"/>
  <c r="P8" i="12"/>
  <c r="Q8" i="12"/>
  <c r="O8" i="12"/>
  <c r="O6" i="12"/>
  <c r="P6" i="12"/>
  <c r="Q6" i="12"/>
  <c r="Q11" i="12"/>
  <c r="P11" i="12"/>
  <c r="O11" i="12"/>
  <c r="C12" i="14"/>
  <c r="F12" i="14"/>
  <c r="F11" i="14"/>
  <c r="Q2" i="3"/>
  <c r="D11" i="14" s="1"/>
  <c r="C11" i="14"/>
  <c r="F8" i="14"/>
  <c r="F7" i="14"/>
  <c r="C8" i="14"/>
  <c r="C7" i="14"/>
  <c r="C3" i="14"/>
  <c r="F4" i="14"/>
  <c r="F3" i="14"/>
  <c r="Q4" i="12"/>
  <c r="P4" i="12"/>
  <c r="O4" i="12"/>
  <c r="Q2" i="12"/>
  <c r="P2" i="12"/>
  <c r="O2" i="12"/>
  <c r="C4" i="1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O8" i="11" s="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Q11" i="11" s="1"/>
  <c r="K2" i="11"/>
  <c r="P10" i="11" s="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  <c r="P4" i="4"/>
  <c r="O4" i="4"/>
  <c r="O2" i="4"/>
  <c r="P2" i="4"/>
  <c r="Q2" i="4"/>
  <c r="Q4" i="4"/>
  <c r="Q10" i="3"/>
  <c r="O11" i="3"/>
  <c r="P2" i="11" l="1"/>
  <c r="E7" i="14" s="1"/>
  <c r="O4" i="11"/>
  <c r="E4" i="14" s="1"/>
  <c r="O2" i="11"/>
  <c r="E3" i="14" s="1"/>
  <c r="P8" i="11"/>
  <c r="Q10" i="11"/>
  <c r="O6" i="11"/>
  <c r="Q2" i="11"/>
  <c r="E11" i="14" s="1"/>
  <c r="P6" i="11"/>
  <c r="Q8" i="11"/>
  <c r="P4" i="11"/>
  <c r="E8" i="14" s="1"/>
  <c r="Q6" i="11"/>
  <c r="O10" i="11"/>
  <c r="P11" i="11"/>
  <c r="Q4" i="11"/>
  <c r="E12" i="14" s="1"/>
  <c r="P8" i="3"/>
  <c r="P10" i="3"/>
  <c r="O10" i="3"/>
  <c r="O4" i="3"/>
  <c r="D4" i="14" s="1"/>
  <c r="Q4" i="3"/>
  <c r="D12" i="14" s="1"/>
  <c r="Q6" i="3"/>
  <c r="Q8" i="3"/>
  <c r="P11" i="3"/>
  <c r="O2" i="3"/>
  <c r="D3" i="14" s="1"/>
  <c r="P2" i="3"/>
  <c r="D7" i="14" s="1"/>
</calcChain>
</file>

<file path=xl/sharedStrings.xml><?xml version="1.0" encoding="utf-8"?>
<sst xmlns="http://schemas.openxmlformats.org/spreadsheetml/2006/main" count="262" uniqueCount="51">
  <si>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</si>
  <si>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</si>
  <si>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</si>
  <si>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</si>
  <si>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</si>
  <si>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</si>
  <si>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</si>
  <si>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</si>
  <si>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</si>
  <si>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</si>
  <si>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</si>
  <si>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</si>
  <si>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</si>
  <si>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</si>
  <si>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</si>
  <si>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</si>
  <si>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</si>
  <si>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</si>
  <si>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</si>
  <si>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</si>
  <si>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</si>
  <si>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</si>
  <si>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</si>
  <si>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</si>
  <si>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</si>
  <si>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</si>
  <si>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</si>
  <si>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</si>
  <si>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</si>
  <si>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</si>
  <si>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</si>
  <si>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</si>
  <si>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</si>
  <si>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</si>
  <si>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</si>
  <si>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</si>
  <si>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</si>
  <si>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</si>
  <si>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</si>
  <si>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1k</t>
  </si>
  <si>
    <t>Statistic</t>
  </si>
  <si>
    <t>Correl</t>
  </si>
  <si>
    <t>Correlation (cut 40 and 90)</t>
  </si>
  <si>
    <t>Up to 30</t>
  </si>
  <si>
    <t>Jaccard</t>
  </si>
  <si>
    <t>Higher complexity, lower similarity for Jaccard and DCG.</t>
  </si>
  <si>
    <t>This is confirmed by computing the correlations between cycle size and similarity metric value.</t>
  </si>
  <si>
    <t>Mean</t>
  </si>
  <si>
    <t>Median</t>
  </si>
  <si>
    <t>Average Weighted by Cycle Size (cut 40 90)</t>
  </si>
  <si>
    <t>Average Weighted by Cycle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</si>
</sst>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2" fontId="20" fillId="33" borderId="10" xfId="0" applyNumberFormat="1" applyFont="1" applyFill="1" applyBorder="1"/>
    <xf numFmtId="2" fontId="20" fillId="33" borderId="15" xfId="0" applyNumberFormat="1" applyFont="1" applyFill="1" applyBorder="1"/>
    <xf numFmtId="2" fontId="20" fillId="33" borderId="17" xfId="0" applyNumberFormat="1" applyFont="1" applyFill="1" applyBorder="1"/>
    <xf numFmtId="2" fontId="20" fillId="33" borderId="18" xfId="0" applyNumberFormat="1" applyFont="1" applyFill="1" applyBorder="1"/>
    <xf numFmtId="2" fontId="19" fillId="34" borderId="10" xfId="0" applyNumberFormat="1" applyFont="1" applyFill="1" applyBorder="1" applyAlignment="1">
      <alignment horizontal="center"/>
    </xf>
    <xf numFmtId="2" fontId="19" fillId="34" borderId="15" xfId="0" applyNumberFormat="1" applyFont="1" applyFill="1" applyBorder="1" applyAlignment="1">
      <alignment horizontal="center"/>
    </xf>
    <xf numFmtId="0" fontId="19" fillId="34" borderId="11" xfId="0" applyFont="1" applyFill="1" applyBorder="1"/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4" xfId="0" applyFont="1" applyFill="1" applyBorder="1"/>
    <xf numFmtId="0" fontId="19" fillId="34" borderId="10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left"/>
    </xf>
    <xf numFmtId="0" fontId="20" fillId="33" borderId="14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  <c:pt idx="19">
                  <c:v>0.42499999999999999</c:v>
                </c:pt>
                <c:pt idx="20">
                  <c:v>0.27777777777777701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  <c:pt idx="19">
                  <c:v>0.92820512820512802</c:v>
                </c:pt>
                <c:pt idx="20">
                  <c:v>0.958052434456928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  <c:pt idx="19">
                  <c:v>0.653687345422727</c:v>
                </c:pt>
                <c:pt idx="20">
                  <c:v>0.52312796643965798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0.77777777777777735</c:v>
                </c:pt>
                <c:pt idx="5">
                  <c:v>0.78571428571428548</c:v>
                </c:pt>
                <c:pt idx="6">
                  <c:v>0.66666666666666663</c:v>
                </c:pt>
                <c:pt idx="7">
                  <c:v>0.64444444444444371</c:v>
                </c:pt>
                <c:pt idx="8">
                  <c:v>0.6</c:v>
                </c:pt>
                <c:pt idx="9">
                  <c:v>0.76666666666666627</c:v>
                </c:pt>
                <c:pt idx="10">
                  <c:v>0.28571428571428542</c:v>
                </c:pt>
                <c:pt idx="11">
                  <c:v>0.2</c:v>
                </c:pt>
                <c:pt idx="12">
                  <c:v>0.25</c:v>
                </c:pt>
                <c:pt idx="13">
                  <c:v>0.41176470588235248</c:v>
                </c:pt>
                <c:pt idx="14">
                  <c:v>0.47222222222222154</c:v>
                </c:pt>
                <c:pt idx="15">
                  <c:v>0.375</c:v>
                </c:pt>
                <c:pt idx="16">
                  <c:v>0.14285714285714199</c:v>
                </c:pt>
                <c:pt idx="17">
                  <c:v>0.52</c:v>
                </c:pt>
                <c:pt idx="18">
                  <c:v>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4C5-B477-058FBF57D58A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0.91111111111111065</c:v>
                </c:pt>
                <c:pt idx="5">
                  <c:v>0.92857142857142794</c:v>
                </c:pt>
                <c:pt idx="6">
                  <c:v>0.90476190476190432</c:v>
                </c:pt>
                <c:pt idx="7">
                  <c:v>0.84444444444444389</c:v>
                </c:pt>
                <c:pt idx="8">
                  <c:v>0.88148148148148131</c:v>
                </c:pt>
                <c:pt idx="9">
                  <c:v>0.94545454545454533</c:v>
                </c:pt>
                <c:pt idx="10">
                  <c:v>0.67032967032967006</c:v>
                </c:pt>
                <c:pt idx="11">
                  <c:v>0.86666666666666603</c:v>
                </c:pt>
                <c:pt idx="12">
                  <c:v>0.79166666666666652</c:v>
                </c:pt>
                <c:pt idx="13">
                  <c:v>0.8823529411764699</c:v>
                </c:pt>
                <c:pt idx="14">
                  <c:v>0.84967320261437851</c:v>
                </c:pt>
                <c:pt idx="15">
                  <c:v>0.86315789473684146</c:v>
                </c:pt>
                <c:pt idx="16">
                  <c:v>0.79047619047619</c:v>
                </c:pt>
                <c:pt idx="17">
                  <c:v>0.94666666666666599</c:v>
                </c:pt>
                <c:pt idx="18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B-44C5-B477-058FBF57D58A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0.96596793880543197</c:v>
                </c:pt>
                <c:pt idx="2">
                  <c:v>1</c:v>
                </c:pt>
                <c:pt idx="3">
                  <c:v>1</c:v>
                </c:pt>
                <c:pt idx="4">
                  <c:v>0.95834909314576999</c:v>
                </c:pt>
                <c:pt idx="5">
                  <c:v>0.91276000539771984</c:v>
                </c:pt>
                <c:pt idx="6">
                  <c:v>0.96506279904244752</c:v>
                </c:pt>
                <c:pt idx="7">
                  <c:v>0.90993146838842665</c:v>
                </c:pt>
                <c:pt idx="8">
                  <c:v>0.97071957053889169</c:v>
                </c:pt>
                <c:pt idx="9">
                  <c:v>0.93787693301459873</c:v>
                </c:pt>
                <c:pt idx="10">
                  <c:v>0.7642207761272567</c:v>
                </c:pt>
                <c:pt idx="11">
                  <c:v>0.75514195043229504</c:v>
                </c:pt>
                <c:pt idx="12">
                  <c:v>0.73490149145655104</c:v>
                </c:pt>
                <c:pt idx="13">
                  <c:v>0.7570591485289625</c:v>
                </c:pt>
                <c:pt idx="14">
                  <c:v>0.84055641765244105</c:v>
                </c:pt>
                <c:pt idx="15">
                  <c:v>0.70988897973693454</c:v>
                </c:pt>
                <c:pt idx="16">
                  <c:v>0.74140010100264098</c:v>
                </c:pt>
                <c:pt idx="17">
                  <c:v>0.715377734804163</c:v>
                </c:pt>
                <c:pt idx="18">
                  <c:v>0.58320137050575704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B-44C5-B477-058FBF57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5-4210-A999-96D1C442FCD0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5-4210-A999-96D1C442FCD0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5-4210-A999-96D1C442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D-4431-9584-EA473600B11B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D-4431-9584-EA473600B11B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D-4431-9584-EA473600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0.80952380952380898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  <c:pt idx="19">
                  <c:v>0.4</c:v>
                </c:pt>
                <c:pt idx="20">
                  <c:v>0.43333333333333302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  <c:pt idx="19">
                  <c:v>0.94102564102564101</c:v>
                </c:pt>
                <c:pt idx="20">
                  <c:v>0.97253433208489304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  <c:pt idx="19">
                  <c:v>0.69413869061601896</c:v>
                </c:pt>
                <c:pt idx="20">
                  <c:v>0.64984557443541002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0.77777777777777735</c:v>
                </c:pt>
                <c:pt idx="5">
                  <c:v>0.78571428571428548</c:v>
                </c:pt>
                <c:pt idx="6">
                  <c:v>0.66666666666666663</c:v>
                </c:pt>
                <c:pt idx="7">
                  <c:v>0.64444444444444371</c:v>
                </c:pt>
                <c:pt idx="8">
                  <c:v>0.6</c:v>
                </c:pt>
                <c:pt idx="9">
                  <c:v>0.76666666666666627</c:v>
                </c:pt>
                <c:pt idx="10">
                  <c:v>0.28571428571428542</c:v>
                </c:pt>
                <c:pt idx="11">
                  <c:v>0.2</c:v>
                </c:pt>
                <c:pt idx="12">
                  <c:v>0.25</c:v>
                </c:pt>
                <c:pt idx="13">
                  <c:v>0.41176470588235248</c:v>
                </c:pt>
                <c:pt idx="14">
                  <c:v>0.47222222222222154</c:v>
                </c:pt>
                <c:pt idx="15">
                  <c:v>0.375</c:v>
                </c:pt>
                <c:pt idx="16">
                  <c:v>0.14285714285714199</c:v>
                </c:pt>
                <c:pt idx="17">
                  <c:v>0.52</c:v>
                </c:pt>
                <c:pt idx="18">
                  <c:v>0.133333333333333</c:v>
                </c:pt>
                <c:pt idx="19">
                  <c:v>0.05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0.91111111111111065</c:v>
                </c:pt>
                <c:pt idx="5">
                  <c:v>0.92857142857142794</c:v>
                </c:pt>
                <c:pt idx="6">
                  <c:v>0.90476190476190432</c:v>
                </c:pt>
                <c:pt idx="7">
                  <c:v>0.84444444444444389</c:v>
                </c:pt>
                <c:pt idx="8">
                  <c:v>0.88148148148148131</c:v>
                </c:pt>
                <c:pt idx="9">
                  <c:v>0.94545454545454533</c:v>
                </c:pt>
                <c:pt idx="10">
                  <c:v>0.67032967032967006</c:v>
                </c:pt>
                <c:pt idx="11">
                  <c:v>0.86666666666666603</c:v>
                </c:pt>
                <c:pt idx="12">
                  <c:v>0.79166666666666652</c:v>
                </c:pt>
                <c:pt idx="13">
                  <c:v>0.8823529411764699</c:v>
                </c:pt>
                <c:pt idx="14">
                  <c:v>0.84967320261437851</c:v>
                </c:pt>
                <c:pt idx="15">
                  <c:v>0.86315789473684146</c:v>
                </c:pt>
                <c:pt idx="16">
                  <c:v>0.79047619047619</c:v>
                </c:pt>
                <c:pt idx="17">
                  <c:v>0.94666666666666599</c:v>
                </c:pt>
                <c:pt idx="18">
                  <c:v>0.79310344827586199</c:v>
                </c:pt>
                <c:pt idx="19">
                  <c:v>0.60769230769230698</c:v>
                </c:pt>
                <c:pt idx="20">
                  <c:v>0.86916354556803999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0.96596793880543197</c:v>
                </c:pt>
                <c:pt idx="2">
                  <c:v>1</c:v>
                </c:pt>
                <c:pt idx="3">
                  <c:v>1</c:v>
                </c:pt>
                <c:pt idx="4">
                  <c:v>0.95834909314576999</c:v>
                </c:pt>
                <c:pt idx="5">
                  <c:v>0.91276000539771984</c:v>
                </c:pt>
                <c:pt idx="6">
                  <c:v>0.96506279904244752</c:v>
                </c:pt>
                <c:pt idx="7">
                  <c:v>0.90993146838842665</c:v>
                </c:pt>
                <c:pt idx="8">
                  <c:v>0.97071957053889169</c:v>
                </c:pt>
                <c:pt idx="9">
                  <c:v>0.93787693301459873</c:v>
                </c:pt>
                <c:pt idx="10">
                  <c:v>0.7642207761272567</c:v>
                </c:pt>
                <c:pt idx="11">
                  <c:v>0.75514195043229504</c:v>
                </c:pt>
                <c:pt idx="12">
                  <c:v>0.73490149145655104</c:v>
                </c:pt>
                <c:pt idx="13">
                  <c:v>0.7570591485289625</c:v>
                </c:pt>
                <c:pt idx="14">
                  <c:v>0.84055641765244105</c:v>
                </c:pt>
                <c:pt idx="15">
                  <c:v>0.70988897973693454</c:v>
                </c:pt>
                <c:pt idx="16">
                  <c:v>0.74140010100264098</c:v>
                </c:pt>
                <c:pt idx="17">
                  <c:v>0.715377734804163</c:v>
                </c:pt>
                <c:pt idx="18">
                  <c:v>0.58320137050575704</c:v>
                </c:pt>
                <c:pt idx="19">
                  <c:v>0.482214801339374</c:v>
                </c:pt>
                <c:pt idx="20">
                  <c:v>0.424733166150703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0.77777777777777735</c:v>
                </c:pt>
                <c:pt idx="5">
                  <c:v>0.78571428571428548</c:v>
                </c:pt>
                <c:pt idx="6">
                  <c:v>0.66666666666666663</c:v>
                </c:pt>
                <c:pt idx="7">
                  <c:v>0.64444444444444371</c:v>
                </c:pt>
                <c:pt idx="8">
                  <c:v>0.6</c:v>
                </c:pt>
                <c:pt idx="9">
                  <c:v>0.76666666666666627</c:v>
                </c:pt>
                <c:pt idx="10">
                  <c:v>0.28571428571428542</c:v>
                </c:pt>
                <c:pt idx="11">
                  <c:v>0.2</c:v>
                </c:pt>
                <c:pt idx="12">
                  <c:v>0.25</c:v>
                </c:pt>
                <c:pt idx="13">
                  <c:v>0.41176470588235248</c:v>
                </c:pt>
                <c:pt idx="14">
                  <c:v>0.47222222222222154</c:v>
                </c:pt>
                <c:pt idx="15">
                  <c:v>0.375</c:v>
                </c:pt>
                <c:pt idx="16">
                  <c:v>0.14285714285714199</c:v>
                </c:pt>
                <c:pt idx="17">
                  <c:v>0.52</c:v>
                </c:pt>
                <c:pt idx="18">
                  <c:v>0.133333333333333</c:v>
                </c:pt>
                <c:pt idx="19">
                  <c:v>0.05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0.91111111111111065</c:v>
                </c:pt>
                <c:pt idx="5">
                  <c:v>0.92857142857142794</c:v>
                </c:pt>
                <c:pt idx="6">
                  <c:v>0.90476190476190432</c:v>
                </c:pt>
                <c:pt idx="7">
                  <c:v>0.84444444444444389</c:v>
                </c:pt>
                <c:pt idx="8">
                  <c:v>0.88148148148148131</c:v>
                </c:pt>
                <c:pt idx="9">
                  <c:v>0.94545454545454533</c:v>
                </c:pt>
                <c:pt idx="10">
                  <c:v>0.67032967032967006</c:v>
                </c:pt>
                <c:pt idx="11">
                  <c:v>0.86666666666666603</c:v>
                </c:pt>
                <c:pt idx="12">
                  <c:v>0.79166666666666652</c:v>
                </c:pt>
                <c:pt idx="13">
                  <c:v>0.8823529411764699</c:v>
                </c:pt>
                <c:pt idx="14">
                  <c:v>0.84967320261437851</c:v>
                </c:pt>
                <c:pt idx="15">
                  <c:v>0.86315789473684146</c:v>
                </c:pt>
                <c:pt idx="16">
                  <c:v>0.79047619047619</c:v>
                </c:pt>
                <c:pt idx="17">
                  <c:v>0.94666666666666599</c:v>
                </c:pt>
                <c:pt idx="18">
                  <c:v>0.79310344827586199</c:v>
                </c:pt>
                <c:pt idx="19">
                  <c:v>0.60769230769230698</c:v>
                </c:pt>
                <c:pt idx="20">
                  <c:v>0.86916354556803999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0.96596793880543197</c:v>
                </c:pt>
                <c:pt idx="2">
                  <c:v>1</c:v>
                </c:pt>
                <c:pt idx="3">
                  <c:v>1</c:v>
                </c:pt>
                <c:pt idx="4">
                  <c:v>0.95834909314576999</c:v>
                </c:pt>
                <c:pt idx="5">
                  <c:v>0.91276000539771984</c:v>
                </c:pt>
                <c:pt idx="6">
                  <c:v>0.96506279904244752</c:v>
                </c:pt>
                <c:pt idx="7">
                  <c:v>0.90993146838842665</c:v>
                </c:pt>
                <c:pt idx="8">
                  <c:v>0.97071957053889169</c:v>
                </c:pt>
                <c:pt idx="9">
                  <c:v>0.93787693301459873</c:v>
                </c:pt>
                <c:pt idx="10">
                  <c:v>0.7642207761272567</c:v>
                </c:pt>
                <c:pt idx="11">
                  <c:v>0.75514195043229504</c:v>
                </c:pt>
                <c:pt idx="12">
                  <c:v>0.73490149145655104</c:v>
                </c:pt>
                <c:pt idx="13">
                  <c:v>0.7570591485289625</c:v>
                </c:pt>
                <c:pt idx="14">
                  <c:v>0.84055641765244105</c:v>
                </c:pt>
                <c:pt idx="15">
                  <c:v>0.70988897973693454</c:v>
                </c:pt>
                <c:pt idx="16">
                  <c:v>0.74140010100264098</c:v>
                </c:pt>
                <c:pt idx="17">
                  <c:v>0.715377734804163</c:v>
                </c:pt>
                <c:pt idx="18">
                  <c:v>0.58320137050575704</c:v>
                </c:pt>
                <c:pt idx="19">
                  <c:v>0.482214801339374</c:v>
                </c:pt>
                <c:pt idx="20">
                  <c:v>0.424733166150703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  <c:pt idx="19">
                  <c:v>0.4</c:v>
                </c:pt>
                <c:pt idx="20">
                  <c:v>0.43333333333333302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  <c:pt idx="19">
                  <c:v>0.94102564102564101</c:v>
                </c:pt>
                <c:pt idx="20">
                  <c:v>0.97253433208489304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  <c:pt idx="19">
                  <c:v>0.69413869061601896</c:v>
                </c:pt>
                <c:pt idx="20">
                  <c:v>0.64984557443541002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  <c:pt idx="19">
                  <c:v>0.42499999999999999</c:v>
                </c:pt>
                <c:pt idx="20">
                  <c:v>0.27777777777777701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  <c:pt idx="19">
                  <c:v>0.92820512820512802</c:v>
                </c:pt>
                <c:pt idx="20">
                  <c:v>0.958052434456928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  <c:pt idx="19">
                  <c:v>0.653687345422727</c:v>
                </c:pt>
                <c:pt idx="20">
                  <c:v>0.52312796643965798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E-48AE-B750-5B5C68DDFB98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E-48AE-B750-5B5C68DDFB98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E-48AE-B750-5B5C68DD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15</xdr:col>
      <xdr:colOff>190500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22</xdr:row>
      <xdr:rowOff>127000</xdr:rowOff>
    </xdr:from>
    <xdr:to>
      <xdr:col>14</xdr:col>
      <xdr:colOff>563561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552450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139700</xdr:rowOff>
    </xdr:from>
    <xdr:to>
      <xdr:col>14</xdr:col>
      <xdr:colOff>203200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101600</xdr:colOff>
      <xdr:row>2</xdr:row>
      <xdr:rowOff>25400</xdr:rowOff>
    </xdr:from>
    <xdr:to>
      <xdr:col>29</xdr:col>
      <xdr:colOff>250825</xdr:colOff>
      <xdr:row>19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355601</xdr:colOff>
      <xdr:row>1</xdr:row>
      <xdr:rowOff>238125</xdr:rowOff>
    </xdr:from>
    <xdr:to>
      <xdr:col>19</xdr:col>
      <xdr:colOff>488950</xdr:colOff>
      <xdr:row>18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149225</xdr:colOff>
      <xdr:row>22</xdr:row>
      <xdr:rowOff>15875</xdr:rowOff>
    </xdr:from>
    <xdr:to>
      <xdr:col>10</xdr:col>
      <xdr:colOff>285750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C1F27-C45E-4EE7-B122-4F4CF37EC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25400</xdr:colOff>
      <xdr:row>22</xdr:row>
      <xdr:rowOff>25400</xdr:rowOff>
    </xdr:from>
    <xdr:to>
      <xdr:col>29</xdr:col>
      <xdr:colOff>174625</xdr:colOff>
      <xdr:row>39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BDC82-F10C-437B-8FDD-F084903C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342901</xdr:colOff>
      <xdr:row>22</xdr:row>
      <xdr:rowOff>22225</xdr:rowOff>
    </xdr:from>
    <xdr:to>
      <xdr:col>19</xdr:col>
      <xdr:colOff>476250</xdr:colOff>
      <xdr:row>39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FB701D-7939-4048-990B-02EBB117B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307976</xdr:colOff>
      <xdr:row>22</xdr:row>
      <xdr:rowOff>12701</xdr:rowOff>
    </xdr:from>
    <xdr:to>
      <xdr:col>38</xdr:col>
      <xdr:colOff>466725</xdr:colOff>
      <xdr:row>39</xdr:row>
      <xdr:rowOff>25401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4A6B98-19A6-4D4E-9489-6DC2C8E4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31">
    <sortCondition ref="B1:B3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45"/>
    <tableColumn id="2" xr3:uid="{49AB9E08-F0C0-41E1-9B4D-CF5A4F21526E}" name="Jaccard " dataDxfId="44">
      <calculatedColumnFormula>AVERAGEIF(Table12633[[ Cycle size]],I2,Table12633[JaccardCoefficient])</calculatedColumnFormula>
    </tableColumn>
    <tableColumn id="3" xr3:uid="{9B5D77C5-B82F-4D89-BD20-97A4EB1477BB}" name="Kendall" dataDxfId="43">
      <calculatedColumnFormula>AVERAGEIF(Table12633[ [ Cycle size] ],I2,Table12633[KendallTauCorrelation])</calculatedColumnFormula>
    </tableColumn>
    <tableColumn id="4" xr3:uid="{9584E443-EF5A-4DDC-BE94-B438EABE698C}" name="DCG" dataDxfId="42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FBCC-54A7-424C-8C27-031909A8D368}" name="Table36342" displayName="Table36342" ref="N1:Q11" totalsRowShown="0" headerRowDxfId="41" dataDxfId="39" headerRowBorderDxfId="40" tableBorderDxfId="38" totalsRowBorderDxfId="37">
  <tableColumns count="4">
    <tableColumn id="1" xr3:uid="{0BC54830-9414-4967-A44C-5643AF3D5C83}" name="Statistic" dataDxfId="36"/>
    <tableColumn id="2" xr3:uid="{B5205AE3-7377-40C6-9CF5-779406ED3F69}" name="Jaccard " dataDxfId="35">
      <calculatedColumnFormula>AVERAGEIF(Table12633[[ Cycle size]],N2,Table12633[JaccardCoefficient])</calculatedColumnFormula>
    </tableColumn>
    <tableColumn id="3" xr3:uid="{2FE1B159-7A82-4737-879B-6AEDA0194214}" name="Kendall" dataDxfId="34">
      <calculatedColumnFormula>AVERAGEIF(Table12633[ [ Cycle size] ],N2,Table12633[KendallTauCorrelation])</calculatedColumnFormula>
    </tableColumn>
    <tableColumn id="4" xr3:uid="{DFB9A572-DBE2-43EA-8016-41A3BF46D0DB}" name="DCG" dataDxfId="33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84"/>
    <tableColumn id="2" xr3:uid="{DF6742EE-55DF-430B-B71D-2F427CBBA4C7}" name="Jaccard " dataDxfId="83">
      <calculatedColumnFormula>AVERAGEIF(Table1264348[[ Cycle size]],I2,Table1264348[JaccardCoefficient])</calculatedColumnFormula>
    </tableColumn>
    <tableColumn id="3" xr3:uid="{43F66FD1-4B4C-47A5-8001-0E24D7EF0650}" name="Kendall" dataDxfId="82">
      <calculatedColumnFormula>AVERAGEIF(Table1264348[ [ Cycle size] ],I2,Table1264348[KendallTauCorrelation])</calculatedColumnFormula>
    </tableColumn>
    <tableColumn id="4" xr3:uid="{AC28AFAA-DE30-4EC7-B0AF-45CEFAA1E5A3}" name="DCG" dataDxfId="81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6C51E6-E4A6-4998-9788-882EB7B474DF}" name="Table36342789" displayName="Table36342789" ref="N1:Q11" totalsRowShown="0" headerRowDxfId="80" dataDxfId="78" headerRowBorderDxfId="79" tableBorderDxfId="77" totalsRowBorderDxfId="76">
  <tableColumns count="4">
    <tableColumn id="1" xr3:uid="{817BD0B0-4EE4-48B3-8FAB-9C093BBC46F7}" name="Statistic" dataDxfId="75"/>
    <tableColumn id="2" xr3:uid="{B1FCB96A-688A-4C93-BD7A-C3BC9B3033A3}" name="Jaccard " dataDxfId="74">
      <calculatedColumnFormula>AVERAGEIF(Table12633[[ Cycle size]],N2,Table12633[JaccardCoefficient])</calculatedColumnFormula>
    </tableColumn>
    <tableColumn id="3" xr3:uid="{E454E4BE-4357-421F-B3D9-71A56DE45161}" name="Kendall" dataDxfId="73">
      <calculatedColumnFormula>AVERAGEIF(Table12633[ [ Cycle size] ],N2,Table12633[KendallTauCorrelation])</calculatedColumnFormula>
    </tableColumn>
    <tableColumn id="4" xr3:uid="{3C92B5DD-1792-4F84-B5A4-42D340BEE992}" name="DCG" dataDxfId="72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71"/>
    <tableColumn id="2" xr3:uid="{0774C44D-573D-4A8D-A3F8-7A15902EE741}" name="Jaccard " dataDxfId="70">
      <calculatedColumnFormula>AVERAGEIF(Table12643[[ Cycle size]],I2,Table12643[JaccardCoefficient])</calculatedColumnFormula>
    </tableColumn>
    <tableColumn id="3" xr3:uid="{29023569-472C-4DA3-A6FD-3778501F605D}" name="Kendall" dataDxfId="69">
      <calculatedColumnFormula>AVERAGEIF(Table12643[ [ Cycle size] ],I2,Table12643[KendallTauCorrelation])</calculatedColumnFormula>
    </tableColumn>
    <tableColumn id="4" xr3:uid="{7EA81829-E064-429A-8428-985796CAAF4A}" name="DCG" dataDxfId="68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57D4D5-4C80-420C-8AAC-1F091BF624AE}" name="Table3634278" displayName="Table3634278" ref="N1:Q11" totalsRowShown="0" headerRowDxfId="67" dataDxfId="65" headerRowBorderDxfId="66" tableBorderDxfId="64" totalsRowBorderDxfId="63">
  <tableColumns count="4">
    <tableColumn id="1" xr3:uid="{EB8D64AA-6582-457E-B484-DBDA173BB76A}" name="Statistic" dataDxfId="62"/>
    <tableColumn id="2" xr3:uid="{D0EFE0BB-6353-49A0-BB86-993A061831A6}" name="Jaccard " dataDxfId="61">
      <calculatedColumnFormula>AVERAGEIF(Table12633[[ Cycle size]],N2,Table12633[JaccardCoefficient])</calculatedColumnFormula>
    </tableColumn>
    <tableColumn id="3" xr3:uid="{EAB14AE4-625C-4FB5-B168-3A68B0CE292B}" name="Kendall" dataDxfId="60">
      <calculatedColumnFormula>AVERAGEIF(Table12633[ [ Cycle size] ],N2,Table12633[KendallTauCorrelation])</calculatedColumnFormula>
    </tableColumn>
    <tableColumn id="4" xr3:uid="{3C181F74-0CD7-404C-B783-4206A6DA6254}" name="DCG" dataDxfId="59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2">
    <sortCondition ref="B1:B52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58"/>
    <tableColumn id="2" xr3:uid="{14637A0D-F072-4269-B9F5-0AABD44ABD10}" name="Jaccard " dataDxfId="57">
      <calculatedColumnFormula>AVERAGEIF(Table126[[ Cycle size]],I2,Table126[JaccardCoefficient])</calculatedColumnFormula>
    </tableColumn>
    <tableColumn id="3" xr3:uid="{B9E2DBF4-3772-4870-8716-706F230E55BF}" name="Kendall" dataDxfId="56">
      <calculatedColumnFormula>AVERAGEIF(Table126[ [ Cycle size] ],I2,Table126[KendallTauCorrelation])</calculatedColumnFormula>
    </tableColumn>
    <tableColumn id="4" xr3:uid="{FE5E51E2-3AC9-48B0-B647-01483E631810}" name="DCG" dataDxfId="55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499EE0-BBF4-4E5A-8389-CE5B409AEC47}" name="Table363427" displayName="Table363427" ref="N1:Q11" totalsRowShown="0" headerRowDxfId="54" dataDxfId="52" headerRowBorderDxfId="53" tableBorderDxfId="51" totalsRowBorderDxfId="50">
  <tableColumns count="4">
    <tableColumn id="1" xr3:uid="{D57CA7E8-CD24-4620-808D-F080B5DA7113}" name="Statistic" dataDxfId="49"/>
    <tableColumn id="2" xr3:uid="{790F9B74-A801-46BD-A77A-065A57851391}" name="Jaccard " dataDxfId="48">
      <calculatedColumnFormula>AVERAGEIF(Table12633[[ Cycle size]],N2,Table12633[JaccardCoefficient])</calculatedColumnFormula>
    </tableColumn>
    <tableColumn id="3" xr3:uid="{3F3C5C17-CFB8-4895-A901-C7167E5881C5}" name="Kendall" dataDxfId="47">
      <calculatedColumnFormula>AVERAGEIF(Table12633[ [ Cycle size] ],N2,Table12633[KendallTauCorrelation])</calculatedColumnFormula>
    </tableColumn>
    <tableColumn id="4" xr3:uid="{E87267A8-9D63-4A8F-B775-0CAC14C0E0AD}" name="DCG" dataDxfId="46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tabSelected="1" topLeftCell="C7" zoomScale="70" zoomScaleNormal="70" workbookViewId="0">
      <selection activeCell="N18" sqref="N18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7.796875" style="11" customWidth="1"/>
    <col min="11" max="11" width="8.73046875" style="1" customWidth="1"/>
    <col min="12" max="12" width="8.73046875" style="1"/>
    <col min="13" max="13" width="10.59765625" style="1" customWidth="1"/>
    <col min="14" max="14" width="35.73046875" style="1" customWidth="1"/>
    <col min="15" max="15" width="10.46484375" style="1" customWidth="1"/>
    <col min="16" max="17" width="8.73046875" style="1"/>
    <col min="18" max="18" width="10.265625" style="1" customWidth="1"/>
    <col min="19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21" t="s">
        <v>40</v>
      </c>
      <c r="O1" s="22" t="s">
        <v>33</v>
      </c>
      <c r="P1" s="22" t="s">
        <v>29</v>
      </c>
      <c r="Q1" s="23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28" t="s">
        <v>41</v>
      </c>
      <c r="O2" s="15">
        <f>CORREL(I2:I22, J2:J22)</f>
        <v>-0.75612519234561926</v>
      </c>
      <c r="P2" s="15">
        <f>CORREL(I2:I22, K2:K22)</f>
        <v>0.14679482417616607</v>
      </c>
      <c r="Q2" s="16">
        <f>CORREL(I2:I22, L2:L22)</f>
        <v>-0.89741626153717469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0.86666666666666659</v>
      </c>
      <c r="K3" s="2">
        <f>AVERAGEIF(Table1264348[ [ Cycle size] ],I3,Table1264348[KendallTauCorrelation])</f>
        <v>0.86666666666666659</v>
      </c>
      <c r="L3" s="2">
        <f>AVERAGEIF(Table1264348[ [ Cycle size] ],I3,Table1264348[DiscountedCumulativeGain])</f>
        <v>0.91746881399038804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45">
      <c r="A4" s="1">
        <v>10.199999999999999</v>
      </c>
      <c r="B4" s="1">
        <v>3</v>
      </c>
      <c r="C4" s="1">
        <v>0.33333333333333298</v>
      </c>
      <c r="D4" s="1">
        <v>0.5</v>
      </c>
      <c r="E4" s="1">
        <v>0.33333333333333298</v>
      </c>
      <c r="F4" s="1">
        <v>0.5</v>
      </c>
      <c r="G4" s="1">
        <v>0.58734406995194</v>
      </c>
      <c r="I4" s="12">
        <v>4</v>
      </c>
      <c r="J4" s="2">
        <f>AVERAGEIF(Table1264348[[ Cycle size]],I4,Table1264348[JaccardCoefficient])</f>
        <v>0.83333333333333337</v>
      </c>
      <c r="K4" s="2">
        <f>AVERAGEIF(Table1264348[ [ Cycle size] ],I4,Table1264348[KendallTauCorrelation])</f>
        <v>0.88888888888888873</v>
      </c>
      <c r="L4" s="2">
        <f>AVERAGEIF(Table1264348[ [ Cycle size] ],I4,Table1264348[DiscountedCumulativeGain])</f>
        <v>0.91746881399038804</v>
      </c>
      <c r="N4" s="29" t="s">
        <v>42</v>
      </c>
      <c r="O4" s="17">
        <f>CORREL(I2:I20, J2:J20)</f>
        <v>-0.64686361282490557</v>
      </c>
      <c r="P4" s="17">
        <f>CORREL(I2:I20, K2:K20)</f>
        <v>0.21339957776542165</v>
      </c>
      <c r="Q4" s="18">
        <f>CORREL(I2:I20, L2:L20)</f>
        <v>-0.67510037215646967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  <c r="N5" s="27" t="s">
        <v>40</v>
      </c>
      <c r="O5" s="19" t="s">
        <v>33</v>
      </c>
      <c r="P5" s="19" t="s">
        <v>29</v>
      </c>
      <c r="Q5" s="20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0.94776052604962568</v>
      </c>
      <c r="N6" s="29" t="s">
        <v>47</v>
      </c>
      <c r="O6" s="17">
        <f>AVERAGEA(J2:J22)</f>
        <v>0.7124912742874927</v>
      </c>
      <c r="P6" s="17">
        <f t="shared" ref="P6:Q6" si="0">AVERAGEA(K2:K22)</f>
        <v>0.94002532890620671</v>
      </c>
      <c r="Q6" s="17">
        <f t="shared" si="0"/>
        <v>0.8866623520913538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0.78571428571428548</v>
      </c>
      <c r="K7" s="2">
        <f>AVERAGEIF(Table1264348[ [ Cycle size] ],I7,Table1264348[KendallTauCorrelation])</f>
        <v>0.92857142857142794</v>
      </c>
      <c r="L7" s="2">
        <f>AVERAGEIF(Table1264348[ [ Cycle size] ],I7,Table1264348[DiscountedCumulativeGain])</f>
        <v>0.9651137488820678</v>
      </c>
      <c r="N7" s="27" t="s">
        <v>40</v>
      </c>
      <c r="O7" s="19" t="s">
        <v>33</v>
      </c>
      <c r="P7" s="19" t="s">
        <v>29</v>
      </c>
      <c r="Q7" s="20" t="s">
        <v>34</v>
      </c>
    </row>
    <row r="8" spans="1:17" x14ac:dyDescent="0.4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1</v>
      </c>
      <c r="K8" s="2">
        <f>AVERAGEIF(Table1264348[ [ Cycle size] ],I8,Table1264348[KendallTauCorrelation])</f>
        <v>1</v>
      </c>
      <c r="L8" s="2">
        <f>AVERAGEIF(Table1264348[ [ Cycle size] ],I8,Table1264348[DiscountedCumulativeGain])</f>
        <v>1</v>
      </c>
      <c r="N8" s="29" t="s">
        <v>48</v>
      </c>
      <c r="O8" s="17">
        <f>MEDIAN(J2:J22)</f>
        <v>0.69999999999999984</v>
      </c>
      <c r="P8" s="17">
        <f t="shared" ref="P8:Q8" si="1">MEDIAN(K2:K22)</f>
        <v>0.94771241830065356</v>
      </c>
      <c r="Q8" s="17">
        <f t="shared" si="1"/>
        <v>0.91151468175840888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0.7333333333333325</v>
      </c>
      <c r="K9" s="2">
        <f>AVERAGEIF(Table1264348[ [ Cycle size] ],I9,Table1264348[KendallTauCorrelation])</f>
        <v>0.93333333333333268</v>
      </c>
      <c r="L9" s="2">
        <f>AVERAGEIF(Table1264348[ [ Cycle size] ],I9,Table1264348[DiscountedCumulativeGain])</f>
        <v>0.9728276114752179</v>
      </c>
      <c r="N9" s="27" t="s">
        <v>40</v>
      </c>
      <c r="O9" s="19" t="s">
        <v>33</v>
      </c>
      <c r="P9" s="19" t="s">
        <v>29</v>
      </c>
      <c r="Q9" s="20" t="s">
        <v>34</v>
      </c>
    </row>
    <row r="10" spans="1:17" x14ac:dyDescent="0.4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AVERAGEIF(Table1264348[[ Cycle size]],I10,Table1264348[JaccardCoefficient])</f>
        <v>0.53333333333333333</v>
      </c>
      <c r="K10" s="2">
        <f>AVERAGEIF(Table1264348[ [ Cycle size] ],I10,Table1264348[KendallTauCorrelation])</f>
        <v>0.8518518518518513</v>
      </c>
      <c r="L10" s="2">
        <f>AVERAGEIF(Table1264348[ [ Cycle size] ],I10,Table1264348[DiscountedCumulativeGain])</f>
        <v>0.90525480001630376</v>
      </c>
      <c r="N10" s="29" t="s">
        <v>50</v>
      </c>
      <c r="O10" s="17">
        <f>SUMPRODUCT($I$2:$I$22,J2:J22)/SUM($I$2:$I$22)</f>
        <v>0.56254480286738329</v>
      </c>
      <c r="P10" s="17">
        <f t="shared" ref="P10:Q10" si="2">SUMPRODUCT($I$2:$I$22,K2:K22)/SUM($I$2:$I$22)</f>
        <v>0.9465879910053645</v>
      </c>
      <c r="Q10" s="17">
        <f t="shared" si="2"/>
        <v>0.77756100683811946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0.69999999999999984</v>
      </c>
      <c r="K11" s="2">
        <f>AVERAGEIF(Table1264348[ [ Cycle size] ],I11,Table1264348[KendallTauCorrelation])</f>
        <v>0.92727272727272703</v>
      </c>
      <c r="L11" s="2">
        <f>AVERAGEIF(Table1264348[ [ Cycle size] ],I11,Table1264348[DiscountedCumulativeGain])</f>
        <v>0.91151468175840888</v>
      </c>
      <c r="N11" s="29" t="s">
        <v>49</v>
      </c>
      <c r="O11" s="17">
        <f>SUMPRODUCT(I2:I20,J2:J20)/SUM(I2:I20)</f>
        <v>0.69118457300275471</v>
      </c>
      <c r="P11" s="17">
        <f>SUMPRODUCT(I2:I20,K2:K20)/SUM(I2:I20)</f>
        <v>0.94536284473002885</v>
      </c>
      <c r="Q11" s="17">
        <f>SUMPRODUCT(L2:L20,I2:I20)/SUM(I2:I20)</f>
        <v>0.89265985019546346</v>
      </c>
    </row>
    <row r="12" spans="1:17" x14ac:dyDescent="0.4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0.69047619047618991</v>
      </c>
      <c r="K12" s="2">
        <f>AVERAGEIF(Table1264348[ [ Cycle size] ],I12,Table1264348[KendallTauCorrelation])</f>
        <v>0.94871794871794857</v>
      </c>
      <c r="L12" s="2">
        <f>AVERAGEIF(Table1264348[ [ Cycle size] ],I12,Table1264348[DiscountedCumulativeGain])</f>
        <v>0.8516166275022603</v>
      </c>
    </row>
    <row r="13" spans="1:17" x14ac:dyDescent="0.45">
      <c r="A13" s="1">
        <v>27.2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0.850332604412121</v>
      </c>
      <c r="I13" s="12">
        <v>15</v>
      </c>
      <c r="J13" s="2">
        <f>AVERAGEIF(Table1264348[[ Cycle size]],I13,Table1264348[JaccardCoefficient])</f>
        <v>1</v>
      </c>
      <c r="K13" s="2">
        <f>AVERAGEIF(Table1264348[ [ Cycle size] ],I13,Table1264348[KendallTauCorrelation])</f>
        <v>1</v>
      </c>
      <c r="L13" s="2">
        <f>AVERAGEIF(Table1264348[ [ Cycle size] ],I13,Table1264348[DiscountedCumulativeGain])</f>
        <v>1</v>
      </c>
    </row>
    <row r="14" spans="1:17" x14ac:dyDescent="0.4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0.71875</v>
      </c>
      <c r="K14" s="2">
        <f>AVERAGEIF(Table1264348[ [ Cycle size] ],I14,Table1264348[KendallTauCorrelation])</f>
        <v>0.95833333333333304</v>
      </c>
      <c r="L14" s="2">
        <f>AVERAGEIF(Table1264348[ [ Cycle size] ],I14,Table1264348[DiscountedCumulativeGain])</f>
        <v>0.94078635161054702</v>
      </c>
    </row>
    <row r="15" spans="1:17" x14ac:dyDescent="0.4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0.64705882352941146</v>
      </c>
      <c r="K15" s="2">
        <f>AVERAGEIF(Table1264348[ [ Cycle size] ],I15,Table1264348[KendallTauCorrelation])</f>
        <v>0.9485294117647054</v>
      </c>
      <c r="L15" s="2">
        <f>AVERAGEIF(Table1264348[ [ Cycle size] ],I15,Table1264348[DiscountedCumulativeGain])</f>
        <v>0.89377529369511199</v>
      </c>
    </row>
    <row r="16" spans="1:17" x14ac:dyDescent="0.4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0.94771241830065356</v>
      </c>
      <c r="L16" s="2">
        <f>AVERAGEIF(Table1264348[ [ Cycle size] ],I16,Table1264348[DiscountedCumulativeGain])</f>
        <v>0.827254450158597</v>
      </c>
    </row>
    <row r="17" spans="1:12" x14ac:dyDescent="0.4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0.82142857142857095</v>
      </c>
      <c r="G17" s="1">
        <v>0.95366849560259803</v>
      </c>
      <c r="I17" s="12">
        <v>20</v>
      </c>
      <c r="J17" s="2">
        <f>AVERAGEIF(Table1264348[[ Cycle size]],I17,Table1264348[JaccardCoefficient])</f>
        <v>0.625</v>
      </c>
      <c r="K17" s="2">
        <f>AVERAGEIF(Table1264348[ [ Cycle size] ],I17,Table1264348[KendallTauCorrelation])</f>
        <v>0.94736842105263097</v>
      </c>
      <c r="L17" s="2">
        <f>AVERAGEIF(Table1264348[ [ Cycle size] ],I17,Table1264348[DiscountedCumulativeGain])</f>
        <v>0.83244503878446896</v>
      </c>
    </row>
    <row r="18" spans="1:12" x14ac:dyDescent="0.45">
      <c r="A18" s="1">
        <v>43.2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0.89285714285714202</v>
      </c>
      <c r="G18" s="1">
        <v>0.91207476962310596</v>
      </c>
      <c r="I18" s="12">
        <v>21</v>
      </c>
      <c r="J18" s="2">
        <f>AVERAGEIF(Table1264348[[ Cycle size]],I18,Table1264348[JaccardCoefficient])</f>
        <v>0.57142857142857095</v>
      </c>
      <c r="K18" s="2">
        <f>AVERAGEIF(Table1264348[ [ Cycle size] ],I18,Table1264348[KendallTauCorrelation])</f>
        <v>0.92380952380952297</v>
      </c>
      <c r="L18" s="2">
        <f>AVERAGEIF(Table1264348[ [ Cycle size] ],I18,Table1264348[DiscountedCumulativeGain])</f>
        <v>0.908828549327098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AVERAGEIF(Table1264348[[ Cycle size]],I19,Table1264348[JaccardCoefficient])</f>
        <v>0.56000000000000005</v>
      </c>
      <c r="K19" s="2">
        <f>AVERAGEIF(Table1264348[ [ Cycle size] ],I19,Table1264348[KendallTauCorrelation])</f>
        <v>0.95333333333333303</v>
      </c>
      <c r="L19" s="2">
        <f>AVERAGEIF(Table1264348[ [ Cycle size] ],I19,Table1264348[DiscountedCumulativeGain])</f>
        <v>0.78215361922821403</v>
      </c>
    </row>
    <row r="20" spans="1:12" x14ac:dyDescent="0.4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0.63333333333333297</v>
      </c>
      <c r="K20" s="2">
        <f>AVERAGEIF(Table1264348[ [ Cycle size] ],I20,Table1264348[KendallTauCorrelation])</f>
        <v>0.96321839080459704</v>
      </c>
      <c r="L20" s="2">
        <f>AVERAGEIF(Table1264348[ [ Cycle size] ],I20,Table1264348[DiscountedCumulativeGain])</f>
        <v>0.86882515558734796</v>
      </c>
    </row>
    <row r="21" spans="1:12" x14ac:dyDescent="0.4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0.42499999999999999</v>
      </c>
      <c r="K21" s="2">
        <f>AVERAGEIF(Table1264348[ [ Cycle size] ],I21,Table1264348[KendallTauCorrelation])</f>
        <v>0.92820512820512802</v>
      </c>
      <c r="L21" s="2">
        <f>AVERAGEIF(Table1264348[ [ Cycle size] ],I21,Table1264348[DiscountedCumulativeGain])</f>
        <v>0.653687345422727</v>
      </c>
    </row>
    <row r="22" spans="1:12" x14ac:dyDescent="0.45">
      <c r="A22" s="1">
        <v>2.2000000000000002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0.27777777777777701</v>
      </c>
      <c r="K22" s="2">
        <f>AVERAGEIF(Table1264348[ [ Cycle size] ],I22,Table1264348[KendallTauCorrelation])</f>
        <v>0.958052434456928</v>
      </c>
      <c r="L22" s="2">
        <f>AVERAGEIF(Table1264348[ [ Cycle size] ],I22,Table1264348[DiscountedCumulativeGain])</f>
        <v>0.52312796643965798</v>
      </c>
    </row>
    <row r="23" spans="1:12" x14ac:dyDescent="0.45">
      <c r="A23" s="1">
        <v>11.2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0.71111111111111103</v>
      </c>
      <c r="G23" s="1">
        <v>0.97731195920362102</v>
      </c>
      <c r="I23" s="1"/>
      <c r="J23" s="1"/>
    </row>
    <row r="24" spans="1:12" x14ac:dyDescent="0.45">
      <c r="A24" s="1">
        <v>17.2</v>
      </c>
      <c r="B24" s="1">
        <v>9</v>
      </c>
      <c r="C24" s="1">
        <v>0.55555555555555503</v>
      </c>
      <c r="D24" s="1">
        <v>0.9</v>
      </c>
      <c r="E24" s="1">
        <v>0.88888888888888795</v>
      </c>
      <c r="F24" s="1">
        <v>0.51111111111111096</v>
      </c>
      <c r="G24" s="1">
        <v>0.99385954917132902</v>
      </c>
      <c r="I24" s="1"/>
      <c r="J24" s="1"/>
    </row>
    <row r="25" spans="1:12" x14ac:dyDescent="0.45">
      <c r="A25" s="1">
        <v>21.2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0.75555555555555498</v>
      </c>
      <c r="G25" s="1">
        <v>0.99670952107715205</v>
      </c>
      <c r="I25" s="1"/>
      <c r="J25" s="1"/>
    </row>
    <row r="26" spans="1:12" x14ac:dyDescent="0.45">
      <c r="A26" s="1">
        <v>40.200000000000003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0.71111111111111103</v>
      </c>
      <c r="G26" s="1">
        <v>0.97731195920362102</v>
      </c>
    </row>
    <row r="27" spans="1:12" x14ac:dyDescent="0.45">
      <c r="A27" s="1">
        <v>37.200000000000003</v>
      </c>
      <c r="B27" s="1">
        <v>10</v>
      </c>
      <c r="C27" s="1">
        <v>0.8</v>
      </c>
      <c r="D27" s="1">
        <v>0.92</v>
      </c>
      <c r="E27" s="1">
        <v>0.86666666666666603</v>
      </c>
      <c r="F27" s="1">
        <v>0.74545454545454504</v>
      </c>
      <c r="G27" s="1">
        <v>0.98098937944092701</v>
      </c>
    </row>
    <row r="28" spans="1:12" x14ac:dyDescent="0.45">
      <c r="A28" s="1">
        <v>38.200000000000003</v>
      </c>
      <c r="B28" s="1">
        <v>10</v>
      </c>
      <c r="C28" s="1">
        <v>0.4</v>
      </c>
      <c r="D28" s="1">
        <v>0.84</v>
      </c>
      <c r="E28" s="1">
        <v>0.82222222222222197</v>
      </c>
      <c r="F28" s="1">
        <v>0.36363636363636298</v>
      </c>
      <c r="G28" s="1">
        <v>0.95879615851022904</v>
      </c>
    </row>
    <row r="29" spans="1:12" x14ac:dyDescent="0.45">
      <c r="A29" s="1">
        <v>42.2</v>
      </c>
      <c r="B29" s="1">
        <v>10</v>
      </c>
      <c r="C29" s="1">
        <v>0.4</v>
      </c>
      <c r="D29" s="1">
        <v>0.88</v>
      </c>
      <c r="E29" s="1">
        <v>0.86666666666666603</v>
      </c>
      <c r="F29" s="1">
        <v>0.65454545454545399</v>
      </c>
      <c r="G29" s="1">
        <v>0.77597886209775502</v>
      </c>
    </row>
    <row r="30" spans="1:12" x14ac:dyDescent="0.45">
      <c r="A30" s="1">
        <v>3.2</v>
      </c>
      <c r="B30" s="1">
        <v>12</v>
      </c>
      <c r="C30" s="1">
        <v>0.58333333333333304</v>
      </c>
      <c r="D30" s="1">
        <v>0.91666666666666596</v>
      </c>
      <c r="E30" s="1">
        <v>0.90909090909090895</v>
      </c>
      <c r="F30" s="1">
        <v>0.46153846153846101</v>
      </c>
      <c r="G30" s="1">
        <v>0.99720568251629205</v>
      </c>
    </row>
    <row r="31" spans="1:12" x14ac:dyDescent="0.45">
      <c r="A31" s="1">
        <v>12.2</v>
      </c>
      <c r="B31" s="1">
        <v>12</v>
      </c>
      <c r="C31" s="1">
        <v>0.75</v>
      </c>
      <c r="D31" s="1">
        <v>0.94444444444444398</v>
      </c>
      <c r="E31" s="1">
        <v>0.939393939393939</v>
      </c>
      <c r="F31" s="1">
        <v>0.84615384615384603</v>
      </c>
      <c r="G31" s="1">
        <v>0.89545625682332797</v>
      </c>
    </row>
    <row r="32" spans="1:12" x14ac:dyDescent="0.45">
      <c r="A32" s="1">
        <v>15.2</v>
      </c>
      <c r="B32" s="1">
        <v>12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45">
      <c r="A33" s="1">
        <v>41.2</v>
      </c>
      <c r="B33" s="1">
        <v>12</v>
      </c>
      <c r="C33" s="1">
        <v>0.83333333333333304</v>
      </c>
      <c r="D33" s="1">
        <v>0.94444444444444398</v>
      </c>
      <c r="E33" s="1">
        <v>0.90909090909090895</v>
      </c>
      <c r="F33" s="1">
        <v>0.82051282051282004</v>
      </c>
      <c r="G33" s="1">
        <v>0.97876891452760095</v>
      </c>
    </row>
    <row r="34" spans="1:7" x14ac:dyDescent="0.45">
      <c r="A34" s="1">
        <v>47.2</v>
      </c>
      <c r="B34" s="1">
        <v>12</v>
      </c>
      <c r="C34" s="1">
        <v>0.33333333333333298</v>
      </c>
      <c r="D34" s="1">
        <v>0.88888888888888795</v>
      </c>
      <c r="E34" s="1">
        <v>0.87878787878787801</v>
      </c>
      <c r="F34" s="1">
        <v>0.64102564102564097</v>
      </c>
      <c r="G34" s="1">
        <v>0.68614255492482401</v>
      </c>
    </row>
    <row r="35" spans="1:7" x14ac:dyDescent="0.45">
      <c r="A35" s="1">
        <v>25.2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0.72380952380952301</v>
      </c>
      <c r="G35" s="1">
        <v>0.79765835378734296</v>
      </c>
    </row>
    <row r="36" spans="1:7" x14ac:dyDescent="0.45">
      <c r="A36" s="1">
        <v>28.2</v>
      </c>
      <c r="B36" s="1">
        <v>14</v>
      </c>
      <c r="C36" s="1">
        <v>0.85714285714285698</v>
      </c>
      <c r="D36" s="1">
        <v>0.97959183673469297</v>
      </c>
      <c r="E36" s="1">
        <v>0.97802197802197799</v>
      </c>
      <c r="F36" s="1">
        <v>0.76190476190476097</v>
      </c>
      <c r="G36" s="1">
        <v>0.97641966114011003</v>
      </c>
    </row>
    <row r="37" spans="1:7" x14ac:dyDescent="0.45">
      <c r="A37" s="1">
        <v>49.2</v>
      </c>
      <c r="B37" s="1">
        <v>14</v>
      </c>
      <c r="C37" s="1">
        <v>0.64285714285714202</v>
      </c>
      <c r="D37" s="1">
        <v>0.93877551020408101</v>
      </c>
      <c r="E37" s="1">
        <v>0.93406593406593397</v>
      </c>
      <c r="F37" s="1">
        <v>0.85714285714285698</v>
      </c>
      <c r="G37" s="1">
        <v>0.78077186757932804</v>
      </c>
    </row>
    <row r="38" spans="1:7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5">
      <c r="A39" s="1">
        <v>7.2</v>
      </c>
      <c r="B39" s="1">
        <v>16</v>
      </c>
      <c r="C39" s="1">
        <v>0.5625</v>
      </c>
      <c r="D39" s="1">
        <v>0.9375</v>
      </c>
      <c r="E39" s="1">
        <v>0.93333333333333302</v>
      </c>
      <c r="F39" s="1">
        <v>0.54411764705882304</v>
      </c>
      <c r="G39" s="1">
        <v>0.89111154236173595</v>
      </c>
    </row>
    <row r="40" spans="1:7" x14ac:dyDescent="0.45">
      <c r="A40" s="1">
        <v>34.200000000000003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0.83088235294117596</v>
      </c>
      <c r="G40" s="1">
        <v>0.99046116085935798</v>
      </c>
    </row>
    <row r="41" spans="1:7" x14ac:dyDescent="0.45">
      <c r="A41" s="1">
        <v>14.2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45">
      <c r="A42" s="1">
        <v>36.200000000000003</v>
      </c>
      <c r="B42" s="1">
        <v>17</v>
      </c>
      <c r="C42" s="1">
        <v>0.70588235294117596</v>
      </c>
      <c r="D42" s="1">
        <v>0.95833333333333304</v>
      </c>
      <c r="E42" s="1">
        <v>0.95588235294117596</v>
      </c>
      <c r="F42" s="1">
        <v>0.62745098039215597</v>
      </c>
      <c r="G42" s="1">
        <v>0.95800996401788296</v>
      </c>
    </row>
    <row r="43" spans="1:7" x14ac:dyDescent="0.45">
      <c r="A43" s="1">
        <v>45.2</v>
      </c>
      <c r="B43" s="1">
        <v>18</v>
      </c>
      <c r="C43" s="1">
        <v>0.55555555555555503</v>
      </c>
      <c r="D43" s="1">
        <v>0.938271604938271</v>
      </c>
      <c r="E43" s="1">
        <v>0.934640522875817</v>
      </c>
      <c r="F43" s="1">
        <v>0.70760233918128601</v>
      </c>
      <c r="G43" s="1">
        <v>0.75973199191140806</v>
      </c>
    </row>
    <row r="44" spans="1:7" x14ac:dyDescent="0.45">
      <c r="A44" s="1">
        <v>48.2</v>
      </c>
      <c r="B44" s="1">
        <v>18</v>
      </c>
      <c r="C44" s="1">
        <v>0.72222222222222199</v>
      </c>
      <c r="D44" s="1">
        <v>0.96296296296296302</v>
      </c>
      <c r="E44" s="1">
        <v>0.96078431372549</v>
      </c>
      <c r="F44" s="1">
        <v>0.74853801169590595</v>
      </c>
      <c r="G44" s="1">
        <v>0.89477690840578605</v>
      </c>
    </row>
    <row r="45" spans="1:7" x14ac:dyDescent="0.45">
      <c r="A45" s="1">
        <v>18.2</v>
      </c>
      <c r="B45" s="1">
        <v>20</v>
      </c>
      <c r="C45" s="1">
        <v>0.65</v>
      </c>
      <c r="D45" s="1">
        <v>0.95</v>
      </c>
      <c r="E45" s="1">
        <v>0.93684210526315703</v>
      </c>
      <c r="F45" s="1">
        <v>0.71904761904761905</v>
      </c>
      <c r="G45" s="1">
        <v>0.83209253493977497</v>
      </c>
    </row>
    <row r="46" spans="1:7" x14ac:dyDescent="0.45">
      <c r="A46" s="1">
        <v>35.200000000000003</v>
      </c>
      <c r="B46" s="1">
        <v>20</v>
      </c>
      <c r="C46" s="1">
        <v>0.6</v>
      </c>
      <c r="D46" s="1">
        <v>0.96</v>
      </c>
      <c r="E46" s="1">
        <v>0.95789473684210502</v>
      </c>
      <c r="F46" s="1">
        <v>0.63809523809523805</v>
      </c>
      <c r="G46" s="1">
        <v>0.83279754262916295</v>
      </c>
    </row>
    <row r="47" spans="1:7" x14ac:dyDescent="0.45">
      <c r="A47" s="1">
        <v>24.2</v>
      </c>
      <c r="B47" s="1">
        <v>21</v>
      </c>
      <c r="C47" s="1">
        <v>0.57142857142857095</v>
      </c>
      <c r="D47" s="1">
        <v>0.93636363636363595</v>
      </c>
      <c r="E47" s="1">
        <v>0.92380952380952297</v>
      </c>
      <c r="F47" s="1">
        <v>0.46753246753246702</v>
      </c>
      <c r="G47" s="1">
        <v>0.908828549327098</v>
      </c>
    </row>
    <row r="48" spans="1:7" x14ac:dyDescent="0.45">
      <c r="A48" s="1">
        <v>44.2</v>
      </c>
      <c r="B48" s="1">
        <v>25</v>
      </c>
      <c r="C48" s="1">
        <v>0.56000000000000005</v>
      </c>
      <c r="D48" s="1">
        <v>0.95512820512820495</v>
      </c>
      <c r="E48" s="1">
        <v>0.95333333333333303</v>
      </c>
      <c r="F48" s="1">
        <v>0.61538461538461497</v>
      </c>
      <c r="G48" s="1">
        <v>0.78215361922821403</v>
      </c>
    </row>
    <row r="49" spans="1:7" x14ac:dyDescent="0.45">
      <c r="A49" s="1">
        <v>31.2</v>
      </c>
      <c r="B49" s="1">
        <v>30</v>
      </c>
      <c r="C49" s="1">
        <v>0.63333333333333297</v>
      </c>
      <c r="D49" s="1">
        <v>0.96888888888888802</v>
      </c>
      <c r="E49" s="1">
        <v>0.96321839080459704</v>
      </c>
      <c r="F49" s="1">
        <v>0.58064516129032195</v>
      </c>
      <c r="G49" s="1">
        <v>0.86882515558734796</v>
      </c>
    </row>
    <row r="50" spans="1:7" x14ac:dyDescent="0.45">
      <c r="A50" s="1">
        <v>16.2</v>
      </c>
      <c r="B50" s="1">
        <v>40</v>
      </c>
      <c r="C50" s="1">
        <v>0.42499999999999999</v>
      </c>
      <c r="D50" s="1">
        <v>0.9425</v>
      </c>
      <c r="E50" s="1">
        <v>0.92820512820512802</v>
      </c>
      <c r="F50" s="1">
        <v>0.50975609756097495</v>
      </c>
      <c r="G50" s="1">
        <v>0.653687345422727</v>
      </c>
    </row>
    <row r="51" spans="1:7" x14ac:dyDescent="0.45">
      <c r="A51" s="1">
        <v>19.2</v>
      </c>
      <c r="B51" s="1">
        <v>90</v>
      </c>
      <c r="C51" s="1">
        <v>0.27777777777777701</v>
      </c>
      <c r="D51" s="1">
        <v>0.96543209876543201</v>
      </c>
      <c r="E51" s="1">
        <v>0.958052434456928</v>
      </c>
      <c r="F51" s="1">
        <v>0.32283272283272202</v>
      </c>
      <c r="G51" s="1">
        <v>0.52312796643965798</v>
      </c>
    </row>
    <row r="52" spans="1:7" x14ac:dyDescent="0.45">
      <c r="A52" s="1" t="s">
        <v>32</v>
      </c>
      <c r="C52" s="1">
        <f>SUBTOTAL(101,Table1264348[JaccardCoefficient])</f>
        <v>0.734157749766573</v>
      </c>
      <c r="D52" s="1">
        <f>SUBTOTAL(101,Table1264348[MismatchDistanceCoefficient])</f>
        <v>0.93924908286158282</v>
      </c>
      <c r="E52" s="1">
        <f>SUBTOTAL(101,Table1264348[KendallTauCorrelation])</f>
        <v>0.92699062797075138</v>
      </c>
      <c r="F52" s="1">
        <f>SUBTOTAL(101,Table1264348[MismatchPositionCoefficient])</f>
        <v>0.76160559860463006</v>
      </c>
      <c r="G52" s="1">
        <f>SUBTOTAL(101,Table1264348[DiscountedCumulativeGain])</f>
        <v>0.90921915477653148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7">
        <f>Linear!E17</f>
        <v>0.80952380952380898</v>
      </c>
      <c r="C2" s="7">
        <f>Linear!E18</f>
        <v>1</v>
      </c>
      <c r="D2" s="7">
        <f>Linear!E19</f>
        <v>1</v>
      </c>
    </row>
    <row r="3" spans="1:4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45">
      <c r="A2" s="5" t="s">
        <v>5</v>
      </c>
      <c r="B2" s="7">
        <f>Linear!E12</f>
        <v>0.73333333333333295</v>
      </c>
      <c r="C2" s="7">
        <f>Linear!E13</f>
        <v>1</v>
      </c>
      <c r="D2" s="7">
        <f>Linear!E14</f>
        <v>1</v>
      </c>
      <c r="F2" s="1" t="str">
        <f>Table91120[[#This Row],[Model]]</f>
        <v>Linear</v>
      </c>
      <c r="G2" s="1">
        <f>Table91120[[#This Row],[5]]</f>
        <v>0.73333333333333295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1</v>
      </c>
      <c r="P2" s="1">
        <f>D8</f>
        <v>0.97551020408163236</v>
      </c>
    </row>
    <row r="3" spans="1:16" x14ac:dyDescent="0.4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4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4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4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4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17</v>
      </c>
    </row>
    <row r="19" spans="6:6" x14ac:dyDescent="0.45">
      <c r="F19" s="1" t="s">
        <v>18</v>
      </c>
    </row>
    <row r="20" spans="6:6" x14ac:dyDescent="0.45">
      <c r="F20" s="1" t="s">
        <v>19</v>
      </c>
    </row>
    <row r="21" spans="6:6" x14ac:dyDescent="0.45">
      <c r="F21" s="1" t="s">
        <v>20</v>
      </c>
    </row>
    <row r="22" spans="6:6" x14ac:dyDescent="0.45">
      <c r="F22" s="1" t="s">
        <v>21</v>
      </c>
    </row>
    <row r="23" spans="6:6" x14ac:dyDescent="0.4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C13" zoomScale="80" zoomScaleNormal="80" workbookViewId="0">
      <selection activeCell="K41" sqref="K41"/>
    </sheetView>
  </sheetViews>
  <sheetFormatPr defaultColWidth="8.73046875"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8.33203125" style="1" customWidth="1"/>
    <col min="7" max="8" width="8.73046875" style="1"/>
    <col min="9" max="9" width="12.9296875" style="11" customWidth="1"/>
    <col min="10" max="10" width="13.06640625" style="11" customWidth="1"/>
    <col min="11" max="11" width="10.33203125" style="1" customWidth="1"/>
    <col min="12" max="12" width="8.73046875" style="1"/>
    <col min="13" max="13" width="10.59765625" style="1" customWidth="1"/>
    <col min="14" max="14" width="35.33203125" style="1" customWidth="1"/>
    <col min="15" max="16" width="8.73046875" style="1"/>
    <col min="17" max="17" width="7.46484375" style="1" customWidth="1"/>
    <col min="18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21" t="s">
        <v>40</v>
      </c>
      <c r="O1" s="22" t="s">
        <v>33</v>
      </c>
      <c r="P1" s="22" t="s">
        <v>29</v>
      </c>
      <c r="Q1" s="23" t="s">
        <v>34</v>
      </c>
    </row>
    <row r="2" spans="1:17" x14ac:dyDescent="0.45">
      <c r="A2" s="1">
        <v>1.2</v>
      </c>
      <c r="B2" s="1">
        <v>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28" t="s">
        <v>41</v>
      </c>
      <c r="O2" s="15">
        <f>CORREL(I2:I22, J2:J22)</f>
        <v>-0.68417269470929032</v>
      </c>
      <c r="P2" s="15">
        <f>CORREL(I2:I22, K2:K22)</f>
        <v>0.25241772205581392</v>
      </c>
      <c r="Q2" s="16">
        <f>CORREL(I2:I22, L2:L22)</f>
        <v>-0.82122480591543989</v>
      </c>
    </row>
    <row r="3" spans="1:17" x14ac:dyDescent="0.45">
      <c r="A3" s="1">
        <v>2.2000000000000002</v>
      </c>
      <c r="B3" s="1">
        <v>9</v>
      </c>
      <c r="C3" s="1">
        <v>0.55555555555555503</v>
      </c>
      <c r="D3" s="1">
        <v>0.9</v>
      </c>
      <c r="E3" s="1">
        <v>0.88888888888888795</v>
      </c>
      <c r="F3" s="1">
        <v>0.86666666666666603</v>
      </c>
      <c r="G3" s="1">
        <v>0.78387451860626101</v>
      </c>
      <c r="I3" s="12">
        <v>3</v>
      </c>
      <c r="J3" s="2">
        <f>AVERAGEIF(Table12643[[ Cycle size]],I3,Table12643[JaccardCoefficient])</f>
        <v>0.73333333333333317</v>
      </c>
      <c r="K3" s="2">
        <f>AVERAGEIF(Table12643[ [ Cycle size] ],I3,Table12643[KendallTauCorrelation])</f>
        <v>0.73333333333333317</v>
      </c>
      <c r="L3" s="2">
        <f>AVERAGEIF(Table12643[ [ Cycle size] ],I3,Table12643[DiscountedCumulativeGain])</f>
        <v>0.88343675279582001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45">
      <c r="A4" s="1">
        <v>3.2</v>
      </c>
      <c r="B4" s="1">
        <v>12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0.93193587761086405</v>
      </c>
      <c r="N4" s="29" t="s">
        <v>42</v>
      </c>
      <c r="O4" s="17">
        <f>CORREL(I2:I20, J2:J20)</f>
        <v>-0.44755059932294011</v>
      </c>
      <c r="P4" s="17">
        <f>CORREL(I2:I20, K2:K20)</f>
        <v>0.39582703496227761</v>
      </c>
      <c r="Q4" s="18">
        <f>CORREL(I2:I20, L2:L20)</f>
        <v>-0.55733843067043254</v>
      </c>
    </row>
    <row r="5" spans="1:17" x14ac:dyDescent="0.45">
      <c r="A5" s="1">
        <v>4.2</v>
      </c>
      <c r="B5" s="1">
        <v>8</v>
      </c>
      <c r="C5" s="1">
        <v>0.75</v>
      </c>
      <c r="D5" s="1">
        <v>0.9375</v>
      </c>
      <c r="E5" s="1">
        <v>0.92857142857142805</v>
      </c>
      <c r="F5" s="1">
        <v>0.97222222222222199</v>
      </c>
      <c r="G5" s="1">
        <v>0.86518080407365605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  <c r="N5" s="27" t="s">
        <v>40</v>
      </c>
      <c r="O5" s="19" t="s">
        <v>33</v>
      </c>
      <c r="P5" s="19" t="s">
        <v>29</v>
      </c>
      <c r="Q5" s="20" t="s">
        <v>34</v>
      </c>
    </row>
    <row r="6" spans="1:17" x14ac:dyDescent="0.45">
      <c r="A6" s="1">
        <v>5.2</v>
      </c>
      <c r="B6" s="1">
        <v>3</v>
      </c>
      <c r="C6" s="1">
        <v>0.33333333333333298</v>
      </c>
      <c r="D6" s="1">
        <v>0.5</v>
      </c>
      <c r="E6" s="1">
        <v>0.33333333333333298</v>
      </c>
      <c r="F6" s="1">
        <v>0.83333333333333304</v>
      </c>
      <c r="G6" s="1">
        <v>0.82983969402715996</v>
      </c>
      <c r="I6" s="12">
        <v>6</v>
      </c>
      <c r="J6" s="2">
        <f>AVERAGEIF(Table12643[[ Cycle size]],I6,Table12643[JaccardCoefficient])</f>
        <v>0.77777777777777735</v>
      </c>
      <c r="K6" s="2">
        <f>AVERAGEIF(Table12643[ [ Cycle size] ],I6,Table12643[KendallTauCorrelation])</f>
        <v>0.91111111111111065</v>
      </c>
      <c r="L6" s="2">
        <f>AVERAGEIF(Table12643[ [ Cycle size] ],I6,Table12643[DiscountedCumulativeGain])</f>
        <v>0.96758851314802996</v>
      </c>
      <c r="N6" s="29" t="s">
        <v>47</v>
      </c>
      <c r="O6" s="17">
        <f>AVERAGEA(J2:J22)</f>
        <v>0.75132630830109803</v>
      </c>
      <c r="P6" s="17">
        <f t="shared" ref="P6:Q6" si="0">AVERAGEA(K2:K22)</f>
        <v>0.94004224254004409</v>
      </c>
      <c r="Q6" s="17">
        <f t="shared" si="0"/>
        <v>0.89195922582927711</v>
      </c>
    </row>
    <row r="7" spans="1:17" x14ac:dyDescent="0.45">
      <c r="A7" s="1">
        <v>6.2</v>
      </c>
      <c r="B7" s="1">
        <v>7</v>
      </c>
      <c r="C7" s="1">
        <v>0.71428571428571397</v>
      </c>
      <c r="D7" s="1">
        <v>0.91666666666666596</v>
      </c>
      <c r="E7" s="1">
        <v>0.90476190476190399</v>
      </c>
      <c r="F7" s="1">
        <v>0.89285714285714202</v>
      </c>
      <c r="G7" s="1">
        <v>0.91207476962310596</v>
      </c>
      <c r="I7" s="12">
        <v>7</v>
      </c>
      <c r="J7" s="2">
        <f>AVERAGEIF(Table12643[[ Cycle size]],I7,Table12643[JaccardCoefficient])</f>
        <v>0.85714285714285698</v>
      </c>
      <c r="K7" s="2">
        <f>AVERAGEIF(Table12643[ [ Cycle size] ],I7,Table12643[KendallTauCorrelation])</f>
        <v>0.952380952380952</v>
      </c>
      <c r="L7" s="2">
        <f>AVERAGEIF(Table12643[ [ Cycle size] ],I7,Table12643[DiscountedCumulativeGain])</f>
        <v>0.94545197894520949</v>
      </c>
      <c r="N7" s="27" t="s">
        <v>40</v>
      </c>
      <c r="O7" s="19" t="s">
        <v>33</v>
      </c>
      <c r="P7" s="19" t="s">
        <v>29</v>
      </c>
      <c r="Q7" s="20" t="s">
        <v>34</v>
      </c>
    </row>
    <row r="8" spans="1:17" x14ac:dyDescent="0.45">
      <c r="A8" s="1">
        <v>7.2</v>
      </c>
      <c r="B8" s="1">
        <v>16</v>
      </c>
      <c r="C8" s="1">
        <v>0.75</v>
      </c>
      <c r="D8" s="1">
        <v>0.96875</v>
      </c>
      <c r="E8" s="1">
        <v>0.96666666666666601</v>
      </c>
      <c r="F8" s="1">
        <v>0.88235294117647001</v>
      </c>
      <c r="G8" s="1">
        <v>0.84561056384199496</v>
      </c>
      <c r="I8" s="12">
        <v>8</v>
      </c>
      <c r="J8" s="2">
        <f>AVERAGEIF(Table12643[[ Cycle size]],I8,Table12643[JaccardCoefficient])</f>
        <v>0.83333333333333337</v>
      </c>
      <c r="K8" s="2">
        <f>AVERAGEIF(Table12643[ [ Cycle size] ],I8,Table12643[KendallTauCorrelation])</f>
        <v>0.952380952380952</v>
      </c>
      <c r="L8" s="2">
        <f>AVERAGEIF(Table12643[ [ Cycle size] ],I8,Table12643[DiscountedCumulativeGain])</f>
        <v>0.94304839651411465</v>
      </c>
      <c r="N8" s="29" t="s">
        <v>48</v>
      </c>
      <c r="O8" s="17">
        <f>MEDIAN(J2:J22)</f>
        <v>0.73333333333333317</v>
      </c>
      <c r="P8" s="17">
        <f t="shared" ref="P8:Q8" si="1">MEDIAN(K2:K22)</f>
        <v>0.952380952380952</v>
      </c>
      <c r="Q8" s="17">
        <f t="shared" si="1"/>
        <v>0.90714560915487752</v>
      </c>
    </row>
    <row r="9" spans="1:17" x14ac:dyDescent="0.45">
      <c r="A9" s="1">
        <v>8.1999999999999993</v>
      </c>
      <c r="B9" s="1">
        <v>7</v>
      </c>
      <c r="C9" s="1">
        <v>0.71428571428571397</v>
      </c>
      <c r="D9" s="1">
        <v>0.91666666666666596</v>
      </c>
      <c r="E9" s="1">
        <v>0.90476190476190399</v>
      </c>
      <c r="F9" s="1">
        <v>0.96428571428571397</v>
      </c>
      <c r="G9" s="1">
        <v>0.86973314615773201</v>
      </c>
      <c r="I9" s="12">
        <v>9</v>
      </c>
      <c r="J9" s="2">
        <f>AVERAGEIF(Table12643[[ Cycle size]],I9,Table12643[JaccardCoefficient])</f>
        <v>0.73333333333333273</v>
      </c>
      <c r="K9" s="2">
        <f>AVERAGEIF(Table12643[ [ Cycle size] ],I9,Table12643[KendallTauCorrelation])</f>
        <v>0.93333333333333268</v>
      </c>
      <c r="L9" s="2">
        <f>AVERAGEIF(Table12643[ [ Cycle size] ],I9,Table12643[DiscountedCumulativeGain])</f>
        <v>0.90714560915487752</v>
      </c>
      <c r="N9" s="27" t="s">
        <v>40</v>
      </c>
      <c r="O9" s="19" t="s">
        <v>33</v>
      </c>
      <c r="P9" s="19" t="s">
        <v>29</v>
      </c>
      <c r="Q9" s="20" t="s">
        <v>34</v>
      </c>
    </row>
    <row r="10" spans="1:17" x14ac:dyDescent="0.45">
      <c r="A10" s="1">
        <v>9.1999999999999993</v>
      </c>
      <c r="B10" s="1">
        <v>6</v>
      </c>
      <c r="C10" s="1">
        <v>0.66666666666666596</v>
      </c>
      <c r="D10" s="1">
        <v>0.88888888888888795</v>
      </c>
      <c r="E10" s="1">
        <v>0.86666666666666603</v>
      </c>
      <c r="F10" s="1">
        <v>0.66666666666666596</v>
      </c>
      <c r="G10" s="1">
        <v>0.95138276972204505</v>
      </c>
      <c r="I10" s="12">
        <v>10</v>
      </c>
      <c r="J10" s="2">
        <f>AVERAGEIF(Table12643[[ Cycle size]],I10,Table12643[JaccardCoefficient])</f>
        <v>0.73333333333333339</v>
      </c>
      <c r="K10" s="2">
        <f>AVERAGEIF(Table12643[ [ Cycle size] ],I10,Table12643[KendallTauCorrelation])</f>
        <v>0.91111111111111065</v>
      </c>
      <c r="L10" s="2">
        <f>AVERAGEIF(Table12643[ [ Cycle size] ],I10,Table12643[DiscountedCumulativeGain])</f>
        <v>0.87133519530226</v>
      </c>
      <c r="N10" s="29" t="s">
        <v>50</v>
      </c>
      <c r="O10" s="17">
        <f>SUMPRODUCT($I$2:$I$22,J2:J22)/SUM($I$2:$I$22)</f>
        <v>0.63906810035842276</v>
      </c>
      <c r="P10" s="17">
        <f t="shared" ref="P10:Q10" si="2">SUMPRODUCT($I$2:$I$22,K2:K22)/SUM($I$2:$I$22)</f>
        <v>0.95733572301278069</v>
      </c>
      <c r="Q10" s="17">
        <f t="shared" si="2"/>
        <v>0.81523426096084728</v>
      </c>
    </row>
    <row r="11" spans="1:17" x14ac:dyDescent="0.45">
      <c r="A11" s="1">
        <v>10.199999999999999</v>
      </c>
      <c r="B11" s="1">
        <v>3</v>
      </c>
      <c r="C11" s="1">
        <v>0.33333333333333298</v>
      </c>
      <c r="D11" s="1">
        <v>0.5</v>
      </c>
      <c r="E11" s="1">
        <v>0.33333333333333298</v>
      </c>
      <c r="F11" s="1">
        <v>0.5</v>
      </c>
      <c r="G11" s="1">
        <v>0.58734406995194</v>
      </c>
      <c r="I11" s="12">
        <v>12</v>
      </c>
      <c r="J11" s="2">
        <f>AVERAGEIF(Table12643[[ Cycle size]],I11,Table12643[JaccardCoefficient])</f>
        <v>0.88333333333333319</v>
      </c>
      <c r="K11" s="2">
        <f>AVERAGEIF(Table12643[ [ Cycle size] ],I11,Table12643[KendallTauCorrelation])</f>
        <v>0.9757575757575756</v>
      </c>
      <c r="L11" s="2">
        <f>AVERAGEIF(Table12643[ [ Cycle size] ],I11,Table12643[DiscountedCumulativeGain])</f>
        <v>0.9504909014820333</v>
      </c>
      <c r="N11" s="29" t="s">
        <v>49</v>
      </c>
      <c r="O11" s="17">
        <f>SUMPRODUCT(I2:I20,J2:J20)/SUM(I2:I20)</f>
        <v>0.75509641873278222</v>
      </c>
      <c r="P11" s="17">
        <f>SUMPRODUCT(I2:I20,K2:K20)/SUM(I2:I20)</f>
        <v>0.95437922905821659</v>
      </c>
      <c r="Q11" s="17">
        <f>SUMPRODUCT(L2:L20,I2:I20)/SUM(I2:I20)</f>
        <v>0.89675824691573369</v>
      </c>
    </row>
    <row r="12" spans="1:17" x14ac:dyDescent="0.45">
      <c r="A12" s="1">
        <v>11.2</v>
      </c>
      <c r="B12" s="1">
        <v>9</v>
      </c>
      <c r="C12" s="1">
        <v>0.55555555555555503</v>
      </c>
      <c r="D12" s="1">
        <v>0.9</v>
      </c>
      <c r="E12" s="1">
        <v>0.88888888888888795</v>
      </c>
      <c r="F12" s="1">
        <v>0.6</v>
      </c>
      <c r="G12" s="1">
        <v>0.94163310951674495</v>
      </c>
      <c r="I12" s="12">
        <v>14</v>
      </c>
      <c r="J12" s="2">
        <f>AVERAGEIF(Table12643[[ Cycle size]],I12,Table12643[JaccardCoefficient])</f>
        <v>0.78571428571428525</v>
      </c>
      <c r="K12" s="2">
        <f>AVERAGEIF(Table12643[ [ Cycle size] ],I12,Table12643[KendallTauCorrelation])</f>
        <v>0.96336996336996339</v>
      </c>
      <c r="L12" s="2">
        <f>AVERAGEIF(Table12643[ [ Cycle size] ],I12,Table12643[DiscountedCumulativeGain])</f>
        <v>0.93045077276486365</v>
      </c>
    </row>
    <row r="13" spans="1:17" x14ac:dyDescent="0.45">
      <c r="A13" s="1">
        <v>12.2</v>
      </c>
      <c r="B13" s="1">
        <v>12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AVERAGEIF(Table12643[[ Cycle size]],I13,Table12643[JaccardCoefficient])</f>
        <v>1</v>
      </c>
      <c r="K13" s="2">
        <f>AVERAGEIF(Table12643[ [ Cycle size] ],I13,Table12643[KendallTauCorrelation])</f>
        <v>1</v>
      </c>
      <c r="L13" s="2">
        <f>AVERAGEIF(Table12643[ [ Cycle size] ],I13,Table12643[DiscountedCumulativeGain])</f>
        <v>1</v>
      </c>
    </row>
    <row r="14" spans="1:17" x14ac:dyDescent="0.45">
      <c r="A14" s="1">
        <v>13.2</v>
      </c>
      <c r="B14" s="1">
        <v>8</v>
      </c>
      <c r="C14" s="1">
        <v>0.75</v>
      </c>
      <c r="D14" s="1">
        <v>0.9375</v>
      </c>
      <c r="E14" s="1">
        <v>0.92857142857142805</v>
      </c>
      <c r="F14" s="1">
        <v>0.80555555555555503</v>
      </c>
      <c r="G14" s="1">
        <v>0.96396438546868801</v>
      </c>
      <c r="I14" s="12">
        <v>16</v>
      </c>
      <c r="J14" s="2">
        <f>AVERAGEIF(Table12643[[ Cycle size]],I14,Table12643[JaccardCoefficient])</f>
        <v>0.875</v>
      </c>
      <c r="K14" s="2">
        <f>AVERAGEIF(Table12643[ [ Cycle size] ],I14,Table12643[KendallTauCorrelation])</f>
        <v>0.98333333333333295</v>
      </c>
      <c r="L14" s="2">
        <f>AVERAGEIF(Table12643[ [ Cycle size] ],I14,Table12643[DiscountedCumulativeGain])</f>
        <v>0.92280528192099753</v>
      </c>
    </row>
    <row r="15" spans="1:17" x14ac:dyDescent="0.45">
      <c r="A15" s="1">
        <v>14.2</v>
      </c>
      <c r="B15" s="1">
        <v>17</v>
      </c>
      <c r="C15" s="1">
        <v>0.58823529411764697</v>
      </c>
      <c r="D15" s="1">
        <v>0.93055555555555503</v>
      </c>
      <c r="E15" s="1">
        <v>0.91176470588235203</v>
      </c>
      <c r="F15" s="1">
        <v>0.69281045751633896</v>
      </c>
      <c r="G15" s="1">
        <v>0.80570880673957801</v>
      </c>
      <c r="I15" s="12">
        <v>17</v>
      </c>
      <c r="J15" s="2">
        <f>AVERAGEIF(Table12643[[ Cycle size]],I15,Table12643[JaccardCoefficient])</f>
        <v>0.64705882352941146</v>
      </c>
      <c r="K15" s="2">
        <f>AVERAGEIF(Table12643[ [ Cycle size] ],I15,Table12643[KendallTauCorrelation])</f>
        <v>0.93382352941176405</v>
      </c>
      <c r="L15" s="2">
        <f>AVERAGEIF(Table12643[ [ Cycle size] ],I15,Table12643[DiscountedCumulativeGain])</f>
        <v>0.83404728501776093</v>
      </c>
    </row>
    <row r="16" spans="1:17" x14ac:dyDescent="0.45">
      <c r="A16" s="1">
        <v>15.2</v>
      </c>
      <c r="B16" s="1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AVERAGEIF(Table12643[[ Cycle size]],I16,Table12643[JaccardCoefficient])</f>
        <v>0.69444444444444398</v>
      </c>
      <c r="K16" s="2">
        <f>AVERAGEIF(Table12643[ [ Cycle size] ],I16,Table12643[KendallTauCorrelation])</f>
        <v>0.96078431372549</v>
      </c>
      <c r="L16" s="2">
        <f>AVERAGEIF(Table12643[ [ Cycle size] ],I16,Table12643[DiscountedCumulativeGain])</f>
        <v>0.83138767411444103</v>
      </c>
    </row>
    <row r="17" spans="1:12" x14ac:dyDescent="0.45">
      <c r="A17" s="1">
        <v>16.2</v>
      </c>
      <c r="B17" s="1">
        <v>40</v>
      </c>
      <c r="C17" s="1">
        <v>0.4</v>
      </c>
      <c r="D17" s="1">
        <v>0.95</v>
      </c>
      <c r="E17" s="1">
        <v>0.94102564102564101</v>
      </c>
      <c r="F17" s="1">
        <v>0.40609756097560901</v>
      </c>
      <c r="G17" s="1">
        <v>0.69413869061601896</v>
      </c>
      <c r="I17" s="12">
        <v>20</v>
      </c>
      <c r="J17" s="2">
        <f>AVERAGEIF(Table12643[[ Cycle size]],I17,Table12643[JaccardCoefficient])</f>
        <v>0.72499999999999998</v>
      </c>
      <c r="K17" s="2">
        <f>AVERAGEIF(Table12643[ [ Cycle size] ],I17,Table12643[KendallTauCorrelation])</f>
        <v>0.94736842105263097</v>
      </c>
      <c r="L17" s="2">
        <f>AVERAGEIF(Table12643[ [ Cycle size] ],I17,Table12643[DiscountedCumulativeGain])</f>
        <v>0.89237423376119596</v>
      </c>
    </row>
    <row r="18" spans="1:12" x14ac:dyDescent="0.45">
      <c r="A18" s="1">
        <v>17.2</v>
      </c>
      <c r="B18" s="1">
        <v>9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0.61904761904761896</v>
      </c>
      <c r="K18" s="2">
        <f>AVERAGEIF(Table12643[ [ Cycle size] ],I18,Table12643[KendallTauCorrelation])</f>
        <v>0.952380952380952</v>
      </c>
      <c r="L18" s="2">
        <f>AVERAGEIF(Table12643[ [ Cycle size] ],I18,Table12643[DiscountedCumulativeGain])</f>
        <v>0.82233994597674698</v>
      </c>
    </row>
    <row r="19" spans="1:12" x14ac:dyDescent="0.45">
      <c r="A19" s="1">
        <v>18.2</v>
      </c>
      <c r="B19" s="1">
        <v>20</v>
      </c>
      <c r="C19" s="1">
        <v>0.75</v>
      </c>
      <c r="D19" s="1">
        <v>0.96</v>
      </c>
      <c r="E19" s="1">
        <v>0.94736842105263097</v>
      </c>
      <c r="F19" s="1">
        <v>0.78095238095238095</v>
      </c>
      <c r="G19" s="1">
        <v>0.89293210907951104</v>
      </c>
      <c r="I19" s="12">
        <v>25</v>
      </c>
      <c r="J19" s="2">
        <f>AVERAGEIF(Table12643[[ Cycle size]],I19,Table12643[JaccardCoefficient])</f>
        <v>0.68</v>
      </c>
      <c r="K19" s="2">
        <f>AVERAGEIF(Table12643[ [ Cycle size] ],I19,Table12643[KendallTauCorrelation])</f>
        <v>0.96666666666666601</v>
      </c>
      <c r="L19" s="2">
        <f>AVERAGEIF(Table12643[ [ Cycle size] ],I19,Table12643[DiscountedCumulativeGain])</f>
        <v>0.85308519744170497</v>
      </c>
    </row>
    <row r="20" spans="1:12" x14ac:dyDescent="0.45">
      <c r="A20" s="1">
        <v>19.2</v>
      </c>
      <c r="B20" s="1">
        <v>90</v>
      </c>
      <c r="C20" s="1">
        <v>0.43333333333333302</v>
      </c>
      <c r="D20" s="1">
        <v>0.97728395061728301</v>
      </c>
      <c r="E20" s="1">
        <v>0.97253433208489304</v>
      </c>
      <c r="F20" s="1">
        <v>0.433211233211233</v>
      </c>
      <c r="G20" s="1">
        <v>0.64984557443541002</v>
      </c>
      <c r="I20" s="12">
        <v>30</v>
      </c>
      <c r="J20" s="2">
        <f>AVERAGEIF(Table12643[[ Cycle size]],I20,Table12643[JaccardCoefficient])</f>
        <v>0.7</v>
      </c>
      <c r="K20" s="2">
        <f>AVERAGEIF(Table12643[ [ Cycle size] ],I20,Table12643[KendallTauCorrelation])</f>
        <v>0.972413793103448</v>
      </c>
      <c r="L20" s="2">
        <f>AVERAGEIF(Table12643[ [ Cycle size] ],I20,Table12643[DiscountedCumulativeGain])</f>
        <v>0.90023586141246903</v>
      </c>
    </row>
    <row r="21" spans="1:12" x14ac:dyDescent="0.45">
      <c r="A21" s="1">
        <v>20.2</v>
      </c>
      <c r="B21" s="1">
        <v>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AVERAGEIF(Table12643[[ Cycle size]],I21,Table12643[JaccardCoefficient])</f>
        <v>0.4</v>
      </c>
      <c r="K21" s="2">
        <f>AVERAGEIF(Table12643[ [ Cycle size] ],I21,Table12643[KendallTauCorrelation])</f>
        <v>0.94102564102564101</v>
      </c>
      <c r="L21" s="2">
        <f>AVERAGEIF(Table12643[ [ Cycle size] ],I21,Table12643[DiscountedCumulativeGain])</f>
        <v>0.69413869061601896</v>
      </c>
    </row>
    <row r="22" spans="1:12" x14ac:dyDescent="0.45">
      <c r="A22" s="1">
        <v>21.2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0.97777777777777697</v>
      </c>
      <c r="G22" s="1">
        <v>0.86492944988589404</v>
      </c>
      <c r="I22" s="12">
        <v>90</v>
      </c>
      <c r="J22" s="2">
        <f>AVERAGEIF(Table12643[[ Cycle size]],I22,Table12643[JaccardCoefficient])</f>
        <v>0.43333333333333302</v>
      </c>
      <c r="K22" s="2">
        <f>AVERAGEIF(Table12643[ [ Cycle size] ],I22,Table12643[KendallTauCorrelation])</f>
        <v>0.97253433208489304</v>
      </c>
      <c r="L22" s="2">
        <f>AVERAGEIF(Table12643[ [ Cycle size] ],I22,Table12643[DiscountedCumulativeGain])</f>
        <v>0.64984557443541002</v>
      </c>
    </row>
    <row r="23" spans="1:12" x14ac:dyDescent="0.45">
      <c r="A23" s="1">
        <v>22.2</v>
      </c>
      <c r="B23" s="1">
        <v>3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/>
      <c r="J23" s="1"/>
    </row>
    <row r="24" spans="1:12" x14ac:dyDescent="0.45">
      <c r="A24" s="1">
        <v>23.2</v>
      </c>
      <c r="B24" s="1">
        <v>5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45">
      <c r="A25" s="1">
        <v>24.2</v>
      </c>
      <c r="B25" s="1">
        <v>21</v>
      </c>
      <c r="C25" s="1">
        <v>0.61904761904761896</v>
      </c>
      <c r="D25" s="1">
        <v>0.95454545454545403</v>
      </c>
      <c r="E25" s="1">
        <v>0.952380952380952</v>
      </c>
      <c r="F25" s="1">
        <v>0.67965367965367895</v>
      </c>
      <c r="G25" s="1">
        <v>0.82233994597674698</v>
      </c>
      <c r="I25" s="1"/>
      <c r="J25" s="1"/>
    </row>
    <row r="26" spans="1:12" x14ac:dyDescent="0.45">
      <c r="A26" s="1">
        <v>25.2</v>
      </c>
      <c r="B26" s="1">
        <v>14</v>
      </c>
      <c r="C26" s="1">
        <v>0.78571428571428503</v>
      </c>
      <c r="D26" s="1">
        <v>0.95918367346938704</v>
      </c>
      <c r="E26" s="1">
        <v>0.95604395604395598</v>
      </c>
      <c r="F26" s="1">
        <v>0.88571428571428501</v>
      </c>
      <c r="G26" s="1">
        <v>0.88675190378272395</v>
      </c>
    </row>
    <row r="27" spans="1:12" x14ac:dyDescent="0.45">
      <c r="A27" s="1">
        <v>26.2</v>
      </c>
      <c r="B27" s="1">
        <v>4</v>
      </c>
      <c r="C27" s="1">
        <v>0.5</v>
      </c>
      <c r="D27" s="1">
        <v>0.75</v>
      </c>
      <c r="E27" s="1">
        <v>0.66666666666666596</v>
      </c>
      <c r="F27" s="1">
        <v>0.7</v>
      </c>
      <c r="G27" s="1">
        <v>0.89790381641629602</v>
      </c>
    </row>
    <row r="28" spans="1:12" x14ac:dyDescent="0.45">
      <c r="A28" s="1">
        <v>27.2</v>
      </c>
      <c r="B28" s="1">
        <v>6</v>
      </c>
      <c r="C28" s="1">
        <v>0.66666666666666596</v>
      </c>
      <c r="D28" s="1">
        <v>0.88888888888888795</v>
      </c>
      <c r="E28" s="1">
        <v>0.86666666666666603</v>
      </c>
      <c r="F28" s="1">
        <v>0.66666666666666596</v>
      </c>
      <c r="G28" s="1">
        <v>0.95138276972204505</v>
      </c>
    </row>
    <row r="29" spans="1:12" x14ac:dyDescent="0.45">
      <c r="A29" s="1">
        <v>28.2</v>
      </c>
      <c r="B29" s="1">
        <v>14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45">
      <c r="A30" s="1">
        <v>29.2</v>
      </c>
      <c r="B30" s="1">
        <v>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45">
      <c r="A31" s="1">
        <v>30.2</v>
      </c>
      <c r="B31" s="1">
        <v>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45">
      <c r="A32" s="1">
        <v>31.2</v>
      </c>
      <c r="B32" s="1">
        <v>30</v>
      </c>
      <c r="C32" s="1">
        <v>0.7</v>
      </c>
      <c r="D32" s="1">
        <v>0.97333333333333305</v>
      </c>
      <c r="E32" s="1">
        <v>0.972413793103448</v>
      </c>
      <c r="F32" s="1">
        <v>0.64731182795698905</v>
      </c>
      <c r="G32" s="1">
        <v>0.90023586141246903</v>
      </c>
    </row>
    <row r="33" spans="1:7" x14ac:dyDescent="0.45">
      <c r="A33" s="1">
        <v>32.200000000000003</v>
      </c>
      <c r="B33" s="1">
        <v>4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45">
      <c r="A34" s="1">
        <v>33.200000000000003</v>
      </c>
      <c r="B34" s="1">
        <v>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45">
      <c r="A35" s="1">
        <v>34.200000000000003</v>
      </c>
      <c r="B35" s="1">
        <v>16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45">
      <c r="A36" s="1">
        <v>35.200000000000003</v>
      </c>
      <c r="B36" s="1">
        <v>20</v>
      </c>
      <c r="C36" s="1">
        <v>0.7</v>
      </c>
      <c r="D36" s="1">
        <v>0.96</v>
      </c>
      <c r="E36" s="1">
        <v>0.94736842105263097</v>
      </c>
      <c r="F36" s="1">
        <v>0.70476190476190403</v>
      </c>
      <c r="G36" s="1">
        <v>0.89181635844288099</v>
      </c>
    </row>
    <row r="37" spans="1:7" x14ac:dyDescent="0.45">
      <c r="A37" s="1">
        <v>36.200000000000003</v>
      </c>
      <c r="B37" s="1">
        <v>17</v>
      </c>
      <c r="C37" s="1">
        <v>0.70588235294117596</v>
      </c>
      <c r="D37" s="1">
        <v>0.95833333333333304</v>
      </c>
      <c r="E37" s="1">
        <v>0.95588235294117596</v>
      </c>
      <c r="F37" s="1">
        <v>0.77777777777777701</v>
      </c>
      <c r="G37" s="1">
        <v>0.86238576329594396</v>
      </c>
    </row>
    <row r="38" spans="1:7" x14ac:dyDescent="0.45">
      <c r="A38" s="1">
        <v>37.200000000000003</v>
      </c>
      <c r="B38" s="1">
        <v>10</v>
      </c>
      <c r="C38" s="1">
        <v>0.6</v>
      </c>
      <c r="D38" s="1">
        <v>0.92</v>
      </c>
      <c r="E38" s="1">
        <v>0.91111111111111098</v>
      </c>
      <c r="F38" s="1">
        <v>0.78181818181818097</v>
      </c>
      <c r="G38" s="1">
        <v>0.84472579626022204</v>
      </c>
    </row>
    <row r="39" spans="1:7" x14ac:dyDescent="0.45">
      <c r="A39" s="1">
        <v>38.200000000000003</v>
      </c>
      <c r="B39" s="1">
        <v>10</v>
      </c>
      <c r="C39" s="1">
        <v>0.8</v>
      </c>
      <c r="D39" s="1">
        <v>0.92</v>
      </c>
      <c r="E39" s="1">
        <v>0.86666666666666603</v>
      </c>
      <c r="F39" s="1">
        <v>0.92727272727272703</v>
      </c>
      <c r="G39" s="1">
        <v>0.90236342564195704</v>
      </c>
    </row>
    <row r="40" spans="1:7" x14ac:dyDescent="0.45">
      <c r="A40" s="1">
        <v>39.200000000000003</v>
      </c>
      <c r="B40" s="1">
        <v>3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45">
      <c r="A41" s="1">
        <v>40.200000000000003</v>
      </c>
      <c r="B41" s="1">
        <v>9</v>
      </c>
      <c r="C41" s="1">
        <v>0.77777777777777701</v>
      </c>
      <c r="D41" s="1">
        <v>0.95</v>
      </c>
      <c r="E41" s="1">
        <v>0.94444444444444398</v>
      </c>
      <c r="F41" s="1">
        <v>0.844444444444444</v>
      </c>
      <c r="G41" s="1">
        <v>0.94529096776548804</v>
      </c>
    </row>
    <row r="42" spans="1:7" x14ac:dyDescent="0.45">
      <c r="A42" s="1">
        <v>41.2</v>
      </c>
      <c r="B42" s="1">
        <v>12</v>
      </c>
      <c r="C42" s="1">
        <v>0.83333333333333304</v>
      </c>
      <c r="D42" s="1">
        <v>0.97222222222222199</v>
      </c>
      <c r="E42" s="1">
        <v>0.96969696969696895</v>
      </c>
      <c r="F42" s="1">
        <v>0.96153846153846101</v>
      </c>
      <c r="G42" s="1">
        <v>0.89005112998028202</v>
      </c>
    </row>
    <row r="43" spans="1:7" x14ac:dyDescent="0.45">
      <c r="A43" s="1">
        <v>42.2</v>
      </c>
      <c r="B43" s="1">
        <v>10</v>
      </c>
      <c r="C43" s="1">
        <v>0.8</v>
      </c>
      <c r="D43" s="1">
        <v>0.96</v>
      </c>
      <c r="E43" s="1">
        <v>0.95555555555555505</v>
      </c>
      <c r="F43" s="1">
        <v>0.98181818181818103</v>
      </c>
      <c r="G43" s="1">
        <v>0.86691636400460104</v>
      </c>
    </row>
    <row r="44" spans="1:7" x14ac:dyDescent="0.45">
      <c r="A44" s="1">
        <v>43.2</v>
      </c>
      <c r="B44" s="1">
        <v>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45">
      <c r="A45" s="1">
        <v>44.2</v>
      </c>
      <c r="B45" s="1">
        <v>25</v>
      </c>
      <c r="C45" s="1">
        <v>0.68</v>
      </c>
      <c r="D45" s="1">
        <v>0.96794871794871795</v>
      </c>
      <c r="E45" s="1">
        <v>0.96666666666666601</v>
      </c>
      <c r="F45" s="1">
        <v>0.70461538461538398</v>
      </c>
      <c r="G45" s="1">
        <v>0.85308519744170497</v>
      </c>
    </row>
    <row r="46" spans="1:7" x14ac:dyDescent="0.45">
      <c r="A46" s="1">
        <v>45.2</v>
      </c>
      <c r="B46" s="1">
        <v>18</v>
      </c>
      <c r="C46" s="1">
        <v>0.5</v>
      </c>
      <c r="D46" s="1">
        <v>0.938271604938271</v>
      </c>
      <c r="E46" s="1">
        <v>0.934640522875817</v>
      </c>
      <c r="F46" s="1">
        <v>0.74269005847953196</v>
      </c>
      <c r="G46" s="1">
        <v>0.68410559330247001</v>
      </c>
    </row>
    <row r="47" spans="1:7" x14ac:dyDescent="0.45">
      <c r="A47" s="1">
        <v>46.2</v>
      </c>
      <c r="B47" s="1">
        <v>15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</row>
    <row r="48" spans="1:7" x14ac:dyDescent="0.45">
      <c r="A48" s="1">
        <v>47.2</v>
      </c>
      <c r="B48" s="1">
        <v>12</v>
      </c>
      <c r="C48" s="1">
        <v>0.58333333333333304</v>
      </c>
      <c r="D48" s="1">
        <v>0.91666666666666596</v>
      </c>
      <c r="E48" s="1">
        <v>0.90909090909090895</v>
      </c>
      <c r="F48" s="1">
        <v>0.67948717948717896</v>
      </c>
      <c r="G48" s="1">
        <v>0.86240337742988404</v>
      </c>
    </row>
    <row r="49" spans="1:7" x14ac:dyDescent="0.45">
      <c r="A49" s="1">
        <v>48.2</v>
      </c>
      <c r="B49" s="1">
        <v>18</v>
      </c>
      <c r="C49" s="1">
        <v>0.88888888888888795</v>
      </c>
      <c r="D49" s="1">
        <v>0.98765432098765404</v>
      </c>
      <c r="E49" s="1">
        <v>0.986928104575163</v>
      </c>
      <c r="F49" s="1">
        <v>0.86549707602339099</v>
      </c>
      <c r="G49" s="1">
        <v>0.97866975492641195</v>
      </c>
    </row>
    <row r="50" spans="1:7" x14ac:dyDescent="0.45">
      <c r="A50" s="1">
        <v>49.2</v>
      </c>
      <c r="B50" s="1">
        <v>14</v>
      </c>
      <c r="C50" s="1">
        <v>0.57142857142857095</v>
      </c>
      <c r="D50" s="1">
        <v>0.93877551020408101</v>
      </c>
      <c r="E50" s="1">
        <v>0.93406593406593397</v>
      </c>
      <c r="F50" s="1">
        <v>0.55238095238095197</v>
      </c>
      <c r="G50" s="1">
        <v>0.90460041451186701</v>
      </c>
    </row>
    <row r="51" spans="1:7" x14ac:dyDescent="0.45">
      <c r="A51" s="1">
        <v>50.2</v>
      </c>
      <c r="B51" s="1">
        <v>4</v>
      </c>
      <c r="C51" s="1">
        <v>0.5</v>
      </c>
      <c r="D51" s="1">
        <v>0.75</v>
      </c>
      <c r="E51" s="1">
        <v>0.66666666666666596</v>
      </c>
      <c r="F51" s="1">
        <v>0.7</v>
      </c>
      <c r="G51" s="1">
        <v>0.89790381641629602</v>
      </c>
    </row>
    <row r="52" spans="1:7" x14ac:dyDescent="0.45">
      <c r="A52" s="1" t="s">
        <v>32</v>
      </c>
      <c r="C52" s="1">
        <f>SUBTOTAL(101,Table12643[JaccardCoefficient])</f>
        <v>0.76568870214752549</v>
      </c>
      <c r="D52" s="1">
        <f>SUBTOTAL(101,Table12643[MismatchDistanceCoefficient])</f>
        <v>0.93599270909866139</v>
      </c>
      <c r="E52" s="1">
        <f>SUBTOTAL(101,Table12643[KendallTauCorrelation])</f>
        <v>0.9204907669841158</v>
      </c>
      <c r="F52" s="1">
        <f>SUBTOTAL(101,Table12643[MismatchPositionCoefficient])</f>
        <v>0.84156476887213705</v>
      </c>
      <c r="G52" s="1">
        <f>SUBTOTAL(101,Table12643[DiscountedCumulativeGain])</f>
        <v>0.90602249436952076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G1" workbookViewId="0">
      <selection activeCell="H23" sqref="H23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8.33203125" customWidth="1"/>
    <col min="9" max="9" width="12.9296875" style="11" customWidth="1"/>
    <col min="10" max="10" width="13.06640625" style="11" customWidth="1"/>
    <col min="11" max="11" width="10.33203125" customWidth="1"/>
    <col min="13" max="13" width="10.59765625" customWidth="1"/>
    <col min="14" max="14" width="34.1328125" customWidth="1"/>
    <col min="15" max="15" width="7" customWidth="1"/>
    <col min="16" max="16" width="7.9296875" customWidth="1"/>
    <col min="17" max="17" width="6.26562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21" t="s">
        <v>40</v>
      </c>
      <c r="O1" s="22" t="s">
        <v>33</v>
      </c>
      <c r="P1" s="22" t="s">
        <v>29</v>
      </c>
      <c r="Q1" s="23" t="s">
        <v>34</v>
      </c>
    </row>
    <row r="2" spans="1:17" x14ac:dyDescent="0.45">
      <c r="A2" s="1">
        <v>1.4</v>
      </c>
      <c r="B2" s="1">
        <v>7</v>
      </c>
      <c r="C2" s="1">
        <v>0.71428571428571397</v>
      </c>
      <c r="D2" s="1">
        <v>0.91666666666666596</v>
      </c>
      <c r="E2" s="1">
        <v>0.90476190476190399</v>
      </c>
      <c r="F2" s="1">
        <v>0.96428571428571397</v>
      </c>
      <c r="G2" s="1">
        <v>0.86973314615773201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28" t="s">
        <v>41</v>
      </c>
      <c r="O2" s="15">
        <f>CORREL(I2:I22, J2:J22)</f>
        <v>-0.66647177277168945</v>
      </c>
      <c r="P2" s="15">
        <f>CORREL(I2:I22, K2:K22)</f>
        <v>-0.3396455799164208</v>
      </c>
      <c r="Q2" s="16">
        <f>CORREL(I2:I22, L2:L22)</f>
        <v>-0.85759434926105138</v>
      </c>
    </row>
    <row r="3" spans="1:17" x14ac:dyDescent="0.45">
      <c r="A3" s="1">
        <v>2.4</v>
      </c>
      <c r="B3" s="1">
        <v>9</v>
      </c>
      <c r="C3" s="1">
        <v>0.22222222222222199</v>
      </c>
      <c r="D3" s="1">
        <v>0.65</v>
      </c>
      <c r="E3" s="1">
        <v>0.5</v>
      </c>
      <c r="F3" s="1">
        <v>0.46666666666666601</v>
      </c>
      <c r="G3" s="1">
        <v>0.89442234635513795</v>
      </c>
      <c r="I3" s="12">
        <v>3</v>
      </c>
      <c r="J3" s="2">
        <f>AVERAGEIF(Table126[[ Cycle size]],I3,Table126[JaccardCoefficient])</f>
        <v>0.86666666666666659</v>
      </c>
      <c r="K3" s="2">
        <f>AVERAGEIF(Table126[ [ Cycle size] ],I3,Table126[KendallTauCorrelation])</f>
        <v>0.86666666666666659</v>
      </c>
      <c r="L3" s="2">
        <f>AVERAGEIF(Table126[ [ Cycle size] ],I3,Table126[DiscountedCumulativeGain])</f>
        <v>0.96596793880543197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45">
      <c r="A4" s="1">
        <v>3.4</v>
      </c>
      <c r="B4" s="1">
        <v>12</v>
      </c>
      <c r="C4" s="1">
        <v>0.66666666666666596</v>
      </c>
      <c r="D4" s="1">
        <v>0.94444444444444398</v>
      </c>
      <c r="E4" s="1">
        <v>0.939393939393939</v>
      </c>
      <c r="F4" s="1">
        <v>0.74358974358974295</v>
      </c>
      <c r="G4" s="1">
        <v>0.88815277675556203</v>
      </c>
      <c r="I4" s="12">
        <v>4</v>
      </c>
      <c r="J4" s="2">
        <f>AVERAGEIF(Table126[[ Cycle size]],I4,Table126[JaccardCoefficient])</f>
        <v>1</v>
      </c>
      <c r="K4" s="2">
        <f>AVERAGEIF(Table126[ [ Cycle size] ],I4,Table126[KendallTauCorrelation])</f>
        <v>1</v>
      </c>
      <c r="L4" s="2">
        <f>AVERAGEIF(Table126[ [ Cycle size] ],I4,Table126[DiscountedCumulativeGain])</f>
        <v>1</v>
      </c>
      <c r="N4" s="29" t="s">
        <v>42</v>
      </c>
      <c r="O4" s="17">
        <f>CORREL(I2:I20, J2:J20)</f>
        <v>-0.83877198911625028</v>
      </c>
      <c r="P4" s="17">
        <f>CORREL(I2:I20, K2:K20)</f>
        <v>-0.50395441508365657</v>
      </c>
      <c r="Q4" s="18">
        <f>CORREL(I2:I20, L2:L20)</f>
        <v>-0.93158131166847247</v>
      </c>
    </row>
    <row r="5" spans="1:17" x14ac:dyDescent="0.45">
      <c r="A5" s="1">
        <v>4.4000000000000004</v>
      </c>
      <c r="B5" s="1">
        <v>8</v>
      </c>
      <c r="C5" s="1">
        <v>0.75</v>
      </c>
      <c r="D5" s="1">
        <v>0.9375</v>
      </c>
      <c r="E5" s="1">
        <v>0.92857142857142805</v>
      </c>
      <c r="F5" s="1">
        <v>0.80555555555555503</v>
      </c>
      <c r="G5" s="1">
        <v>0.96396438546868801</v>
      </c>
      <c r="I5" s="12">
        <v>5</v>
      </c>
      <c r="J5" s="2">
        <f>AVERAGEIF(Table126[[ Cycle size]],I5,Table126[JaccardCoefficient])</f>
        <v>1</v>
      </c>
      <c r="K5" s="2">
        <f>AVERAGEIF(Table126[ [ Cycle size] ],I5,Table126[KendallTauCorrelation])</f>
        <v>1</v>
      </c>
      <c r="L5" s="2">
        <f>AVERAGEIF(Table126[ [ Cycle size] ],I5,Table126[DiscountedCumulativeGain])</f>
        <v>1</v>
      </c>
      <c r="N5" s="27" t="s">
        <v>40</v>
      </c>
      <c r="O5" s="19" t="s">
        <v>33</v>
      </c>
      <c r="P5" s="19" t="s">
        <v>29</v>
      </c>
      <c r="Q5" s="20" t="s">
        <v>34</v>
      </c>
    </row>
    <row r="6" spans="1:17" x14ac:dyDescent="0.45">
      <c r="A6" s="1">
        <v>5.4</v>
      </c>
      <c r="B6" s="1">
        <v>3</v>
      </c>
      <c r="C6" s="1">
        <v>0.33333333333333298</v>
      </c>
      <c r="D6" s="1">
        <v>0.5</v>
      </c>
      <c r="E6" s="1">
        <v>0.33333333333333298</v>
      </c>
      <c r="F6" s="1">
        <v>0.83333333333333304</v>
      </c>
      <c r="G6" s="1">
        <v>0.82983969402715996</v>
      </c>
      <c r="I6" s="12">
        <v>6</v>
      </c>
      <c r="J6" s="2">
        <f>AVERAGEIF(Table126[[ Cycle size]],I6,Table126[JaccardCoefficient])</f>
        <v>0.77777777777777735</v>
      </c>
      <c r="K6" s="2">
        <f>AVERAGEIF(Table126[ [ Cycle size] ],I6,Table126[KendallTauCorrelation])</f>
        <v>0.91111111111111065</v>
      </c>
      <c r="L6" s="2">
        <f>AVERAGEIF(Table126[ [ Cycle size] ],I6,Table126[DiscountedCumulativeGain])</f>
        <v>0.95834909314576999</v>
      </c>
      <c r="N6" s="29" t="s">
        <v>47</v>
      </c>
      <c r="O6" s="17">
        <f>AVERAGEA(J2:J22)</f>
        <v>0.52613467609265907</v>
      </c>
      <c r="P6" s="17">
        <f t="shared" ref="P6:Q6" si="0">AVERAGEA(K2:K22)</f>
        <v>0.86730670396958742</v>
      </c>
      <c r="Q6" s="17">
        <f t="shared" si="0"/>
        <v>0.81568398790811281</v>
      </c>
    </row>
    <row r="7" spans="1:17" x14ac:dyDescent="0.45">
      <c r="A7" s="1">
        <v>6.4</v>
      </c>
      <c r="B7" s="1">
        <v>7</v>
      </c>
      <c r="C7" s="1">
        <v>0.71428571428571397</v>
      </c>
      <c r="D7" s="1">
        <v>0.91666666666666596</v>
      </c>
      <c r="E7" s="1">
        <v>0.90476190476190399</v>
      </c>
      <c r="F7" s="1">
        <v>0.60714285714285698</v>
      </c>
      <c r="G7" s="1">
        <v>0.91157372927541502</v>
      </c>
      <c r="I7" s="12">
        <v>7</v>
      </c>
      <c r="J7" s="2">
        <f>AVERAGEIF(Table126[[ Cycle size]],I7,Table126[JaccardCoefficient])</f>
        <v>0.78571428571428548</v>
      </c>
      <c r="K7" s="2">
        <f>AVERAGEIF(Table126[ [ Cycle size] ],I7,Table126[KendallTauCorrelation])</f>
        <v>0.92857142857142794</v>
      </c>
      <c r="L7" s="2">
        <f>AVERAGEIF(Table126[ [ Cycle size] ],I7,Table126[DiscountedCumulativeGain])</f>
        <v>0.91276000539771984</v>
      </c>
      <c r="N7" s="27" t="s">
        <v>40</v>
      </c>
      <c r="O7" s="19" t="s">
        <v>33</v>
      </c>
      <c r="P7" s="19" t="s">
        <v>29</v>
      </c>
      <c r="Q7" s="20" t="s">
        <v>34</v>
      </c>
    </row>
    <row r="8" spans="1:17" x14ac:dyDescent="0.45">
      <c r="A8" s="1">
        <v>7.4</v>
      </c>
      <c r="B8" s="1">
        <v>16</v>
      </c>
      <c r="C8" s="1">
        <v>0.375</v>
      </c>
      <c r="D8" s="1">
        <v>0.90625</v>
      </c>
      <c r="E8" s="1">
        <v>0.9</v>
      </c>
      <c r="F8" s="1">
        <v>0.41911764705882298</v>
      </c>
      <c r="G8" s="1">
        <v>0.79118464026260704</v>
      </c>
      <c r="I8" s="12">
        <v>8</v>
      </c>
      <c r="J8" s="2">
        <f>AVERAGEIF(Table126[[ Cycle size]],I8,Table126[JaccardCoefficient])</f>
        <v>0.66666666666666663</v>
      </c>
      <c r="K8" s="2">
        <f>AVERAGEIF(Table126[ [ Cycle size] ],I8,Table126[KendallTauCorrelation])</f>
        <v>0.90476190476190432</v>
      </c>
      <c r="L8" s="2">
        <f>AVERAGEIF(Table126[ [ Cycle size] ],I8,Table126[DiscountedCumulativeGain])</f>
        <v>0.96506279904244752</v>
      </c>
      <c r="N8" s="29" t="s">
        <v>48</v>
      </c>
      <c r="O8" s="17">
        <f>MEDIAN(J2:J22)</f>
        <v>0.52</v>
      </c>
      <c r="P8" s="17">
        <f t="shared" ref="P8:Q8" si="1">MEDIAN(K2:K22)</f>
        <v>0.86916354556803999</v>
      </c>
      <c r="Q8" s="17">
        <f t="shared" si="1"/>
        <v>0.84055641765244105</v>
      </c>
    </row>
    <row r="9" spans="1:17" x14ac:dyDescent="0.45">
      <c r="A9" s="1">
        <v>8.4</v>
      </c>
      <c r="B9" s="1">
        <v>7</v>
      </c>
      <c r="C9" s="1">
        <v>0.71428571428571397</v>
      </c>
      <c r="D9" s="1">
        <v>0.91666666666666596</v>
      </c>
      <c r="E9" s="1">
        <v>0.90476190476190399</v>
      </c>
      <c r="F9" s="1">
        <v>0.96428571428571397</v>
      </c>
      <c r="G9" s="1">
        <v>0.86973314615773201</v>
      </c>
      <c r="I9" s="12">
        <v>9</v>
      </c>
      <c r="J9" s="2">
        <f>AVERAGEIF(Table126[[ Cycle size]],I9,Table126[JaccardCoefficient])</f>
        <v>0.64444444444444371</v>
      </c>
      <c r="K9" s="2">
        <f>AVERAGEIF(Table126[ [ Cycle size] ],I9,Table126[KendallTauCorrelation])</f>
        <v>0.84444444444444389</v>
      </c>
      <c r="L9" s="2">
        <f>AVERAGEIF(Table126[ [ Cycle size] ],I9,Table126[DiscountedCumulativeGain])</f>
        <v>0.90993146838842665</v>
      </c>
      <c r="N9" s="27" t="s">
        <v>40</v>
      </c>
      <c r="O9" s="19" t="s">
        <v>33</v>
      </c>
      <c r="P9" s="19" t="s">
        <v>29</v>
      </c>
      <c r="Q9" s="20" t="s">
        <v>34</v>
      </c>
    </row>
    <row r="10" spans="1:17" x14ac:dyDescent="0.45">
      <c r="A10" s="1">
        <v>9.4</v>
      </c>
      <c r="B10" s="1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0.6</v>
      </c>
      <c r="K10" s="2">
        <f>AVERAGEIF(Table126[ [ Cycle size] ],I10,Table126[KendallTauCorrelation])</f>
        <v>0.88148148148148131</v>
      </c>
      <c r="L10" s="2">
        <f>AVERAGEIF(Table126[ [ Cycle size] ],I10,Table126[DiscountedCumulativeGain])</f>
        <v>0.97071957053889169</v>
      </c>
      <c r="N10" s="29" t="s">
        <v>50</v>
      </c>
      <c r="O10" s="17">
        <f>SUMPRODUCT($I$2:$I$22,J2:J22)/SUM($I$2:$I$22)</f>
        <v>0.30940860215053745</v>
      </c>
      <c r="P10" s="17">
        <f t="shared" ref="P10:Q10" si="2">SUMPRODUCT($I$2:$I$22,K2:K22)/SUM($I$2:$I$22)</f>
        <v>0.83270368382222393</v>
      </c>
      <c r="Q10" s="17">
        <f t="shared" si="2"/>
        <v>0.66493502999728715</v>
      </c>
    </row>
    <row r="11" spans="1:17" x14ac:dyDescent="0.45">
      <c r="A11" s="1">
        <v>10.4</v>
      </c>
      <c r="B11" s="1">
        <v>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AVERAGEIF(Table126[[ Cycle size]],I11,Table126[JaccardCoefficient])</f>
        <v>0.76666666666666627</v>
      </c>
      <c r="K11" s="2">
        <f>AVERAGEIF(Table126[ [ Cycle size] ],I11,Table126[KendallTauCorrelation])</f>
        <v>0.94545454545454533</v>
      </c>
      <c r="L11" s="2">
        <f>AVERAGEIF(Table126[ [ Cycle size] ],I11,Table126[DiscountedCumulativeGain])</f>
        <v>0.93787693301459873</v>
      </c>
      <c r="N11" s="29" t="s">
        <v>49</v>
      </c>
      <c r="O11" s="17">
        <f>SUMPRODUCT(I2:I20,J2:J20)/SUM(I2:I20)</f>
        <v>0.43016528925619801</v>
      </c>
      <c r="P11" s="17">
        <f>SUMPRODUCT(I2:I20,K2:K20)/SUM(I2:I20)</f>
        <v>0.85633619410351836</v>
      </c>
      <c r="Q11" s="17">
        <f>SUMPRODUCT(L2:L20,I2:I20)/SUM(I2:I20)</f>
        <v>0.78446799236302722</v>
      </c>
    </row>
    <row r="12" spans="1:17" x14ac:dyDescent="0.45">
      <c r="A12" s="1">
        <v>11.4</v>
      </c>
      <c r="B12" s="1">
        <v>9</v>
      </c>
      <c r="C12" s="1">
        <v>0.77777777777777701</v>
      </c>
      <c r="D12" s="1">
        <v>0.95</v>
      </c>
      <c r="E12" s="1">
        <v>0.94444444444444398</v>
      </c>
      <c r="F12" s="1">
        <v>0.93333333333333302</v>
      </c>
      <c r="G12" s="1">
        <v>0.89214464325892495</v>
      </c>
      <c r="I12" s="12">
        <v>14</v>
      </c>
      <c r="J12" s="2">
        <f>AVERAGEIF(Table126[[ Cycle size]],I12,Table126[JaccardCoefficient])</f>
        <v>0.28571428571428542</v>
      </c>
      <c r="K12" s="2">
        <f>AVERAGEIF(Table126[ [ Cycle size] ],I12,Table126[KendallTauCorrelation])</f>
        <v>0.67032967032967006</v>
      </c>
      <c r="L12" s="2">
        <f>AVERAGEIF(Table126[ [ Cycle size] ],I12,Table126[DiscountedCumulativeGain])</f>
        <v>0.7642207761272567</v>
      </c>
    </row>
    <row r="13" spans="1:17" x14ac:dyDescent="0.45">
      <c r="A13" s="1">
        <v>12.4</v>
      </c>
      <c r="B13" s="1">
        <v>12</v>
      </c>
      <c r="C13" s="1">
        <v>0.66666666666666596</v>
      </c>
      <c r="D13" s="1">
        <v>0.94444444444444398</v>
      </c>
      <c r="E13" s="1">
        <v>0.939393939393939</v>
      </c>
      <c r="F13" s="1">
        <v>0.71794871794871795</v>
      </c>
      <c r="G13" s="1">
        <v>0.90544286053510203</v>
      </c>
      <c r="I13" s="12">
        <v>15</v>
      </c>
      <c r="J13" s="2">
        <f>AVERAGEIF(Table126[[ Cycle size]],I13,Table126[JaccardCoefficient])</f>
        <v>0.2</v>
      </c>
      <c r="K13" s="2">
        <f>AVERAGEIF(Table126[ [ Cycle size] ],I13,Table126[KendallTauCorrelation])</f>
        <v>0.86666666666666603</v>
      </c>
      <c r="L13" s="2">
        <f>AVERAGEIF(Table126[ [ Cycle size] ],I13,Table126[DiscountedCumulativeGain])</f>
        <v>0.75514195043229504</v>
      </c>
    </row>
    <row r="14" spans="1:17" x14ac:dyDescent="0.45">
      <c r="A14" s="1">
        <v>13.4</v>
      </c>
      <c r="B14" s="1">
        <v>8</v>
      </c>
      <c r="C14" s="1">
        <v>0.75</v>
      </c>
      <c r="D14" s="1">
        <v>0.9375</v>
      </c>
      <c r="E14" s="1">
        <v>0.92857142857142805</v>
      </c>
      <c r="F14" s="1">
        <v>0.86111111111111105</v>
      </c>
      <c r="G14" s="1">
        <v>0.93161370970685997</v>
      </c>
      <c r="I14" s="12">
        <v>16</v>
      </c>
      <c r="J14" s="2">
        <f>AVERAGEIF(Table126[[ Cycle size]],I14,Table126[JaccardCoefficient])</f>
        <v>0.25</v>
      </c>
      <c r="K14" s="2">
        <f>AVERAGEIF(Table126[ [ Cycle size] ],I14,Table126[KendallTauCorrelation])</f>
        <v>0.79166666666666652</v>
      </c>
      <c r="L14" s="2">
        <f>AVERAGEIF(Table126[ [ Cycle size] ],I14,Table126[DiscountedCumulativeGain])</f>
        <v>0.73490149145655104</v>
      </c>
    </row>
    <row r="15" spans="1:17" x14ac:dyDescent="0.45">
      <c r="A15" s="1">
        <v>14.4</v>
      </c>
      <c r="B15" s="1">
        <v>17</v>
      </c>
      <c r="C15" s="1">
        <v>0.29411764705882298</v>
      </c>
      <c r="D15" s="1">
        <v>0.86111111111111105</v>
      </c>
      <c r="E15" s="1">
        <v>0.82352941176470495</v>
      </c>
      <c r="F15" s="1">
        <v>0.43790849673202598</v>
      </c>
      <c r="G15" s="1">
        <v>0.69955895193211204</v>
      </c>
      <c r="I15" s="12">
        <v>17</v>
      </c>
      <c r="J15" s="2">
        <f>AVERAGEIF(Table126[[ Cycle size]],I15,Table126[JaccardCoefficient])</f>
        <v>0.41176470588235248</v>
      </c>
      <c r="K15" s="2">
        <f>AVERAGEIF(Table126[ [ Cycle size] ],I15,Table126[KendallTauCorrelation])</f>
        <v>0.8823529411764699</v>
      </c>
      <c r="L15" s="2">
        <f>AVERAGEIF(Table126[ [ Cycle size] ],I15,Table126[DiscountedCumulativeGain])</f>
        <v>0.7570591485289625</v>
      </c>
    </row>
    <row r="16" spans="1:17" x14ac:dyDescent="0.45">
      <c r="A16" s="1">
        <v>15.4</v>
      </c>
      <c r="B16" s="1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AVERAGEIF(Table126[[ Cycle size]],I16,Table126[JaccardCoefficient])</f>
        <v>0.47222222222222154</v>
      </c>
      <c r="K16" s="2">
        <f>AVERAGEIF(Table126[ [ Cycle size] ],I16,Table126[KendallTauCorrelation])</f>
        <v>0.84967320261437851</v>
      </c>
      <c r="L16" s="2">
        <f>AVERAGEIF(Table126[ [ Cycle size] ],I16,Table126[DiscountedCumulativeGain])</f>
        <v>0.84055641765244105</v>
      </c>
    </row>
    <row r="17" spans="1:12" x14ac:dyDescent="0.45">
      <c r="A17" s="1">
        <v>16.399999999999999</v>
      </c>
      <c r="B17" s="1">
        <v>40</v>
      </c>
      <c r="C17" s="1">
        <v>0.05</v>
      </c>
      <c r="D17" s="1">
        <v>0.6825</v>
      </c>
      <c r="E17" s="1">
        <v>0.60769230769230698</v>
      </c>
      <c r="F17" s="1">
        <v>0.117073170731707</v>
      </c>
      <c r="G17" s="1">
        <v>0.482214801339374</v>
      </c>
      <c r="I17" s="12">
        <v>20</v>
      </c>
      <c r="J17" s="2">
        <f>AVERAGEIF(Table126[[ Cycle size]],I17,Table126[JaccardCoefficient])</f>
        <v>0.375</v>
      </c>
      <c r="K17" s="2">
        <f>AVERAGEIF(Table126[ [ Cycle size] ],I17,Table126[KendallTauCorrelation])</f>
        <v>0.86315789473684146</v>
      </c>
      <c r="L17" s="2">
        <f>AVERAGEIF(Table126[ [ Cycle size] ],I17,Table126[DiscountedCumulativeGain])</f>
        <v>0.70988897973693454</v>
      </c>
    </row>
    <row r="18" spans="1:12" x14ac:dyDescent="0.45">
      <c r="A18" s="1">
        <v>17.399999999999999</v>
      </c>
      <c r="B18" s="1">
        <v>9</v>
      </c>
      <c r="C18" s="1">
        <v>0.77777777777777701</v>
      </c>
      <c r="D18" s="1">
        <v>0.95</v>
      </c>
      <c r="E18" s="1">
        <v>0.94444444444444398</v>
      </c>
      <c r="F18" s="1">
        <v>0.8</v>
      </c>
      <c r="G18" s="1">
        <v>0.97117150837495003</v>
      </c>
      <c r="I18" s="12">
        <v>21</v>
      </c>
      <c r="J18" s="2">
        <f>AVERAGEIF(Table126[[ Cycle size]],I18,Table126[JaccardCoefficient])</f>
        <v>0.14285714285714199</v>
      </c>
      <c r="K18" s="2">
        <f>AVERAGEIF(Table126[ [ Cycle size] ],I18,Table126[KendallTauCorrelation])</f>
        <v>0.79047619047619</v>
      </c>
      <c r="L18" s="2">
        <f>AVERAGEIF(Table126[ [ Cycle size] ],I18,Table126[DiscountedCumulativeGain])</f>
        <v>0.74140010100264098</v>
      </c>
    </row>
    <row r="19" spans="1:12" x14ac:dyDescent="0.45">
      <c r="A19" s="1">
        <v>18.399999999999999</v>
      </c>
      <c r="B19" s="1">
        <v>20</v>
      </c>
      <c r="C19" s="1">
        <v>0.45</v>
      </c>
      <c r="D19" s="1">
        <v>0.92</v>
      </c>
      <c r="E19" s="1">
        <v>0.91578947368421004</v>
      </c>
      <c r="F19" s="1">
        <v>0.59047619047619004</v>
      </c>
      <c r="G19" s="1">
        <v>0.71496269222258702</v>
      </c>
      <c r="I19" s="12">
        <v>25</v>
      </c>
      <c r="J19" s="2">
        <f>AVERAGEIF(Table126[[ Cycle size]],I19,Table126[JaccardCoefficient])</f>
        <v>0.52</v>
      </c>
      <c r="K19" s="2">
        <f>AVERAGEIF(Table126[ [ Cycle size] ],I19,Table126[KendallTauCorrelation])</f>
        <v>0.94666666666666599</v>
      </c>
      <c r="L19" s="2">
        <f>AVERAGEIF(Table126[ [ Cycle size] ],I19,Table126[DiscountedCumulativeGain])</f>
        <v>0.715377734804163</v>
      </c>
    </row>
    <row r="20" spans="1:12" x14ac:dyDescent="0.45">
      <c r="A20" s="1">
        <v>19.399999999999999</v>
      </c>
      <c r="B20" s="1">
        <v>90</v>
      </c>
      <c r="C20" s="1">
        <v>0.1</v>
      </c>
      <c r="D20" s="1">
        <v>0.894320987654321</v>
      </c>
      <c r="E20" s="1">
        <v>0.86916354556803999</v>
      </c>
      <c r="F20" s="1">
        <v>0.13040293040293</v>
      </c>
      <c r="G20" s="1">
        <v>0.424733166150703</v>
      </c>
      <c r="I20" s="12">
        <v>30</v>
      </c>
      <c r="J20" s="2">
        <f>AVERAGEIF(Table126[[ Cycle size]],I20,Table126[JaccardCoefficient])</f>
        <v>0.133333333333333</v>
      </c>
      <c r="K20" s="2">
        <f>AVERAGEIF(Table126[ [ Cycle size] ],I20,Table126[KendallTauCorrelation])</f>
        <v>0.79310344827586199</v>
      </c>
      <c r="L20" s="2">
        <f>AVERAGEIF(Table126[ [ Cycle size] ],I20,Table126[DiscountedCumulativeGain])</f>
        <v>0.58320137050575704</v>
      </c>
    </row>
    <row r="21" spans="1:12" x14ac:dyDescent="0.45">
      <c r="A21" s="1">
        <v>20.399999999999999</v>
      </c>
      <c r="B21" s="1">
        <v>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AVERAGEIF(Table126[[ Cycle size]],I21,Table126[JaccardCoefficient])</f>
        <v>0.05</v>
      </c>
      <c r="K21" s="2">
        <f>AVERAGEIF(Table126[ [ Cycle size] ],I21,Table126[KendallTauCorrelation])</f>
        <v>0.60769230769230698</v>
      </c>
      <c r="L21" s="2">
        <f>AVERAGEIF(Table126[ [ Cycle size] ],I21,Table126[DiscountedCumulativeGain])</f>
        <v>0.482214801339374</v>
      </c>
    </row>
    <row r="22" spans="1:12" x14ac:dyDescent="0.45">
      <c r="A22" s="1">
        <v>21.4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0.93333333333333302</v>
      </c>
      <c r="G22" s="1">
        <v>0.89214464325892495</v>
      </c>
      <c r="I22" s="12">
        <v>90</v>
      </c>
      <c r="J22" s="2">
        <f>AVERAGEIF(Table126[[ Cycle size]],I22,Table126[JaccardCoefficient])</f>
        <v>0.1</v>
      </c>
      <c r="K22" s="2">
        <f>AVERAGEIF(Table126[ [ Cycle size] ],I22,Table126[KendallTauCorrelation])</f>
        <v>0.86916354556803999</v>
      </c>
      <c r="L22" s="2">
        <f>AVERAGEIF(Table126[ [ Cycle size] ],I22,Table126[DiscountedCumulativeGain])</f>
        <v>0.424733166150703</v>
      </c>
    </row>
    <row r="23" spans="1:12" x14ac:dyDescent="0.45">
      <c r="A23" s="1">
        <v>22.4</v>
      </c>
      <c r="B23" s="1">
        <v>3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/>
      <c r="J23"/>
    </row>
    <row r="24" spans="1:12" x14ac:dyDescent="0.45">
      <c r="A24" s="1">
        <v>23.4</v>
      </c>
      <c r="B24" s="1">
        <v>5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/>
      <c r="J24"/>
    </row>
    <row r="25" spans="1:12" x14ac:dyDescent="0.45">
      <c r="A25" s="1">
        <v>24.4</v>
      </c>
      <c r="B25" s="1">
        <v>21</v>
      </c>
      <c r="C25" s="1">
        <v>0.14285714285714199</v>
      </c>
      <c r="D25" s="1">
        <v>0.83636363636363598</v>
      </c>
      <c r="E25" s="1">
        <v>0.79047619047619</v>
      </c>
      <c r="F25" s="1">
        <v>0.103896103896103</v>
      </c>
      <c r="G25" s="1">
        <v>0.74140010100264098</v>
      </c>
      <c r="I25"/>
      <c r="J25"/>
    </row>
    <row r="26" spans="1:12" x14ac:dyDescent="0.45">
      <c r="A26" s="1">
        <v>25.4</v>
      </c>
      <c r="B26" s="1">
        <v>14</v>
      </c>
      <c r="C26" s="1">
        <v>0.28571428571428498</v>
      </c>
      <c r="D26" s="1">
        <v>0.85714285714285698</v>
      </c>
      <c r="E26" s="1">
        <v>0.82417582417582402</v>
      </c>
      <c r="F26" s="1">
        <v>0.419047619047619</v>
      </c>
      <c r="G26" s="1">
        <v>0.74384600915047205</v>
      </c>
    </row>
    <row r="27" spans="1:12" x14ac:dyDescent="0.45">
      <c r="A27" s="1">
        <v>26.4</v>
      </c>
      <c r="B27" s="1">
        <v>4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2" x14ac:dyDescent="0.45">
      <c r="A28" s="1">
        <v>27.4</v>
      </c>
      <c r="B28" s="1">
        <v>6</v>
      </c>
      <c r="C28" s="1">
        <v>0.66666666666666596</v>
      </c>
      <c r="D28" s="1">
        <v>0.88888888888888795</v>
      </c>
      <c r="E28" s="1">
        <v>0.86666666666666603</v>
      </c>
      <c r="F28" s="1">
        <v>0.76190476190476097</v>
      </c>
      <c r="G28" s="1">
        <v>0.99294897373675595</v>
      </c>
    </row>
    <row r="29" spans="1:12" x14ac:dyDescent="0.45">
      <c r="A29" s="1">
        <v>28.4</v>
      </c>
      <c r="B29" s="1">
        <v>14</v>
      </c>
      <c r="C29" s="1">
        <v>0.5</v>
      </c>
      <c r="D29" s="1">
        <v>0.85714285714285698</v>
      </c>
      <c r="E29" s="1">
        <v>0.78021978021978</v>
      </c>
      <c r="F29" s="1">
        <v>0.54285714285714204</v>
      </c>
      <c r="G29" s="1">
        <v>0.86878104837540104</v>
      </c>
    </row>
    <row r="30" spans="1:12" x14ac:dyDescent="0.45">
      <c r="A30" s="1">
        <v>29.4</v>
      </c>
      <c r="B30" s="1">
        <v>8</v>
      </c>
      <c r="C30" s="1">
        <v>0.5</v>
      </c>
      <c r="D30" s="1">
        <v>0.875</v>
      </c>
      <c r="E30" s="1">
        <v>0.85714285714285698</v>
      </c>
      <c r="F30" s="1">
        <v>0.5</v>
      </c>
      <c r="G30" s="1">
        <v>0.99961030195179501</v>
      </c>
    </row>
    <row r="31" spans="1:12" x14ac:dyDescent="0.45">
      <c r="A31" s="1">
        <v>30.4</v>
      </c>
      <c r="B31" s="1">
        <v>6</v>
      </c>
      <c r="C31" s="1">
        <v>0.66666666666666596</v>
      </c>
      <c r="D31" s="1">
        <v>0.88888888888888795</v>
      </c>
      <c r="E31" s="1">
        <v>0.86666666666666603</v>
      </c>
      <c r="F31" s="1">
        <v>0.57142857142857095</v>
      </c>
      <c r="G31" s="1">
        <v>0.88209830570055403</v>
      </c>
    </row>
    <row r="32" spans="1:12" x14ac:dyDescent="0.45">
      <c r="A32" s="1">
        <v>31.4</v>
      </c>
      <c r="B32" s="1">
        <v>30</v>
      </c>
      <c r="C32" s="1">
        <v>0.133333333333333</v>
      </c>
      <c r="D32" s="1">
        <v>0.83555555555555505</v>
      </c>
      <c r="E32" s="1">
        <v>0.79310344827586199</v>
      </c>
      <c r="F32" s="1">
        <v>0.174193548387096</v>
      </c>
      <c r="G32" s="1">
        <v>0.58320137050575704</v>
      </c>
    </row>
    <row r="33" spans="1:7" x14ac:dyDescent="0.45">
      <c r="A33" s="1">
        <v>32.4</v>
      </c>
      <c r="B33" s="1">
        <v>4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45">
      <c r="A34" s="1">
        <v>33.4</v>
      </c>
      <c r="B34" s="1">
        <v>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45">
      <c r="A35" s="1">
        <v>34.4</v>
      </c>
      <c r="B35" s="1">
        <v>16</v>
      </c>
      <c r="C35" s="1">
        <v>0.125</v>
      </c>
      <c r="D35" s="1">
        <v>0.734375</v>
      </c>
      <c r="E35" s="1">
        <v>0.68333333333333302</v>
      </c>
      <c r="F35" s="1">
        <v>0.27205882352941102</v>
      </c>
      <c r="G35" s="1">
        <v>0.67861834265049503</v>
      </c>
    </row>
    <row r="36" spans="1:7" x14ac:dyDescent="0.45">
      <c r="A36" s="1">
        <v>35.4</v>
      </c>
      <c r="B36" s="1">
        <v>20</v>
      </c>
      <c r="C36" s="1">
        <v>0.3</v>
      </c>
      <c r="D36" s="1">
        <v>0.86</v>
      </c>
      <c r="E36" s="1">
        <v>0.81052631578947298</v>
      </c>
      <c r="F36" s="1">
        <v>0.37619047619047602</v>
      </c>
      <c r="G36" s="1">
        <v>0.70481526725128196</v>
      </c>
    </row>
    <row r="37" spans="1:7" x14ac:dyDescent="0.45">
      <c r="A37" s="1">
        <v>36.4</v>
      </c>
      <c r="B37" s="1">
        <v>17</v>
      </c>
      <c r="C37" s="1">
        <v>0.52941176470588203</v>
      </c>
      <c r="D37" s="1">
        <v>0.94444444444444398</v>
      </c>
      <c r="E37" s="1">
        <v>0.94117647058823495</v>
      </c>
      <c r="F37" s="1">
        <v>0.59477124183006502</v>
      </c>
      <c r="G37" s="1">
        <v>0.81455934512581296</v>
      </c>
    </row>
    <row r="38" spans="1:7" x14ac:dyDescent="0.45">
      <c r="A38" s="1">
        <v>37.4</v>
      </c>
      <c r="B38" s="1">
        <v>10</v>
      </c>
      <c r="C38" s="1">
        <v>0.2</v>
      </c>
      <c r="D38" s="1">
        <v>0.76</v>
      </c>
      <c r="E38" s="1">
        <v>0.73333333333333295</v>
      </c>
      <c r="F38" s="1">
        <v>0.19999999999999901</v>
      </c>
      <c r="G38" s="1">
        <v>0.93345937211295105</v>
      </c>
    </row>
    <row r="39" spans="1:7" x14ac:dyDescent="0.45">
      <c r="A39" s="1">
        <v>38.4</v>
      </c>
      <c r="B39" s="1">
        <v>10</v>
      </c>
      <c r="C39" s="1">
        <v>0.6</v>
      </c>
      <c r="D39" s="1">
        <v>0.92</v>
      </c>
      <c r="E39" s="1">
        <v>0.91111111111111098</v>
      </c>
      <c r="F39" s="1">
        <v>0.56363636363636305</v>
      </c>
      <c r="G39" s="1">
        <v>0.97869933950372401</v>
      </c>
    </row>
    <row r="40" spans="1:7" x14ac:dyDescent="0.45">
      <c r="A40" s="1">
        <v>39.4</v>
      </c>
      <c r="B40" s="1">
        <v>3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45">
      <c r="A41" s="1">
        <v>40.4</v>
      </c>
      <c r="B41" s="1">
        <v>9</v>
      </c>
      <c r="C41" s="1">
        <v>0.66666666666666596</v>
      </c>
      <c r="D41" s="1">
        <v>0.9</v>
      </c>
      <c r="E41" s="1">
        <v>0.88888888888888795</v>
      </c>
      <c r="F41" s="1">
        <v>0.8</v>
      </c>
      <c r="G41" s="1">
        <v>0.899774200694195</v>
      </c>
    </row>
    <row r="42" spans="1:7" x14ac:dyDescent="0.45">
      <c r="A42" s="1">
        <v>41.4</v>
      </c>
      <c r="B42" s="1">
        <v>12</v>
      </c>
      <c r="C42" s="1">
        <v>0.83333333333333304</v>
      </c>
      <c r="D42" s="1">
        <v>0.94444444444444398</v>
      </c>
      <c r="E42" s="1">
        <v>0.90909090909090895</v>
      </c>
      <c r="F42" s="1">
        <v>0.74358974358974295</v>
      </c>
      <c r="G42" s="1">
        <v>0.95788728931385003</v>
      </c>
    </row>
    <row r="43" spans="1:7" x14ac:dyDescent="0.45">
      <c r="A43" s="1">
        <v>42.4</v>
      </c>
      <c r="B43" s="1">
        <v>10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</row>
    <row r="44" spans="1:7" x14ac:dyDescent="0.45">
      <c r="A44" s="1">
        <v>43.4</v>
      </c>
      <c r="B44" s="1">
        <v>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45">
      <c r="A45" s="1">
        <v>44.4</v>
      </c>
      <c r="B45" s="1">
        <v>25</v>
      </c>
      <c r="C45" s="1">
        <v>0.52</v>
      </c>
      <c r="D45" s="1">
        <v>0.94871794871794801</v>
      </c>
      <c r="E45" s="1">
        <v>0.94666666666666599</v>
      </c>
      <c r="F45" s="1">
        <v>0.65538461538461501</v>
      </c>
      <c r="G45" s="1">
        <v>0.715377734804163</v>
      </c>
    </row>
    <row r="46" spans="1:7" x14ac:dyDescent="0.45">
      <c r="A46" s="1">
        <v>45.4</v>
      </c>
      <c r="B46" s="1">
        <v>18</v>
      </c>
      <c r="C46" s="1">
        <v>0.38888888888888801</v>
      </c>
      <c r="D46" s="1">
        <v>0.88888888888888795</v>
      </c>
      <c r="E46" s="1">
        <v>0.85620915032679701</v>
      </c>
      <c r="F46" s="1">
        <v>0.45614035087719201</v>
      </c>
      <c r="G46" s="1">
        <v>0.76048836207054704</v>
      </c>
    </row>
    <row r="47" spans="1:7" x14ac:dyDescent="0.45">
      <c r="A47" s="1">
        <v>46.4</v>
      </c>
      <c r="B47" s="1">
        <v>15</v>
      </c>
      <c r="C47" s="1">
        <v>0.2</v>
      </c>
      <c r="D47" s="1">
        <v>0.875</v>
      </c>
      <c r="E47" s="1">
        <v>0.86666666666666603</v>
      </c>
      <c r="F47" s="1">
        <v>0.25833333333333303</v>
      </c>
      <c r="G47" s="1">
        <v>0.75514195043229504</v>
      </c>
    </row>
    <row r="48" spans="1:7" x14ac:dyDescent="0.45">
      <c r="A48" s="1">
        <v>47.4</v>
      </c>
      <c r="B48" s="1">
        <v>12</v>
      </c>
      <c r="C48" s="1">
        <v>0.66666666666666596</v>
      </c>
      <c r="D48" s="1">
        <v>0.94444444444444398</v>
      </c>
      <c r="E48" s="1">
        <v>0.939393939393939</v>
      </c>
      <c r="F48" s="1">
        <v>0.66666666666666596</v>
      </c>
      <c r="G48" s="1">
        <v>0.93790173846847902</v>
      </c>
    </row>
    <row r="49" spans="1:7" x14ac:dyDescent="0.45">
      <c r="A49" s="1">
        <v>48.4</v>
      </c>
      <c r="B49" s="1">
        <v>18</v>
      </c>
      <c r="C49" s="1">
        <v>0.55555555555555503</v>
      </c>
      <c r="D49" s="1">
        <v>0.87654320987654299</v>
      </c>
      <c r="E49" s="1">
        <v>0.84313725490196001</v>
      </c>
      <c r="F49" s="1">
        <v>0.46783625730994099</v>
      </c>
      <c r="G49" s="1">
        <v>0.92062447323433505</v>
      </c>
    </row>
    <row r="50" spans="1:7" x14ac:dyDescent="0.45">
      <c r="A50" s="1">
        <v>49.4</v>
      </c>
      <c r="B50" s="1">
        <v>14</v>
      </c>
      <c r="C50" s="1">
        <v>7.1428571428571397E-2</v>
      </c>
      <c r="D50" s="1">
        <v>0.530612244897959</v>
      </c>
      <c r="E50" s="1">
        <v>0.40659340659340598</v>
      </c>
      <c r="F50" s="1">
        <v>0.25714285714285701</v>
      </c>
      <c r="G50" s="1">
        <v>0.68003527085589699</v>
      </c>
    </row>
    <row r="51" spans="1:7" x14ac:dyDescent="0.45">
      <c r="A51" s="1">
        <v>50.4</v>
      </c>
      <c r="B51" s="1">
        <v>4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</row>
    <row r="52" spans="1:7" x14ac:dyDescent="0.45">
      <c r="A52" s="1" t="s">
        <v>32</v>
      </c>
      <c r="B52" s="1"/>
      <c r="C52" s="1">
        <f>SUBTOTAL(101,Table126[JaccardCoefficient])</f>
        <v>0.61372773109243661</v>
      </c>
      <c r="D52" s="1">
        <f>SUBTOTAL(101,Table126[MismatchDistanceCoefficient])</f>
        <v>0.89889048594703325</v>
      </c>
      <c r="E52" s="1">
        <f>SUBTOTAL(101,Table126[KendallTauCorrelation])</f>
        <v>0.87495273471801882</v>
      </c>
      <c r="F52" s="1">
        <f>SUBTOTAL(101,Table126[MismatchPositionCoefficient])</f>
        <v>0.67421285985999413</v>
      </c>
      <c r="G52" s="1">
        <f>SUBTOTAL(101,Table126[DiscountedCumulativeGain])</f>
        <v>0.86963719276361928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opLeftCell="G1" zoomScaleNormal="100" workbookViewId="0">
      <selection activeCell="O10" sqref="O10:Q10"/>
    </sheetView>
  </sheetViews>
  <sheetFormatPr defaultColWidth="8.73046875" defaultRowHeight="14.25" x14ac:dyDescent="0.45"/>
  <cols>
    <col min="1" max="1" width="9.9296875" style="1" customWidth="1"/>
    <col min="2" max="2" width="10.33203125" style="1" customWidth="1"/>
    <col min="3" max="3" width="8.73046875" style="1"/>
    <col min="4" max="4" width="12.9296875" style="11" customWidth="1"/>
    <col min="5" max="5" width="13.06640625" style="11" customWidth="1"/>
    <col min="6" max="6" width="10.33203125" style="1" customWidth="1"/>
    <col min="7" max="7" width="8.73046875" style="1"/>
    <col min="8" max="8" width="10.59765625" style="1" customWidth="1"/>
    <col min="9" max="9" width="15.19921875" style="1" customWidth="1"/>
    <col min="10" max="10" width="17.46484375" style="1" customWidth="1"/>
    <col min="11" max="11" width="13" style="1" customWidth="1"/>
    <col min="12" max="13" width="8.73046875" style="1"/>
    <col min="14" max="14" width="35.06640625" style="1" customWidth="1"/>
    <col min="15" max="15" width="7" style="1" customWidth="1"/>
    <col min="16" max="16" width="6.796875" style="1" customWidth="1"/>
    <col min="17" max="17" width="6" style="1" customWidth="1"/>
    <col min="18" max="16384" width="8.73046875" style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21" t="s">
        <v>40</v>
      </c>
      <c r="O1" s="22" t="s">
        <v>33</v>
      </c>
      <c r="P1" s="22" t="s">
        <v>29</v>
      </c>
      <c r="Q1" s="23" t="s">
        <v>34</v>
      </c>
    </row>
    <row r="2" spans="1:17" x14ac:dyDescent="0.4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28" t="s">
        <v>41</v>
      </c>
      <c r="O2" s="15">
        <f>CORREL(I2:I22, J2:J22)</f>
        <v>-0.56786792831496236</v>
      </c>
      <c r="P2" s="15">
        <f>CORREL(I2:I22, K2:K22)</f>
        <v>-0.36238802445372276</v>
      </c>
      <c r="Q2" s="16">
        <f>CORREL(I2:I22, L2:L22)</f>
        <v>-0.39005589454965633</v>
      </c>
    </row>
    <row r="3" spans="1:17" x14ac:dyDescent="0.4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4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1</v>
      </c>
      <c r="K4" s="2">
        <f>AVERAGEIF(Table12633[ [ Cycle size] ],I4,Table12633[KendallTauCorrelation])</f>
        <v>1</v>
      </c>
      <c r="L4" s="2">
        <f>AVERAGEIF(Table12633[ [ Cycle size] ],I4,Table12633[DiscountedCumulativeGain])</f>
        <v>1</v>
      </c>
      <c r="N4" s="29" t="s">
        <v>42</v>
      </c>
      <c r="O4" s="17">
        <f>CORREL(I2:I20, J2:J20)</f>
        <v>-0.44795076420059921</v>
      </c>
      <c r="P4" s="17">
        <f>CORREL(I2:I20, K2:K20)</f>
        <v>-0.13625781022048511</v>
      </c>
      <c r="Q4" s="18">
        <f>CORREL(I2:I20, L2:L20)</f>
        <v>-0.48834910911226725</v>
      </c>
    </row>
    <row r="5" spans="1:17" x14ac:dyDescent="0.4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  <c r="N5" s="27" t="s">
        <v>40</v>
      </c>
      <c r="O5" s="19" t="s">
        <v>33</v>
      </c>
      <c r="P5" s="19" t="s">
        <v>29</v>
      </c>
      <c r="Q5" s="20" t="s">
        <v>34</v>
      </c>
    </row>
    <row r="6" spans="1:17" x14ac:dyDescent="0.4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0.83333333333333337</v>
      </c>
      <c r="K6" s="2">
        <f>AVERAGEIF(Table12633[ [ Cycle size] ],I6,Table12633[KendallTauCorrelation])</f>
        <v>0.91111111111111098</v>
      </c>
      <c r="L6" s="2">
        <f>AVERAGEIF(Table12633[ [ Cycle size] ],I6,Table12633[DiscountedCumulativeGain])</f>
        <v>0.98592613764676729</v>
      </c>
      <c r="N6" s="29" t="s">
        <v>47</v>
      </c>
      <c r="O6" s="17">
        <f>AVERAGEA(J2:J22)</f>
        <v>0.8655633364456895</v>
      </c>
      <c r="P6" s="17">
        <f t="shared" ref="P6:Q6" si="0">AVERAGEA(K2:K22)</f>
        <v>0.96612794110595146</v>
      </c>
      <c r="Q6" s="17">
        <f t="shared" si="0"/>
        <v>0.96643038175479623</v>
      </c>
    </row>
    <row r="7" spans="1:17" x14ac:dyDescent="0.4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0.78571428571428548</v>
      </c>
      <c r="K7" s="2">
        <f>AVERAGEIF(Table12633[ [ Cycle size] ],I7,Table12633[KendallTauCorrelation])</f>
        <v>0.90476190476190443</v>
      </c>
      <c r="L7" s="2">
        <f>AVERAGEIF(Table12633[ [ Cycle size] ],I7,Table12633[DiscountedCumulativeGain])</f>
        <v>0.98321915010162608</v>
      </c>
      <c r="N7" s="27" t="s">
        <v>40</v>
      </c>
      <c r="O7" s="19" t="s">
        <v>33</v>
      </c>
      <c r="P7" s="19" t="s">
        <v>29</v>
      </c>
      <c r="Q7" s="20" t="s">
        <v>34</v>
      </c>
    </row>
    <row r="8" spans="1:17" x14ac:dyDescent="0.4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  <c r="N8" s="29" t="s">
        <v>48</v>
      </c>
      <c r="O8" s="17">
        <f>MEDIAN(J2:J22)</f>
        <v>0.93333333333333324</v>
      </c>
      <c r="P8" s="17">
        <f t="shared" ref="P8:Q8" si="1">MEDIAN(K2:K22)</f>
        <v>0.99080459770114904</v>
      </c>
      <c r="Q8" s="17">
        <f t="shared" si="1"/>
        <v>0.992137684102259</v>
      </c>
    </row>
    <row r="9" spans="1:17" x14ac:dyDescent="0.4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1</v>
      </c>
      <c r="K9" s="2">
        <f>AVERAGEIF(Table12633[ [ Cycle size] ],I9,Table12633[KendallTauCorrelation])</f>
        <v>1</v>
      </c>
      <c r="L9" s="2">
        <f>AVERAGEIF(Table12633[ [ Cycle size] ],I9,Table12633[DiscountedCumulativeGain])</f>
        <v>1</v>
      </c>
      <c r="N9" s="27" t="s">
        <v>40</v>
      </c>
      <c r="O9" s="19" t="s">
        <v>33</v>
      </c>
      <c r="P9" s="19" t="s">
        <v>29</v>
      </c>
      <c r="Q9" s="20" t="s">
        <v>34</v>
      </c>
    </row>
    <row r="10" spans="1:17" x14ac:dyDescent="0.45">
      <c r="A10" s="1">
        <v>50.2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AVERAGEIF(Table12633[[ Cycle size]],I10,Table12633[JaccardCoefficient])</f>
        <v>0.93333333333333324</v>
      </c>
      <c r="K10" s="2">
        <f>AVERAGEIF(Table12633[ [ Cycle size] ],I10,Table12633[KendallTauCorrelation])</f>
        <v>0.98518518518518494</v>
      </c>
      <c r="L10" s="2">
        <f>AVERAGEIF(Table12633[ [ Cycle size] ],I10,Table12633[DiscountedCumulativeGain])</f>
        <v>0.992137684102259</v>
      </c>
      <c r="N10" s="29" t="s">
        <v>50</v>
      </c>
      <c r="O10" s="17">
        <f>SUMPRODUCT($I$2:$I$22,J2:J22)/SUM($I$2:$I$22)</f>
        <v>0.76863799283154111</v>
      </c>
      <c r="P10" s="17">
        <f t="shared" ref="P10:Q10" si="2">SUMPRODUCT($I$2:$I$22,K2:K22)/SUM($I$2:$I$22)</f>
        <v>0.95037585093675359</v>
      </c>
      <c r="Q10" s="17">
        <f t="shared" si="2"/>
        <v>0.94208945342412309</v>
      </c>
    </row>
    <row r="11" spans="1:17" x14ac:dyDescent="0.4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0.88333333333333319</v>
      </c>
      <c r="K11" s="2">
        <f>AVERAGEIF(Table12633[ [ Cycle size] ],I11,Table12633[KendallTauCorrelation])</f>
        <v>0.97575757575757538</v>
      </c>
      <c r="L11" s="2">
        <f>AVERAGEIF(Table12633[ [ Cycle size] ],I11,Table12633[DiscountedCumulativeGain])</f>
        <v>0.97799121135125533</v>
      </c>
      <c r="N11" s="29" t="s">
        <v>49</v>
      </c>
      <c r="O11" s="17">
        <f>SUMPRODUCT(I2:I20,J2:J20)/SUM(I2:I20)</f>
        <v>0.8550964187327823</v>
      </c>
      <c r="P11" s="17">
        <f>SUMPRODUCT(I2:I20,K2:K20)/SUM(I2:I20)</f>
        <v>0.96866207042501817</v>
      </c>
      <c r="Q11" s="17">
        <f>SUMPRODUCT(L2:L20,I2:I20)/SUM(I2:I20)</f>
        <v>0.95416273063341617</v>
      </c>
    </row>
    <row r="12" spans="1:17" x14ac:dyDescent="0.45">
      <c r="A12" s="1">
        <v>9.1999999999999993</v>
      </c>
      <c r="B12" s="1">
        <v>6</v>
      </c>
      <c r="C12" s="1">
        <v>0.5</v>
      </c>
      <c r="D12" s="1">
        <v>0.77777777777777701</v>
      </c>
      <c r="E12" s="1">
        <v>0.73333333333333295</v>
      </c>
      <c r="F12" s="1">
        <v>0.71428571428571397</v>
      </c>
      <c r="G12" s="1">
        <v>0.95777841294030197</v>
      </c>
      <c r="I12" s="12">
        <v>14</v>
      </c>
      <c r="J12" s="2">
        <f>AVERAGEIF(Table12633[[ Cycle size]],I12,Table12633[JaccardCoefficient])</f>
        <v>0.71428571428571397</v>
      </c>
      <c r="K12" s="2">
        <f>AVERAGEIF(Table12633[ [ Cycle size] ],I12,Table12633[KendallTauCorrelation])</f>
        <v>0.90476190476190466</v>
      </c>
      <c r="L12" s="2">
        <f>AVERAGEIF(Table12633[ [ Cycle size] ],I12,Table12633[DiscountedCumulativeGain])</f>
        <v>0.92269903053859725</v>
      </c>
    </row>
    <row r="13" spans="1:17" x14ac:dyDescent="0.45">
      <c r="A13" s="1">
        <v>27.2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4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AVERAGEIF(Table12633[[ Cycle size]],I14,Table12633[JaccardCoefficient])</f>
        <v>1</v>
      </c>
      <c r="K14" s="2">
        <f>AVERAGEIF(Table12633[ [ Cycle size] ],I14,Table12633[KendallTauCorrelation])</f>
        <v>1</v>
      </c>
      <c r="L14" s="2">
        <f>AVERAGEIF(Table12633[ [ Cycle size] ],I14,Table12633[DiscountedCumulativeGain])</f>
        <v>1</v>
      </c>
    </row>
    <row r="15" spans="1:17" x14ac:dyDescent="0.4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0.85294117647058798</v>
      </c>
      <c r="K15" s="2">
        <f>AVERAGEIF(Table12633[ [ Cycle size] ],I15,Table12633[KendallTauCorrelation])</f>
        <v>0.96323529411764697</v>
      </c>
      <c r="L15" s="2">
        <f>AVERAGEIF(Table12633[ [ Cycle size] ],I15,Table12633[DiscountedCumulativeGain])</f>
        <v>0.97635362219963051</v>
      </c>
    </row>
    <row r="16" spans="1:17" x14ac:dyDescent="0.45">
      <c r="A16" s="1">
        <v>6.2</v>
      </c>
      <c r="B16" s="1">
        <v>7</v>
      </c>
      <c r="C16" s="1">
        <v>0.57142857142857095</v>
      </c>
      <c r="D16" s="1">
        <v>0.83333333333333304</v>
      </c>
      <c r="E16" s="1">
        <v>0.80952380952380898</v>
      </c>
      <c r="F16" s="1">
        <v>0.67857142857142805</v>
      </c>
      <c r="G16" s="1">
        <v>0.96643830020325205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45">
      <c r="A17" s="1">
        <v>8.1999999999999993</v>
      </c>
      <c r="B17" s="1">
        <v>7</v>
      </c>
      <c r="C17" s="1">
        <v>0.57142857142857095</v>
      </c>
      <c r="D17" s="1">
        <v>0.83333333333333304</v>
      </c>
      <c r="E17" s="1">
        <v>0.80952380952380898</v>
      </c>
      <c r="F17" s="1">
        <v>0.67857142857142805</v>
      </c>
      <c r="G17" s="1">
        <v>0.96643830020325205</v>
      </c>
      <c r="I17" s="12">
        <v>20</v>
      </c>
      <c r="J17" s="2">
        <f>AVERAGEIF(Table12633[[ Cycle size]],I17,Table12633[JaccardCoefficient])</f>
        <v>0.55000000000000004</v>
      </c>
      <c r="K17" s="2">
        <f>AVERAGEIF(Table12633[ [ Cycle size] ],I17,Table12633[KendallTauCorrelation])</f>
        <v>0.88947368421052597</v>
      </c>
      <c r="L17" s="2">
        <f>AVERAGEIF(Table12633[ [ Cycle size] ],I17,Table12633[DiscountedCumulativeGain])</f>
        <v>0.90525822963222202</v>
      </c>
    </row>
    <row r="18" spans="1:12" x14ac:dyDescent="0.4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4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0.56000000000000005</v>
      </c>
      <c r="K19" s="2">
        <f>AVERAGEIF(Table12633[ [ Cycle size] ],I19,Table12633[KendallTauCorrelation])</f>
        <v>0.94</v>
      </c>
      <c r="L19" s="2">
        <f>AVERAGEIF(Table12633[ [ Cycle size] ],I19,Table12633[DiscountedCumulativeGain])</f>
        <v>0.74226966192549804</v>
      </c>
    </row>
    <row r="20" spans="1:12" x14ac:dyDescent="0.4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0.86666666666666603</v>
      </c>
      <c r="K20" s="2">
        <f>AVERAGEIF(Table12633[ [ Cycle size] ],I20,Table12633[KendallTauCorrelation])</f>
        <v>0.99080459770114904</v>
      </c>
      <c r="L20" s="2">
        <f>AVERAGEIF(Table12633[ [ Cycle size] ],I20,Table12633[DiscountedCumulativeGain])</f>
        <v>0.97581048045803698</v>
      </c>
    </row>
    <row r="21" spans="1:12" x14ac:dyDescent="0.4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0.57499999999999996</v>
      </c>
      <c r="K21" s="2">
        <f>AVERAGEIF(Table12633[ [ Cycle size] ],I21,Table12633[KendallTauCorrelation])</f>
        <v>0.9</v>
      </c>
      <c r="L21" s="2">
        <f>AVERAGEIF(Table12633[ [ Cycle size] ],I21,Table12633[DiscountedCumulativeGain])</f>
        <v>0.90907313880095297</v>
      </c>
    </row>
    <row r="22" spans="1:12" x14ac:dyDescent="0.45">
      <c r="A22" s="1">
        <v>2.2000000000000002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AVERAGEIF(Table12633[[ Cycle size]],I22,Table12633[JaccardCoefficient])</f>
        <v>0.62222222222222201</v>
      </c>
      <c r="K22" s="2">
        <f>AVERAGEIF(Table12633[ [ Cycle size] ],I22,Table12633[KendallTauCorrelation])</f>
        <v>0.92359550561797699</v>
      </c>
      <c r="L22" s="2">
        <f>AVERAGEIF(Table12633[ [ Cycle size] ],I22,Table12633[DiscountedCumulativeGain])</f>
        <v>0.92429967009387703</v>
      </c>
    </row>
    <row r="23" spans="1:12" x14ac:dyDescent="0.4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45">
      <c r="A24" s="1">
        <v>17.2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12" x14ac:dyDescent="0.4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4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45">
      <c r="A27" s="1">
        <v>37.200000000000003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1"/>
      <c r="J27" s="11"/>
    </row>
    <row r="28" spans="1:12" x14ac:dyDescent="0.45">
      <c r="A28" s="1">
        <v>38.200000000000003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0.8</v>
      </c>
      <c r="G28" s="1">
        <v>0.976413052306777</v>
      </c>
      <c r="I28" s="11"/>
      <c r="J28" s="11"/>
    </row>
    <row r="29" spans="1:12" x14ac:dyDescent="0.4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4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0.85897435897435903</v>
      </c>
      <c r="G30" s="1">
        <v>0.95323753964636504</v>
      </c>
      <c r="I30" s="11"/>
      <c r="J30" s="11"/>
    </row>
    <row r="31" spans="1:12" x14ac:dyDescent="0.4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45">
      <c r="A32" s="1">
        <v>15.2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0.80769230769230704</v>
      </c>
      <c r="G32" s="1">
        <v>0.98336817790862496</v>
      </c>
      <c r="I32" s="11"/>
      <c r="J32" s="11"/>
    </row>
    <row r="33" spans="1:10" x14ac:dyDescent="0.45">
      <c r="A33" s="1">
        <v>41.2</v>
      </c>
      <c r="B33" s="1">
        <v>12</v>
      </c>
      <c r="C33" s="1">
        <v>0.75</v>
      </c>
      <c r="D33" s="1">
        <v>0.94444444444444398</v>
      </c>
      <c r="E33" s="1">
        <v>0.939393939393939</v>
      </c>
      <c r="F33" s="1">
        <v>0.61538461538461497</v>
      </c>
      <c r="G33" s="1">
        <v>0.95335033920128698</v>
      </c>
      <c r="I33" s="11"/>
      <c r="J33" s="11"/>
    </row>
    <row r="34" spans="1:10" x14ac:dyDescent="0.45">
      <c r="A34" s="1">
        <v>47.2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45">
      <c r="A35" s="1">
        <v>25.2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45">
      <c r="A36" s="1">
        <v>28.2</v>
      </c>
      <c r="B36" s="1">
        <v>14</v>
      </c>
      <c r="C36" s="1">
        <v>0.14285714285714199</v>
      </c>
      <c r="D36" s="1">
        <v>0.73469387755102</v>
      </c>
      <c r="E36" s="1">
        <v>0.71428571428571397</v>
      </c>
      <c r="F36" s="1">
        <v>0.21904761904761899</v>
      </c>
      <c r="G36" s="1">
        <v>0.76809709161579198</v>
      </c>
      <c r="I36" s="11"/>
      <c r="J36" s="11"/>
    </row>
    <row r="37" spans="1:10" x14ac:dyDescent="0.45">
      <c r="A37" s="1">
        <v>49.2</v>
      </c>
      <c r="B37" s="1">
        <v>14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I37" s="11"/>
      <c r="J37" s="11"/>
    </row>
    <row r="38" spans="1:10" x14ac:dyDescent="0.4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45">
      <c r="A39" s="1">
        <v>7.2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I39" s="11"/>
      <c r="J39" s="11"/>
    </row>
    <row r="40" spans="1:10" x14ac:dyDescent="0.4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45">
      <c r="A41" s="1">
        <v>14.2</v>
      </c>
      <c r="B41" s="1">
        <v>17</v>
      </c>
      <c r="C41" s="1">
        <v>0.70588235294117596</v>
      </c>
      <c r="D41" s="1">
        <v>0.93055555555555503</v>
      </c>
      <c r="E41" s="1">
        <v>0.92647058823529405</v>
      </c>
      <c r="F41" s="1">
        <v>0.64052287581699296</v>
      </c>
      <c r="G41" s="1">
        <v>0.95270724439926102</v>
      </c>
      <c r="I41" s="11"/>
      <c r="J41" s="11"/>
    </row>
    <row r="42" spans="1:10" x14ac:dyDescent="0.4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45">
      <c r="A43" s="1">
        <v>45.2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45">
      <c r="A44" s="1">
        <v>48.2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45">
      <c r="A45" s="1">
        <v>18.2</v>
      </c>
      <c r="B45" s="1">
        <v>20</v>
      </c>
      <c r="C45" s="1">
        <v>0.6</v>
      </c>
      <c r="D45" s="1">
        <v>0.9</v>
      </c>
      <c r="E45" s="1">
        <v>0.89473684210526305</v>
      </c>
      <c r="F45" s="1">
        <v>0.44761904761904697</v>
      </c>
      <c r="G45" s="1">
        <v>0.96130680307966299</v>
      </c>
      <c r="I45" s="11"/>
      <c r="J45" s="11"/>
    </row>
    <row r="46" spans="1:10" x14ac:dyDescent="0.45">
      <c r="A46" s="1">
        <v>35.200000000000003</v>
      </c>
      <c r="B46" s="1">
        <v>20</v>
      </c>
      <c r="C46" s="1">
        <v>0.5</v>
      </c>
      <c r="D46" s="1">
        <v>0.89</v>
      </c>
      <c r="E46" s="1">
        <v>0.884210526315789</v>
      </c>
      <c r="F46" s="1">
        <v>0.46666666666666601</v>
      </c>
      <c r="G46" s="1">
        <v>0.84920965618478095</v>
      </c>
      <c r="I46" s="11"/>
      <c r="J46" s="11"/>
    </row>
    <row r="47" spans="1:10" x14ac:dyDescent="0.45">
      <c r="A47" s="1">
        <v>24.2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45">
      <c r="A48" s="1">
        <v>44.2</v>
      </c>
      <c r="B48" s="1">
        <v>25</v>
      </c>
      <c r="C48" s="1">
        <v>0.56000000000000005</v>
      </c>
      <c r="D48" s="1">
        <v>0.94230769230769196</v>
      </c>
      <c r="E48" s="1">
        <v>0.94</v>
      </c>
      <c r="F48" s="1">
        <v>0.67999999999999905</v>
      </c>
      <c r="G48" s="1">
        <v>0.74226966192549804</v>
      </c>
      <c r="I48" s="11"/>
      <c r="J48" s="11"/>
    </row>
    <row r="49" spans="1:10" x14ac:dyDescent="0.45">
      <c r="A49" s="1">
        <v>31.2</v>
      </c>
      <c r="B49" s="1">
        <v>30</v>
      </c>
      <c r="C49" s="1">
        <v>0.86666666666666603</v>
      </c>
      <c r="D49" s="1">
        <v>0.99111111111111105</v>
      </c>
      <c r="E49" s="1">
        <v>0.99080459770114904</v>
      </c>
      <c r="F49" s="1">
        <v>0.81075268817204305</v>
      </c>
      <c r="G49" s="1">
        <v>0.97581048045803698</v>
      </c>
      <c r="I49" s="11"/>
      <c r="J49" s="11"/>
    </row>
    <row r="50" spans="1:10" x14ac:dyDescent="0.45">
      <c r="A50" s="1">
        <v>16.2</v>
      </c>
      <c r="B50" s="1">
        <v>40</v>
      </c>
      <c r="C50" s="1">
        <v>0.57499999999999996</v>
      </c>
      <c r="D50" s="1">
        <v>0.90249999999999997</v>
      </c>
      <c r="E50" s="1">
        <v>0.9</v>
      </c>
      <c r="F50" s="1">
        <v>0.39878048780487801</v>
      </c>
      <c r="G50" s="1">
        <v>0.90907313880095297</v>
      </c>
      <c r="I50" s="11"/>
      <c r="J50" s="11"/>
    </row>
    <row r="51" spans="1:10" x14ac:dyDescent="0.45">
      <c r="A51" s="1">
        <v>19.2</v>
      </c>
      <c r="B51" s="1">
        <v>90</v>
      </c>
      <c r="C51" s="1">
        <v>0.62222222222222201</v>
      </c>
      <c r="D51" s="1">
        <v>0.92444444444444396</v>
      </c>
      <c r="E51" s="1">
        <v>0.92359550561797699</v>
      </c>
      <c r="F51" s="1">
        <v>0.40634920634920602</v>
      </c>
      <c r="G51" s="1">
        <v>0.92429967009387703</v>
      </c>
      <c r="I51" s="11"/>
      <c r="J51" s="11"/>
    </row>
    <row r="52" spans="1:10" x14ac:dyDescent="0.45">
      <c r="A52" s="1" t="s">
        <v>32</v>
      </c>
      <c r="C52" s="1">
        <f>SUBTOTAL(101,Table12633[JaccardCoefficient])</f>
        <v>0.88864304388422033</v>
      </c>
      <c r="D52" s="1">
        <f>SUBTOTAL(101,Table12633[MismatchDistanceCoefficient])</f>
        <v>0.97017892028606312</v>
      </c>
      <c r="E52" s="1">
        <f>SUBTOTAL(101,Table12633[KendallTauCorrelation])</f>
        <v>0.96721656321971128</v>
      </c>
      <c r="F52" s="1">
        <f>SUBTOTAL(101,Table12633[MismatchPositionCoefficient])</f>
        <v>0.88446436889912616</v>
      </c>
      <c r="G52" s="1">
        <f>SUBTOTAL(101,Table12633[DiscountedCumulativeGain])</f>
        <v>0.97679595737935476</v>
      </c>
      <c r="I52" s="11"/>
      <c r="J52" s="11"/>
    </row>
  </sheetData>
  <pageMargins left="0.7" right="0.7" top="0.75" bottom="0.75" header="0.3" footer="0.3"/>
  <ignoredErrors>
    <ignoredError sqref="O2:Q3" calculatedColumn="1"/>
    <ignoredError sqref="O4:Q4" formulaRange="1" calculatedColumn="1"/>
  </ignoredErrors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M40"/>
  <sheetViews>
    <sheetView showGridLines="0" zoomScale="50" zoomScaleNormal="50" workbookViewId="0">
      <selection activeCell="AM22" sqref="A22:AM40"/>
    </sheetView>
  </sheetViews>
  <sheetFormatPr defaultRowHeight="14.25" x14ac:dyDescent="0.45"/>
  <cols>
    <col min="1" max="1" width="6.46484375" customWidth="1"/>
  </cols>
  <sheetData>
    <row r="2" spans="1:34" s="14" customFormat="1" ht="18" x14ac:dyDescent="0.55000000000000004">
      <c r="F2" s="14" t="s">
        <v>35</v>
      </c>
      <c r="O2" s="14" t="s">
        <v>37</v>
      </c>
      <c r="X2" s="14" t="s">
        <v>36</v>
      </c>
      <c r="AH2" s="14" t="s">
        <v>38</v>
      </c>
    </row>
    <row r="8" spans="1:34" ht="18" x14ac:dyDescent="0.55000000000000004">
      <c r="A8" s="13" t="s">
        <v>39</v>
      </c>
    </row>
    <row r="22" spans="1:39" ht="18" x14ac:dyDescent="0.55000000000000004">
      <c r="A22" s="14"/>
      <c r="B22" s="14"/>
      <c r="C22" s="14"/>
      <c r="D22" s="14"/>
      <c r="E22" s="14"/>
      <c r="F22" s="14" t="s">
        <v>35</v>
      </c>
      <c r="G22" s="14"/>
      <c r="H22" s="14"/>
      <c r="I22" s="14"/>
      <c r="J22" s="14"/>
      <c r="K22" s="14"/>
      <c r="L22" s="14"/>
      <c r="M22" s="14"/>
      <c r="N22" s="14"/>
      <c r="O22" s="14" t="s">
        <v>37</v>
      </c>
      <c r="P22" s="14"/>
      <c r="Q22" s="14"/>
      <c r="R22" s="14"/>
      <c r="S22" s="14"/>
      <c r="T22" s="14"/>
      <c r="U22" s="14"/>
      <c r="V22" s="14"/>
      <c r="W22" s="14"/>
      <c r="X22" s="14" t="s">
        <v>36</v>
      </c>
      <c r="Z22" s="14"/>
      <c r="AA22" s="14"/>
      <c r="AB22" s="14"/>
      <c r="AC22" s="14"/>
      <c r="AD22" s="14"/>
      <c r="AE22" s="14"/>
      <c r="AF22" s="14"/>
      <c r="AG22" s="14"/>
      <c r="AH22" s="14" t="s">
        <v>38</v>
      </c>
      <c r="AI22" s="14"/>
      <c r="AJ22" s="14"/>
      <c r="AK22" s="14"/>
      <c r="AL22" s="14"/>
      <c r="AM22" s="14"/>
    </row>
    <row r="23" spans="1:39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" x14ac:dyDescent="0.55000000000000004">
      <c r="A28" s="13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C923-0E7C-4C98-8CFB-FF903D027B96}">
  <dimension ref="B2:F16"/>
  <sheetViews>
    <sheetView workbookViewId="0">
      <selection activeCell="H12" sqref="H12"/>
    </sheetView>
  </sheetViews>
  <sheetFormatPr defaultRowHeight="14.25" x14ac:dyDescent="0.45"/>
  <cols>
    <col min="4" max="4" width="10.9296875" customWidth="1"/>
    <col min="5" max="5" width="13.73046875" customWidth="1"/>
    <col min="6" max="6" width="10.73046875" customWidth="1"/>
  </cols>
  <sheetData>
    <row r="2" spans="2:6" x14ac:dyDescent="0.45">
      <c r="B2" t="s">
        <v>44</v>
      </c>
      <c r="C2" t="s">
        <v>5</v>
      </c>
      <c r="D2" t="s">
        <v>6</v>
      </c>
      <c r="E2" t="s">
        <v>7</v>
      </c>
      <c r="F2" t="s">
        <v>8</v>
      </c>
    </row>
    <row r="3" spans="2:6" x14ac:dyDescent="0.45">
      <c r="B3" t="s">
        <v>31</v>
      </c>
      <c r="C3" s="2">
        <f>Linear!O2</f>
        <v>-0.56786792831496236</v>
      </c>
      <c r="D3" s="2">
        <f>Saturating!O2</f>
        <v>-0.66647177277168945</v>
      </c>
      <c r="E3" s="2">
        <f>Discontinuous!O2</f>
        <v>-0.68417269470929032</v>
      </c>
      <c r="F3" s="2">
        <f>Combined!O2</f>
        <v>-0.75612519234561926</v>
      </c>
    </row>
    <row r="4" spans="2:6" x14ac:dyDescent="0.45">
      <c r="B4" t="s">
        <v>43</v>
      </c>
      <c r="C4" s="2">
        <f>Linear!O4</f>
        <v>-0.44795076420059921</v>
      </c>
      <c r="D4" s="2">
        <f>Saturating!O4</f>
        <v>-0.83877198911625028</v>
      </c>
      <c r="E4" s="2">
        <f>Discontinuous!O4</f>
        <v>-0.44755059932294011</v>
      </c>
      <c r="F4" s="2">
        <f>Combined!O4</f>
        <v>-0.64686361282490557</v>
      </c>
    </row>
    <row r="6" spans="2:6" x14ac:dyDescent="0.45">
      <c r="B6" s="1" t="s">
        <v>29</v>
      </c>
      <c r="C6" s="1" t="s">
        <v>5</v>
      </c>
      <c r="D6" s="1" t="s">
        <v>6</v>
      </c>
      <c r="E6" s="1" t="s">
        <v>7</v>
      </c>
      <c r="F6" s="1" t="s">
        <v>8</v>
      </c>
    </row>
    <row r="7" spans="2:6" x14ac:dyDescent="0.45">
      <c r="B7" s="1" t="s">
        <v>31</v>
      </c>
      <c r="C7" s="2">
        <f>Linear!P2</f>
        <v>-0.36238802445372276</v>
      </c>
      <c r="D7" s="2">
        <f>Saturating!P2</f>
        <v>-0.3396455799164208</v>
      </c>
      <c r="E7" s="2">
        <f>Discontinuous!P2</f>
        <v>0.25241772205581392</v>
      </c>
      <c r="F7" s="2">
        <f>Combined!P2</f>
        <v>0.14679482417616607</v>
      </c>
    </row>
    <row r="8" spans="2:6" x14ac:dyDescent="0.45">
      <c r="B8" s="1" t="s">
        <v>43</v>
      </c>
      <c r="C8" s="2">
        <f>Linear!P4</f>
        <v>-0.13625781022048511</v>
      </c>
      <c r="D8" s="2">
        <f>Saturating!P4</f>
        <v>-0.50395441508365657</v>
      </c>
      <c r="E8" s="2">
        <f>Discontinuous!P4</f>
        <v>0.39582703496227761</v>
      </c>
      <c r="F8" s="2">
        <f>Combined!P4</f>
        <v>0.21339957776542165</v>
      </c>
    </row>
    <row r="10" spans="2:6" x14ac:dyDescent="0.45">
      <c r="B10" s="1" t="s">
        <v>34</v>
      </c>
      <c r="C10" s="1" t="s">
        <v>5</v>
      </c>
      <c r="D10" s="1" t="s">
        <v>6</v>
      </c>
      <c r="E10" s="1" t="s">
        <v>7</v>
      </c>
      <c r="F10" s="1" t="s">
        <v>8</v>
      </c>
    </row>
    <row r="11" spans="2:6" x14ac:dyDescent="0.45">
      <c r="B11" s="1" t="s">
        <v>31</v>
      </c>
      <c r="C11" s="2">
        <f>Linear!Q2</f>
        <v>-0.39005589454965633</v>
      </c>
      <c r="D11" s="2">
        <f>Saturating!Q2</f>
        <v>-0.85759434926105138</v>
      </c>
      <c r="E11" s="2">
        <f>Discontinuous!Q2</f>
        <v>-0.82122480591543989</v>
      </c>
      <c r="F11" s="2">
        <f>Combined!Q2</f>
        <v>-0.89741626153717469</v>
      </c>
    </row>
    <row r="12" spans="2:6" x14ac:dyDescent="0.45">
      <c r="B12" s="1" t="s">
        <v>43</v>
      </c>
      <c r="C12" s="2">
        <f>Linear!Q4</f>
        <v>-0.48834910911226725</v>
      </c>
      <c r="D12" s="2">
        <f>Saturating!Q4</f>
        <v>-0.93158131166847247</v>
      </c>
      <c r="E12" s="2">
        <f>Discontinuous!Q4</f>
        <v>-0.55733843067043254</v>
      </c>
      <c r="F12" s="2">
        <f>Combined!Q4</f>
        <v>-0.67510037215646967</v>
      </c>
    </row>
    <row r="15" spans="2:6" x14ac:dyDescent="0.45">
      <c r="B15" t="s">
        <v>45</v>
      </c>
    </row>
    <row r="16" spans="2:6" x14ac:dyDescent="0.45">
      <c r="B16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4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t="s">
        <v>13</v>
      </c>
    </row>
    <row r="19" spans="6:6" x14ac:dyDescent="0.45">
      <c r="F19" t="s">
        <v>14</v>
      </c>
    </row>
    <row r="20" spans="6:6" x14ac:dyDescent="0.45">
      <c r="F20" t="s">
        <v>15</v>
      </c>
    </row>
    <row r="21" spans="6:6" x14ac:dyDescent="0.4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45">
      <c r="A2" s="5" t="s">
        <v>5</v>
      </c>
      <c r="B2" s="3">
        <f>Linear!E22</f>
        <v>1</v>
      </c>
      <c r="C2" s="3">
        <f>Linear!E23</f>
        <v>1</v>
      </c>
      <c r="D2" s="3">
        <f>Linear!E24</f>
        <v>1</v>
      </c>
    </row>
    <row r="3" spans="1:4" x14ac:dyDescent="0.4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4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4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45">
      <c r="F18" s="1" t="s">
        <v>25</v>
      </c>
    </row>
    <row r="19" spans="6:6" x14ac:dyDescent="0.4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Correlations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2018-01-29T21:46:38Z</dcterms:modified>
</cp:coreProperties>
</file>