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SelfHealingUtility\data\Ranking\1K\FullTrace\"/>
    </mc:Choice>
  </mc:AlternateContent>
  <bookViews>
    <workbookView xWindow="0" yWindow="0" windowWidth="18270" windowHeight="7240" tabRatio="809" activeTab="5" xr2:uid="{00000000-000D-0000-FFFF-FFFF00000000}"/>
  </bookViews>
  <sheets>
    <sheet name="Combined" sheetId="12" r:id="rId1"/>
    <sheet name="Discontinuous" sheetId="11" r:id="rId2"/>
    <sheet name="Saturating" sheetId="3" r:id="rId3"/>
    <sheet name="Linear" sheetId="4" r:id="rId4"/>
    <sheet name="Charts" sheetId="13" r:id="rId5"/>
    <sheet name="Correlations" sheetId="14" r:id="rId6"/>
    <sheet name="Jaccard" sheetId="5" r:id="rId7"/>
    <sheet name="KendallTau" sheetId="6" r:id="rId8"/>
    <sheet name="DiscountedCumGain" sheetId="10" r:id="rId9"/>
    <sheet name="MismatchPosition" sheetId="8" r:id="rId10"/>
    <sheet name="MismatchDistance" sheetId="7" r:id="rId11"/>
  </sheets>
  <calcPr calcId="171027" concurrentCalc="0"/>
</workbook>
</file>

<file path=xl/calcChain.xml><?xml version="1.0" encoding="utf-8"?>
<calcChain xmlns="http://schemas.openxmlformats.org/spreadsheetml/2006/main">
  <c r="C12" i="14" l="1"/>
  <c r="D12" i="14"/>
  <c r="E12" i="14"/>
  <c r="F12" i="14"/>
  <c r="F11" i="14"/>
  <c r="E11" i="14"/>
  <c r="D11" i="14"/>
  <c r="C11" i="14"/>
  <c r="F8" i="14"/>
  <c r="E8" i="14"/>
  <c r="D8" i="14"/>
  <c r="F7" i="14"/>
  <c r="E7" i="14"/>
  <c r="D7" i="14"/>
  <c r="C8" i="14"/>
  <c r="C7" i="14"/>
  <c r="C3" i="14"/>
  <c r="F4" i="14"/>
  <c r="F3" i="14"/>
  <c r="E3" i="14"/>
  <c r="Q4" i="12"/>
  <c r="P4" i="12"/>
  <c r="O4" i="12"/>
  <c r="Q2" i="12"/>
  <c r="P2" i="12"/>
  <c r="O2" i="12"/>
  <c r="O4" i="11"/>
  <c r="Q4" i="11"/>
  <c r="P4" i="11"/>
  <c r="Q2" i="11"/>
  <c r="P2" i="11"/>
  <c r="O2" i="11"/>
  <c r="O2" i="3"/>
  <c r="Q4" i="3"/>
  <c r="P4" i="3"/>
  <c r="O4" i="3"/>
  <c r="Q2" i="3"/>
  <c r="P2" i="3"/>
  <c r="E4" i="14"/>
  <c r="D3" i="14"/>
  <c r="D4" i="14"/>
  <c r="C4" i="14"/>
  <c r="C52" i="11"/>
  <c r="D52" i="11"/>
  <c r="E52" i="11"/>
  <c r="F52" i="11"/>
  <c r="G52" i="11"/>
  <c r="G52" i="12"/>
  <c r="F52" i="12"/>
  <c r="E52" i="12"/>
  <c r="D52" i="12"/>
  <c r="C52" i="12"/>
  <c r="L22" i="12"/>
  <c r="K22" i="12"/>
  <c r="J22" i="12"/>
  <c r="L21" i="12"/>
  <c r="K21" i="12"/>
  <c r="J21" i="12"/>
  <c r="L20" i="12"/>
  <c r="K20" i="12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15" i="12"/>
  <c r="K15" i="12"/>
  <c r="J15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L7" i="12"/>
  <c r="K7" i="12"/>
  <c r="J7" i="12"/>
  <c r="L6" i="12"/>
  <c r="K6" i="12"/>
  <c r="J6" i="12"/>
  <c r="L5" i="12"/>
  <c r="K5" i="12"/>
  <c r="J5" i="12"/>
  <c r="L4" i="12"/>
  <c r="K4" i="12"/>
  <c r="J4" i="12"/>
  <c r="L3" i="12"/>
  <c r="K3" i="12"/>
  <c r="J3" i="12"/>
  <c r="L2" i="12"/>
  <c r="K2" i="12"/>
  <c r="J2" i="12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K14" i="11"/>
  <c r="J14" i="11"/>
  <c r="L13" i="11"/>
  <c r="K13" i="11"/>
  <c r="J13" i="11"/>
  <c r="L12" i="11"/>
  <c r="K12" i="11"/>
  <c r="J12" i="11"/>
  <c r="L11" i="11"/>
  <c r="K11" i="11"/>
  <c r="J11" i="11"/>
  <c r="L10" i="11"/>
  <c r="K10" i="11"/>
  <c r="J10" i="11"/>
  <c r="L9" i="11"/>
  <c r="K9" i="11"/>
  <c r="J9" i="11"/>
  <c r="L8" i="11"/>
  <c r="K8" i="11"/>
  <c r="J8" i="11"/>
  <c r="L7" i="11"/>
  <c r="K7" i="11"/>
  <c r="J7" i="11"/>
  <c r="L6" i="11"/>
  <c r="K6" i="11"/>
  <c r="J6" i="11"/>
  <c r="L5" i="11"/>
  <c r="K5" i="11"/>
  <c r="J5" i="11"/>
  <c r="L4" i="11"/>
  <c r="K4" i="11"/>
  <c r="J4" i="11"/>
  <c r="L3" i="11"/>
  <c r="K3" i="11"/>
  <c r="J3" i="11"/>
  <c r="L2" i="11"/>
  <c r="K2" i="11"/>
  <c r="J2" i="11"/>
  <c r="E52" i="4"/>
  <c r="C52" i="4"/>
  <c r="G52" i="4"/>
  <c r="F52" i="4"/>
  <c r="D52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K2" i="4"/>
  <c r="J2" i="4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L2" i="3"/>
  <c r="K2" i="3"/>
  <c r="J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G52" i="3"/>
  <c r="F52" i="3"/>
  <c r="E52" i="3"/>
  <c r="C52" i="3"/>
  <c r="D52" i="3"/>
  <c r="B3" i="10"/>
  <c r="B2" i="10"/>
  <c r="D2" i="10"/>
  <c r="C2" i="10"/>
  <c r="D3" i="10"/>
  <c r="C3" i="10"/>
  <c r="D4" i="10"/>
  <c r="C4" i="10"/>
  <c r="B4" i="10"/>
  <c r="D5" i="10"/>
  <c r="C5" i="10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B3" i="8"/>
  <c r="D4" i="8"/>
  <c r="C5" i="8"/>
  <c r="B2" i="8"/>
  <c r="C2" i="8"/>
  <c r="D2" i="8"/>
  <c r="C3" i="8"/>
  <c r="D3" i="8"/>
  <c r="B4" i="8"/>
  <c r="C4" i="8"/>
  <c r="B5" i="8"/>
  <c r="D5" i="8"/>
  <c r="D3" i="7"/>
  <c r="O3" i="7"/>
  <c r="D5" i="7"/>
  <c r="O5" i="7"/>
  <c r="C5" i="7"/>
  <c r="K5" i="7"/>
  <c r="B5" i="7"/>
  <c r="G5" i="7"/>
  <c r="D4" i="7"/>
  <c r="O4" i="7"/>
  <c r="B4" i="7"/>
  <c r="G4" i="7"/>
  <c r="B2" i="7"/>
  <c r="G2" i="7"/>
  <c r="C3" i="7"/>
  <c r="K3" i="7"/>
  <c r="B3" i="7"/>
  <c r="G3" i="7"/>
  <c r="D2" i="7"/>
  <c r="O2" i="7"/>
  <c r="C2" i="7"/>
  <c r="K2" i="7"/>
  <c r="C4" i="7"/>
  <c r="K4" i="7"/>
  <c r="D2" i="6"/>
  <c r="C2" i="6"/>
  <c r="B2" i="6"/>
  <c r="D4" i="6"/>
  <c r="C4" i="6"/>
  <c r="B4" i="6"/>
  <c r="D3" i="6"/>
  <c r="C3" i="6"/>
  <c r="B3" i="6"/>
  <c r="D5" i="6"/>
  <c r="C5" i="6"/>
  <c r="B5" i="6"/>
  <c r="D2" i="5"/>
  <c r="C2" i="5"/>
  <c r="B2" i="5"/>
  <c r="D3" i="5"/>
  <c r="C3" i="5"/>
  <c r="B3" i="5"/>
  <c r="D4" i="5"/>
  <c r="C4" i="5"/>
  <c r="B4" i="5"/>
  <c r="D5" i="5"/>
  <c r="C5" i="5"/>
  <c r="B5" i="5"/>
  <c r="P4" i="4"/>
  <c r="O4" i="4"/>
  <c r="O2" i="4"/>
  <c r="P2" i="4"/>
  <c r="Q2" i="4"/>
  <c r="Q4" i="4"/>
</calcChain>
</file>

<file path=xl/sharedStrings.xml><?xml version="1.0" encoding="utf-8"?>
<sst xmlns="http://schemas.openxmlformats.org/spreadsheetml/2006/main" count="199" uniqueCount="48">
  <si>
    <t>Cycle id</t>
  </si>
  <si>
    <t xml:space="preserve"> Cycle size</t>
  </si>
  <si>
    <t>JaccardCoefficient</t>
  </si>
  <si>
    <t>KendallTauCorrelation</t>
  </si>
  <si>
    <t>Cycle size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</si>
  <si>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</si>
  <si>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</si>
  <si>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</si>
  <si>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</si>
  <si>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</si>
  <si>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</si>
  <si>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</si>
  <si>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</si>
  <si>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</si>
  <si>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</si>
  <si>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</si>
  <si>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</si>
  <si>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</si>
  <si>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</si>
  <si>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</si>
  <si>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</si>
  <si>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</si>
  <si>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</si>
  <si>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</si>
  <si>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</si>
  <si>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</si>
  <si>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</si>
  <si>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</si>
  <si>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</si>
  <si>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</si>
  <si>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</si>
  <si>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All</t>
  </si>
  <si>
    <t>Total</t>
  </si>
  <si>
    <t xml:space="preserve">Jaccard </t>
  </si>
  <si>
    <t>DCG</t>
  </si>
  <si>
    <t>LINEAR</t>
  </si>
  <si>
    <t>SATURATING</t>
  </si>
  <si>
    <t>DISCONTINUOUS</t>
  </si>
  <si>
    <t>COMBINED</t>
  </si>
  <si>
    <t>1k</t>
  </si>
  <si>
    <t>Statistic</t>
  </si>
  <si>
    <t>Correl</t>
  </si>
  <si>
    <t xml:space="preserve"> </t>
  </si>
  <si>
    <t>Correlation (cut 40 and 90)</t>
  </si>
  <si>
    <t>Up to 30</t>
  </si>
  <si>
    <t>Jaccard</t>
  </si>
  <si>
    <t>Higher complexity, lower similarity for Jaccard and DCG.</t>
  </si>
  <si>
    <t>This is confirmed by computing the correlations between cycle size and similarity metric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</si>
</sst>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6" fillId="0" borderId="10" xfId="0" applyFont="1" applyBorder="1" applyAlignment="1">
      <alignment horizontal="center"/>
    </xf>
    <xf numFmtId="167" fontId="0" fillId="0" borderId="11" xfId="0" applyNumberFormat="1" applyFont="1" applyBorder="1"/>
    <xf numFmtId="167" fontId="0" fillId="0" borderId="12" xfId="0" applyNumberFormat="1" applyFont="1" applyBorder="1"/>
    <xf numFmtId="0" fontId="19" fillId="33" borderId="14" xfId="0" applyFont="1" applyFill="1" applyBorder="1"/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2" fontId="20" fillId="33" borderId="13" xfId="0" applyNumberFormat="1" applyFont="1" applyFill="1" applyBorder="1"/>
    <xf numFmtId="2" fontId="20" fillId="33" borderId="18" xfId="0" applyNumberFormat="1" applyFont="1" applyFill="1" applyBorder="1"/>
    <xf numFmtId="0" fontId="19" fillId="33" borderId="17" xfId="0" applyFont="1" applyFill="1" applyBorder="1"/>
    <xf numFmtId="0" fontId="19" fillId="33" borderId="13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2" fontId="20" fillId="33" borderId="20" xfId="0" applyNumberFormat="1" applyFont="1" applyFill="1" applyBorder="1"/>
    <xf numFmtId="2" fontId="20" fillId="33" borderId="2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2" tint="-0.49998474074526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0.78571428571428548</c:v>
                </c:pt>
                <c:pt idx="6">
                  <c:v>1</c:v>
                </c:pt>
                <c:pt idx="7">
                  <c:v>0.7333333333333325</c:v>
                </c:pt>
                <c:pt idx="8">
                  <c:v>0.53333333333333333</c:v>
                </c:pt>
                <c:pt idx="9">
                  <c:v>0.69999999999999984</c:v>
                </c:pt>
                <c:pt idx="10">
                  <c:v>0.69047619047618991</c:v>
                </c:pt>
                <c:pt idx="11">
                  <c:v>1</c:v>
                </c:pt>
                <c:pt idx="12">
                  <c:v>0.71875</c:v>
                </c:pt>
                <c:pt idx="13">
                  <c:v>0.64705882352941146</c:v>
                </c:pt>
                <c:pt idx="14">
                  <c:v>0.63888888888888851</c:v>
                </c:pt>
                <c:pt idx="15">
                  <c:v>0.625</c:v>
                </c:pt>
                <c:pt idx="16">
                  <c:v>0.57142857142857095</c:v>
                </c:pt>
                <c:pt idx="17">
                  <c:v>0.56000000000000005</c:v>
                </c:pt>
                <c:pt idx="18">
                  <c:v>0.63333333333333297</c:v>
                </c:pt>
                <c:pt idx="19">
                  <c:v>0.42499999999999999</c:v>
                </c:pt>
                <c:pt idx="20">
                  <c:v>0.27777777777777701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B-4293-9359-74343CC338E7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0.92857142857142794</c:v>
                </c:pt>
                <c:pt idx="6">
                  <c:v>1</c:v>
                </c:pt>
                <c:pt idx="7">
                  <c:v>0.93333333333333268</c:v>
                </c:pt>
                <c:pt idx="8">
                  <c:v>0.8518518518518513</c:v>
                </c:pt>
                <c:pt idx="9">
                  <c:v>0.92727272727272703</c:v>
                </c:pt>
                <c:pt idx="10">
                  <c:v>0.94871794871794857</c:v>
                </c:pt>
                <c:pt idx="11">
                  <c:v>1</c:v>
                </c:pt>
                <c:pt idx="12">
                  <c:v>0.95833333333333304</c:v>
                </c:pt>
                <c:pt idx="13">
                  <c:v>0.9485294117647054</c:v>
                </c:pt>
                <c:pt idx="14">
                  <c:v>0.94771241830065356</c:v>
                </c:pt>
                <c:pt idx="15">
                  <c:v>0.94736842105263097</c:v>
                </c:pt>
                <c:pt idx="16">
                  <c:v>0.92380952380952297</c:v>
                </c:pt>
                <c:pt idx="17">
                  <c:v>0.95333333333333303</c:v>
                </c:pt>
                <c:pt idx="18">
                  <c:v>0.96321839080459704</c:v>
                </c:pt>
                <c:pt idx="19">
                  <c:v>0.92820512820512802</c:v>
                </c:pt>
                <c:pt idx="20">
                  <c:v>0.958052434456928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B-4293-9359-74343CC338E7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0.91746881399038804</c:v>
                </c:pt>
                <c:pt idx="2">
                  <c:v>0.91746881399038804</c:v>
                </c:pt>
                <c:pt idx="3">
                  <c:v>1</c:v>
                </c:pt>
                <c:pt idx="4">
                  <c:v>0.94776052604962568</c:v>
                </c:pt>
                <c:pt idx="5">
                  <c:v>0.9651137488820678</c:v>
                </c:pt>
                <c:pt idx="6">
                  <c:v>1</c:v>
                </c:pt>
                <c:pt idx="7">
                  <c:v>0.9728276114752179</c:v>
                </c:pt>
                <c:pt idx="8">
                  <c:v>0.90525480001630376</c:v>
                </c:pt>
                <c:pt idx="9">
                  <c:v>0.91151468175840888</c:v>
                </c:pt>
                <c:pt idx="10">
                  <c:v>0.8516166275022603</c:v>
                </c:pt>
                <c:pt idx="11">
                  <c:v>1</c:v>
                </c:pt>
                <c:pt idx="12">
                  <c:v>0.94078635161054702</c:v>
                </c:pt>
                <c:pt idx="13">
                  <c:v>0.89377529369511199</c:v>
                </c:pt>
                <c:pt idx="14">
                  <c:v>0.827254450158597</c:v>
                </c:pt>
                <c:pt idx="15">
                  <c:v>0.83244503878446896</c:v>
                </c:pt>
                <c:pt idx="16">
                  <c:v>0.908828549327098</c:v>
                </c:pt>
                <c:pt idx="17">
                  <c:v>0.78215361922821403</c:v>
                </c:pt>
                <c:pt idx="18">
                  <c:v>0.86882515558734796</c:v>
                </c:pt>
                <c:pt idx="19">
                  <c:v>0.653687345422727</c:v>
                </c:pt>
                <c:pt idx="20">
                  <c:v>0.52312796643965798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B-4293-9359-74343CC3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</c:v>
                </c:pt>
                <c:pt idx="4">
                  <c:v>0.77777777799999992</c:v>
                </c:pt>
                <c:pt idx="5">
                  <c:v>0.74999999974999998</c:v>
                </c:pt>
                <c:pt idx="6">
                  <c:v>0.75</c:v>
                </c:pt>
                <c:pt idx="7">
                  <c:v>0.688888889</c:v>
                </c:pt>
                <c:pt idx="8">
                  <c:v>0.6</c:v>
                </c:pt>
                <c:pt idx="9">
                  <c:v>0.70000000019999997</c:v>
                </c:pt>
                <c:pt idx="10">
                  <c:v>0.40476190499999998</c:v>
                </c:pt>
                <c:pt idx="11">
                  <c:v>0.2</c:v>
                </c:pt>
                <c:pt idx="12">
                  <c:v>0.4375</c:v>
                </c:pt>
                <c:pt idx="13">
                  <c:v>0.41176470599999998</c:v>
                </c:pt>
                <c:pt idx="14">
                  <c:v>0.47222222250000001</c:v>
                </c:pt>
                <c:pt idx="15">
                  <c:v>0.32500000000000001</c:v>
                </c:pt>
                <c:pt idx="16">
                  <c:v>0.14285714299999999</c:v>
                </c:pt>
                <c:pt idx="17">
                  <c:v>0.36</c:v>
                </c:pt>
                <c:pt idx="18">
                  <c:v>0.26666666700000002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B-44C5-B477-058FBF57D58A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0.91111111133333333</c:v>
                </c:pt>
                <c:pt idx="5">
                  <c:v>0.90476190499999998</c:v>
                </c:pt>
                <c:pt idx="6">
                  <c:v>0.92857142866666675</c:v>
                </c:pt>
                <c:pt idx="7">
                  <c:v>0.91111111079999996</c:v>
                </c:pt>
                <c:pt idx="8">
                  <c:v>0.88148148133333326</c:v>
                </c:pt>
                <c:pt idx="9">
                  <c:v>0.92121212100000016</c:v>
                </c:pt>
                <c:pt idx="10">
                  <c:v>0.84615384599999999</c:v>
                </c:pt>
                <c:pt idx="11">
                  <c:v>0.86666666699999995</c:v>
                </c:pt>
                <c:pt idx="12">
                  <c:v>0.89166666650000004</c:v>
                </c:pt>
                <c:pt idx="13">
                  <c:v>0.860294118</c:v>
                </c:pt>
                <c:pt idx="14">
                  <c:v>0.90849673199999992</c:v>
                </c:pt>
                <c:pt idx="15">
                  <c:v>0.76842105250000003</c:v>
                </c:pt>
                <c:pt idx="16">
                  <c:v>0.79047619000000002</c:v>
                </c:pt>
                <c:pt idx="17">
                  <c:v>0.88</c:v>
                </c:pt>
                <c:pt idx="18">
                  <c:v>0.93103448300000002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B-44C5-B477-058FBF57D58A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Saturating!$L$2:$L$20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0.931935878</c:v>
                </c:pt>
                <c:pt idx="4">
                  <c:v>0.98144391466666658</c:v>
                </c:pt>
                <c:pt idx="5">
                  <c:v>0.93641480500000007</c:v>
                </c:pt>
                <c:pt idx="6">
                  <c:v>0.93089380500000007</c:v>
                </c:pt>
                <c:pt idx="7">
                  <c:v>0.90822737180000002</c:v>
                </c:pt>
                <c:pt idx="8">
                  <c:v>0.9136225859999999</c:v>
                </c:pt>
                <c:pt idx="9">
                  <c:v>0.92717503859999995</c:v>
                </c:pt>
                <c:pt idx="10">
                  <c:v>0.82990523033333341</c:v>
                </c:pt>
                <c:pt idx="11">
                  <c:v>0.70200889399999999</c:v>
                </c:pt>
                <c:pt idx="12">
                  <c:v>0.77716428100000001</c:v>
                </c:pt>
                <c:pt idx="13">
                  <c:v>0.74252302599999997</c:v>
                </c:pt>
                <c:pt idx="14">
                  <c:v>0.82629872800000004</c:v>
                </c:pt>
                <c:pt idx="15">
                  <c:v>0.78286892850000001</c:v>
                </c:pt>
                <c:pt idx="16">
                  <c:v>0.66080339200000004</c:v>
                </c:pt>
                <c:pt idx="17">
                  <c:v>0.69914875600000004</c:v>
                </c:pt>
                <c:pt idx="18">
                  <c:v>0.65918592099999995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B-44C5-B477-058FBF57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Discontinuous!$J$2:$J$20</c:f>
              <c:numCache>
                <c:formatCode>0.00</c:formatCode>
                <c:ptCount val="19"/>
                <c:pt idx="0">
                  <c:v>1</c:v>
                </c:pt>
                <c:pt idx="1">
                  <c:v>0.73333333333333317</c:v>
                </c:pt>
                <c:pt idx="2">
                  <c:v>0.66666666666666663</c:v>
                </c:pt>
                <c:pt idx="3">
                  <c:v>1</c:v>
                </c:pt>
                <c:pt idx="4">
                  <c:v>0.77777777777777735</c:v>
                </c:pt>
                <c:pt idx="5">
                  <c:v>0.85714285714285698</c:v>
                </c:pt>
                <c:pt idx="6">
                  <c:v>0.83333333333333337</c:v>
                </c:pt>
                <c:pt idx="7">
                  <c:v>0.73333333333333273</c:v>
                </c:pt>
                <c:pt idx="8">
                  <c:v>0.73333333333333339</c:v>
                </c:pt>
                <c:pt idx="9">
                  <c:v>0.88333333333333319</c:v>
                </c:pt>
                <c:pt idx="10">
                  <c:v>0.78571428571428525</c:v>
                </c:pt>
                <c:pt idx="11">
                  <c:v>1</c:v>
                </c:pt>
                <c:pt idx="12">
                  <c:v>0.875</c:v>
                </c:pt>
                <c:pt idx="13">
                  <c:v>0.64705882352941146</c:v>
                </c:pt>
                <c:pt idx="14">
                  <c:v>0.69444444444444398</c:v>
                </c:pt>
                <c:pt idx="15">
                  <c:v>0.72499999999999998</c:v>
                </c:pt>
                <c:pt idx="16">
                  <c:v>0.61904761904761896</c:v>
                </c:pt>
                <c:pt idx="17">
                  <c:v>0.68</c:v>
                </c:pt>
                <c:pt idx="18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5-4210-A999-96D1C442FCD0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Discontinuous!$K$2:$K$20</c:f>
              <c:numCache>
                <c:formatCode>0.00</c:formatCode>
                <c:ptCount val="19"/>
                <c:pt idx="0">
                  <c:v>1</c:v>
                </c:pt>
                <c:pt idx="1">
                  <c:v>0.73333333333333317</c:v>
                </c:pt>
                <c:pt idx="2">
                  <c:v>0.77777777777777735</c:v>
                </c:pt>
                <c:pt idx="3">
                  <c:v>1</c:v>
                </c:pt>
                <c:pt idx="4">
                  <c:v>0.91111111111111065</c:v>
                </c:pt>
                <c:pt idx="5">
                  <c:v>0.952380952380952</c:v>
                </c:pt>
                <c:pt idx="6">
                  <c:v>0.952380952380952</c:v>
                </c:pt>
                <c:pt idx="7">
                  <c:v>0.93333333333333268</c:v>
                </c:pt>
                <c:pt idx="8">
                  <c:v>0.91111111111111065</c:v>
                </c:pt>
                <c:pt idx="9">
                  <c:v>0.9757575757575756</c:v>
                </c:pt>
                <c:pt idx="10">
                  <c:v>0.96336996336996339</c:v>
                </c:pt>
                <c:pt idx="11">
                  <c:v>1</c:v>
                </c:pt>
                <c:pt idx="12">
                  <c:v>0.98333333333333295</c:v>
                </c:pt>
                <c:pt idx="13">
                  <c:v>0.93382352941176405</c:v>
                </c:pt>
                <c:pt idx="14">
                  <c:v>0.96078431372549</c:v>
                </c:pt>
                <c:pt idx="15">
                  <c:v>0.94736842105263097</c:v>
                </c:pt>
                <c:pt idx="16">
                  <c:v>0.952380952380952</c:v>
                </c:pt>
                <c:pt idx="17">
                  <c:v>0.96666666666666601</c:v>
                </c:pt>
                <c:pt idx="18">
                  <c:v>0.972413793103448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5-4210-A999-96D1C442FCD0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Discontinuous!$L$2:$L$20</c:f>
              <c:numCache>
                <c:formatCode>0.00</c:formatCode>
                <c:ptCount val="19"/>
                <c:pt idx="0">
                  <c:v>1</c:v>
                </c:pt>
                <c:pt idx="1">
                  <c:v>0.88343675279582001</c:v>
                </c:pt>
                <c:pt idx="2">
                  <c:v>0.93193587761086405</c:v>
                </c:pt>
                <c:pt idx="3">
                  <c:v>1</c:v>
                </c:pt>
                <c:pt idx="4">
                  <c:v>0.96758851314802996</c:v>
                </c:pt>
                <c:pt idx="5">
                  <c:v>0.94545197894520949</c:v>
                </c:pt>
                <c:pt idx="6">
                  <c:v>0.94304839651411465</c:v>
                </c:pt>
                <c:pt idx="7">
                  <c:v>0.90714560915487752</c:v>
                </c:pt>
                <c:pt idx="8">
                  <c:v>0.87133519530226</c:v>
                </c:pt>
                <c:pt idx="9">
                  <c:v>0.9504909014820333</c:v>
                </c:pt>
                <c:pt idx="10">
                  <c:v>0.93045077276486365</c:v>
                </c:pt>
                <c:pt idx="11">
                  <c:v>1</c:v>
                </c:pt>
                <c:pt idx="12">
                  <c:v>0.92280528192099753</c:v>
                </c:pt>
                <c:pt idx="13">
                  <c:v>0.83404728501776093</c:v>
                </c:pt>
                <c:pt idx="14">
                  <c:v>0.83138767411444103</c:v>
                </c:pt>
                <c:pt idx="15">
                  <c:v>0.89237423376119596</c:v>
                </c:pt>
                <c:pt idx="16">
                  <c:v>0.82233994597674698</c:v>
                </c:pt>
                <c:pt idx="17">
                  <c:v>0.85308519744170497</c:v>
                </c:pt>
                <c:pt idx="18">
                  <c:v>0.90023586141246903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5-4210-A999-96D1C442F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Combined!$J$2:$J$20</c:f>
              <c:numCache>
                <c:formatCode>0.00</c:formatCode>
                <c:ptCount val="19"/>
                <c:pt idx="0">
                  <c:v>1</c:v>
                </c:pt>
                <c:pt idx="1">
                  <c:v>0.86666666666666659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0.78571428571428548</c:v>
                </c:pt>
                <c:pt idx="6">
                  <c:v>1</c:v>
                </c:pt>
                <c:pt idx="7">
                  <c:v>0.7333333333333325</c:v>
                </c:pt>
                <c:pt idx="8">
                  <c:v>0.53333333333333333</c:v>
                </c:pt>
                <c:pt idx="9">
                  <c:v>0.69999999999999984</c:v>
                </c:pt>
                <c:pt idx="10">
                  <c:v>0.69047619047618991</c:v>
                </c:pt>
                <c:pt idx="11">
                  <c:v>1</c:v>
                </c:pt>
                <c:pt idx="12">
                  <c:v>0.71875</c:v>
                </c:pt>
                <c:pt idx="13">
                  <c:v>0.64705882352941146</c:v>
                </c:pt>
                <c:pt idx="14">
                  <c:v>0.63888888888888851</c:v>
                </c:pt>
                <c:pt idx="15">
                  <c:v>0.625</c:v>
                </c:pt>
                <c:pt idx="16">
                  <c:v>0.57142857142857095</c:v>
                </c:pt>
                <c:pt idx="17">
                  <c:v>0.56000000000000005</c:v>
                </c:pt>
                <c:pt idx="18">
                  <c:v>0.63333333333333297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D-4431-9584-EA473600B11B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Combined!$K$2:$K$20</c:f>
              <c:numCache>
                <c:formatCode>0.00</c:formatCode>
                <c:ptCount val="19"/>
                <c:pt idx="0">
                  <c:v>1</c:v>
                </c:pt>
                <c:pt idx="1">
                  <c:v>0.86666666666666659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0.92857142857142794</c:v>
                </c:pt>
                <c:pt idx="6">
                  <c:v>1</c:v>
                </c:pt>
                <c:pt idx="7">
                  <c:v>0.93333333333333268</c:v>
                </c:pt>
                <c:pt idx="8">
                  <c:v>0.8518518518518513</c:v>
                </c:pt>
                <c:pt idx="9">
                  <c:v>0.92727272727272703</c:v>
                </c:pt>
                <c:pt idx="10">
                  <c:v>0.94871794871794857</c:v>
                </c:pt>
                <c:pt idx="11">
                  <c:v>1</c:v>
                </c:pt>
                <c:pt idx="12">
                  <c:v>0.95833333333333304</c:v>
                </c:pt>
                <c:pt idx="13">
                  <c:v>0.9485294117647054</c:v>
                </c:pt>
                <c:pt idx="14">
                  <c:v>0.94771241830065356</c:v>
                </c:pt>
                <c:pt idx="15">
                  <c:v>0.94736842105263097</c:v>
                </c:pt>
                <c:pt idx="16">
                  <c:v>0.92380952380952297</c:v>
                </c:pt>
                <c:pt idx="17">
                  <c:v>0.95333333333333303</c:v>
                </c:pt>
                <c:pt idx="18">
                  <c:v>0.96321839080459704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D-4431-9584-EA473600B11B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Combined!$L$2:$L$20</c:f>
              <c:numCache>
                <c:formatCode>0.00</c:formatCode>
                <c:ptCount val="19"/>
                <c:pt idx="0">
                  <c:v>1</c:v>
                </c:pt>
                <c:pt idx="1">
                  <c:v>0.91746881399038804</c:v>
                </c:pt>
                <c:pt idx="2">
                  <c:v>0.91746881399038804</c:v>
                </c:pt>
                <c:pt idx="3">
                  <c:v>1</c:v>
                </c:pt>
                <c:pt idx="4">
                  <c:v>0.94776052604962568</c:v>
                </c:pt>
                <c:pt idx="5">
                  <c:v>0.9651137488820678</c:v>
                </c:pt>
                <c:pt idx="6">
                  <c:v>1</c:v>
                </c:pt>
                <c:pt idx="7">
                  <c:v>0.9728276114752179</c:v>
                </c:pt>
                <c:pt idx="8">
                  <c:v>0.90525480001630376</c:v>
                </c:pt>
                <c:pt idx="9">
                  <c:v>0.91151468175840888</c:v>
                </c:pt>
                <c:pt idx="10">
                  <c:v>0.8516166275022603</c:v>
                </c:pt>
                <c:pt idx="11">
                  <c:v>1</c:v>
                </c:pt>
                <c:pt idx="12">
                  <c:v>0.94078635161054702</c:v>
                </c:pt>
                <c:pt idx="13">
                  <c:v>0.89377529369511199</c:v>
                </c:pt>
                <c:pt idx="14">
                  <c:v>0.827254450158597</c:v>
                </c:pt>
                <c:pt idx="15">
                  <c:v>0.83244503878446896</c:v>
                </c:pt>
                <c:pt idx="16">
                  <c:v>0.908828549327098</c:v>
                </c:pt>
                <c:pt idx="17">
                  <c:v>0.78215361922821403</c:v>
                </c:pt>
                <c:pt idx="18">
                  <c:v>0.86882515558734796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2D-4431-9584-EA473600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cycle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613052554477202"/>
          <c:w val="0.84286646068864157"/>
          <c:h val="0.6429613623878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9651293589"/>
          <c:y val="0.19527777777777777"/>
          <c:w val="0.83661642294713157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030075187969926E-2"/>
                  <c:y val="1.85185185185184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cycle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18601851851851853"/>
          <c:w val="0.83413591939765974"/>
          <c:h val="0.6182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0.80952380952380898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0.73333333333333295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0.73333333333333295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0.73333333333333317</c:v>
                </c:pt>
                <c:pt idx="2">
                  <c:v>0.66666666666666663</c:v>
                </c:pt>
                <c:pt idx="3">
                  <c:v>1</c:v>
                </c:pt>
                <c:pt idx="4">
                  <c:v>0.77777777777777735</c:v>
                </c:pt>
                <c:pt idx="5">
                  <c:v>0.85714285714285698</c:v>
                </c:pt>
                <c:pt idx="6">
                  <c:v>0.83333333333333337</c:v>
                </c:pt>
                <c:pt idx="7">
                  <c:v>0.73333333333333273</c:v>
                </c:pt>
                <c:pt idx="8">
                  <c:v>0.73333333333333339</c:v>
                </c:pt>
                <c:pt idx="9">
                  <c:v>0.88333333333333319</c:v>
                </c:pt>
                <c:pt idx="10">
                  <c:v>0.78571428571428525</c:v>
                </c:pt>
                <c:pt idx="11">
                  <c:v>1</c:v>
                </c:pt>
                <c:pt idx="12">
                  <c:v>0.875</c:v>
                </c:pt>
                <c:pt idx="13">
                  <c:v>0.64705882352941146</c:v>
                </c:pt>
                <c:pt idx="14">
                  <c:v>0.69444444444444398</c:v>
                </c:pt>
                <c:pt idx="15">
                  <c:v>0.72499999999999998</c:v>
                </c:pt>
                <c:pt idx="16">
                  <c:v>0.61904761904761896</c:v>
                </c:pt>
                <c:pt idx="17">
                  <c:v>0.68</c:v>
                </c:pt>
                <c:pt idx="18">
                  <c:v>0.7</c:v>
                </c:pt>
                <c:pt idx="19">
                  <c:v>0.4</c:v>
                </c:pt>
                <c:pt idx="20">
                  <c:v>0.43333333333333302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B-48E8-B82D-7093EFB2D305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0.73333333333333317</c:v>
                </c:pt>
                <c:pt idx="2">
                  <c:v>0.77777777777777735</c:v>
                </c:pt>
                <c:pt idx="3">
                  <c:v>1</c:v>
                </c:pt>
                <c:pt idx="4">
                  <c:v>0.91111111111111065</c:v>
                </c:pt>
                <c:pt idx="5">
                  <c:v>0.952380952380952</c:v>
                </c:pt>
                <c:pt idx="6">
                  <c:v>0.952380952380952</c:v>
                </c:pt>
                <c:pt idx="7">
                  <c:v>0.93333333333333268</c:v>
                </c:pt>
                <c:pt idx="8">
                  <c:v>0.91111111111111065</c:v>
                </c:pt>
                <c:pt idx="9">
                  <c:v>0.9757575757575756</c:v>
                </c:pt>
                <c:pt idx="10">
                  <c:v>0.96336996336996339</c:v>
                </c:pt>
                <c:pt idx="11">
                  <c:v>1</c:v>
                </c:pt>
                <c:pt idx="12">
                  <c:v>0.98333333333333295</c:v>
                </c:pt>
                <c:pt idx="13">
                  <c:v>0.93382352941176405</c:v>
                </c:pt>
                <c:pt idx="14">
                  <c:v>0.96078431372549</c:v>
                </c:pt>
                <c:pt idx="15">
                  <c:v>0.94736842105263097</c:v>
                </c:pt>
                <c:pt idx="16">
                  <c:v>0.952380952380952</c:v>
                </c:pt>
                <c:pt idx="17">
                  <c:v>0.96666666666666601</c:v>
                </c:pt>
                <c:pt idx="18">
                  <c:v>0.972413793103448</c:v>
                </c:pt>
                <c:pt idx="19">
                  <c:v>0.94102564102564101</c:v>
                </c:pt>
                <c:pt idx="20">
                  <c:v>0.97253433208489304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B-48E8-B82D-7093EFB2D305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0.88343675279582001</c:v>
                </c:pt>
                <c:pt idx="2">
                  <c:v>0.93193587761086405</c:v>
                </c:pt>
                <c:pt idx="3">
                  <c:v>1</c:v>
                </c:pt>
                <c:pt idx="4">
                  <c:v>0.96758851314802996</c:v>
                </c:pt>
                <c:pt idx="5">
                  <c:v>0.94545197894520949</c:v>
                </c:pt>
                <c:pt idx="6">
                  <c:v>0.94304839651411465</c:v>
                </c:pt>
                <c:pt idx="7">
                  <c:v>0.90714560915487752</c:v>
                </c:pt>
                <c:pt idx="8">
                  <c:v>0.87133519530226</c:v>
                </c:pt>
                <c:pt idx="9">
                  <c:v>0.9504909014820333</c:v>
                </c:pt>
                <c:pt idx="10">
                  <c:v>0.93045077276486365</c:v>
                </c:pt>
                <c:pt idx="11">
                  <c:v>1</c:v>
                </c:pt>
                <c:pt idx="12">
                  <c:v>0.92280528192099753</c:v>
                </c:pt>
                <c:pt idx="13">
                  <c:v>0.83404728501776093</c:v>
                </c:pt>
                <c:pt idx="14">
                  <c:v>0.83138767411444103</c:v>
                </c:pt>
                <c:pt idx="15">
                  <c:v>0.89237423376119596</c:v>
                </c:pt>
                <c:pt idx="16">
                  <c:v>0.82233994597674698</c:v>
                </c:pt>
                <c:pt idx="17">
                  <c:v>0.85308519744170497</c:v>
                </c:pt>
                <c:pt idx="18">
                  <c:v>0.90023586141246903</c:v>
                </c:pt>
                <c:pt idx="19">
                  <c:v>0.69413869061601896</c:v>
                </c:pt>
                <c:pt idx="20">
                  <c:v>0.64984557443541002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B-48E8-B82D-7093EFB2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</c:v>
                </c:pt>
                <c:pt idx="4">
                  <c:v>0.77777777799999992</c:v>
                </c:pt>
                <c:pt idx="5">
                  <c:v>0.74999999974999998</c:v>
                </c:pt>
                <c:pt idx="6">
                  <c:v>0.75</c:v>
                </c:pt>
                <c:pt idx="7">
                  <c:v>0.688888889</c:v>
                </c:pt>
                <c:pt idx="8">
                  <c:v>0.6</c:v>
                </c:pt>
                <c:pt idx="9">
                  <c:v>0.70000000019999997</c:v>
                </c:pt>
                <c:pt idx="10">
                  <c:v>0.40476190499999998</c:v>
                </c:pt>
                <c:pt idx="11">
                  <c:v>0.2</c:v>
                </c:pt>
                <c:pt idx="12">
                  <c:v>0.4375</c:v>
                </c:pt>
                <c:pt idx="13">
                  <c:v>0.41176470599999998</c:v>
                </c:pt>
                <c:pt idx="14">
                  <c:v>0.47222222250000001</c:v>
                </c:pt>
                <c:pt idx="15">
                  <c:v>0.32500000000000001</c:v>
                </c:pt>
                <c:pt idx="16">
                  <c:v>0.14285714299999999</c:v>
                </c:pt>
                <c:pt idx="17">
                  <c:v>0.36</c:v>
                </c:pt>
                <c:pt idx="18">
                  <c:v>0.26666666700000002</c:v>
                </c:pt>
                <c:pt idx="19">
                  <c:v>0.125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A-48DB-A3D7-78A45904523E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0.91111111133333333</c:v>
                </c:pt>
                <c:pt idx="5">
                  <c:v>0.90476190499999998</c:v>
                </c:pt>
                <c:pt idx="6">
                  <c:v>0.92857142866666675</c:v>
                </c:pt>
                <c:pt idx="7">
                  <c:v>0.91111111079999996</c:v>
                </c:pt>
                <c:pt idx="8">
                  <c:v>0.88148148133333326</c:v>
                </c:pt>
                <c:pt idx="9">
                  <c:v>0.92121212100000016</c:v>
                </c:pt>
                <c:pt idx="10">
                  <c:v>0.84615384599999999</c:v>
                </c:pt>
                <c:pt idx="11">
                  <c:v>0.86666666699999995</c:v>
                </c:pt>
                <c:pt idx="12">
                  <c:v>0.89166666650000004</c:v>
                </c:pt>
                <c:pt idx="13">
                  <c:v>0.860294118</c:v>
                </c:pt>
                <c:pt idx="14">
                  <c:v>0.90849673199999992</c:v>
                </c:pt>
                <c:pt idx="15">
                  <c:v>0.76842105250000003</c:v>
                </c:pt>
                <c:pt idx="16">
                  <c:v>0.79047619000000002</c:v>
                </c:pt>
                <c:pt idx="17">
                  <c:v>0.88</c:v>
                </c:pt>
                <c:pt idx="18">
                  <c:v>0.93103448300000002</c:v>
                </c:pt>
                <c:pt idx="19">
                  <c:v>0.86410256399999996</c:v>
                </c:pt>
                <c:pt idx="20">
                  <c:v>0.86916354600000001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A-48DB-A3D7-78A45904523E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0.931935878</c:v>
                </c:pt>
                <c:pt idx="4">
                  <c:v>0.98144391466666658</c:v>
                </c:pt>
                <c:pt idx="5">
                  <c:v>0.93641480500000007</c:v>
                </c:pt>
                <c:pt idx="6">
                  <c:v>0.93089380500000007</c:v>
                </c:pt>
                <c:pt idx="7">
                  <c:v>0.90822737180000002</c:v>
                </c:pt>
                <c:pt idx="8">
                  <c:v>0.9136225859999999</c:v>
                </c:pt>
                <c:pt idx="9">
                  <c:v>0.92717503859999995</c:v>
                </c:pt>
                <c:pt idx="10">
                  <c:v>0.82990523033333341</c:v>
                </c:pt>
                <c:pt idx="11">
                  <c:v>0.70200889399999999</c:v>
                </c:pt>
                <c:pt idx="12">
                  <c:v>0.77716428100000001</c:v>
                </c:pt>
                <c:pt idx="13">
                  <c:v>0.74252302599999997</c:v>
                </c:pt>
                <c:pt idx="14">
                  <c:v>0.82629872800000004</c:v>
                </c:pt>
                <c:pt idx="15">
                  <c:v>0.78286892850000001</c:v>
                </c:pt>
                <c:pt idx="16">
                  <c:v>0.66080339200000004</c:v>
                </c:pt>
                <c:pt idx="17">
                  <c:v>0.69914875600000004</c:v>
                </c:pt>
                <c:pt idx="18">
                  <c:v>0.65918592099999995</c:v>
                </c:pt>
                <c:pt idx="19">
                  <c:v>0.53493472200000003</c:v>
                </c:pt>
                <c:pt idx="20">
                  <c:v>0.44808641799999999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A-48DB-A3D7-78A4590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0988817180805E-2"/>
          <c:y val="0.17171296296296298"/>
          <c:w val="0.903589427436535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0.55000000000000004</c:v>
                </c:pt>
                <c:pt idx="16">
                  <c:v>1</c:v>
                </c:pt>
                <c:pt idx="17">
                  <c:v>0.56000000000000005</c:v>
                </c:pt>
                <c:pt idx="18">
                  <c:v>0.86666666666666603</c:v>
                </c:pt>
                <c:pt idx="19">
                  <c:v>0.57499999999999996</c:v>
                </c:pt>
                <c:pt idx="20">
                  <c:v>0.62222222222222201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0-4F6A-B021-74775AEADB5F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0.97575757575757538</c:v>
                </c:pt>
                <c:pt idx="10">
                  <c:v>0.90476190476190466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0.88947368421052597</c:v>
                </c:pt>
                <c:pt idx="16">
                  <c:v>1</c:v>
                </c:pt>
                <c:pt idx="17">
                  <c:v>0.94</c:v>
                </c:pt>
                <c:pt idx="18">
                  <c:v>0.99080459770114904</c:v>
                </c:pt>
                <c:pt idx="19">
                  <c:v>0.9</c:v>
                </c:pt>
                <c:pt idx="20">
                  <c:v>0.92359550561797699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0-4F6A-B021-74775AEADB5F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0.97799121135125533</c:v>
                </c:pt>
                <c:pt idx="10">
                  <c:v>0.92269903053859725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0.90525822963222202</c:v>
                </c:pt>
                <c:pt idx="16">
                  <c:v>1</c:v>
                </c:pt>
                <c:pt idx="17">
                  <c:v>0.74226966192549804</c:v>
                </c:pt>
                <c:pt idx="18">
                  <c:v>0.97581048045803698</c:v>
                </c:pt>
                <c:pt idx="19">
                  <c:v>0.90907313880095297</c:v>
                </c:pt>
                <c:pt idx="20">
                  <c:v>0.92429967009387703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0-4F6A-B021-74775AEA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0.55000000000000004</c:v>
                </c:pt>
                <c:pt idx="16">
                  <c:v>1</c:v>
                </c:pt>
                <c:pt idx="17">
                  <c:v>0.56000000000000005</c:v>
                </c:pt>
                <c:pt idx="18">
                  <c:v>0.86666666666666603</c:v>
                </c:pt>
                <c:pt idx="19">
                  <c:v>0.57499999999999996</c:v>
                </c:pt>
                <c:pt idx="20">
                  <c:v>0.62222222222222201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2-406A-9417-AE48FAA23793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0.97575757575757538</c:v>
                </c:pt>
                <c:pt idx="10">
                  <c:v>0.90476190476190466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0.88947368421052597</c:v>
                </c:pt>
                <c:pt idx="16">
                  <c:v>1</c:v>
                </c:pt>
                <c:pt idx="17">
                  <c:v>0.94</c:v>
                </c:pt>
                <c:pt idx="18">
                  <c:v>0.99080459770114904</c:v>
                </c:pt>
                <c:pt idx="19">
                  <c:v>0.9</c:v>
                </c:pt>
                <c:pt idx="20">
                  <c:v>0.92359550561797699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2-406A-9417-AE48FAA23793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Linear!$L$2:$L$22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0.97799121135125533</c:v>
                </c:pt>
                <c:pt idx="10">
                  <c:v>0.92269903053859725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0.90525822963222202</c:v>
                </c:pt>
                <c:pt idx="16">
                  <c:v>1</c:v>
                </c:pt>
                <c:pt idx="17">
                  <c:v>0.74226966192549804</c:v>
                </c:pt>
                <c:pt idx="18">
                  <c:v>0.97581048045803698</c:v>
                </c:pt>
                <c:pt idx="19">
                  <c:v>0.90907313880095297</c:v>
                </c:pt>
                <c:pt idx="20">
                  <c:v>0.92429967009387703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2-406A-9417-AE48FAA2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9250304979484"/>
          <c:y val="0.14170009551098375"/>
          <c:w val="0.84260468004879674"/>
          <c:h val="0.71587994194135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Saturating!$J$1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Saturating!$J$2:$J$22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</c:v>
                </c:pt>
                <c:pt idx="4">
                  <c:v>0.77777777799999992</c:v>
                </c:pt>
                <c:pt idx="5">
                  <c:v>0.74999999974999998</c:v>
                </c:pt>
                <c:pt idx="6">
                  <c:v>0.75</c:v>
                </c:pt>
                <c:pt idx="7">
                  <c:v>0.688888889</c:v>
                </c:pt>
                <c:pt idx="8">
                  <c:v>0.6</c:v>
                </c:pt>
                <c:pt idx="9">
                  <c:v>0.70000000019999997</c:v>
                </c:pt>
                <c:pt idx="10">
                  <c:v>0.40476190499999998</c:v>
                </c:pt>
                <c:pt idx="11">
                  <c:v>0.2</c:v>
                </c:pt>
                <c:pt idx="12">
                  <c:v>0.4375</c:v>
                </c:pt>
                <c:pt idx="13">
                  <c:v>0.41176470599999998</c:v>
                </c:pt>
                <c:pt idx="14">
                  <c:v>0.47222222250000001</c:v>
                </c:pt>
                <c:pt idx="15">
                  <c:v>0.32500000000000001</c:v>
                </c:pt>
                <c:pt idx="16">
                  <c:v>0.14285714299999999</c:v>
                </c:pt>
                <c:pt idx="17">
                  <c:v>0.36</c:v>
                </c:pt>
                <c:pt idx="18">
                  <c:v>0.26666666700000002</c:v>
                </c:pt>
                <c:pt idx="19">
                  <c:v>0.125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C-4A50-B40A-3500036880C9}"/>
            </c:ext>
          </c:extLst>
        </c:ser>
        <c:ser>
          <c:idx val="1"/>
          <c:order val="1"/>
          <c:tx>
            <c:strRef>
              <c:f>Saturating!$K$1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Saturating!$K$2:$K$22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0.91111111133333333</c:v>
                </c:pt>
                <c:pt idx="5">
                  <c:v>0.90476190499999998</c:v>
                </c:pt>
                <c:pt idx="6">
                  <c:v>0.92857142866666675</c:v>
                </c:pt>
                <c:pt idx="7">
                  <c:v>0.91111111079999996</c:v>
                </c:pt>
                <c:pt idx="8">
                  <c:v>0.88148148133333326</c:v>
                </c:pt>
                <c:pt idx="9">
                  <c:v>0.92121212100000016</c:v>
                </c:pt>
                <c:pt idx="10">
                  <c:v>0.84615384599999999</c:v>
                </c:pt>
                <c:pt idx="11">
                  <c:v>0.86666666699999995</c:v>
                </c:pt>
                <c:pt idx="12">
                  <c:v>0.89166666650000004</c:v>
                </c:pt>
                <c:pt idx="13">
                  <c:v>0.860294118</c:v>
                </c:pt>
                <c:pt idx="14">
                  <c:v>0.90849673199999992</c:v>
                </c:pt>
                <c:pt idx="15">
                  <c:v>0.76842105250000003</c:v>
                </c:pt>
                <c:pt idx="16">
                  <c:v>0.79047619000000002</c:v>
                </c:pt>
                <c:pt idx="17">
                  <c:v>0.88</c:v>
                </c:pt>
                <c:pt idx="18">
                  <c:v>0.93103448300000002</c:v>
                </c:pt>
                <c:pt idx="19">
                  <c:v>0.86410256399999996</c:v>
                </c:pt>
                <c:pt idx="20">
                  <c:v>0.86916354600000001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C-4A50-B40A-3500036880C9}"/>
            </c:ext>
          </c:extLst>
        </c:ser>
        <c:ser>
          <c:idx val="2"/>
          <c:order val="2"/>
          <c:tx>
            <c:strRef>
              <c:f>Saturating!$L$1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Saturating!$I$2:$I$22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Saturating!$L$2:$L$22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0.931935878</c:v>
                </c:pt>
                <c:pt idx="4">
                  <c:v>0.98144391466666658</c:v>
                </c:pt>
                <c:pt idx="5">
                  <c:v>0.93641480500000007</c:v>
                </c:pt>
                <c:pt idx="6">
                  <c:v>0.93089380500000007</c:v>
                </c:pt>
                <c:pt idx="7">
                  <c:v>0.90822737180000002</c:v>
                </c:pt>
                <c:pt idx="8">
                  <c:v>0.9136225859999999</c:v>
                </c:pt>
                <c:pt idx="9">
                  <c:v>0.92717503859999995</c:v>
                </c:pt>
                <c:pt idx="10">
                  <c:v>0.82990523033333341</c:v>
                </c:pt>
                <c:pt idx="11">
                  <c:v>0.70200889399999999</c:v>
                </c:pt>
                <c:pt idx="12">
                  <c:v>0.77716428100000001</c:v>
                </c:pt>
                <c:pt idx="13">
                  <c:v>0.74252302599999997</c:v>
                </c:pt>
                <c:pt idx="14">
                  <c:v>0.82629872800000004</c:v>
                </c:pt>
                <c:pt idx="15">
                  <c:v>0.78286892850000001</c:v>
                </c:pt>
                <c:pt idx="16">
                  <c:v>0.66080339200000004</c:v>
                </c:pt>
                <c:pt idx="17">
                  <c:v>0.69914875600000004</c:v>
                </c:pt>
                <c:pt idx="18">
                  <c:v>0.65918592099999995</c:v>
                </c:pt>
                <c:pt idx="19">
                  <c:v>0.53493472200000003</c:v>
                </c:pt>
                <c:pt idx="20">
                  <c:v>0.44808641799999999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C-4A50-B40A-35000368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546784739557"/>
          <c:y val="7.8871441261046921E-2"/>
          <c:w val="0.45507186103729064"/>
          <c:h val="6.4532000421553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2357623089572"/>
          <c:y val="0.1432046332046332"/>
          <c:w val="0.84216003241425907"/>
          <c:h val="0.73602924634420697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Discontinuous!$J$1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Discontinuous!$J$2:$J$22</c:f>
              <c:numCache>
                <c:formatCode>0.00</c:formatCode>
                <c:ptCount val="21"/>
                <c:pt idx="0">
                  <c:v>1</c:v>
                </c:pt>
                <c:pt idx="1">
                  <c:v>0.73333333333333317</c:v>
                </c:pt>
                <c:pt idx="2">
                  <c:v>0.66666666666666663</c:v>
                </c:pt>
                <c:pt idx="3">
                  <c:v>1</c:v>
                </c:pt>
                <c:pt idx="4">
                  <c:v>0.77777777777777735</c:v>
                </c:pt>
                <c:pt idx="5">
                  <c:v>0.85714285714285698</c:v>
                </c:pt>
                <c:pt idx="6">
                  <c:v>0.83333333333333337</c:v>
                </c:pt>
                <c:pt idx="7">
                  <c:v>0.73333333333333273</c:v>
                </c:pt>
                <c:pt idx="8">
                  <c:v>0.73333333333333339</c:v>
                </c:pt>
                <c:pt idx="9">
                  <c:v>0.88333333333333319</c:v>
                </c:pt>
                <c:pt idx="10">
                  <c:v>0.78571428571428525</c:v>
                </c:pt>
                <c:pt idx="11">
                  <c:v>1</c:v>
                </c:pt>
                <c:pt idx="12">
                  <c:v>0.875</c:v>
                </c:pt>
                <c:pt idx="13">
                  <c:v>0.64705882352941146</c:v>
                </c:pt>
                <c:pt idx="14">
                  <c:v>0.69444444444444398</c:v>
                </c:pt>
                <c:pt idx="15">
                  <c:v>0.72499999999999998</c:v>
                </c:pt>
                <c:pt idx="16">
                  <c:v>0.61904761904761896</c:v>
                </c:pt>
                <c:pt idx="17">
                  <c:v>0.68</c:v>
                </c:pt>
                <c:pt idx="18">
                  <c:v>0.7</c:v>
                </c:pt>
                <c:pt idx="19">
                  <c:v>0.4</c:v>
                </c:pt>
                <c:pt idx="20">
                  <c:v>0.43333333333333302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7-48F9-86B2-8464A33461B7}"/>
            </c:ext>
          </c:extLst>
        </c:ser>
        <c:ser>
          <c:idx val="1"/>
          <c:order val="1"/>
          <c:tx>
            <c:strRef>
              <c:f>Discontinuous!$K$1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Discontinuous!$K$2:$K$22</c:f>
              <c:numCache>
                <c:formatCode>0.00</c:formatCode>
                <c:ptCount val="21"/>
                <c:pt idx="0">
                  <c:v>1</c:v>
                </c:pt>
                <c:pt idx="1">
                  <c:v>0.73333333333333317</c:v>
                </c:pt>
                <c:pt idx="2">
                  <c:v>0.77777777777777735</c:v>
                </c:pt>
                <c:pt idx="3">
                  <c:v>1</c:v>
                </c:pt>
                <c:pt idx="4">
                  <c:v>0.91111111111111065</c:v>
                </c:pt>
                <c:pt idx="5">
                  <c:v>0.952380952380952</c:v>
                </c:pt>
                <c:pt idx="6">
                  <c:v>0.952380952380952</c:v>
                </c:pt>
                <c:pt idx="7">
                  <c:v>0.93333333333333268</c:v>
                </c:pt>
                <c:pt idx="8">
                  <c:v>0.91111111111111065</c:v>
                </c:pt>
                <c:pt idx="9">
                  <c:v>0.9757575757575756</c:v>
                </c:pt>
                <c:pt idx="10">
                  <c:v>0.96336996336996339</c:v>
                </c:pt>
                <c:pt idx="11">
                  <c:v>1</c:v>
                </c:pt>
                <c:pt idx="12">
                  <c:v>0.98333333333333295</c:v>
                </c:pt>
                <c:pt idx="13">
                  <c:v>0.93382352941176405</c:v>
                </c:pt>
                <c:pt idx="14">
                  <c:v>0.96078431372549</c:v>
                </c:pt>
                <c:pt idx="15">
                  <c:v>0.94736842105263097</c:v>
                </c:pt>
                <c:pt idx="16">
                  <c:v>0.952380952380952</c:v>
                </c:pt>
                <c:pt idx="17">
                  <c:v>0.96666666666666601</c:v>
                </c:pt>
                <c:pt idx="18">
                  <c:v>0.972413793103448</c:v>
                </c:pt>
                <c:pt idx="19">
                  <c:v>0.94102564102564101</c:v>
                </c:pt>
                <c:pt idx="20">
                  <c:v>0.97253433208489304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7-48F9-86B2-8464A33461B7}"/>
            </c:ext>
          </c:extLst>
        </c:ser>
        <c:ser>
          <c:idx val="2"/>
          <c:order val="2"/>
          <c:tx>
            <c:strRef>
              <c:f>Discontinuous!$L$1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Discontinuous!$I$2:$I$22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Discontinuous!$L$2:$L$22</c:f>
              <c:numCache>
                <c:formatCode>0.00</c:formatCode>
                <c:ptCount val="21"/>
                <c:pt idx="0">
                  <c:v>1</c:v>
                </c:pt>
                <c:pt idx="1">
                  <c:v>0.88343675279582001</c:v>
                </c:pt>
                <c:pt idx="2">
                  <c:v>0.93193587761086405</c:v>
                </c:pt>
                <c:pt idx="3">
                  <c:v>1</c:v>
                </c:pt>
                <c:pt idx="4">
                  <c:v>0.96758851314802996</c:v>
                </c:pt>
                <c:pt idx="5">
                  <c:v>0.94545197894520949</c:v>
                </c:pt>
                <c:pt idx="6">
                  <c:v>0.94304839651411465</c:v>
                </c:pt>
                <c:pt idx="7">
                  <c:v>0.90714560915487752</c:v>
                </c:pt>
                <c:pt idx="8">
                  <c:v>0.87133519530226</c:v>
                </c:pt>
                <c:pt idx="9">
                  <c:v>0.9504909014820333</c:v>
                </c:pt>
                <c:pt idx="10">
                  <c:v>0.93045077276486365</c:v>
                </c:pt>
                <c:pt idx="11">
                  <c:v>1</c:v>
                </c:pt>
                <c:pt idx="12">
                  <c:v>0.92280528192099753</c:v>
                </c:pt>
                <c:pt idx="13">
                  <c:v>0.83404728501776093</c:v>
                </c:pt>
                <c:pt idx="14">
                  <c:v>0.83138767411444103</c:v>
                </c:pt>
                <c:pt idx="15">
                  <c:v>0.89237423376119596</c:v>
                </c:pt>
                <c:pt idx="16">
                  <c:v>0.82233994597674698</c:v>
                </c:pt>
                <c:pt idx="17">
                  <c:v>0.85308519744170497</c:v>
                </c:pt>
                <c:pt idx="18">
                  <c:v>0.90023586141246903</c:v>
                </c:pt>
                <c:pt idx="19">
                  <c:v>0.69413869061601896</c:v>
                </c:pt>
                <c:pt idx="20">
                  <c:v>0.64984557443541002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7-48F9-86B2-8464A334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90360014299574"/>
          <c:y val="7.770224667862459E-2"/>
          <c:w val="0.451729605717266"/>
          <c:h val="6.5154896178518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947861429344"/>
          <c:y val="0.14116079923882016"/>
          <c:w val="0.84287022362031538"/>
          <c:h val="0.7550202656637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Combined!$J$2:$J$22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0.83333333333333337</c:v>
                </c:pt>
                <c:pt idx="3">
                  <c:v>1</c:v>
                </c:pt>
                <c:pt idx="4">
                  <c:v>0.72222222222222199</c:v>
                </c:pt>
                <c:pt idx="5">
                  <c:v>0.78571428571428548</c:v>
                </c:pt>
                <c:pt idx="6">
                  <c:v>1</c:v>
                </c:pt>
                <c:pt idx="7">
                  <c:v>0.7333333333333325</c:v>
                </c:pt>
                <c:pt idx="8">
                  <c:v>0.53333333333333333</c:v>
                </c:pt>
                <c:pt idx="9">
                  <c:v>0.69999999999999984</c:v>
                </c:pt>
                <c:pt idx="10">
                  <c:v>0.69047619047618991</c:v>
                </c:pt>
                <c:pt idx="11">
                  <c:v>1</c:v>
                </c:pt>
                <c:pt idx="12">
                  <c:v>0.71875</c:v>
                </c:pt>
                <c:pt idx="13">
                  <c:v>0.64705882352941146</c:v>
                </c:pt>
                <c:pt idx="14">
                  <c:v>0.63888888888888851</c:v>
                </c:pt>
                <c:pt idx="15">
                  <c:v>0.625</c:v>
                </c:pt>
                <c:pt idx="16">
                  <c:v>0.57142857142857095</c:v>
                </c:pt>
                <c:pt idx="17">
                  <c:v>0.56000000000000005</c:v>
                </c:pt>
                <c:pt idx="18">
                  <c:v>0.63333333333333297</c:v>
                </c:pt>
                <c:pt idx="19">
                  <c:v>0.42499999999999999</c:v>
                </c:pt>
                <c:pt idx="20">
                  <c:v>0.27777777777777701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4-4274-BB76-B9B0F52DF565}"/>
            </c:ext>
          </c:extLst>
        </c:ser>
        <c:ser>
          <c:idx val="1"/>
          <c:order val="1"/>
          <c:tx>
            <c:strRef>
              <c:f>Combined!$K$1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Combined!$K$2:$K$22</c:f>
              <c:numCache>
                <c:formatCode>0.00</c:formatCode>
                <c:ptCount val="21"/>
                <c:pt idx="0">
                  <c:v>1</c:v>
                </c:pt>
                <c:pt idx="1">
                  <c:v>0.86666666666666659</c:v>
                </c:pt>
                <c:pt idx="2">
                  <c:v>0.88888888888888873</c:v>
                </c:pt>
                <c:pt idx="3">
                  <c:v>1</c:v>
                </c:pt>
                <c:pt idx="4">
                  <c:v>0.86666666666666625</c:v>
                </c:pt>
                <c:pt idx="5">
                  <c:v>0.92857142857142794</c:v>
                </c:pt>
                <c:pt idx="6">
                  <c:v>1</c:v>
                </c:pt>
                <c:pt idx="7">
                  <c:v>0.93333333333333268</c:v>
                </c:pt>
                <c:pt idx="8">
                  <c:v>0.8518518518518513</c:v>
                </c:pt>
                <c:pt idx="9">
                  <c:v>0.92727272727272703</c:v>
                </c:pt>
                <c:pt idx="10">
                  <c:v>0.94871794871794857</c:v>
                </c:pt>
                <c:pt idx="11">
                  <c:v>1</c:v>
                </c:pt>
                <c:pt idx="12">
                  <c:v>0.95833333333333304</c:v>
                </c:pt>
                <c:pt idx="13">
                  <c:v>0.9485294117647054</c:v>
                </c:pt>
                <c:pt idx="14">
                  <c:v>0.94771241830065356</c:v>
                </c:pt>
                <c:pt idx="15">
                  <c:v>0.94736842105263097</c:v>
                </c:pt>
                <c:pt idx="16">
                  <c:v>0.92380952380952297</c:v>
                </c:pt>
                <c:pt idx="17">
                  <c:v>0.95333333333333303</c:v>
                </c:pt>
                <c:pt idx="18">
                  <c:v>0.96321839080459704</c:v>
                </c:pt>
                <c:pt idx="19">
                  <c:v>0.92820512820512802</c:v>
                </c:pt>
                <c:pt idx="20">
                  <c:v>0.958052434456928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4-4274-BB76-B9B0F52DF565}"/>
            </c:ext>
          </c:extLst>
        </c:ser>
        <c:ser>
          <c:idx val="2"/>
          <c:order val="2"/>
          <c:tx>
            <c:strRef>
              <c:f>Combined!$L$1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Combined!$I$2:$I$22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40</c:v>
                </c:pt>
                <c:pt idx="20">
                  <c:v>90</c:v>
                </c:pt>
              </c:numCache>
            </c:numRef>
          </c:xVal>
          <c:yVal>
            <c:numRef>
              <c:f>Combined!$L$2:$L$22</c:f>
              <c:numCache>
                <c:formatCode>0.00</c:formatCode>
                <c:ptCount val="21"/>
                <c:pt idx="0">
                  <c:v>1</c:v>
                </c:pt>
                <c:pt idx="1">
                  <c:v>0.91746881399038804</c:v>
                </c:pt>
                <c:pt idx="2">
                  <c:v>0.91746881399038804</c:v>
                </c:pt>
                <c:pt idx="3">
                  <c:v>1</c:v>
                </c:pt>
                <c:pt idx="4">
                  <c:v>0.94776052604962568</c:v>
                </c:pt>
                <c:pt idx="5">
                  <c:v>0.9651137488820678</c:v>
                </c:pt>
                <c:pt idx="6">
                  <c:v>1</c:v>
                </c:pt>
                <c:pt idx="7">
                  <c:v>0.9728276114752179</c:v>
                </c:pt>
                <c:pt idx="8">
                  <c:v>0.90525480001630376</c:v>
                </c:pt>
                <c:pt idx="9">
                  <c:v>0.91151468175840888</c:v>
                </c:pt>
                <c:pt idx="10">
                  <c:v>0.8516166275022603</c:v>
                </c:pt>
                <c:pt idx="11">
                  <c:v>1</c:v>
                </c:pt>
                <c:pt idx="12">
                  <c:v>0.94078635161054702</c:v>
                </c:pt>
                <c:pt idx="13">
                  <c:v>0.89377529369511199</c:v>
                </c:pt>
                <c:pt idx="14">
                  <c:v>0.827254450158597</c:v>
                </c:pt>
                <c:pt idx="15">
                  <c:v>0.83244503878446896</c:v>
                </c:pt>
                <c:pt idx="16">
                  <c:v>0.908828549327098</c:v>
                </c:pt>
                <c:pt idx="17">
                  <c:v>0.78215361922821403</c:v>
                </c:pt>
                <c:pt idx="18">
                  <c:v>0.86882515558734796</c:v>
                </c:pt>
                <c:pt idx="19">
                  <c:v>0.653687345422727</c:v>
                </c:pt>
                <c:pt idx="20">
                  <c:v>0.52312796643965798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F4-4274-BB76-B9B0F52DF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87253781963948"/>
          <c:y val="7.9447695108520539E-2"/>
          <c:w val="0.44969707619763444"/>
          <c:h val="6.422499756512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Similarity metrics by cycle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1239494949041"/>
          <c:y val="0.17171296296296298"/>
          <c:w val="0.85110788704178664"/>
          <c:h val="0.68339995962043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Linear!$J$1</c:f>
              <c:strCache>
                <c:ptCount val="1"/>
                <c:pt idx="0">
                  <c:v>Jaccard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Linear!$J$2:$J$20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0.78571428571428548</c:v>
                </c:pt>
                <c:pt idx="6">
                  <c:v>1</c:v>
                </c:pt>
                <c:pt idx="7">
                  <c:v>1</c:v>
                </c:pt>
                <c:pt idx="8">
                  <c:v>0.93333333333333324</c:v>
                </c:pt>
                <c:pt idx="9">
                  <c:v>0.88333333333333319</c:v>
                </c:pt>
                <c:pt idx="10">
                  <c:v>0.71428571428571397</c:v>
                </c:pt>
                <c:pt idx="11">
                  <c:v>1</c:v>
                </c:pt>
                <c:pt idx="12">
                  <c:v>1</c:v>
                </c:pt>
                <c:pt idx="13">
                  <c:v>0.85294117647058798</c:v>
                </c:pt>
                <c:pt idx="14">
                  <c:v>1</c:v>
                </c:pt>
                <c:pt idx="15">
                  <c:v>0.55000000000000004</c:v>
                </c:pt>
                <c:pt idx="16">
                  <c:v>1</c:v>
                </c:pt>
                <c:pt idx="17">
                  <c:v>0.56000000000000005</c:v>
                </c:pt>
                <c:pt idx="18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E-48AE-B750-5B5C68DDFB98}"/>
            </c:ext>
          </c:extLst>
        </c:ser>
        <c:ser>
          <c:idx val="1"/>
          <c:order val="1"/>
          <c:tx>
            <c:strRef>
              <c:f>Linear!$K$1</c:f>
              <c:strCache>
                <c:ptCount val="1"/>
                <c:pt idx="0">
                  <c:v>Kendall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Linear!$K$2:$K$20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0.91111111111111098</c:v>
                </c:pt>
                <c:pt idx="5">
                  <c:v>0.90476190476190443</c:v>
                </c:pt>
                <c:pt idx="6">
                  <c:v>1</c:v>
                </c:pt>
                <c:pt idx="7">
                  <c:v>1</c:v>
                </c:pt>
                <c:pt idx="8">
                  <c:v>0.98518518518518494</c:v>
                </c:pt>
                <c:pt idx="9">
                  <c:v>0.97575757575757538</c:v>
                </c:pt>
                <c:pt idx="10">
                  <c:v>0.90476190476190466</c:v>
                </c:pt>
                <c:pt idx="11">
                  <c:v>1</c:v>
                </c:pt>
                <c:pt idx="12">
                  <c:v>1</c:v>
                </c:pt>
                <c:pt idx="13">
                  <c:v>0.96323529411764697</c:v>
                </c:pt>
                <c:pt idx="14">
                  <c:v>1</c:v>
                </c:pt>
                <c:pt idx="15">
                  <c:v>0.88947368421052597</c:v>
                </c:pt>
                <c:pt idx="16">
                  <c:v>1</c:v>
                </c:pt>
                <c:pt idx="17">
                  <c:v>0.94</c:v>
                </c:pt>
                <c:pt idx="18">
                  <c:v>0.99080459770114904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E-48AE-B750-5B5C68DDFB98}"/>
            </c:ext>
          </c:extLst>
        </c:ser>
        <c:ser>
          <c:idx val="2"/>
          <c:order val="2"/>
          <c:tx>
            <c:strRef>
              <c:f>Linear!$L$1</c:f>
              <c:strCache>
                <c:ptCount val="1"/>
                <c:pt idx="0">
                  <c:v>DCG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prstDash val="dash"/>
              </a:ln>
              <a:effectLst/>
            </c:spPr>
          </c:marker>
          <c:xVal>
            <c:numRef>
              <c:f>Linear!$I$2:$I$20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</c:numCache>
            </c:numRef>
          </c:xVal>
          <c:yVal>
            <c:numRef>
              <c:f>Linear!$L$2:$L$20</c:f>
              <c:numCache>
                <c:formatCode>0.00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0.98592613764676729</c:v>
                </c:pt>
                <c:pt idx="5">
                  <c:v>0.98321915010162608</c:v>
                </c:pt>
                <c:pt idx="6">
                  <c:v>1</c:v>
                </c:pt>
                <c:pt idx="7">
                  <c:v>1</c:v>
                </c:pt>
                <c:pt idx="8">
                  <c:v>0.992137684102259</c:v>
                </c:pt>
                <c:pt idx="9">
                  <c:v>0.97799121135125533</c:v>
                </c:pt>
                <c:pt idx="10">
                  <c:v>0.92269903053859725</c:v>
                </c:pt>
                <c:pt idx="11">
                  <c:v>1</c:v>
                </c:pt>
                <c:pt idx="12">
                  <c:v>1</c:v>
                </c:pt>
                <c:pt idx="13">
                  <c:v>0.97635362219963051</c:v>
                </c:pt>
                <c:pt idx="14">
                  <c:v>1</c:v>
                </c:pt>
                <c:pt idx="15">
                  <c:v>0.90525822963222202</c:v>
                </c:pt>
                <c:pt idx="16">
                  <c:v>1</c:v>
                </c:pt>
                <c:pt idx="17">
                  <c:v>0.74226966192549804</c:v>
                </c:pt>
                <c:pt idx="18">
                  <c:v>0.97581048045803698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E-48AE-B750-5B5C68DD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38000"/>
        <c:axId val="532038328"/>
      </c:scatterChart>
      <c:valAx>
        <c:axId val="5320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328"/>
        <c:crosses val="autoZero"/>
        <c:crossBetween val="midCat"/>
      </c:valAx>
      <c:valAx>
        <c:axId val="53203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3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3415292569326"/>
          <c:y val="9.1729588934463008E-2"/>
          <c:w val="0.45611024520394733"/>
          <c:h val="6.416394718720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15</xdr:col>
      <xdr:colOff>190500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0BFB6-E17B-426E-A3DB-5466239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584199</xdr:colOff>
      <xdr:row>22</xdr:row>
      <xdr:rowOff>127000</xdr:rowOff>
    </xdr:from>
    <xdr:to>
      <xdr:col>14</xdr:col>
      <xdr:colOff>563561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3D20E-2EC7-46ED-86BD-B55FC4CDF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127000</xdr:rowOff>
    </xdr:from>
    <xdr:to>
      <xdr:col>14</xdr:col>
      <xdr:colOff>552450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1C87A-9196-425E-9E93-8112A15DA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22</xdr:row>
      <xdr:rowOff>139700</xdr:rowOff>
    </xdr:from>
    <xdr:to>
      <xdr:col>14</xdr:col>
      <xdr:colOff>203200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D8036-A359-4699-B6F4-748C9EC7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2</xdr:row>
      <xdr:rowOff>15875</xdr:rowOff>
    </xdr:from>
    <xdr:to>
      <xdr:col>10</xdr:col>
      <xdr:colOff>285750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CD122-2E9F-4EFB-951D-D32EB086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101600</xdr:colOff>
      <xdr:row>2</xdr:row>
      <xdr:rowOff>25400</xdr:rowOff>
    </xdr:from>
    <xdr:to>
      <xdr:col>29</xdr:col>
      <xdr:colOff>250825</xdr:colOff>
      <xdr:row>19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7A091-4EE1-4A8C-95FD-C6125807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355601</xdr:colOff>
      <xdr:row>1</xdr:row>
      <xdr:rowOff>238125</xdr:rowOff>
    </xdr:from>
    <xdr:to>
      <xdr:col>19</xdr:col>
      <xdr:colOff>488950</xdr:colOff>
      <xdr:row>18</xdr:row>
      <xdr:rowOff>187325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823F2-551D-4B46-AEE4-BF9264161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307976</xdr:colOff>
      <xdr:row>2</xdr:row>
      <xdr:rowOff>12701</xdr:rowOff>
    </xdr:from>
    <xdr:to>
      <xdr:col>38</xdr:col>
      <xdr:colOff>466725</xdr:colOff>
      <xdr:row>19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0C10B8-6100-4477-ADD8-9309839FC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149225</xdr:colOff>
      <xdr:row>22</xdr:row>
      <xdr:rowOff>15875</xdr:rowOff>
    </xdr:from>
    <xdr:to>
      <xdr:col>10</xdr:col>
      <xdr:colOff>285750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FC1F27-C45E-4EE7-B122-4F4CF37EC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25400</xdr:colOff>
      <xdr:row>22</xdr:row>
      <xdr:rowOff>25400</xdr:rowOff>
    </xdr:from>
    <xdr:to>
      <xdr:col>29</xdr:col>
      <xdr:colOff>174625</xdr:colOff>
      <xdr:row>39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EBDC82-F10C-437B-8FDD-F084903C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342901</xdr:colOff>
      <xdr:row>22</xdr:row>
      <xdr:rowOff>22225</xdr:rowOff>
    </xdr:from>
    <xdr:to>
      <xdr:col>19</xdr:col>
      <xdr:colOff>476250</xdr:colOff>
      <xdr:row>39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FB701D-7939-4048-990B-02EBB117B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307976</xdr:colOff>
      <xdr:row>22</xdr:row>
      <xdr:rowOff>12701</xdr:rowOff>
    </xdr:from>
    <xdr:to>
      <xdr:col>38</xdr:col>
      <xdr:colOff>466725</xdr:colOff>
      <xdr:row>39</xdr:row>
      <xdr:rowOff>25401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4A6B98-19A6-4D4E-9489-6DC2C8E42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C7CB328-959E-4A60-B47F-C5BE4432D001}" name="Table1264348" displayName="Table1264348" ref="A1:G52" totalsRowCount="1">
  <autoFilter ref="A1:G51" xr:uid="{23CD3825-5CF2-4BAA-9AFF-E8A1CC84BDCB}"/>
  <sortState ref="A2:G51">
    <sortCondition ref="B1:B51"/>
  </sortState>
  <tableColumns count="7">
    <tableColumn id="1" xr3:uid="{E4A87F51-F768-49B1-B0B6-B35AFE419D5A}" name="Cycle id" totalsRowLabel="Total"/>
    <tableColumn id="2" xr3:uid="{43DF47D8-544E-469E-97B6-A8A37F7866FA}" name=" Cycle size"/>
    <tableColumn id="3" xr3:uid="{A8515A0E-F5DC-46FB-8A16-E7D11997E83B}" name="JaccardCoefficient" totalsRowFunction="average"/>
    <tableColumn id="4" xr3:uid="{AB29773E-EAE6-428B-83A5-B5CE03C5D3CA}" name="MismatchDistanceCoefficient" totalsRowFunction="average"/>
    <tableColumn id="5" xr3:uid="{0357104E-F729-4458-B363-767F27E5E8BA}" name="KendallTauCorrelation" totalsRowFunction="average"/>
    <tableColumn id="6" xr3:uid="{A83A8951-7DCA-4C8B-B98F-D45CA17130EE}" name="MismatchPositionCoefficient" totalsRowFunction="average"/>
    <tableColumn id="7" xr3:uid="{966F9BF4-E0FB-47E8-A10A-5809D2242C57}" name="DiscountedCumulativeGain" totalsRowFunction="aver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99C9843-858C-4DF7-B7DF-C947B704A4A3}" name="Table12633" displayName="Table12633" ref="A1:G52" totalsRowCount="1">
  <autoFilter ref="A1:G51" xr:uid="{CD200457-848E-431A-96AF-C7762CE39C3D}"/>
  <sortState ref="A2:G31">
    <sortCondition ref="B1:B31"/>
  </sortState>
  <tableColumns count="7">
    <tableColumn id="1" xr3:uid="{C99F4F58-FEB5-4DA6-A79F-C2E952EE5045}" name="Cycle id" totalsRowLabel="Total"/>
    <tableColumn id="2" xr3:uid="{C0D06C3A-C545-44F5-A2E0-28161055BD72}" name=" Cycle size"/>
    <tableColumn id="3" xr3:uid="{90AA1839-1C4A-4F77-A90C-A28FA2446C5B}" name="JaccardCoefficient" totalsRowFunction="average"/>
    <tableColumn id="4" xr3:uid="{77D8A137-6A03-4C80-8173-017F6BD3025E}" name="MismatchDistanceCoefficient" totalsRowFunction="average"/>
    <tableColumn id="5" xr3:uid="{7262B6E8-15CE-4B2D-A290-205ECD2E8083}" name="KendallTauCorrelation" totalsRowFunction="average"/>
    <tableColumn id="6" xr3:uid="{E4EA6AE1-8398-4F5A-8C12-03FC3DAEFA98}" name="MismatchPositionCoefficient" totalsRowFunction="average"/>
    <tableColumn id="7" xr3:uid="{DBDE42B3-AE80-43B8-9046-A3DC4AB87BE1}" name="DiscountedCumulativeGain" totalsRowFunction="average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1EF5BA4-9C17-4EF6-9EF4-9D5095729180}" name="Table3634" displayName="Table3634" ref="I1:L22" totalsRowShown="0">
  <tableColumns count="4">
    <tableColumn id="1" xr3:uid="{A1C6A7F0-762F-48EF-927C-5D2585BC2901}" name="Cycle size" dataDxfId="72"/>
    <tableColumn id="2" xr3:uid="{49AB9E08-F0C0-41E1-9B4D-CF5A4F21526E}" name="Jaccard " dataDxfId="71">
      <calculatedColumnFormula>AVERAGEIF(Table12633[[ Cycle size]],I2,Table12633[JaccardCoefficient])</calculatedColumnFormula>
    </tableColumn>
    <tableColumn id="3" xr3:uid="{9B5D77C5-B82F-4D89-BD20-97A4EB1477BB}" name="Kendall" dataDxfId="70">
      <calculatedColumnFormula>AVERAGEIF(Table12633[ [ Cycle size] ],I2,Table12633[KendallTauCorrelation])</calculatedColumnFormula>
    </tableColumn>
    <tableColumn id="4" xr3:uid="{9584E443-EF5A-4DDC-BE94-B438EABE698C}" name="DCG" dataDxfId="69">
      <calculatedColumnFormula>AVERAGEIF(Table12633[ [ Cycle size] ],I2,Table12633[DiscountedCumulativeGain])</calculatedColumnFormula>
    </tableColumn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FFBCC-54A7-424C-8C27-031909A8D368}" name="Table36342" displayName="Table36342" ref="N1:Q4" totalsRowShown="0" headerRowDxfId="28" dataDxfId="27" headerRowBorderDxfId="34" tableBorderDxfId="35" totalsRowBorderDxfId="33">
  <tableColumns count="4">
    <tableColumn id="1" xr3:uid="{0BC54830-9414-4967-A44C-5643AF3D5C83}" name="Statistic" dataDxfId="32"/>
    <tableColumn id="2" xr3:uid="{B5205AE3-7377-40C6-9CF5-779406ED3F69}" name="Jaccard " dataDxfId="31">
      <calculatedColumnFormula>AVERAGEIF(Table12633[[ Cycle size]],N2,Table12633[JaccardCoefficient])</calculatedColumnFormula>
    </tableColumn>
    <tableColumn id="3" xr3:uid="{2FE1B159-7A82-4737-879B-6AEDA0194214}" name="Kendall" dataDxfId="30">
      <calculatedColumnFormula>AVERAGEIF(Table12633[ [ Cycle size] ],N2,Table12633[KendallTauCorrelation])</calculatedColumnFormula>
    </tableColumn>
    <tableColumn id="4" xr3:uid="{DFB9A572-DBE2-43EA-8016-41A3BF46D0DB}" name="DCG" dataDxfId="29">
      <calculatedColumnFormula>AVERAGEIF(Table12633[ [ Cycle size] ],N2,Table12633[DiscountedCumulativeGain])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68" dataDxfId="67">
  <autoFilter ref="A1:D5" xr:uid="{00000000-0009-0000-0100-000009000000}"/>
  <tableColumns count="4">
    <tableColumn id="1" xr3:uid="{00000000-0010-0000-0800-000001000000}" name="Model" dataDxfId="66"/>
    <tableColumn id="2" xr3:uid="{00000000-0010-0000-0800-000002000000}" name="5" dataDxfId="65"/>
    <tableColumn id="3" xr3:uid="{00000000-0010-0000-0800-000003000000}" name="25" dataDxfId="64"/>
    <tableColumn id="4" xr3:uid="{00000000-0010-0000-0800-000004000000}" name="50" dataDxfId="63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62" dataDxfId="61">
  <autoFilter ref="A1:D5" xr:uid="{8A959E55-9473-4EF7-ADCD-173BCA70F2F6}"/>
  <tableColumns count="4">
    <tableColumn id="1" xr3:uid="{239E2949-9546-4517-84DE-87E133191387}" name="Model" dataDxfId="60"/>
    <tableColumn id="2" xr3:uid="{774D349E-D602-4D8A-90D6-61DB6BD2AD4E}" name="5" dataDxfId="59"/>
    <tableColumn id="3" xr3:uid="{832CDC12-250F-4522-9610-EBB53510889F}" name="25" dataDxfId="58"/>
    <tableColumn id="4" xr3:uid="{8C7FC36E-6CFF-491C-9B72-866C71E0AC87}" name="50" dataDxfId="5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56" dataDxfId="55">
  <autoFilter ref="A1:D5" xr:uid="{8A959E55-9473-4EF7-ADCD-173BCA70F2F6}"/>
  <tableColumns count="4">
    <tableColumn id="1" xr3:uid="{A2304EAD-C29E-41E6-90F1-2750C01D329E}" name="Model" dataDxfId="54"/>
    <tableColumn id="2" xr3:uid="{09BC7742-4DA7-4249-93E5-324E3D7C9D47}" name="5" dataDxfId="53"/>
    <tableColumn id="3" xr3:uid="{A71ACE98-5F26-4CDD-9717-2F0C6E76B864}" name="25" dataDxfId="52"/>
    <tableColumn id="4" xr3:uid="{72EC72BD-E403-4E55-898D-CC711A20C4EF}" name="50" dataDxfId="5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50" dataDxfId="49">
  <autoFilter ref="A1:D5" xr:uid="{8A959E55-9473-4EF7-ADCD-173BCA70F2F6}"/>
  <tableColumns count="4">
    <tableColumn id="1" xr3:uid="{F5D38831-3CF8-4141-A1F4-E53ADB3A804C}" name="Model" dataDxfId="48"/>
    <tableColumn id="2" xr3:uid="{18A57BE0-AC3D-4A45-B274-4383A0ABC6B7}" name="5" dataDxfId="47"/>
    <tableColumn id="3" xr3:uid="{4D6B4A6C-09E0-4E65-AD8C-808C63E64927}" name="25" dataDxfId="46"/>
    <tableColumn id="4" xr3:uid="{8C5316D4-1A40-48BF-90C7-4D27CEB38B4D}" name="50" dataDxfId="4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44" dataDxfId="43">
  <autoFilter ref="A1:D5" xr:uid="{8A959E55-9473-4EF7-ADCD-173BCA70F2F6}"/>
  <tableColumns count="4">
    <tableColumn id="1" xr3:uid="{32135BED-1F04-4B05-8683-75631D6DFA3C}" name="Model" dataDxfId="42"/>
    <tableColumn id="2" xr3:uid="{7E5A33E3-DA7F-4D46-80FD-35B8B7D693E0}" name="5" dataDxfId="41"/>
    <tableColumn id="3" xr3:uid="{FD11EDB1-049A-49E7-8954-7B22EEB5700D}" name="25" dataDxfId="40"/>
    <tableColumn id="4" xr3:uid="{46D3A56B-2A8A-46A3-A893-7FE6F12167A9}" name="50" dataDxfId="3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38"/>
    <tableColumn id="3" xr3:uid="{9B9F262C-7988-45A2-8D49-040A0D4BDE46}" name="25" dataDxfId="37"/>
    <tableColumn id="4" xr3:uid="{D8D5F2CD-7013-410D-BE3E-1052B5FF0DE3}" name="50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712014E-FC37-436E-8092-68E5FBF30E27}" name="Table364449" displayName="Table364449" ref="I1:L22" totalsRowShown="0">
  <tableColumns count="4">
    <tableColumn id="1" xr3:uid="{84AFCD5A-1FEB-4321-940D-7B7E6FA2D485}" name="Cycle size" dataDxfId="84"/>
    <tableColumn id="2" xr3:uid="{DF6742EE-55DF-430B-B71D-2F427CBBA4C7}" name="Jaccard " dataDxfId="83">
      <calculatedColumnFormula>AVERAGEIF(Table1264348[[ Cycle size]],I2,Table1264348[JaccardCoefficient])</calculatedColumnFormula>
    </tableColumn>
    <tableColumn id="3" xr3:uid="{43F66FD1-4B4C-47A5-8001-0E24D7EF0650}" name="Kendall" dataDxfId="82">
      <calculatedColumnFormula>AVERAGEIF(Table1264348[ [ Cycle size] ],I2,Table1264348[KendallTauCorrelation])</calculatedColumnFormula>
    </tableColumn>
    <tableColumn id="4" xr3:uid="{AC28AFAA-DE30-4EC7-B0AF-45CEFAA1E5A3}" name="DCG" dataDxfId="81">
      <calculatedColumnFormula>AVERAGEIF(Table1264348[ [ Cycle size] ],I2,Table1264348[DiscountedCumulativeGain])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6C51E6-E4A6-4998-9788-882EB7B474DF}" name="Table36342789" displayName="Table36342789" ref="N1:Q4" totalsRowShown="0" headerRowDxfId="8" dataDxfId="7" headerRowBorderDxfId="5" tableBorderDxfId="6" totalsRowBorderDxfId="4">
  <tableColumns count="4">
    <tableColumn id="1" xr3:uid="{817BD0B0-4EE4-48B3-8FAB-9C093BBC46F7}" name="Statistic" dataDxfId="3"/>
    <tableColumn id="2" xr3:uid="{B1FCB96A-688A-4C93-BD7A-C3BC9B3033A3}" name="Jaccard " dataDxfId="2">
      <calculatedColumnFormula>AVERAGEIF(Table12633[[ Cycle size]],N2,Table12633[JaccardCoefficient])</calculatedColumnFormula>
    </tableColumn>
    <tableColumn id="3" xr3:uid="{E454E4BE-4357-421F-B3D9-71A56DE45161}" name="Kendall" dataDxfId="1">
      <calculatedColumnFormula>AVERAGEIF(Table12633[ [ Cycle size] ],N2,Table12633[KendallTauCorrelation])</calculatedColumnFormula>
    </tableColumn>
    <tableColumn id="4" xr3:uid="{3C92B5DD-1792-4F84-B5A4-42D340BEE992}" name="DCG" dataDxfId="0">
      <calculatedColumnFormula>AVERAGEIF(Table12633[ [ Cycle size] ],N2,Table12633[DiscountedCumulativeGain])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AC5A7BF-945D-49B2-A2D5-708F8ACBF589}" name="Table3644" displayName="Table3644" ref="I1:L22" totalsRowShown="0">
  <tableColumns count="4">
    <tableColumn id="1" xr3:uid="{78046DA2-C9BA-4A37-A667-0B0A2C3E0471}" name="Cycle size" dataDxfId="80"/>
    <tableColumn id="2" xr3:uid="{0774C44D-573D-4A8D-A3F8-7A15902EE741}" name="Jaccard " dataDxfId="79">
      <calculatedColumnFormula>AVERAGEIF(Table12643[[ Cycle size]],I2,Table12643[JaccardCoefficient])</calculatedColumnFormula>
    </tableColumn>
    <tableColumn id="3" xr3:uid="{29023569-472C-4DA3-A6FD-3778501F605D}" name="Kendall" dataDxfId="78">
      <calculatedColumnFormula>AVERAGEIF(Table12643[ [ Cycle size] ],I2,Table12643[KendallTauCorrelation])</calculatedColumnFormula>
    </tableColumn>
    <tableColumn id="4" xr3:uid="{7EA81829-E064-429A-8428-985796CAAF4A}" name="DCG" dataDxfId="77">
      <calculatedColumnFormula>AVERAGEIF(Table12643[ [ Cycle size] ],I2,Table12643[DiscountedCumulativeGain])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E8FD01C-0C5F-43CA-9BD2-9D356F0968A0}" name="Table12643" displayName="Table12643" ref="A1:G52" totalsRowCount="1">
  <autoFilter ref="A1:G51" xr:uid="{23CD3825-5CF2-4BAA-9AFF-E8A1CC84BDCB}"/>
  <sortState ref="A2:G51">
    <sortCondition ref="B1:B51"/>
  </sortState>
  <tableColumns count="7">
    <tableColumn id="1" xr3:uid="{909C38BF-E876-4D37-843C-F12C90C69205}" name="Cycle id" totalsRowLabel="Total"/>
    <tableColumn id="2" xr3:uid="{F0D3163A-EA54-42B1-A2E6-ADD7CBC82F39}" name=" Cycle size"/>
    <tableColumn id="3" xr3:uid="{CD4324AE-4FB9-4AC8-885D-3AD5E17D0FAE}" name="JaccardCoefficient" totalsRowFunction="average"/>
    <tableColumn id="4" xr3:uid="{255CBAEB-9E5E-4C6C-BABE-7BCA2A77E08B}" name="MismatchDistanceCoefficient" totalsRowFunction="average"/>
    <tableColumn id="5" xr3:uid="{AD2DC070-5386-4D6C-86B4-3CC7B7753783}" name="KendallTauCorrelation" totalsRowFunction="average"/>
    <tableColumn id="6" xr3:uid="{5B2FD6D0-D64C-43A2-8C14-250E4DDB880D}" name="MismatchPositionCoefficient" totalsRowFunction="average"/>
    <tableColumn id="7" xr3:uid="{DF2C25AA-0D0A-4C57-8278-7885B97E244A}" name="DiscountedCumulativeGain" totalsRowFunction="averag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57D4D5-4C80-420C-8AAC-1F091BF624AE}" name="Table3634278" displayName="Table3634278" ref="N1:Q4" totalsRowShown="0" headerRowDxfId="17" dataDxfId="16" headerRowBorderDxfId="14" tableBorderDxfId="15" totalsRowBorderDxfId="13">
  <tableColumns count="4">
    <tableColumn id="1" xr3:uid="{EB8D64AA-6582-457E-B484-DBDA173BB76A}" name="Statistic" dataDxfId="12"/>
    <tableColumn id="2" xr3:uid="{D0EFE0BB-6353-49A0-BB86-993A061831A6}" name="Jaccard " dataDxfId="11">
      <calculatedColumnFormula>AVERAGEIF(Table12633[[ Cycle size]],N2,Table12633[JaccardCoefficient])</calculatedColumnFormula>
    </tableColumn>
    <tableColumn id="3" xr3:uid="{EAB14AE4-625C-4FB5-B168-3A68B0CE292B}" name="Kendall" dataDxfId="10">
      <calculatedColumnFormula>AVERAGEIF(Table12633[ [ Cycle size] ],N2,Table12633[KendallTauCorrelation])</calculatedColumnFormula>
    </tableColumn>
    <tableColumn id="4" xr3:uid="{3C181F74-0CD7-404C-B783-4206A6DA6254}" name="DCG" dataDxfId="9">
      <calculatedColumnFormula>AVERAGEIF(Table12633[ [ Cycle size] ],N2,Table12633[DiscountedCumulativeGain])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4C0A0B0-5F50-414D-9CB6-E2DC65E45203}" name="Table126" displayName="Table126" ref="A1:G52" totalsRowCount="1">
  <autoFilter ref="A1:G51" xr:uid="{23CD3825-5CF2-4BAA-9AFF-E8A1CC84BDCB}"/>
  <sortState ref="A2:G52">
    <sortCondition ref="B1:B52"/>
  </sortState>
  <tableColumns count="7">
    <tableColumn id="1" xr3:uid="{A9C0F5CF-022E-49B2-A910-29705F69E36C}" name="Cycle id" totalsRowLabel="Total"/>
    <tableColumn id="2" xr3:uid="{66060E60-F26C-4186-87F7-DD78B0F5B2DD}" name=" Cycle size"/>
    <tableColumn id="3" xr3:uid="{09548EF7-C5B9-488A-AE22-319195B115A5}" name="JaccardCoefficient" totalsRowFunction="average"/>
    <tableColumn id="4" xr3:uid="{A6343149-A7AA-4D51-922F-CD425140CC2D}" name="MismatchDistanceCoefficient" totalsRowFunction="average"/>
    <tableColumn id="5" xr3:uid="{3F7BDCC7-2737-48FA-BC9F-79F8B51DAAC8}" name="KendallTauCorrelation" totalsRowFunction="average"/>
    <tableColumn id="6" xr3:uid="{55C430D5-2A4B-453C-9EF3-9B5C263FE655}" name="MismatchPositionCoefficient" totalsRowFunction="average"/>
    <tableColumn id="7" xr3:uid="{9204B3BC-A0E5-449B-B432-909C4EE048C5}" name="DiscountedCumulativeGain" totalsRowFunction="average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31C2CC0-57E2-4EE6-AE9A-6ACDA05D19C2}" name="Table36" displayName="Table36" ref="I1:L22" totalsRowShown="0">
  <tableColumns count="4">
    <tableColumn id="1" xr3:uid="{2DE05368-6AC0-4C85-A0FF-699BF3255BC3}" name="Cycle size" dataDxfId="76"/>
    <tableColumn id="2" xr3:uid="{14637A0D-F072-4269-B9F5-0AABD44ABD10}" name="Jaccard " dataDxfId="75">
      <calculatedColumnFormula>AVERAGEIF(Table126[[ Cycle size]],I2,Table126[JaccardCoefficient])</calculatedColumnFormula>
    </tableColumn>
    <tableColumn id="3" xr3:uid="{B9E2DBF4-3772-4870-8716-706F230E55BF}" name="Kendall" dataDxfId="74">
      <calculatedColumnFormula>AVERAGEIF(Table126[ [ Cycle size] ],I2,Table126[KendallTauCorrelation])</calculatedColumnFormula>
    </tableColumn>
    <tableColumn id="4" xr3:uid="{FE5E51E2-3AC9-48B0-B647-01483E631810}" name="DCG" dataDxfId="73">
      <calculatedColumnFormula>AVERAGEIF(Table126[ [ Cycle size] ],I2,Table126[DiscountedCumulativeGain])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499EE0-BBF4-4E5A-8389-CE5B409AEC47}" name="Table363427" displayName="Table363427" ref="N1:Q4" totalsRowShown="0" headerRowDxfId="26" dataDxfId="25" headerRowBorderDxfId="23" tableBorderDxfId="24" totalsRowBorderDxfId="22">
  <tableColumns count="4">
    <tableColumn id="1" xr3:uid="{D57CA7E8-CD24-4620-808D-F080B5DA7113}" name="Statistic" dataDxfId="21"/>
    <tableColumn id="2" xr3:uid="{790F9B74-A801-46BD-A77A-065A57851391}" name="Jaccard " dataDxfId="20">
      <calculatedColumnFormula>AVERAGEIF(Table12633[[ Cycle size]],N2,Table12633[JaccardCoefficient])</calculatedColumnFormula>
    </tableColumn>
    <tableColumn id="3" xr3:uid="{3F3C5C17-CFB8-4895-A901-C7167E5881C5}" name="Kendall" dataDxfId="19">
      <calculatedColumnFormula>AVERAGEIF(Table12633[ [ Cycle size] ],N2,Table12633[KendallTauCorrelation])</calculatedColumnFormula>
    </tableColumn>
    <tableColumn id="4" xr3:uid="{E87267A8-9D63-4A8F-B775-0CAC14C0E0AD}" name="DCG" dataDxfId="18">
      <calculatedColumnFormula>AVERAGEIF(Table12633[ [ Cycle size] ],N2,Table12633[DiscountedCumulativeGain])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1AB1-78CA-4D3D-8EC0-D7986E7C189E}">
  <dimension ref="A1:Q52"/>
  <sheetViews>
    <sheetView topLeftCell="C1" zoomScale="70" zoomScaleNormal="70" workbookViewId="0">
      <selection activeCell="N15" sqref="N15"/>
    </sheetView>
  </sheetViews>
  <sheetFormatPr defaultRowHeight="14.5" x14ac:dyDescent="0.35"/>
  <cols>
    <col min="1" max="1" width="9.08984375" style="1" customWidth="1"/>
    <col min="2" max="2" width="11.08984375" style="1" customWidth="1"/>
    <col min="3" max="3" width="17.90625" style="1" customWidth="1"/>
    <col min="4" max="4" width="25.54296875" style="1" customWidth="1"/>
    <col min="5" max="5" width="21.54296875" style="1" customWidth="1"/>
    <col min="6" max="6" width="18.36328125" style="1" customWidth="1"/>
    <col min="7" max="8" width="8.7265625" style="1"/>
    <col min="9" max="9" width="12.90625" style="11" customWidth="1"/>
    <col min="10" max="10" width="7.81640625" style="11" customWidth="1"/>
    <col min="11" max="11" width="8.7265625" style="1" customWidth="1"/>
    <col min="12" max="12" width="8.7265625" style="1"/>
    <col min="13" max="13" width="10.6328125" style="1" customWidth="1"/>
    <col min="14" max="14" width="21.36328125" style="1" customWidth="1"/>
    <col min="15" max="15" width="10.453125" style="1" customWidth="1"/>
    <col min="16" max="17" width="8.7265625" style="1"/>
    <col min="18" max="18" width="10.26953125" style="1" customWidth="1"/>
    <col min="19" max="16384" width="8.7265625" style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8" t="s">
        <v>40</v>
      </c>
      <c r="O1" s="19" t="s">
        <v>33</v>
      </c>
      <c r="P1" s="19" t="s">
        <v>29</v>
      </c>
      <c r="Q1" s="20" t="s">
        <v>34</v>
      </c>
    </row>
    <row r="2" spans="1:17" x14ac:dyDescent="0.3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AVERAGEIF(Table1264348[[ Cycle size]],I2,Table1264348[JaccardCoefficient])</f>
        <v>1</v>
      </c>
      <c r="K2" s="2">
        <f>AVERAGEIF(Table1264348[ [ Cycle size] ],I2,Table1264348[KendallTauCorrelation])</f>
        <v>1</v>
      </c>
      <c r="L2" s="2">
        <f>AVERAGEIF(Table1264348[ [ Cycle size] ],I2,Table1264348[DiscountedCumulativeGain])</f>
        <v>1</v>
      </c>
      <c r="N2" s="21" t="s">
        <v>41</v>
      </c>
      <c r="O2" s="22">
        <f>CORREL(I2:I22, J2:J22)</f>
        <v>-0.75612519234561926</v>
      </c>
      <c r="P2" s="22">
        <f>CORREL(I2:I22, K2:K22)</f>
        <v>0.14679482417616607</v>
      </c>
      <c r="Q2" s="23">
        <f>CORREL(I2:I22, L2:L22)</f>
        <v>-0.89741626153717469</v>
      </c>
    </row>
    <row r="3" spans="1:17" x14ac:dyDescent="0.3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AVERAGEIF(Table1264348[[ Cycle size]],I3,Table1264348[JaccardCoefficient])</f>
        <v>0.86666666666666659</v>
      </c>
      <c r="K3" s="2">
        <f>AVERAGEIF(Table1264348[ [ Cycle size] ],I3,Table1264348[KendallTauCorrelation])</f>
        <v>0.86666666666666659</v>
      </c>
      <c r="L3" s="2">
        <f>AVERAGEIF(Table1264348[ [ Cycle size] ],I3,Table1264348[DiscountedCumulativeGain])</f>
        <v>0.91746881399038804</v>
      </c>
      <c r="N3" s="24" t="s">
        <v>40</v>
      </c>
      <c r="O3" s="25" t="s">
        <v>33</v>
      </c>
      <c r="P3" s="25" t="s">
        <v>29</v>
      </c>
      <c r="Q3" s="26" t="s">
        <v>34</v>
      </c>
    </row>
    <row r="4" spans="1:17" x14ac:dyDescent="0.35">
      <c r="A4" s="1">
        <v>10.199999999999999</v>
      </c>
      <c r="B4" s="1">
        <v>3</v>
      </c>
      <c r="C4" s="1">
        <v>0.33333333333333298</v>
      </c>
      <c r="D4" s="1">
        <v>0.5</v>
      </c>
      <c r="E4" s="1">
        <v>0.33333333333333298</v>
      </c>
      <c r="F4" s="1">
        <v>0.5</v>
      </c>
      <c r="G4" s="1">
        <v>0.58734406995194</v>
      </c>
      <c r="I4" s="12">
        <v>4</v>
      </c>
      <c r="J4" s="2">
        <f>AVERAGEIF(Table1264348[[ Cycle size]],I4,Table1264348[JaccardCoefficient])</f>
        <v>0.83333333333333337</v>
      </c>
      <c r="K4" s="2">
        <f>AVERAGEIF(Table1264348[ [ Cycle size] ],I4,Table1264348[KendallTauCorrelation])</f>
        <v>0.88888888888888873</v>
      </c>
      <c r="L4" s="2">
        <f>AVERAGEIF(Table1264348[ [ Cycle size] ],I4,Table1264348[DiscountedCumulativeGain])</f>
        <v>0.91746881399038804</v>
      </c>
      <c r="N4" s="27" t="s">
        <v>43</v>
      </c>
      <c r="O4" s="28">
        <f>CORREL(I2:I20, J2:J20)</f>
        <v>-0.64686361282490557</v>
      </c>
      <c r="P4" s="28">
        <f>CORREL(I2:I20, K2:K20)</f>
        <v>0.21339957776542165</v>
      </c>
      <c r="Q4" s="29">
        <f>CORREL(I2:I20, L2:L20)</f>
        <v>-0.67510037215646967</v>
      </c>
    </row>
    <row r="5" spans="1:17" x14ac:dyDescent="0.3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AVERAGEIF(Table1264348[[ Cycle size]],I5,Table1264348[JaccardCoefficient])</f>
        <v>1</v>
      </c>
      <c r="K5" s="2">
        <f>AVERAGEIF(Table1264348[ [ Cycle size] ],I5,Table1264348[KendallTauCorrelation])</f>
        <v>1</v>
      </c>
      <c r="L5" s="2">
        <f>AVERAGEIF(Table1264348[ [ Cycle size] ],I5,Table1264348[DiscountedCumulativeGain])</f>
        <v>1</v>
      </c>
    </row>
    <row r="6" spans="1:17" x14ac:dyDescent="0.3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AVERAGEIF(Table1264348[[ Cycle size]],I6,Table1264348[JaccardCoefficient])</f>
        <v>0.72222222222222199</v>
      </c>
      <c r="K6" s="2">
        <f>AVERAGEIF(Table1264348[ [ Cycle size] ],I6,Table1264348[KendallTauCorrelation])</f>
        <v>0.86666666666666625</v>
      </c>
      <c r="L6" s="2">
        <f>AVERAGEIF(Table1264348[ [ Cycle size] ],I6,Table1264348[DiscountedCumulativeGain])</f>
        <v>0.94776052604962568</v>
      </c>
    </row>
    <row r="7" spans="1:17" x14ac:dyDescent="0.3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AVERAGEIF(Table1264348[[ Cycle size]],I7,Table1264348[JaccardCoefficient])</f>
        <v>0.78571428571428548</v>
      </c>
      <c r="K7" s="2">
        <f>AVERAGEIF(Table1264348[ [ Cycle size] ],I7,Table1264348[KendallTauCorrelation])</f>
        <v>0.92857142857142794</v>
      </c>
      <c r="L7" s="2">
        <f>AVERAGEIF(Table1264348[ [ Cycle size] ],I7,Table1264348[DiscountedCumulativeGain])</f>
        <v>0.9651137488820678</v>
      </c>
    </row>
    <row r="8" spans="1:17" x14ac:dyDescent="0.35">
      <c r="A8" s="1">
        <v>26.2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AVERAGEIF(Table1264348[[ Cycle size]],I8,Table1264348[JaccardCoefficient])</f>
        <v>1</v>
      </c>
      <c r="K8" s="2">
        <f>AVERAGEIF(Table1264348[ [ Cycle size] ],I8,Table1264348[KendallTauCorrelation])</f>
        <v>1</v>
      </c>
      <c r="L8" s="2">
        <f>AVERAGEIF(Table1264348[ [ Cycle size] ],I8,Table1264348[DiscountedCumulativeGain])</f>
        <v>1</v>
      </c>
    </row>
    <row r="9" spans="1:17" x14ac:dyDescent="0.3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AVERAGEIF(Table1264348[[ Cycle size]],I9,Table1264348[JaccardCoefficient])</f>
        <v>0.7333333333333325</v>
      </c>
      <c r="K9" s="2">
        <f>AVERAGEIF(Table1264348[ [ Cycle size] ],I9,Table1264348[KendallTauCorrelation])</f>
        <v>0.93333333333333268</v>
      </c>
      <c r="L9" s="2">
        <f>AVERAGEIF(Table1264348[ [ Cycle size] ],I9,Table1264348[DiscountedCumulativeGain])</f>
        <v>0.9728276114752179</v>
      </c>
    </row>
    <row r="10" spans="1:17" x14ac:dyDescent="0.35">
      <c r="A10" s="1">
        <v>50.2</v>
      </c>
      <c r="B10" s="1">
        <v>4</v>
      </c>
      <c r="C10" s="1">
        <v>0.5</v>
      </c>
      <c r="D10" s="1">
        <v>0.75</v>
      </c>
      <c r="E10" s="1">
        <v>0.66666666666666596</v>
      </c>
      <c r="F10" s="1">
        <v>0.5</v>
      </c>
      <c r="G10" s="1">
        <v>0.75240644197116402</v>
      </c>
      <c r="I10" s="12">
        <v>10</v>
      </c>
      <c r="J10" s="2">
        <f>AVERAGEIF(Table1264348[[ Cycle size]],I10,Table1264348[JaccardCoefficient])</f>
        <v>0.53333333333333333</v>
      </c>
      <c r="K10" s="2">
        <f>AVERAGEIF(Table1264348[ [ Cycle size] ],I10,Table1264348[KendallTauCorrelation])</f>
        <v>0.8518518518518513</v>
      </c>
      <c r="L10" s="2">
        <f>AVERAGEIF(Table1264348[ [ Cycle size] ],I10,Table1264348[DiscountedCumulativeGain])</f>
        <v>0.90525480001630376</v>
      </c>
    </row>
    <row r="11" spans="1:17" x14ac:dyDescent="0.3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AVERAGEIF(Table1264348[[ Cycle size]],I11,Table1264348[JaccardCoefficient])</f>
        <v>0.69999999999999984</v>
      </c>
      <c r="K11" s="2">
        <f>AVERAGEIF(Table1264348[ [ Cycle size] ],I11,Table1264348[KendallTauCorrelation])</f>
        <v>0.92727272727272703</v>
      </c>
      <c r="L11" s="2">
        <f>AVERAGEIF(Table1264348[ [ Cycle size] ],I11,Table1264348[DiscountedCumulativeGain])</f>
        <v>0.91151468175840888</v>
      </c>
    </row>
    <row r="12" spans="1:17" x14ac:dyDescent="0.35">
      <c r="A12" s="1">
        <v>9.1999999999999993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AVERAGEIF(Table1264348[[ Cycle size]],I12,Table1264348[JaccardCoefficient])</f>
        <v>0.69047619047618991</v>
      </c>
      <c r="K12" s="2">
        <f>AVERAGEIF(Table1264348[ [ Cycle size] ],I12,Table1264348[KendallTauCorrelation])</f>
        <v>0.94871794871794857</v>
      </c>
      <c r="L12" s="2">
        <f>AVERAGEIF(Table1264348[ [ Cycle size] ],I12,Table1264348[DiscountedCumulativeGain])</f>
        <v>0.8516166275022603</v>
      </c>
    </row>
    <row r="13" spans="1:17" x14ac:dyDescent="0.35">
      <c r="A13" s="1">
        <v>27.2</v>
      </c>
      <c r="B13" s="1">
        <v>6</v>
      </c>
      <c r="C13" s="1">
        <v>0.5</v>
      </c>
      <c r="D13" s="1">
        <v>0.77777777777777701</v>
      </c>
      <c r="E13" s="1">
        <v>0.73333333333333295</v>
      </c>
      <c r="F13" s="1">
        <v>0.42857142857142799</v>
      </c>
      <c r="G13" s="1">
        <v>0.850332604412121</v>
      </c>
      <c r="I13" s="12">
        <v>15</v>
      </c>
      <c r="J13" s="2">
        <f>AVERAGEIF(Table1264348[[ Cycle size]],I13,Table1264348[JaccardCoefficient])</f>
        <v>1</v>
      </c>
      <c r="K13" s="2">
        <f>AVERAGEIF(Table1264348[ [ Cycle size] ],I13,Table1264348[KendallTauCorrelation])</f>
        <v>1</v>
      </c>
      <c r="L13" s="2">
        <f>AVERAGEIF(Table1264348[ [ Cycle size] ],I13,Table1264348[DiscountedCumulativeGain])</f>
        <v>1</v>
      </c>
    </row>
    <row r="14" spans="1:17" x14ac:dyDescent="0.35">
      <c r="A14" s="1">
        <v>30.2</v>
      </c>
      <c r="B14" s="1">
        <v>6</v>
      </c>
      <c r="C14" s="1">
        <v>0.66666666666666596</v>
      </c>
      <c r="D14" s="1">
        <v>0.88888888888888795</v>
      </c>
      <c r="E14" s="1">
        <v>0.86666666666666603</v>
      </c>
      <c r="F14" s="1">
        <v>0.76190476190476097</v>
      </c>
      <c r="G14" s="1">
        <v>0.99294897373675595</v>
      </c>
      <c r="I14" s="12">
        <v>16</v>
      </c>
      <c r="J14" s="2">
        <f>AVERAGEIF(Table1264348[[ Cycle size]],I14,Table1264348[JaccardCoefficient])</f>
        <v>0.71875</v>
      </c>
      <c r="K14" s="2">
        <f>AVERAGEIF(Table1264348[ [ Cycle size] ],I14,Table1264348[KendallTauCorrelation])</f>
        <v>0.95833333333333304</v>
      </c>
      <c r="L14" s="2">
        <f>AVERAGEIF(Table1264348[ [ Cycle size] ],I14,Table1264348[DiscountedCumulativeGain])</f>
        <v>0.94078635161054702</v>
      </c>
    </row>
    <row r="15" spans="1:17" x14ac:dyDescent="0.35">
      <c r="A15" s="1">
        <v>1.2</v>
      </c>
      <c r="B15" s="1">
        <v>7</v>
      </c>
      <c r="C15" s="1">
        <v>0.71428571428571397</v>
      </c>
      <c r="D15" s="1">
        <v>0.91666666666666596</v>
      </c>
      <c r="E15" s="1">
        <v>0.90476190476190399</v>
      </c>
      <c r="F15" s="1">
        <v>0.75</v>
      </c>
      <c r="G15" s="1">
        <v>0.99471173030256699</v>
      </c>
      <c r="I15" s="12">
        <v>17</v>
      </c>
      <c r="J15" s="2">
        <f>AVERAGEIF(Table1264348[[ Cycle size]],I15,Table1264348[JaccardCoefficient])</f>
        <v>0.64705882352941146</v>
      </c>
      <c r="K15" s="2">
        <f>AVERAGEIF(Table1264348[ [ Cycle size] ],I15,Table1264348[KendallTauCorrelation])</f>
        <v>0.9485294117647054</v>
      </c>
      <c r="L15" s="2">
        <f>AVERAGEIF(Table1264348[ [ Cycle size] ],I15,Table1264348[DiscountedCumulativeGain])</f>
        <v>0.89377529369511199</v>
      </c>
    </row>
    <row r="16" spans="1:17" x14ac:dyDescent="0.35">
      <c r="A16" s="1">
        <v>6.2</v>
      </c>
      <c r="B16" s="1">
        <v>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I16" s="12">
        <v>18</v>
      </c>
      <c r="J16" s="2">
        <f>AVERAGEIF(Table1264348[[ Cycle size]],I16,Table1264348[JaccardCoefficient])</f>
        <v>0.63888888888888851</v>
      </c>
      <c r="K16" s="2">
        <f>AVERAGEIF(Table1264348[ [ Cycle size] ],I16,Table1264348[KendallTauCorrelation])</f>
        <v>0.94771241830065356</v>
      </c>
      <c r="L16" s="2">
        <f>AVERAGEIF(Table1264348[ [ Cycle size] ],I16,Table1264348[DiscountedCumulativeGain])</f>
        <v>0.827254450158597</v>
      </c>
    </row>
    <row r="17" spans="1:12" x14ac:dyDescent="0.35">
      <c r="A17" s="1">
        <v>8.1999999999999993</v>
      </c>
      <c r="B17" s="1">
        <v>7</v>
      </c>
      <c r="C17" s="1">
        <v>0.71428571428571397</v>
      </c>
      <c r="D17" s="1">
        <v>0.91666666666666596</v>
      </c>
      <c r="E17" s="1">
        <v>0.90476190476190399</v>
      </c>
      <c r="F17" s="1">
        <v>0.82142857142857095</v>
      </c>
      <c r="G17" s="1">
        <v>0.95366849560259803</v>
      </c>
      <c r="I17" s="12">
        <v>20</v>
      </c>
      <c r="J17" s="2">
        <f>AVERAGEIF(Table1264348[[ Cycle size]],I17,Table1264348[JaccardCoefficient])</f>
        <v>0.625</v>
      </c>
      <c r="K17" s="2">
        <f>AVERAGEIF(Table1264348[ [ Cycle size] ],I17,Table1264348[KendallTauCorrelation])</f>
        <v>0.94736842105263097</v>
      </c>
      <c r="L17" s="2">
        <f>AVERAGEIF(Table1264348[ [ Cycle size] ],I17,Table1264348[DiscountedCumulativeGain])</f>
        <v>0.83244503878446896</v>
      </c>
    </row>
    <row r="18" spans="1:12" x14ac:dyDescent="0.35">
      <c r="A18" s="1">
        <v>43.2</v>
      </c>
      <c r="B18" s="1">
        <v>7</v>
      </c>
      <c r="C18" s="1">
        <v>0.71428571428571397</v>
      </c>
      <c r="D18" s="1">
        <v>0.91666666666666596</v>
      </c>
      <c r="E18" s="1">
        <v>0.90476190476190399</v>
      </c>
      <c r="F18" s="1">
        <v>0.89285714285714202</v>
      </c>
      <c r="G18" s="1">
        <v>0.91207476962310596</v>
      </c>
      <c r="I18" s="12">
        <v>21</v>
      </c>
      <c r="J18" s="2">
        <f>AVERAGEIF(Table1264348[[ Cycle size]],I18,Table1264348[JaccardCoefficient])</f>
        <v>0.57142857142857095</v>
      </c>
      <c r="K18" s="2">
        <f>AVERAGEIF(Table1264348[ [ Cycle size] ],I18,Table1264348[KendallTauCorrelation])</f>
        <v>0.92380952380952297</v>
      </c>
      <c r="L18" s="2">
        <f>AVERAGEIF(Table1264348[ [ Cycle size] ],I18,Table1264348[DiscountedCumulativeGain])</f>
        <v>0.908828549327098</v>
      </c>
    </row>
    <row r="19" spans="1:12" x14ac:dyDescent="0.3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AVERAGEIF(Table1264348[[ Cycle size]],I19,Table1264348[JaccardCoefficient])</f>
        <v>0.56000000000000005</v>
      </c>
      <c r="K19" s="2">
        <f>AVERAGEIF(Table1264348[ [ Cycle size] ],I19,Table1264348[KendallTauCorrelation])</f>
        <v>0.95333333333333303</v>
      </c>
      <c r="L19" s="2">
        <f>AVERAGEIF(Table1264348[ [ Cycle size] ],I19,Table1264348[DiscountedCumulativeGain])</f>
        <v>0.78215361922821403</v>
      </c>
    </row>
    <row r="20" spans="1:12" x14ac:dyDescent="0.35">
      <c r="A20" s="1">
        <v>13.2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AVERAGEIF(Table1264348[[ Cycle size]],I20,Table1264348[JaccardCoefficient])</f>
        <v>0.63333333333333297</v>
      </c>
      <c r="K20" s="2">
        <f>AVERAGEIF(Table1264348[ [ Cycle size] ],I20,Table1264348[KendallTauCorrelation])</f>
        <v>0.96321839080459704</v>
      </c>
      <c r="L20" s="2">
        <f>AVERAGEIF(Table1264348[ [ Cycle size] ],I20,Table1264348[DiscountedCumulativeGain])</f>
        <v>0.86882515558734796</v>
      </c>
    </row>
    <row r="21" spans="1:12" x14ac:dyDescent="0.35">
      <c r="A21" s="1">
        <v>29.2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AVERAGEIF(Table1264348[[ Cycle size]],I21,Table1264348[JaccardCoefficient])</f>
        <v>0.42499999999999999</v>
      </c>
      <c r="K21" s="2">
        <f>AVERAGEIF(Table1264348[ [ Cycle size] ],I21,Table1264348[KendallTauCorrelation])</f>
        <v>0.92820512820512802</v>
      </c>
      <c r="L21" s="2">
        <f>AVERAGEIF(Table1264348[ [ Cycle size] ],I21,Table1264348[DiscountedCumulativeGain])</f>
        <v>0.653687345422727</v>
      </c>
    </row>
    <row r="22" spans="1:12" x14ac:dyDescent="0.35">
      <c r="A22" s="1">
        <v>2.2000000000000002</v>
      </c>
      <c r="B22" s="1">
        <v>9</v>
      </c>
      <c r="C22" s="1">
        <v>0.77777777777777701</v>
      </c>
      <c r="D22" s="1">
        <v>0.95</v>
      </c>
      <c r="E22" s="1">
        <v>0.94444444444444398</v>
      </c>
      <c r="F22" s="1">
        <v>0.88888888888888795</v>
      </c>
      <c r="G22" s="1">
        <v>0.91894506872036597</v>
      </c>
      <c r="I22" s="12">
        <v>90</v>
      </c>
      <c r="J22" s="2">
        <f>AVERAGEIF(Table1264348[[ Cycle size]],I22,Table1264348[JaccardCoefficient])</f>
        <v>0.27777777777777701</v>
      </c>
      <c r="K22" s="2">
        <f>AVERAGEIF(Table1264348[ [ Cycle size] ],I22,Table1264348[KendallTauCorrelation])</f>
        <v>0.958052434456928</v>
      </c>
      <c r="L22" s="2">
        <f>AVERAGEIF(Table1264348[ [ Cycle size] ],I22,Table1264348[DiscountedCumulativeGain])</f>
        <v>0.52312796643965798</v>
      </c>
    </row>
    <row r="23" spans="1:12" x14ac:dyDescent="0.35">
      <c r="A23" s="1">
        <v>11.2</v>
      </c>
      <c r="B23" s="1">
        <v>9</v>
      </c>
      <c r="C23" s="1">
        <v>0.77777777777777701</v>
      </c>
      <c r="D23" s="1">
        <v>0.95</v>
      </c>
      <c r="E23" s="1">
        <v>0.94444444444444398</v>
      </c>
      <c r="F23" s="1">
        <v>0.71111111111111103</v>
      </c>
      <c r="G23" s="1">
        <v>0.97731195920362102</v>
      </c>
      <c r="I23" s="1"/>
      <c r="J23" s="1"/>
    </row>
    <row r="24" spans="1:12" x14ac:dyDescent="0.35">
      <c r="A24" s="1">
        <v>17.2</v>
      </c>
      <c r="B24" s="1">
        <v>9</v>
      </c>
      <c r="C24" s="1">
        <v>0.55555555555555503</v>
      </c>
      <c r="D24" s="1">
        <v>0.9</v>
      </c>
      <c r="E24" s="1">
        <v>0.88888888888888795</v>
      </c>
      <c r="F24" s="1">
        <v>0.51111111111111096</v>
      </c>
      <c r="G24" s="1">
        <v>0.99385954917132902</v>
      </c>
      <c r="I24" s="1"/>
      <c r="J24" s="1"/>
    </row>
    <row r="25" spans="1:12" x14ac:dyDescent="0.35">
      <c r="A25" s="1">
        <v>21.2</v>
      </c>
      <c r="B25" s="1">
        <v>9</v>
      </c>
      <c r="C25" s="1">
        <v>0.77777777777777701</v>
      </c>
      <c r="D25" s="1">
        <v>0.95</v>
      </c>
      <c r="E25" s="1">
        <v>0.94444444444444398</v>
      </c>
      <c r="F25" s="1">
        <v>0.75555555555555498</v>
      </c>
      <c r="G25" s="1">
        <v>0.99670952107715205</v>
      </c>
      <c r="I25" s="1"/>
      <c r="J25" s="1"/>
    </row>
    <row r="26" spans="1:12" x14ac:dyDescent="0.35">
      <c r="A26" s="1">
        <v>40.200000000000003</v>
      </c>
      <c r="B26" s="1">
        <v>9</v>
      </c>
      <c r="C26" s="1">
        <v>0.77777777777777701</v>
      </c>
      <c r="D26" s="1">
        <v>0.95</v>
      </c>
      <c r="E26" s="1">
        <v>0.94444444444444398</v>
      </c>
      <c r="F26" s="1">
        <v>0.71111111111111103</v>
      </c>
      <c r="G26" s="1">
        <v>0.97731195920362102</v>
      </c>
    </row>
    <row r="27" spans="1:12" x14ac:dyDescent="0.35">
      <c r="A27" s="1">
        <v>37.200000000000003</v>
      </c>
      <c r="B27" s="1">
        <v>10</v>
      </c>
      <c r="C27" s="1">
        <v>0.8</v>
      </c>
      <c r="D27" s="1">
        <v>0.92</v>
      </c>
      <c r="E27" s="1">
        <v>0.86666666666666603</v>
      </c>
      <c r="F27" s="1">
        <v>0.74545454545454504</v>
      </c>
      <c r="G27" s="1">
        <v>0.98098937944092701</v>
      </c>
    </row>
    <row r="28" spans="1:12" x14ac:dyDescent="0.35">
      <c r="A28" s="1">
        <v>38.200000000000003</v>
      </c>
      <c r="B28" s="1">
        <v>10</v>
      </c>
      <c r="C28" s="1">
        <v>0.4</v>
      </c>
      <c r="D28" s="1">
        <v>0.84</v>
      </c>
      <c r="E28" s="1">
        <v>0.82222222222222197</v>
      </c>
      <c r="F28" s="1">
        <v>0.36363636363636298</v>
      </c>
      <c r="G28" s="1">
        <v>0.95879615851022904</v>
      </c>
    </row>
    <row r="29" spans="1:12" x14ac:dyDescent="0.35">
      <c r="A29" s="1">
        <v>42.2</v>
      </c>
      <c r="B29" s="1">
        <v>10</v>
      </c>
      <c r="C29" s="1">
        <v>0.4</v>
      </c>
      <c r="D29" s="1">
        <v>0.88</v>
      </c>
      <c r="E29" s="1">
        <v>0.86666666666666603</v>
      </c>
      <c r="F29" s="1">
        <v>0.65454545454545399</v>
      </c>
      <c r="G29" s="1">
        <v>0.77597886209775502</v>
      </c>
    </row>
    <row r="30" spans="1:12" x14ac:dyDescent="0.35">
      <c r="A30" s="1">
        <v>3.2</v>
      </c>
      <c r="B30" s="1">
        <v>12</v>
      </c>
      <c r="C30" s="1">
        <v>0.58333333333333304</v>
      </c>
      <c r="D30" s="1">
        <v>0.91666666666666596</v>
      </c>
      <c r="E30" s="1">
        <v>0.90909090909090895</v>
      </c>
      <c r="F30" s="1">
        <v>0.46153846153846101</v>
      </c>
      <c r="G30" s="1">
        <v>0.99720568251629205</v>
      </c>
    </row>
    <row r="31" spans="1:12" x14ac:dyDescent="0.35">
      <c r="A31" s="1">
        <v>12.2</v>
      </c>
      <c r="B31" s="1">
        <v>12</v>
      </c>
      <c r="C31" s="1">
        <v>0.75</v>
      </c>
      <c r="D31" s="1">
        <v>0.94444444444444398</v>
      </c>
      <c r="E31" s="1">
        <v>0.939393939393939</v>
      </c>
      <c r="F31" s="1">
        <v>0.84615384615384603</v>
      </c>
      <c r="G31" s="1">
        <v>0.89545625682332797</v>
      </c>
    </row>
    <row r="32" spans="1:12" x14ac:dyDescent="0.35">
      <c r="A32" s="1">
        <v>15.2</v>
      </c>
      <c r="B32" s="1">
        <v>12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</row>
    <row r="33" spans="1:7" x14ac:dyDescent="0.35">
      <c r="A33" s="1">
        <v>41.2</v>
      </c>
      <c r="B33" s="1">
        <v>12</v>
      </c>
      <c r="C33" s="1">
        <v>0.83333333333333304</v>
      </c>
      <c r="D33" s="1">
        <v>0.94444444444444398</v>
      </c>
      <c r="E33" s="1">
        <v>0.90909090909090895</v>
      </c>
      <c r="F33" s="1">
        <v>0.82051282051282004</v>
      </c>
      <c r="G33" s="1">
        <v>0.97876891452760095</v>
      </c>
    </row>
    <row r="34" spans="1:7" x14ac:dyDescent="0.35">
      <c r="A34" s="1">
        <v>47.2</v>
      </c>
      <c r="B34" s="1">
        <v>12</v>
      </c>
      <c r="C34" s="1">
        <v>0.33333333333333298</v>
      </c>
      <c r="D34" s="1">
        <v>0.88888888888888795</v>
      </c>
      <c r="E34" s="1">
        <v>0.87878787878787801</v>
      </c>
      <c r="F34" s="1">
        <v>0.64102564102564097</v>
      </c>
      <c r="G34" s="1">
        <v>0.68614255492482401</v>
      </c>
    </row>
    <row r="35" spans="1:7" x14ac:dyDescent="0.35">
      <c r="A35" s="1">
        <v>25.2</v>
      </c>
      <c r="B35" s="1">
        <v>14</v>
      </c>
      <c r="C35" s="1">
        <v>0.57142857142857095</v>
      </c>
      <c r="D35" s="1">
        <v>0.93877551020408101</v>
      </c>
      <c r="E35" s="1">
        <v>0.93406593406593397</v>
      </c>
      <c r="F35" s="1">
        <v>0.72380952380952301</v>
      </c>
      <c r="G35" s="1">
        <v>0.79765835378734296</v>
      </c>
    </row>
    <row r="36" spans="1:7" x14ac:dyDescent="0.35">
      <c r="A36" s="1">
        <v>28.2</v>
      </c>
      <c r="B36" s="1">
        <v>14</v>
      </c>
      <c r="C36" s="1">
        <v>0.85714285714285698</v>
      </c>
      <c r="D36" s="1">
        <v>0.97959183673469297</v>
      </c>
      <c r="E36" s="1">
        <v>0.97802197802197799</v>
      </c>
      <c r="F36" s="1">
        <v>0.76190476190476097</v>
      </c>
      <c r="G36" s="1">
        <v>0.97641966114011003</v>
      </c>
    </row>
    <row r="37" spans="1:7" x14ac:dyDescent="0.35">
      <c r="A37" s="1">
        <v>49.2</v>
      </c>
      <c r="B37" s="1">
        <v>14</v>
      </c>
      <c r="C37" s="1">
        <v>0.64285714285714202</v>
      </c>
      <c r="D37" s="1">
        <v>0.93877551020408101</v>
      </c>
      <c r="E37" s="1">
        <v>0.93406593406593397</v>
      </c>
      <c r="F37" s="1">
        <v>0.85714285714285698</v>
      </c>
      <c r="G37" s="1">
        <v>0.78077186757932804</v>
      </c>
    </row>
    <row r="38" spans="1:7" x14ac:dyDescent="0.35">
      <c r="A38" s="1">
        <v>46.2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35">
      <c r="A39" s="1">
        <v>7.2</v>
      </c>
      <c r="B39" s="1">
        <v>16</v>
      </c>
      <c r="C39" s="1">
        <v>0.5625</v>
      </c>
      <c r="D39" s="1">
        <v>0.9375</v>
      </c>
      <c r="E39" s="1">
        <v>0.93333333333333302</v>
      </c>
      <c r="F39" s="1">
        <v>0.54411764705882304</v>
      </c>
      <c r="G39" s="1">
        <v>0.89111154236173595</v>
      </c>
    </row>
    <row r="40" spans="1:7" x14ac:dyDescent="0.35">
      <c r="A40" s="1">
        <v>34.200000000000003</v>
      </c>
      <c r="B40" s="1">
        <v>16</v>
      </c>
      <c r="C40" s="1">
        <v>0.875</v>
      </c>
      <c r="D40" s="1">
        <v>0.984375</v>
      </c>
      <c r="E40" s="1">
        <v>0.98333333333333295</v>
      </c>
      <c r="F40" s="1">
        <v>0.83088235294117596</v>
      </c>
      <c r="G40" s="1">
        <v>0.99046116085935798</v>
      </c>
    </row>
    <row r="41" spans="1:7" x14ac:dyDescent="0.35">
      <c r="A41" s="1">
        <v>14.2</v>
      </c>
      <c r="B41" s="1">
        <v>17</v>
      </c>
      <c r="C41" s="1">
        <v>0.58823529411764697</v>
      </c>
      <c r="D41" s="1">
        <v>0.94444444444444398</v>
      </c>
      <c r="E41" s="1">
        <v>0.94117647058823495</v>
      </c>
      <c r="F41" s="1">
        <v>0.66013071895424802</v>
      </c>
      <c r="G41" s="1">
        <v>0.82954062337234102</v>
      </c>
    </row>
    <row r="42" spans="1:7" x14ac:dyDescent="0.35">
      <c r="A42" s="1">
        <v>36.200000000000003</v>
      </c>
      <c r="B42" s="1">
        <v>17</v>
      </c>
      <c r="C42" s="1">
        <v>0.70588235294117596</v>
      </c>
      <c r="D42" s="1">
        <v>0.95833333333333304</v>
      </c>
      <c r="E42" s="1">
        <v>0.95588235294117596</v>
      </c>
      <c r="F42" s="1">
        <v>0.62745098039215597</v>
      </c>
      <c r="G42" s="1">
        <v>0.95800996401788296</v>
      </c>
    </row>
    <row r="43" spans="1:7" x14ac:dyDescent="0.35">
      <c r="A43" s="1">
        <v>45.2</v>
      </c>
      <c r="B43" s="1">
        <v>18</v>
      </c>
      <c r="C43" s="1">
        <v>0.55555555555555503</v>
      </c>
      <c r="D43" s="1">
        <v>0.938271604938271</v>
      </c>
      <c r="E43" s="1">
        <v>0.934640522875817</v>
      </c>
      <c r="F43" s="1">
        <v>0.70760233918128601</v>
      </c>
      <c r="G43" s="1">
        <v>0.75973199191140806</v>
      </c>
    </row>
    <row r="44" spans="1:7" x14ac:dyDescent="0.35">
      <c r="A44" s="1">
        <v>48.2</v>
      </c>
      <c r="B44" s="1">
        <v>18</v>
      </c>
      <c r="C44" s="1">
        <v>0.72222222222222199</v>
      </c>
      <c r="D44" s="1">
        <v>0.96296296296296302</v>
      </c>
      <c r="E44" s="1">
        <v>0.96078431372549</v>
      </c>
      <c r="F44" s="1">
        <v>0.74853801169590595</v>
      </c>
      <c r="G44" s="1">
        <v>0.89477690840578605</v>
      </c>
    </row>
    <row r="45" spans="1:7" x14ac:dyDescent="0.35">
      <c r="A45" s="1">
        <v>18.2</v>
      </c>
      <c r="B45" s="1">
        <v>20</v>
      </c>
      <c r="C45" s="1">
        <v>0.65</v>
      </c>
      <c r="D45" s="1">
        <v>0.95</v>
      </c>
      <c r="E45" s="1">
        <v>0.93684210526315703</v>
      </c>
      <c r="F45" s="1">
        <v>0.71904761904761905</v>
      </c>
      <c r="G45" s="1">
        <v>0.83209253493977497</v>
      </c>
    </row>
    <row r="46" spans="1:7" x14ac:dyDescent="0.35">
      <c r="A46" s="1">
        <v>35.200000000000003</v>
      </c>
      <c r="B46" s="1">
        <v>20</v>
      </c>
      <c r="C46" s="1">
        <v>0.6</v>
      </c>
      <c r="D46" s="1">
        <v>0.96</v>
      </c>
      <c r="E46" s="1">
        <v>0.95789473684210502</v>
      </c>
      <c r="F46" s="1">
        <v>0.63809523809523805</v>
      </c>
      <c r="G46" s="1">
        <v>0.83279754262916295</v>
      </c>
    </row>
    <row r="47" spans="1:7" x14ac:dyDescent="0.35">
      <c r="A47" s="1">
        <v>24.2</v>
      </c>
      <c r="B47" s="1">
        <v>21</v>
      </c>
      <c r="C47" s="1">
        <v>0.57142857142857095</v>
      </c>
      <c r="D47" s="1">
        <v>0.93636363636363595</v>
      </c>
      <c r="E47" s="1">
        <v>0.92380952380952297</v>
      </c>
      <c r="F47" s="1">
        <v>0.46753246753246702</v>
      </c>
      <c r="G47" s="1">
        <v>0.908828549327098</v>
      </c>
    </row>
    <row r="48" spans="1:7" x14ac:dyDescent="0.35">
      <c r="A48" s="1">
        <v>44.2</v>
      </c>
      <c r="B48" s="1">
        <v>25</v>
      </c>
      <c r="C48" s="1">
        <v>0.56000000000000005</v>
      </c>
      <c r="D48" s="1">
        <v>0.95512820512820495</v>
      </c>
      <c r="E48" s="1">
        <v>0.95333333333333303</v>
      </c>
      <c r="F48" s="1">
        <v>0.61538461538461497</v>
      </c>
      <c r="G48" s="1">
        <v>0.78215361922821403</v>
      </c>
    </row>
    <row r="49" spans="1:7" x14ac:dyDescent="0.35">
      <c r="A49" s="1">
        <v>31.2</v>
      </c>
      <c r="B49" s="1">
        <v>30</v>
      </c>
      <c r="C49" s="1">
        <v>0.63333333333333297</v>
      </c>
      <c r="D49" s="1">
        <v>0.96888888888888802</v>
      </c>
      <c r="E49" s="1">
        <v>0.96321839080459704</v>
      </c>
      <c r="F49" s="1">
        <v>0.58064516129032195</v>
      </c>
      <c r="G49" s="1">
        <v>0.86882515558734796</v>
      </c>
    </row>
    <row r="50" spans="1:7" x14ac:dyDescent="0.35">
      <c r="A50" s="1">
        <v>16.2</v>
      </c>
      <c r="B50" s="1">
        <v>40</v>
      </c>
      <c r="C50" s="1">
        <v>0.42499999999999999</v>
      </c>
      <c r="D50" s="1">
        <v>0.9425</v>
      </c>
      <c r="E50" s="1">
        <v>0.92820512820512802</v>
      </c>
      <c r="F50" s="1">
        <v>0.50975609756097495</v>
      </c>
      <c r="G50" s="1">
        <v>0.653687345422727</v>
      </c>
    </row>
    <row r="51" spans="1:7" x14ac:dyDescent="0.35">
      <c r="A51" s="1">
        <v>19.2</v>
      </c>
      <c r="B51" s="1">
        <v>90</v>
      </c>
      <c r="C51" s="1">
        <v>0.27777777777777701</v>
      </c>
      <c r="D51" s="1">
        <v>0.96543209876543201</v>
      </c>
      <c r="E51" s="1">
        <v>0.958052434456928</v>
      </c>
      <c r="F51" s="1">
        <v>0.32283272283272202</v>
      </c>
      <c r="G51" s="1">
        <v>0.52312796643965798</v>
      </c>
    </row>
    <row r="52" spans="1:7" x14ac:dyDescent="0.35">
      <c r="A52" s="1" t="s">
        <v>32</v>
      </c>
      <c r="C52" s="1">
        <f>SUBTOTAL(101,Table1264348[JaccardCoefficient])</f>
        <v>0.734157749766573</v>
      </c>
      <c r="D52" s="1">
        <f>SUBTOTAL(101,Table1264348[MismatchDistanceCoefficient])</f>
        <v>0.93924908286158282</v>
      </c>
      <c r="E52" s="1">
        <f>SUBTOTAL(101,Table1264348[KendallTauCorrelation])</f>
        <v>0.92699062797075138</v>
      </c>
      <c r="F52" s="1">
        <f>SUBTOTAL(101,Table1264348[MismatchPositionCoefficient])</f>
        <v>0.76160559860463006</v>
      </c>
      <c r="G52" s="1">
        <f>SUBTOTAL(101,Table1264348[DiscountedCumulativeGain])</f>
        <v>0.90921915477653148</v>
      </c>
    </row>
  </sheetData>
  <pageMargins left="0.7" right="0.7" top="0.75" bottom="0.75" header="0.3" footer="0.3"/>
  <pageSetup orientation="portrait" r:id="rId1"/>
  <ignoredErrors>
    <ignoredError sqref="O2:Q3" calculatedColumn="1"/>
    <ignoredError sqref="O4:Q4" formulaRange="1" calculatedColumn="1"/>
  </ignoredErrors>
  <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P15" sqref="P15"/>
    </sheetView>
  </sheetViews>
  <sheetFormatPr defaultRowHeight="14.5" x14ac:dyDescent="0.35"/>
  <cols>
    <col min="1" max="1" width="13.7265625" style="1" customWidth="1"/>
    <col min="2" max="16384" width="8.7265625" style="1"/>
  </cols>
  <sheetData>
    <row r="1" spans="1:4" x14ac:dyDescent="0.3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35">
      <c r="A2" s="5" t="s">
        <v>5</v>
      </c>
      <c r="B2" s="7">
        <f>Linear!E17</f>
        <v>0.80952380952380898</v>
      </c>
      <c r="C2" s="7">
        <f>Linear!E18</f>
        <v>1</v>
      </c>
      <c r="D2" s="7">
        <f>Linear!E19</f>
        <v>1</v>
      </c>
    </row>
    <row r="3" spans="1:4" x14ac:dyDescent="0.3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</row>
    <row r="4" spans="1:4" x14ac:dyDescent="0.3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</row>
    <row r="5" spans="1:4" x14ac:dyDescent="0.3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</row>
    <row r="18" spans="6:6" x14ac:dyDescent="0.35">
      <c r="F18" s="1" t="s">
        <v>25</v>
      </c>
    </row>
    <row r="19" spans="6:6" x14ac:dyDescent="0.3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E11" sqref="E11"/>
    </sheetView>
  </sheetViews>
  <sheetFormatPr defaultRowHeight="14.5" x14ac:dyDescent="0.35"/>
  <cols>
    <col min="1" max="1" width="13.7265625" style="1" customWidth="1"/>
    <col min="2" max="16384" width="8.7265625" style="1"/>
  </cols>
  <sheetData>
    <row r="1" spans="1:16" x14ac:dyDescent="0.35">
      <c r="A1" s="6" t="s">
        <v>9</v>
      </c>
      <c r="B1" s="6" t="s">
        <v>10</v>
      </c>
      <c r="C1" s="6" t="s">
        <v>11</v>
      </c>
      <c r="D1" s="6" t="s">
        <v>12</v>
      </c>
      <c r="F1" s="1" t="s">
        <v>27</v>
      </c>
      <c r="G1" s="1" t="s">
        <v>28</v>
      </c>
      <c r="H1" s="1" t="s">
        <v>29</v>
      </c>
      <c r="J1" s="1" t="s">
        <v>27</v>
      </c>
      <c r="K1" s="1" t="s">
        <v>28</v>
      </c>
      <c r="L1" s="1" t="s">
        <v>29</v>
      </c>
      <c r="N1" s="1" t="s">
        <v>27</v>
      </c>
      <c r="O1" s="1" t="s">
        <v>28</v>
      </c>
      <c r="P1" s="1" t="s">
        <v>29</v>
      </c>
    </row>
    <row r="2" spans="1:16" x14ac:dyDescent="0.35">
      <c r="A2" s="5" t="s">
        <v>5</v>
      </c>
      <c r="B2" s="7">
        <f>Linear!E12</f>
        <v>0.73333333333333295</v>
      </c>
      <c r="C2" s="7">
        <f>Linear!E13</f>
        <v>1</v>
      </c>
      <c r="D2" s="7">
        <f>Linear!E14</f>
        <v>1</v>
      </c>
      <c r="F2" s="1" t="str">
        <f>Table91120[[#This Row],[Model]]</f>
        <v>Linear</v>
      </c>
      <c r="G2" s="1">
        <f>Table91120[[#This Row],[5]]</f>
        <v>0.73333333333333295</v>
      </c>
      <c r="H2" s="1">
        <f>B8</f>
        <v>0.98000000000000009</v>
      </c>
      <c r="J2" s="1" t="str">
        <f>Table91120[[#This Row],[Model]]</f>
        <v>Linear</v>
      </c>
      <c r="K2" s="1">
        <f>Table91120[[#This Row],[25]]</f>
        <v>1</v>
      </c>
      <c r="L2" s="1">
        <f>C8</f>
        <v>0.97933333333333294</v>
      </c>
      <c r="N2" s="1" t="str">
        <f>Table91120[[#This Row],[Model]]</f>
        <v>Linear</v>
      </c>
      <c r="O2" s="1">
        <f>Table91120[[#This Row],[50]]</f>
        <v>1</v>
      </c>
      <c r="P2" s="1">
        <f>D8</f>
        <v>0.97551020408163236</v>
      </c>
    </row>
    <row r="3" spans="1:16" x14ac:dyDescent="0.35">
      <c r="A3" s="5" t="s">
        <v>6</v>
      </c>
      <c r="B3" s="8" t="e">
        <f>Saturating!#REF!</f>
        <v>#REF!</v>
      </c>
      <c r="C3" s="8" t="e">
        <f>Saturating!#REF!</f>
        <v>#REF!</v>
      </c>
      <c r="D3" s="8" t="e">
        <f>Saturating!#REF!</f>
        <v>#REF!</v>
      </c>
      <c r="F3" s="1" t="str">
        <f>Table91120[[#This Row],[Model]]</f>
        <v>Saturating</v>
      </c>
      <c r="G3" s="1" t="e">
        <f>Table91120[[#This Row],[5]]</f>
        <v>#REF!</v>
      </c>
      <c r="H3" s="1">
        <f t="shared" ref="H3:H5" si="0">B9</f>
        <v>0.96</v>
      </c>
      <c r="J3" s="1" t="str">
        <f>Table91120[[#This Row],[Model]]</f>
        <v>Saturating</v>
      </c>
      <c r="K3" s="1" t="e">
        <f>Table91120[[#This Row],[25]]</f>
        <v>#REF!</v>
      </c>
      <c r="L3" s="1">
        <f t="shared" ref="L3:L5" si="1">C9</f>
        <v>0.98066666666666646</v>
      </c>
      <c r="N3" s="1" t="str">
        <f>Table91120[[#This Row],[Model]]</f>
        <v>Saturating</v>
      </c>
      <c r="O3" s="1" t="e">
        <f>Table91120[[#This Row],[50]]</f>
        <v>#REF!</v>
      </c>
      <c r="P3" s="1">
        <f t="shared" ref="P3:P5" si="2">D9</f>
        <v>0.9756734693877549</v>
      </c>
    </row>
    <row r="4" spans="1:16" x14ac:dyDescent="0.35">
      <c r="A4" s="5" t="s">
        <v>7</v>
      </c>
      <c r="B4" s="8" t="e">
        <f>#REF!</f>
        <v>#REF!</v>
      </c>
      <c r="C4" s="9" t="e">
        <f>#REF!</f>
        <v>#REF!</v>
      </c>
      <c r="D4" s="8" t="e">
        <f>#REF!</f>
        <v>#REF!</v>
      </c>
      <c r="F4" s="1" t="str">
        <f>Table91120[[#This Row],[Model]]</f>
        <v>Discontinuous</v>
      </c>
      <c r="G4" s="1" t="e">
        <f>Table91120[[#This Row],[5]]</f>
        <v>#REF!</v>
      </c>
      <c r="H4" s="1">
        <f t="shared" si="0"/>
        <v>0.98000000000000009</v>
      </c>
      <c r="J4" s="1" t="str">
        <f>Table91120[[#This Row],[Model]]</f>
        <v>Discontinuous</v>
      </c>
      <c r="K4" s="1" t="e">
        <f>Table91120[[#This Row],[25]]</f>
        <v>#REF!</v>
      </c>
      <c r="L4" s="1">
        <f t="shared" si="1"/>
        <v>0.97533333333333316</v>
      </c>
      <c r="N4" s="1" t="str">
        <f>Table91120[[#This Row],[Model]]</f>
        <v>Discontinuous</v>
      </c>
      <c r="O4" s="1" t="e">
        <f>Table91120[[#This Row],[50]]</f>
        <v>#REF!</v>
      </c>
      <c r="P4" s="1">
        <f t="shared" si="2"/>
        <v>0.98302040816326475</v>
      </c>
    </row>
    <row r="5" spans="1:16" x14ac:dyDescent="0.35">
      <c r="A5" s="5" t="s">
        <v>8</v>
      </c>
      <c r="B5" s="8" t="e">
        <f>#REF!</f>
        <v>#REF!</v>
      </c>
      <c r="C5" s="8" t="e">
        <f>#REF!</f>
        <v>#REF!</v>
      </c>
      <c r="D5" s="8" t="e">
        <f>#REF!</f>
        <v>#REF!</v>
      </c>
      <c r="F5" s="1" t="str">
        <f>Table91120[[#This Row],[Model]]</f>
        <v>Combined</v>
      </c>
      <c r="G5" s="1" t="e">
        <f>Table91120[[#This Row],[5]]</f>
        <v>#REF!</v>
      </c>
      <c r="H5" s="1">
        <f t="shared" si="0"/>
        <v>0.93333333333333335</v>
      </c>
      <c r="J5" s="1" t="str">
        <f>Table91120[[#This Row],[Model]]</f>
        <v>Combined</v>
      </c>
      <c r="K5" s="1" t="e">
        <f>Table91120[[#This Row],[25]]</f>
        <v>#REF!</v>
      </c>
      <c r="L5" s="1">
        <f t="shared" si="1"/>
        <v>0.96466666666666612</v>
      </c>
      <c r="N5" s="1" t="str">
        <f>Table91120[[#This Row],[Model]]</f>
        <v>Combined</v>
      </c>
      <c r="O5" s="1" t="e">
        <f>Table91120[[#This Row],[50]]</f>
        <v>#REF!</v>
      </c>
      <c r="P5" s="1">
        <f t="shared" si="2"/>
        <v>0.96767346938775467</v>
      </c>
    </row>
    <row r="7" spans="1:16" x14ac:dyDescent="0.35">
      <c r="A7" s="1" t="s">
        <v>9</v>
      </c>
      <c r="B7" s="1" t="s">
        <v>10</v>
      </c>
      <c r="C7" s="1" t="s">
        <v>11</v>
      </c>
      <c r="D7" s="1" t="s">
        <v>12</v>
      </c>
    </row>
    <row r="8" spans="1:16" x14ac:dyDescent="0.35">
      <c r="A8" s="1" t="s">
        <v>5</v>
      </c>
      <c r="B8" s="2">
        <v>0.98000000000000009</v>
      </c>
      <c r="C8" s="2">
        <v>0.97933333333333294</v>
      </c>
      <c r="D8" s="2">
        <v>0.97551020408163236</v>
      </c>
    </row>
    <row r="9" spans="1:16" x14ac:dyDescent="0.35">
      <c r="A9" s="1" t="s">
        <v>6</v>
      </c>
      <c r="B9" s="2">
        <v>0.96</v>
      </c>
      <c r="C9" s="2">
        <v>0.98066666666666646</v>
      </c>
      <c r="D9" s="2">
        <v>0.9756734693877549</v>
      </c>
    </row>
    <row r="10" spans="1:16" x14ac:dyDescent="0.35">
      <c r="A10" s="1" t="s">
        <v>7</v>
      </c>
      <c r="B10" s="2">
        <v>0.98000000000000009</v>
      </c>
      <c r="C10" s="2">
        <v>0.97533333333333316</v>
      </c>
      <c r="D10" s="2">
        <v>0.98302040816326475</v>
      </c>
    </row>
    <row r="11" spans="1:16" x14ac:dyDescent="0.35">
      <c r="A11" s="1" t="s">
        <v>8</v>
      </c>
      <c r="B11" s="2">
        <v>0.93333333333333335</v>
      </c>
      <c r="C11" s="2">
        <v>0.96466666666666612</v>
      </c>
      <c r="D11" s="2">
        <v>0.96767346938775467</v>
      </c>
    </row>
    <row r="18" spans="6:6" x14ac:dyDescent="0.35">
      <c r="F18" s="1" t="s">
        <v>17</v>
      </c>
    </row>
    <row r="19" spans="6:6" x14ac:dyDescent="0.35">
      <c r="F19" s="1" t="s">
        <v>18</v>
      </c>
    </row>
    <row r="20" spans="6:6" x14ac:dyDescent="0.35">
      <c r="F20" s="1" t="s">
        <v>19</v>
      </c>
    </row>
    <row r="21" spans="6:6" x14ac:dyDescent="0.35">
      <c r="F21" s="1" t="s">
        <v>20</v>
      </c>
    </row>
    <row r="22" spans="6:6" x14ac:dyDescent="0.35">
      <c r="F22" s="1" t="s">
        <v>21</v>
      </c>
    </row>
    <row r="23" spans="6:6" x14ac:dyDescent="0.35">
      <c r="F23" s="1" t="s">
        <v>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36F8-A377-477D-A967-CD096EDB59F9}">
  <dimension ref="A1:Q52"/>
  <sheetViews>
    <sheetView topLeftCell="F1" zoomScale="80" zoomScaleNormal="80" workbookViewId="0">
      <selection activeCell="R8" sqref="R8"/>
    </sheetView>
  </sheetViews>
  <sheetFormatPr defaultRowHeight="14.5" x14ac:dyDescent="0.35"/>
  <cols>
    <col min="1" max="1" width="9.08984375" style="1" customWidth="1"/>
    <col min="2" max="2" width="11.08984375" style="1" customWidth="1"/>
    <col min="3" max="3" width="17.90625" style="1" customWidth="1"/>
    <col min="4" max="4" width="25.54296875" style="1" customWidth="1"/>
    <col min="5" max="5" width="21.54296875" style="1" customWidth="1"/>
    <col min="6" max="6" width="18.36328125" style="1" customWidth="1"/>
    <col min="7" max="8" width="8.7265625" style="1"/>
    <col min="9" max="9" width="12.90625" style="11" customWidth="1"/>
    <col min="10" max="10" width="13.08984375" style="11" customWidth="1"/>
    <col min="11" max="11" width="10.36328125" style="1" customWidth="1"/>
    <col min="12" max="12" width="8.7265625" style="1"/>
    <col min="13" max="13" width="10.6328125" style="1" customWidth="1"/>
    <col min="14" max="14" width="22" style="1" customWidth="1"/>
    <col min="15" max="16" width="8.7265625" style="1"/>
    <col min="17" max="17" width="7.453125" style="1" customWidth="1"/>
    <col min="18" max="16384" width="8.7265625" style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8" t="s">
        <v>40</v>
      </c>
      <c r="O1" s="19" t="s">
        <v>33</v>
      </c>
      <c r="P1" s="19" t="s">
        <v>29</v>
      </c>
      <c r="Q1" s="20" t="s">
        <v>34</v>
      </c>
    </row>
    <row r="2" spans="1:17" x14ac:dyDescent="0.3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AVERAGEIF(Table12643[[ Cycle size]],I2,Table12643[JaccardCoefficient])</f>
        <v>1</v>
      </c>
      <c r="K2" s="2">
        <f>AVERAGEIF(Table12643[ [ Cycle size] ],I2,Table12643[KendallTauCorrelation])</f>
        <v>1</v>
      </c>
      <c r="L2" s="2">
        <f>AVERAGEIF(Table12643[ [ Cycle size] ],I2,Table12643[DiscountedCumulativeGain])</f>
        <v>1</v>
      </c>
      <c r="N2" s="21" t="s">
        <v>41</v>
      </c>
      <c r="O2" s="22">
        <f>CORREL(I2:I22, J2:J22)</f>
        <v>-0.68417269470929032</v>
      </c>
      <c r="P2" s="22">
        <f>CORREL(I2:I22, K2:K22)</f>
        <v>0.25241772205581392</v>
      </c>
      <c r="Q2" s="23">
        <f>CORREL(I2:I22, L2:L22)</f>
        <v>-0.82122480591543989</v>
      </c>
    </row>
    <row r="3" spans="1:17" x14ac:dyDescent="0.35">
      <c r="A3" s="1">
        <v>5.2</v>
      </c>
      <c r="B3" s="1">
        <v>3</v>
      </c>
      <c r="C3" s="1">
        <v>0.33333333333333298</v>
      </c>
      <c r="D3" s="1">
        <v>0.5</v>
      </c>
      <c r="E3" s="1">
        <v>0.33333333333333298</v>
      </c>
      <c r="F3" s="1">
        <v>0.83333333333333304</v>
      </c>
      <c r="G3" s="1">
        <v>0.82983969402715996</v>
      </c>
      <c r="I3" s="12">
        <v>3</v>
      </c>
      <c r="J3" s="2">
        <f>AVERAGEIF(Table12643[[ Cycle size]],I3,Table12643[JaccardCoefficient])</f>
        <v>0.73333333333333317</v>
      </c>
      <c r="K3" s="2">
        <f>AVERAGEIF(Table12643[ [ Cycle size] ],I3,Table12643[KendallTauCorrelation])</f>
        <v>0.73333333333333317</v>
      </c>
      <c r="L3" s="2">
        <f>AVERAGEIF(Table12643[ [ Cycle size] ],I3,Table12643[DiscountedCumulativeGain])</f>
        <v>0.88343675279582001</v>
      </c>
      <c r="N3" s="24" t="s">
        <v>40</v>
      </c>
      <c r="O3" s="25" t="s">
        <v>33</v>
      </c>
      <c r="P3" s="25" t="s">
        <v>29</v>
      </c>
      <c r="Q3" s="26" t="s">
        <v>34</v>
      </c>
    </row>
    <row r="4" spans="1:17" x14ac:dyDescent="0.35">
      <c r="A4" s="1">
        <v>10.199999999999999</v>
      </c>
      <c r="B4" s="1">
        <v>3</v>
      </c>
      <c r="C4" s="1">
        <v>0.33333333333333298</v>
      </c>
      <c r="D4" s="1">
        <v>0.5</v>
      </c>
      <c r="E4" s="1">
        <v>0.33333333333333298</v>
      </c>
      <c r="F4" s="1">
        <v>0.5</v>
      </c>
      <c r="G4" s="1">
        <v>0.58734406995194</v>
      </c>
      <c r="I4" s="12">
        <v>4</v>
      </c>
      <c r="J4" s="2">
        <f>AVERAGEIF(Table12643[[ Cycle size]],I4,Table12643[JaccardCoefficient])</f>
        <v>0.66666666666666663</v>
      </c>
      <c r="K4" s="2">
        <f>AVERAGEIF(Table12643[ [ Cycle size] ],I4,Table12643[KendallTauCorrelation])</f>
        <v>0.77777777777777735</v>
      </c>
      <c r="L4" s="2">
        <f>AVERAGEIF(Table12643[ [ Cycle size] ],I4,Table12643[DiscountedCumulativeGain])</f>
        <v>0.93193587761086405</v>
      </c>
      <c r="N4" s="27" t="s">
        <v>43</v>
      </c>
      <c r="O4" s="28">
        <f>CORREL(I2:I20, J2:J20)</f>
        <v>-0.44755059932294011</v>
      </c>
      <c r="P4" s="28">
        <f>CORREL(I2:I20, K2:K20)</f>
        <v>0.39582703496227761</v>
      </c>
      <c r="Q4" s="29">
        <f>CORREL(I2:I20, L2:L20)</f>
        <v>-0.55733843067043254</v>
      </c>
    </row>
    <row r="5" spans="1:17" x14ac:dyDescent="0.3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AVERAGEIF(Table12643[[ Cycle size]],I5,Table12643[JaccardCoefficient])</f>
        <v>1</v>
      </c>
      <c r="K5" s="2">
        <f>AVERAGEIF(Table12643[ [ Cycle size] ],I5,Table12643[KendallTauCorrelation])</f>
        <v>1</v>
      </c>
      <c r="L5" s="2">
        <f>AVERAGEIF(Table12643[ [ Cycle size] ],I5,Table12643[DiscountedCumulativeGain])</f>
        <v>1</v>
      </c>
    </row>
    <row r="6" spans="1:17" x14ac:dyDescent="0.3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AVERAGEIF(Table12643[[ Cycle size]],I6,Table12643[JaccardCoefficient])</f>
        <v>0.77777777777777735</v>
      </c>
      <c r="K6" s="2">
        <f>AVERAGEIF(Table12643[ [ Cycle size] ],I6,Table12643[KendallTauCorrelation])</f>
        <v>0.91111111111111065</v>
      </c>
      <c r="L6" s="2">
        <f>AVERAGEIF(Table12643[ [ Cycle size] ],I6,Table12643[DiscountedCumulativeGain])</f>
        <v>0.96758851314802996</v>
      </c>
    </row>
    <row r="7" spans="1:17" x14ac:dyDescent="0.3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AVERAGEIF(Table12643[[ Cycle size]],I7,Table12643[JaccardCoefficient])</f>
        <v>0.85714285714285698</v>
      </c>
      <c r="K7" s="2">
        <f>AVERAGEIF(Table12643[ [ Cycle size] ],I7,Table12643[KendallTauCorrelation])</f>
        <v>0.952380952380952</v>
      </c>
      <c r="L7" s="2">
        <f>AVERAGEIF(Table12643[ [ Cycle size] ],I7,Table12643[DiscountedCumulativeGain])</f>
        <v>0.94545197894520949</v>
      </c>
    </row>
    <row r="8" spans="1:17" x14ac:dyDescent="0.35">
      <c r="A8" s="1">
        <v>26.2</v>
      </c>
      <c r="B8" s="1">
        <v>4</v>
      </c>
      <c r="C8" s="1">
        <v>0.5</v>
      </c>
      <c r="D8" s="1">
        <v>0.75</v>
      </c>
      <c r="E8" s="1">
        <v>0.66666666666666596</v>
      </c>
      <c r="F8" s="1">
        <v>0.7</v>
      </c>
      <c r="G8" s="1">
        <v>0.89790381641629602</v>
      </c>
      <c r="I8" s="12">
        <v>8</v>
      </c>
      <c r="J8" s="2">
        <f>AVERAGEIF(Table12643[[ Cycle size]],I8,Table12643[JaccardCoefficient])</f>
        <v>0.83333333333333337</v>
      </c>
      <c r="K8" s="2">
        <f>AVERAGEIF(Table12643[ [ Cycle size] ],I8,Table12643[KendallTauCorrelation])</f>
        <v>0.952380952380952</v>
      </c>
      <c r="L8" s="2">
        <f>AVERAGEIF(Table12643[ [ Cycle size] ],I8,Table12643[DiscountedCumulativeGain])</f>
        <v>0.94304839651411465</v>
      </c>
    </row>
    <row r="9" spans="1:17" x14ac:dyDescent="0.3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AVERAGEIF(Table12643[[ Cycle size]],I9,Table12643[JaccardCoefficient])</f>
        <v>0.73333333333333273</v>
      </c>
      <c r="K9" s="2">
        <f>AVERAGEIF(Table12643[ [ Cycle size] ],I9,Table12643[KendallTauCorrelation])</f>
        <v>0.93333333333333268</v>
      </c>
      <c r="L9" s="2">
        <f>AVERAGEIF(Table12643[ [ Cycle size] ],I9,Table12643[DiscountedCumulativeGain])</f>
        <v>0.90714560915487752</v>
      </c>
    </row>
    <row r="10" spans="1:17" x14ac:dyDescent="0.35">
      <c r="A10" s="1">
        <v>50.2</v>
      </c>
      <c r="B10" s="1">
        <v>4</v>
      </c>
      <c r="C10" s="1">
        <v>0.5</v>
      </c>
      <c r="D10" s="1">
        <v>0.75</v>
      </c>
      <c r="E10" s="1">
        <v>0.66666666666666596</v>
      </c>
      <c r="F10" s="1">
        <v>0.7</v>
      </c>
      <c r="G10" s="1">
        <v>0.89790381641629602</v>
      </c>
      <c r="I10" s="12">
        <v>10</v>
      </c>
      <c r="J10" s="2">
        <f>AVERAGEIF(Table12643[[ Cycle size]],I10,Table12643[JaccardCoefficient])</f>
        <v>0.73333333333333339</v>
      </c>
      <c r="K10" s="2">
        <f>AVERAGEIF(Table12643[ [ Cycle size] ],I10,Table12643[KendallTauCorrelation])</f>
        <v>0.91111111111111065</v>
      </c>
      <c r="L10" s="2">
        <f>AVERAGEIF(Table12643[ [ Cycle size] ],I10,Table12643[DiscountedCumulativeGain])</f>
        <v>0.87133519530226</v>
      </c>
    </row>
    <row r="11" spans="1:17" x14ac:dyDescent="0.3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AVERAGEIF(Table12643[[ Cycle size]],I11,Table12643[JaccardCoefficient])</f>
        <v>0.88333333333333319</v>
      </c>
      <c r="K11" s="2">
        <f>AVERAGEIF(Table12643[ [ Cycle size] ],I11,Table12643[KendallTauCorrelation])</f>
        <v>0.9757575757575756</v>
      </c>
      <c r="L11" s="2">
        <f>AVERAGEIF(Table12643[ [ Cycle size] ],I11,Table12643[DiscountedCumulativeGain])</f>
        <v>0.9504909014820333</v>
      </c>
    </row>
    <row r="12" spans="1:17" x14ac:dyDescent="0.35">
      <c r="A12" s="1">
        <v>9.1999999999999993</v>
      </c>
      <c r="B12" s="1">
        <v>6</v>
      </c>
      <c r="C12" s="1">
        <v>0.66666666666666596</v>
      </c>
      <c r="D12" s="1">
        <v>0.88888888888888795</v>
      </c>
      <c r="E12" s="1">
        <v>0.86666666666666603</v>
      </c>
      <c r="F12" s="1">
        <v>0.66666666666666596</v>
      </c>
      <c r="G12" s="1">
        <v>0.95138276972204505</v>
      </c>
      <c r="I12" s="12">
        <v>14</v>
      </c>
      <c r="J12" s="2">
        <f>AVERAGEIF(Table12643[[ Cycle size]],I12,Table12643[JaccardCoefficient])</f>
        <v>0.78571428571428525</v>
      </c>
      <c r="K12" s="2">
        <f>AVERAGEIF(Table12643[ [ Cycle size] ],I12,Table12643[KendallTauCorrelation])</f>
        <v>0.96336996336996339</v>
      </c>
      <c r="L12" s="2">
        <f>AVERAGEIF(Table12643[ [ Cycle size] ],I12,Table12643[DiscountedCumulativeGain])</f>
        <v>0.93045077276486365</v>
      </c>
    </row>
    <row r="13" spans="1:17" x14ac:dyDescent="0.35">
      <c r="A13" s="1">
        <v>27.2</v>
      </c>
      <c r="B13" s="1">
        <v>6</v>
      </c>
      <c r="C13" s="1">
        <v>0.66666666666666596</v>
      </c>
      <c r="D13" s="1">
        <v>0.88888888888888795</v>
      </c>
      <c r="E13" s="1">
        <v>0.86666666666666603</v>
      </c>
      <c r="F13" s="1">
        <v>0.66666666666666596</v>
      </c>
      <c r="G13" s="1">
        <v>0.95138276972204505</v>
      </c>
      <c r="I13" s="12">
        <v>15</v>
      </c>
      <c r="J13" s="2">
        <f>AVERAGEIF(Table12643[[ Cycle size]],I13,Table12643[JaccardCoefficient])</f>
        <v>1</v>
      </c>
      <c r="K13" s="2">
        <f>AVERAGEIF(Table12643[ [ Cycle size] ],I13,Table12643[KendallTauCorrelation])</f>
        <v>1</v>
      </c>
      <c r="L13" s="2">
        <f>AVERAGEIF(Table12643[ [ Cycle size] ],I13,Table12643[DiscountedCumulativeGain])</f>
        <v>1</v>
      </c>
    </row>
    <row r="14" spans="1:17" x14ac:dyDescent="0.35">
      <c r="A14" s="1">
        <v>30.2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AVERAGEIF(Table12643[[ Cycle size]],I14,Table12643[JaccardCoefficient])</f>
        <v>0.875</v>
      </c>
      <c r="K14" s="2">
        <f>AVERAGEIF(Table12643[ [ Cycle size] ],I14,Table12643[KendallTauCorrelation])</f>
        <v>0.98333333333333295</v>
      </c>
      <c r="L14" s="2">
        <f>AVERAGEIF(Table12643[ [ Cycle size] ],I14,Table12643[DiscountedCumulativeGain])</f>
        <v>0.92280528192099753</v>
      </c>
    </row>
    <row r="15" spans="1:17" x14ac:dyDescent="0.35">
      <c r="A15" s="1">
        <v>1.2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AVERAGEIF(Table12643[[ Cycle size]],I15,Table12643[JaccardCoefficient])</f>
        <v>0.64705882352941146</v>
      </c>
      <c r="K15" s="2">
        <f>AVERAGEIF(Table12643[ [ Cycle size] ],I15,Table12643[KendallTauCorrelation])</f>
        <v>0.93382352941176405</v>
      </c>
      <c r="L15" s="2">
        <f>AVERAGEIF(Table12643[ [ Cycle size] ],I15,Table12643[DiscountedCumulativeGain])</f>
        <v>0.83404728501776093</v>
      </c>
    </row>
    <row r="16" spans="1:17" x14ac:dyDescent="0.35">
      <c r="A16" s="1">
        <v>6.2</v>
      </c>
      <c r="B16" s="1">
        <v>7</v>
      </c>
      <c r="C16" s="1">
        <v>0.71428571428571397</v>
      </c>
      <c r="D16" s="1">
        <v>0.91666666666666596</v>
      </c>
      <c r="E16" s="1">
        <v>0.90476190476190399</v>
      </c>
      <c r="F16" s="1">
        <v>0.89285714285714202</v>
      </c>
      <c r="G16" s="1">
        <v>0.91207476962310596</v>
      </c>
      <c r="I16" s="12">
        <v>18</v>
      </c>
      <c r="J16" s="2">
        <f>AVERAGEIF(Table12643[[ Cycle size]],I16,Table12643[JaccardCoefficient])</f>
        <v>0.69444444444444398</v>
      </c>
      <c r="K16" s="2">
        <f>AVERAGEIF(Table12643[ [ Cycle size] ],I16,Table12643[KendallTauCorrelation])</f>
        <v>0.96078431372549</v>
      </c>
      <c r="L16" s="2">
        <f>AVERAGEIF(Table12643[ [ Cycle size] ],I16,Table12643[DiscountedCumulativeGain])</f>
        <v>0.83138767411444103</v>
      </c>
    </row>
    <row r="17" spans="1:12" x14ac:dyDescent="0.35">
      <c r="A17" s="1">
        <v>8.1999999999999993</v>
      </c>
      <c r="B17" s="1">
        <v>7</v>
      </c>
      <c r="C17" s="1">
        <v>0.71428571428571397</v>
      </c>
      <c r="D17" s="1">
        <v>0.91666666666666596</v>
      </c>
      <c r="E17" s="1">
        <v>0.90476190476190399</v>
      </c>
      <c r="F17" s="1">
        <v>0.96428571428571397</v>
      </c>
      <c r="G17" s="1">
        <v>0.86973314615773201</v>
      </c>
      <c r="I17" s="12">
        <v>20</v>
      </c>
      <c r="J17" s="2">
        <f>AVERAGEIF(Table12643[[ Cycle size]],I17,Table12643[JaccardCoefficient])</f>
        <v>0.72499999999999998</v>
      </c>
      <c r="K17" s="2">
        <f>AVERAGEIF(Table12643[ [ Cycle size] ],I17,Table12643[KendallTauCorrelation])</f>
        <v>0.94736842105263097</v>
      </c>
      <c r="L17" s="2">
        <f>AVERAGEIF(Table12643[ [ Cycle size] ],I17,Table12643[DiscountedCumulativeGain])</f>
        <v>0.89237423376119596</v>
      </c>
    </row>
    <row r="18" spans="1:12" x14ac:dyDescent="0.35">
      <c r="A18" s="1">
        <v>43.2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AVERAGEIF(Table12643[[ Cycle size]],I18,Table12643[JaccardCoefficient])</f>
        <v>0.61904761904761896</v>
      </c>
      <c r="K18" s="2">
        <f>AVERAGEIF(Table12643[ [ Cycle size] ],I18,Table12643[KendallTauCorrelation])</f>
        <v>0.952380952380952</v>
      </c>
      <c r="L18" s="2">
        <f>AVERAGEIF(Table12643[ [ Cycle size] ],I18,Table12643[DiscountedCumulativeGain])</f>
        <v>0.82233994597674698</v>
      </c>
    </row>
    <row r="19" spans="1:12" x14ac:dyDescent="0.35">
      <c r="A19" s="1">
        <v>4.2</v>
      </c>
      <c r="B19" s="1">
        <v>8</v>
      </c>
      <c r="C19" s="1">
        <v>0.75</v>
      </c>
      <c r="D19" s="1">
        <v>0.9375</v>
      </c>
      <c r="E19" s="1">
        <v>0.92857142857142805</v>
      </c>
      <c r="F19" s="1">
        <v>0.97222222222222199</v>
      </c>
      <c r="G19" s="1">
        <v>0.86518080407365605</v>
      </c>
      <c r="I19" s="12">
        <v>25</v>
      </c>
      <c r="J19" s="2">
        <f>AVERAGEIF(Table12643[[ Cycle size]],I19,Table12643[JaccardCoefficient])</f>
        <v>0.68</v>
      </c>
      <c r="K19" s="2">
        <f>AVERAGEIF(Table12643[ [ Cycle size] ],I19,Table12643[KendallTauCorrelation])</f>
        <v>0.96666666666666601</v>
      </c>
      <c r="L19" s="2">
        <f>AVERAGEIF(Table12643[ [ Cycle size] ],I19,Table12643[DiscountedCumulativeGain])</f>
        <v>0.85308519744170497</v>
      </c>
    </row>
    <row r="20" spans="1:12" x14ac:dyDescent="0.35">
      <c r="A20" s="1">
        <v>13.2</v>
      </c>
      <c r="B20" s="1">
        <v>8</v>
      </c>
      <c r="C20" s="1">
        <v>0.75</v>
      </c>
      <c r="D20" s="1">
        <v>0.9375</v>
      </c>
      <c r="E20" s="1">
        <v>0.92857142857142805</v>
      </c>
      <c r="F20" s="1">
        <v>0.80555555555555503</v>
      </c>
      <c r="G20" s="1">
        <v>0.96396438546868801</v>
      </c>
      <c r="I20" s="12">
        <v>30</v>
      </c>
      <c r="J20" s="2">
        <f>AVERAGEIF(Table12643[[ Cycle size]],I20,Table12643[JaccardCoefficient])</f>
        <v>0.7</v>
      </c>
      <c r="K20" s="2">
        <f>AVERAGEIF(Table12643[ [ Cycle size] ],I20,Table12643[KendallTauCorrelation])</f>
        <v>0.972413793103448</v>
      </c>
      <c r="L20" s="2">
        <f>AVERAGEIF(Table12643[ [ Cycle size] ],I20,Table12643[DiscountedCumulativeGain])</f>
        <v>0.90023586141246903</v>
      </c>
    </row>
    <row r="21" spans="1:12" x14ac:dyDescent="0.35">
      <c r="A21" s="1">
        <v>29.2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AVERAGEIF(Table12643[[ Cycle size]],I21,Table12643[JaccardCoefficient])</f>
        <v>0.4</v>
      </c>
      <c r="K21" s="2">
        <f>AVERAGEIF(Table12643[ [ Cycle size] ],I21,Table12643[KendallTauCorrelation])</f>
        <v>0.94102564102564101</v>
      </c>
      <c r="L21" s="2">
        <f>AVERAGEIF(Table12643[ [ Cycle size] ],I21,Table12643[DiscountedCumulativeGain])</f>
        <v>0.69413869061601896</v>
      </c>
    </row>
    <row r="22" spans="1:12" x14ac:dyDescent="0.35">
      <c r="A22" s="1">
        <v>2.2000000000000002</v>
      </c>
      <c r="B22" s="1">
        <v>9</v>
      </c>
      <c r="C22" s="1">
        <v>0.55555555555555503</v>
      </c>
      <c r="D22" s="1">
        <v>0.9</v>
      </c>
      <c r="E22" s="1">
        <v>0.88888888888888795</v>
      </c>
      <c r="F22" s="1">
        <v>0.86666666666666603</v>
      </c>
      <c r="G22" s="1">
        <v>0.78387451860626101</v>
      </c>
      <c r="I22" s="12">
        <v>90</v>
      </c>
      <c r="J22" s="2">
        <f>AVERAGEIF(Table12643[[ Cycle size]],I22,Table12643[JaccardCoefficient])</f>
        <v>0.43333333333333302</v>
      </c>
      <c r="K22" s="2">
        <f>AVERAGEIF(Table12643[ [ Cycle size] ],I22,Table12643[KendallTauCorrelation])</f>
        <v>0.97253433208489304</v>
      </c>
      <c r="L22" s="2">
        <f>AVERAGEIF(Table12643[ [ Cycle size] ],I22,Table12643[DiscountedCumulativeGain])</f>
        <v>0.64984557443541002</v>
      </c>
    </row>
    <row r="23" spans="1:12" x14ac:dyDescent="0.35">
      <c r="A23" s="1">
        <v>11.2</v>
      </c>
      <c r="B23" s="1">
        <v>9</v>
      </c>
      <c r="C23" s="1">
        <v>0.55555555555555503</v>
      </c>
      <c r="D23" s="1">
        <v>0.9</v>
      </c>
      <c r="E23" s="1">
        <v>0.88888888888888795</v>
      </c>
      <c r="F23" s="1">
        <v>0.6</v>
      </c>
      <c r="G23" s="1">
        <v>0.94163310951674495</v>
      </c>
      <c r="I23" s="1"/>
      <c r="J23" s="1"/>
    </row>
    <row r="24" spans="1:12" x14ac:dyDescent="0.35">
      <c r="A24" s="1">
        <v>17.2</v>
      </c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1"/>
      <c r="J24" s="1"/>
    </row>
    <row r="25" spans="1:12" x14ac:dyDescent="0.35">
      <c r="A25" s="1">
        <v>21.2</v>
      </c>
      <c r="B25" s="1">
        <v>9</v>
      </c>
      <c r="C25" s="1">
        <v>0.77777777777777701</v>
      </c>
      <c r="D25" s="1">
        <v>0.95</v>
      </c>
      <c r="E25" s="1">
        <v>0.94444444444444398</v>
      </c>
      <c r="F25" s="1">
        <v>0.97777777777777697</v>
      </c>
      <c r="G25" s="1">
        <v>0.86492944988589404</v>
      </c>
      <c r="I25" s="1"/>
      <c r="J25" s="1"/>
    </row>
    <row r="26" spans="1:12" x14ac:dyDescent="0.35">
      <c r="A26" s="1">
        <v>40.200000000000003</v>
      </c>
      <c r="B26" s="1">
        <v>9</v>
      </c>
      <c r="C26" s="1">
        <v>0.77777777777777701</v>
      </c>
      <c r="D26" s="1">
        <v>0.95</v>
      </c>
      <c r="E26" s="1">
        <v>0.94444444444444398</v>
      </c>
      <c r="F26" s="1">
        <v>0.844444444444444</v>
      </c>
      <c r="G26" s="1">
        <v>0.94529096776548804</v>
      </c>
    </row>
    <row r="27" spans="1:12" x14ac:dyDescent="0.35">
      <c r="A27" s="1">
        <v>37.200000000000003</v>
      </c>
      <c r="B27" s="1">
        <v>10</v>
      </c>
      <c r="C27" s="1">
        <v>0.6</v>
      </c>
      <c r="D27" s="1">
        <v>0.92</v>
      </c>
      <c r="E27" s="1">
        <v>0.91111111111111098</v>
      </c>
      <c r="F27" s="1">
        <v>0.78181818181818097</v>
      </c>
      <c r="G27" s="1">
        <v>0.84472579626022204</v>
      </c>
    </row>
    <row r="28" spans="1:12" x14ac:dyDescent="0.35">
      <c r="A28" s="1">
        <v>38.200000000000003</v>
      </c>
      <c r="B28" s="1">
        <v>10</v>
      </c>
      <c r="C28" s="1">
        <v>0.8</v>
      </c>
      <c r="D28" s="1">
        <v>0.92</v>
      </c>
      <c r="E28" s="1">
        <v>0.86666666666666603</v>
      </c>
      <c r="F28" s="1">
        <v>0.92727272727272703</v>
      </c>
      <c r="G28" s="1">
        <v>0.90236342564195704</v>
      </c>
    </row>
    <row r="29" spans="1:12" x14ac:dyDescent="0.35">
      <c r="A29" s="1">
        <v>42.2</v>
      </c>
      <c r="B29" s="1">
        <v>10</v>
      </c>
      <c r="C29" s="1">
        <v>0.8</v>
      </c>
      <c r="D29" s="1">
        <v>0.96</v>
      </c>
      <c r="E29" s="1">
        <v>0.95555555555555505</v>
      </c>
      <c r="F29" s="1">
        <v>0.98181818181818103</v>
      </c>
      <c r="G29" s="1">
        <v>0.86691636400460104</v>
      </c>
    </row>
    <row r="30" spans="1:12" x14ac:dyDescent="0.35">
      <c r="A30" s="1">
        <v>3.2</v>
      </c>
      <c r="B30" s="1">
        <v>12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</row>
    <row r="31" spans="1:12" x14ac:dyDescent="0.35">
      <c r="A31" s="1">
        <v>12.2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</row>
    <row r="32" spans="1:12" x14ac:dyDescent="0.35">
      <c r="A32" s="1">
        <v>15.2</v>
      </c>
      <c r="B32" s="1">
        <v>12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</row>
    <row r="33" spans="1:7" x14ac:dyDescent="0.35">
      <c r="A33" s="1">
        <v>41.2</v>
      </c>
      <c r="B33" s="1">
        <v>12</v>
      </c>
      <c r="C33" s="1">
        <v>0.83333333333333304</v>
      </c>
      <c r="D33" s="1">
        <v>0.97222222222222199</v>
      </c>
      <c r="E33" s="1">
        <v>0.96969696969696895</v>
      </c>
      <c r="F33" s="1">
        <v>0.96153846153846101</v>
      </c>
      <c r="G33" s="1">
        <v>0.89005112998028202</v>
      </c>
    </row>
    <row r="34" spans="1:7" x14ac:dyDescent="0.35">
      <c r="A34" s="1">
        <v>47.2</v>
      </c>
      <c r="B34" s="1">
        <v>12</v>
      </c>
      <c r="C34" s="1">
        <v>0.58333333333333304</v>
      </c>
      <c r="D34" s="1">
        <v>0.91666666666666596</v>
      </c>
      <c r="E34" s="1">
        <v>0.90909090909090895</v>
      </c>
      <c r="F34" s="1">
        <v>0.67948717948717896</v>
      </c>
      <c r="G34" s="1">
        <v>0.86240337742988404</v>
      </c>
    </row>
    <row r="35" spans="1:7" x14ac:dyDescent="0.35">
      <c r="A35" s="1">
        <v>25.2</v>
      </c>
      <c r="B35" s="1">
        <v>14</v>
      </c>
      <c r="C35" s="1">
        <v>0.78571428571428503</v>
      </c>
      <c r="D35" s="1">
        <v>0.95918367346938704</v>
      </c>
      <c r="E35" s="1">
        <v>0.95604395604395598</v>
      </c>
      <c r="F35" s="1">
        <v>0.88571428571428501</v>
      </c>
      <c r="G35" s="1">
        <v>0.88675190378272395</v>
      </c>
    </row>
    <row r="36" spans="1:7" x14ac:dyDescent="0.35">
      <c r="A36" s="1">
        <v>28.2</v>
      </c>
      <c r="B36" s="1">
        <v>14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1:7" x14ac:dyDescent="0.35">
      <c r="A37" s="1">
        <v>49.2</v>
      </c>
      <c r="B37" s="1">
        <v>14</v>
      </c>
      <c r="C37" s="1">
        <v>0.57142857142857095</v>
      </c>
      <c r="D37" s="1">
        <v>0.93877551020408101</v>
      </c>
      <c r="E37" s="1">
        <v>0.93406593406593397</v>
      </c>
      <c r="F37" s="1">
        <v>0.55238095238095197</v>
      </c>
      <c r="G37" s="1">
        <v>0.90460041451186701</v>
      </c>
    </row>
    <row r="38" spans="1:7" x14ac:dyDescent="0.35">
      <c r="A38" s="1">
        <v>46.2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35">
      <c r="A39" s="1">
        <v>7.2</v>
      </c>
      <c r="B39" s="1">
        <v>16</v>
      </c>
      <c r="C39" s="1">
        <v>0.75</v>
      </c>
      <c r="D39" s="1">
        <v>0.96875</v>
      </c>
      <c r="E39" s="1">
        <v>0.96666666666666601</v>
      </c>
      <c r="F39" s="1">
        <v>0.88235294117647001</v>
      </c>
      <c r="G39" s="1">
        <v>0.84561056384199496</v>
      </c>
    </row>
    <row r="40" spans="1:7" x14ac:dyDescent="0.35">
      <c r="A40" s="1">
        <v>34.200000000000003</v>
      </c>
      <c r="B40" s="1">
        <v>16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</row>
    <row r="41" spans="1:7" x14ac:dyDescent="0.35">
      <c r="A41" s="1">
        <v>14.2</v>
      </c>
      <c r="B41" s="1">
        <v>17</v>
      </c>
      <c r="C41" s="1">
        <v>0.58823529411764697</v>
      </c>
      <c r="D41" s="1">
        <v>0.93055555555555503</v>
      </c>
      <c r="E41" s="1">
        <v>0.91176470588235203</v>
      </c>
      <c r="F41" s="1">
        <v>0.69281045751633896</v>
      </c>
      <c r="G41" s="1">
        <v>0.80570880673957801</v>
      </c>
    </row>
    <row r="42" spans="1:7" x14ac:dyDescent="0.35">
      <c r="A42" s="1">
        <v>36.200000000000003</v>
      </c>
      <c r="B42" s="1">
        <v>17</v>
      </c>
      <c r="C42" s="1">
        <v>0.70588235294117596</v>
      </c>
      <c r="D42" s="1">
        <v>0.95833333333333304</v>
      </c>
      <c r="E42" s="1">
        <v>0.95588235294117596</v>
      </c>
      <c r="F42" s="1">
        <v>0.77777777777777701</v>
      </c>
      <c r="G42" s="1">
        <v>0.86238576329594396</v>
      </c>
    </row>
    <row r="43" spans="1:7" x14ac:dyDescent="0.35">
      <c r="A43" s="1">
        <v>45.2</v>
      </c>
      <c r="B43" s="1">
        <v>18</v>
      </c>
      <c r="C43" s="1">
        <v>0.5</v>
      </c>
      <c r="D43" s="1">
        <v>0.938271604938271</v>
      </c>
      <c r="E43" s="1">
        <v>0.934640522875817</v>
      </c>
      <c r="F43" s="1">
        <v>0.74269005847953196</v>
      </c>
      <c r="G43" s="1">
        <v>0.68410559330247001</v>
      </c>
    </row>
    <row r="44" spans="1:7" x14ac:dyDescent="0.35">
      <c r="A44" s="1">
        <v>48.2</v>
      </c>
      <c r="B44" s="1">
        <v>18</v>
      </c>
      <c r="C44" s="1">
        <v>0.88888888888888795</v>
      </c>
      <c r="D44" s="1">
        <v>0.98765432098765404</v>
      </c>
      <c r="E44" s="1">
        <v>0.986928104575163</v>
      </c>
      <c r="F44" s="1">
        <v>0.86549707602339099</v>
      </c>
      <c r="G44" s="1">
        <v>0.97866975492641195</v>
      </c>
    </row>
    <row r="45" spans="1:7" x14ac:dyDescent="0.35">
      <c r="A45" s="1">
        <v>18.2</v>
      </c>
      <c r="B45" s="1">
        <v>20</v>
      </c>
      <c r="C45" s="1">
        <v>0.75</v>
      </c>
      <c r="D45" s="1">
        <v>0.96</v>
      </c>
      <c r="E45" s="1">
        <v>0.94736842105263097</v>
      </c>
      <c r="F45" s="1">
        <v>0.78095238095238095</v>
      </c>
      <c r="G45" s="1">
        <v>0.89293210907951104</v>
      </c>
    </row>
    <row r="46" spans="1:7" x14ac:dyDescent="0.35">
      <c r="A46" s="1">
        <v>35.200000000000003</v>
      </c>
      <c r="B46" s="1">
        <v>20</v>
      </c>
      <c r="C46" s="1">
        <v>0.7</v>
      </c>
      <c r="D46" s="1">
        <v>0.96</v>
      </c>
      <c r="E46" s="1">
        <v>0.94736842105263097</v>
      </c>
      <c r="F46" s="1">
        <v>0.70476190476190403</v>
      </c>
      <c r="G46" s="1">
        <v>0.89181635844288099</v>
      </c>
    </row>
    <row r="47" spans="1:7" x14ac:dyDescent="0.35">
      <c r="A47" s="1">
        <v>24.2</v>
      </c>
      <c r="B47" s="1">
        <v>21</v>
      </c>
      <c r="C47" s="1">
        <v>0.61904761904761896</v>
      </c>
      <c r="D47" s="1">
        <v>0.95454545454545403</v>
      </c>
      <c r="E47" s="1">
        <v>0.952380952380952</v>
      </c>
      <c r="F47" s="1">
        <v>0.67965367965367895</v>
      </c>
      <c r="G47" s="1">
        <v>0.82233994597674698</v>
      </c>
    </row>
    <row r="48" spans="1:7" x14ac:dyDescent="0.35">
      <c r="A48" s="1">
        <v>44.2</v>
      </c>
      <c r="B48" s="1">
        <v>25</v>
      </c>
      <c r="C48" s="1">
        <v>0.68</v>
      </c>
      <c r="D48" s="1">
        <v>0.96794871794871795</v>
      </c>
      <c r="E48" s="1">
        <v>0.96666666666666601</v>
      </c>
      <c r="F48" s="1">
        <v>0.70461538461538398</v>
      </c>
      <c r="G48" s="1">
        <v>0.85308519744170497</v>
      </c>
    </row>
    <row r="49" spans="1:7" x14ac:dyDescent="0.35">
      <c r="A49" s="1">
        <v>31.2</v>
      </c>
      <c r="B49" s="1">
        <v>30</v>
      </c>
      <c r="C49" s="1">
        <v>0.7</v>
      </c>
      <c r="D49" s="1">
        <v>0.97333333333333305</v>
      </c>
      <c r="E49" s="1">
        <v>0.972413793103448</v>
      </c>
      <c r="F49" s="1">
        <v>0.64731182795698905</v>
      </c>
      <c r="G49" s="1">
        <v>0.90023586141246903</v>
      </c>
    </row>
    <row r="50" spans="1:7" x14ac:dyDescent="0.35">
      <c r="A50" s="1">
        <v>16.2</v>
      </c>
      <c r="B50" s="1">
        <v>40</v>
      </c>
      <c r="C50" s="1">
        <v>0.4</v>
      </c>
      <c r="D50" s="1">
        <v>0.95</v>
      </c>
      <c r="E50" s="1">
        <v>0.94102564102564101</v>
      </c>
      <c r="F50" s="1">
        <v>0.40609756097560901</v>
      </c>
      <c r="G50" s="1">
        <v>0.69413869061601896</v>
      </c>
    </row>
    <row r="51" spans="1:7" x14ac:dyDescent="0.35">
      <c r="A51" s="1">
        <v>19.2</v>
      </c>
      <c r="B51" s="1">
        <v>90</v>
      </c>
      <c r="C51" s="1">
        <v>0.43333333333333302</v>
      </c>
      <c r="D51" s="1">
        <v>0.97728395061728301</v>
      </c>
      <c r="E51" s="1">
        <v>0.97253433208489304</v>
      </c>
      <c r="F51" s="1">
        <v>0.433211233211233</v>
      </c>
      <c r="G51" s="1">
        <v>0.64984557443541002</v>
      </c>
    </row>
    <row r="52" spans="1:7" x14ac:dyDescent="0.35">
      <c r="A52" s="1" t="s">
        <v>32</v>
      </c>
      <c r="C52" s="1">
        <f>SUBTOTAL(101,Table12643[JaccardCoefficient])</f>
        <v>0.76568870214752549</v>
      </c>
      <c r="D52" s="1">
        <f>SUBTOTAL(101,Table12643[MismatchDistanceCoefficient])</f>
        <v>0.9359927090986615</v>
      </c>
      <c r="E52" s="1">
        <f>SUBTOTAL(101,Table12643[KendallTauCorrelation])</f>
        <v>0.9204907669841158</v>
      </c>
      <c r="F52" s="1">
        <f>SUBTOTAL(101,Table12643[MismatchPositionCoefficient])</f>
        <v>0.84156476887213671</v>
      </c>
      <c r="G52" s="1">
        <f>SUBTOTAL(101,Table12643[DiscountedCumulativeGain])</f>
        <v>0.90602249436952076</v>
      </c>
    </row>
  </sheetData>
  <pageMargins left="0.7" right="0.7" top="0.75" bottom="0.75" header="0.3" footer="0.3"/>
  <pageSetup orientation="portrait" r:id="rId1"/>
  <ignoredErrors>
    <ignoredError sqref="O2:Q3" calculatedColumn="1"/>
    <ignoredError sqref="O4:Q4" formulaRange="1" calculatedColumn="1"/>
  </ignoredErrors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topLeftCell="I1" workbookViewId="0">
      <selection activeCell="N1" sqref="N1:Q4"/>
    </sheetView>
  </sheetViews>
  <sheetFormatPr defaultRowHeight="14.5" x14ac:dyDescent="0.35"/>
  <cols>
    <col min="1" max="1" width="9.08984375" customWidth="1"/>
    <col min="2" max="2" width="11.08984375" customWidth="1"/>
    <col min="3" max="3" width="17.90625" customWidth="1"/>
    <col min="4" max="4" width="25.54296875" customWidth="1"/>
    <col min="5" max="5" width="21.54296875" customWidth="1"/>
    <col min="6" max="6" width="18.36328125" customWidth="1"/>
    <col min="9" max="9" width="12.90625" style="11" customWidth="1"/>
    <col min="10" max="10" width="13.08984375" style="11" customWidth="1"/>
    <col min="11" max="11" width="10.36328125" customWidth="1"/>
    <col min="13" max="13" width="10.6328125" customWidth="1"/>
    <col min="14" max="14" width="21.08984375" customWidth="1"/>
    <col min="15" max="15" width="7" customWidth="1"/>
    <col min="16" max="16" width="7.90625" customWidth="1"/>
    <col min="17" max="17" width="6.269531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t="s">
        <v>4</v>
      </c>
      <c r="J1" t="s">
        <v>33</v>
      </c>
      <c r="K1" t="s">
        <v>29</v>
      </c>
      <c r="L1" t="s">
        <v>34</v>
      </c>
      <c r="N1" s="18" t="s">
        <v>40</v>
      </c>
      <c r="O1" s="19" t="s">
        <v>33</v>
      </c>
      <c r="P1" s="19" t="s">
        <v>29</v>
      </c>
      <c r="Q1" s="20" t="s">
        <v>34</v>
      </c>
    </row>
    <row r="2" spans="1:17" x14ac:dyDescent="0.3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AVERAGEIF(Table126[[ Cycle size]],I2,Table126[JaccardCoefficient])</f>
        <v>1</v>
      </c>
      <c r="K2" s="2">
        <f>AVERAGEIF(Table126[ [ Cycle size] ],I2,Table126[KendallTauCorrelation])</f>
        <v>1</v>
      </c>
      <c r="L2" s="2">
        <f>AVERAGEIF(Table126[ [ Cycle size] ],I2,Table126[DiscountedCumulativeGain])</f>
        <v>1</v>
      </c>
      <c r="N2" s="21" t="s">
        <v>41</v>
      </c>
      <c r="O2" s="22">
        <f>CORREL(I2:I22, J2:J22)</f>
        <v>-0.69372126001405321</v>
      </c>
      <c r="P2" s="22">
        <f>CORREL(I2:I22, K2:K22)</f>
        <v>-0.28268688093181399</v>
      </c>
      <c r="Q2" s="23">
        <f>CORREL(I2:I22, L2:L22)</f>
        <v>-0.86209320007329493</v>
      </c>
    </row>
    <row r="3" spans="1:17" x14ac:dyDescent="0.3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AVERAGEIF(Table126[[ Cycle size]],I3,Table126[JaccardCoefficient])</f>
        <v>1</v>
      </c>
      <c r="K3" s="2">
        <f>AVERAGEIF(Table126[ [ Cycle size] ],I3,Table126[KendallTauCorrelation])</f>
        <v>1</v>
      </c>
      <c r="L3" s="2">
        <f>AVERAGEIF(Table126[ [ Cycle size] ],I3,Table126[DiscountedCumulativeGain])</f>
        <v>1</v>
      </c>
      <c r="N3" s="24" t="s">
        <v>40</v>
      </c>
      <c r="O3" s="25" t="s">
        <v>33</v>
      </c>
      <c r="P3" s="25" t="s">
        <v>29</v>
      </c>
      <c r="Q3" s="26" t="s">
        <v>34</v>
      </c>
    </row>
    <row r="4" spans="1:17" x14ac:dyDescent="0.35">
      <c r="A4" s="1">
        <v>10.199999999999999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AVERAGEIF(Table126[[ Cycle size]],I4,Table126[JaccardCoefficient])</f>
        <v>1</v>
      </c>
      <c r="K4" s="2">
        <f>AVERAGEIF(Table126[ [ Cycle size] ],I4,Table126[KendallTauCorrelation])</f>
        <v>1</v>
      </c>
      <c r="L4" s="2">
        <f>AVERAGEIF(Table126[ [ Cycle size] ],I4,Table126[DiscountedCumulativeGain])</f>
        <v>1</v>
      </c>
      <c r="N4" s="27" t="s">
        <v>43</v>
      </c>
      <c r="O4" s="28">
        <f>CORREL(I2:I20, J2:J20)</f>
        <v>-0.86170020700246419</v>
      </c>
      <c r="P4" s="28">
        <f>CORREL(I2:I20, K2:K20)</f>
        <v>-0.45988451981245337</v>
      </c>
      <c r="Q4" s="29">
        <f>CORREL(I2:I20, L2:L20)</f>
        <v>-0.92574421987418876</v>
      </c>
    </row>
    <row r="5" spans="1:17" x14ac:dyDescent="0.3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AVERAGEIF(Table126[[ Cycle size]],I5,Table126[JaccardCoefficient])</f>
        <v>0.6</v>
      </c>
      <c r="K5" s="2">
        <f>AVERAGEIF(Table126[ [ Cycle size] ],I5,Table126[KendallTauCorrelation])</f>
        <v>0.8</v>
      </c>
      <c r="L5" s="2">
        <f>AVERAGEIF(Table126[ [ Cycle size] ],I5,Table126[DiscountedCumulativeGain])</f>
        <v>0.931935878</v>
      </c>
    </row>
    <row r="6" spans="1:17" x14ac:dyDescent="0.3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AVERAGEIF(Table126[[ Cycle size]],I6,Table126[JaccardCoefficient])</f>
        <v>0.77777777799999992</v>
      </c>
      <c r="K6" s="2">
        <f>AVERAGEIF(Table126[ [ Cycle size] ],I6,Table126[KendallTauCorrelation])</f>
        <v>0.91111111133333333</v>
      </c>
      <c r="L6" s="2">
        <f>AVERAGEIF(Table126[ [ Cycle size] ],I6,Table126[DiscountedCumulativeGain])</f>
        <v>0.98144391466666658</v>
      </c>
    </row>
    <row r="7" spans="1:17" x14ac:dyDescent="0.3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AVERAGEIF(Table126[[ Cycle size]],I7,Table126[JaccardCoefficient])</f>
        <v>0.74999999974999998</v>
      </c>
      <c r="K7" s="2">
        <f>AVERAGEIF(Table126[ [ Cycle size] ],I7,Table126[KendallTauCorrelation])</f>
        <v>0.90476190499999998</v>
      </c>
      <c r="L7" s="2">
        <f>AVERAGEIF(Table126[ [ Cycle size] ],I7,Table126[DiscountedCumulativeGain])</f>
        <v>0.93641480500000007</v>
      </c>
      <c r="N7" t="s">
        <v>42</v>
      </c>
    </row>
    <row r="8" spans="1:17" x14ac:dyDescent="0.35">
      <c r="A8" s="1">
        <v>26.2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AVERAGEIF(Table126[[ Cycle size]],I8,Table126[JaccardCoefficient])</f>
        <v>0.75</v>
      </c>
      <c r="K8" s="2">
        <f>AVERAGEIF(Table126[ [ Cycle size] ],I8,Table126[KendallTauCorrelation])</f>
        <v>0.92857142866666675</v>
      </c>
      <c r="L8" s="2">
        <f>AVERAGEIF(Table126[ [ Cycle size] ],I8,Table126[DiscountedCumulativeGain])</f>
        <v>0.93089380500000007</v>
      </c>
      <c r="N8" s="15"/>
      <c r="O8" s="16"/>
      <c r="P8" s="16"/>
      <c r="Q8" s="17"/>
    </row>
    <row r="9" spans="1:17" x14ac:dyDescent="0.3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AVERAGEIF(Table126[[ Cycle size]],I9,Table126[JaccardCoefficient])</f>
        <v>0.688888889</v>
      </c>
      <c r="K9" s="2">
        <f>AVERAGEIF(Table126[ [ Cycle size] ],I9,Table126[KendallTauCorrelation])</f>
        <v>0.91111111079999996</v>
      </c>
      <c r="L9" s="2">
        <f>AVERAGEIF(Table126[ [ Cycle size] ],I9,Table126[DiscountedCumulativeGain])</f>
        <v>0.90822737180000002</v>
      </c>
    </row>
    <row r="10" spans="1:17" x14ac:dyDescent="0.35">
      <c r="A10" s="1">
        <v>50.2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AVERAGEIF(Table126[[ Cycle size]],I10,Table126[JaccardCoefficient])</f>
        <v>0.6</v>
      </c>
      <c r="K10" s="2">
        <f>AVERAGEIF(Table126[ [ Cycle size] ],I10,Table126[KendallTauCorrelation])</f>
        <v>0.88148148133333326</v>
      </c>
      <c r="L10" s="2">
        <f>AVERAGEIF(Table126[ [ Cycle size] ],I10,Table126[DiscountedCumulativeGain])</f>
        <v>0.9136225859999999</v>
      </c>
    </row>
    <row r="11" spans="1:17" x14ac:dyDescent="0.35">
      <c r="A11" s="1">
        <v>23.2</v>
      </c>
      <c r="B11" s="1">
        <v>5</v>
      </c>
      <c r="C11" s="1">
        <v>0.6</v>
      </c>
      <c r="D11" s="1">
        <v>0.83333333300000001</v>
      </c>
      <c r="E11" s="1">
        <v>0.8</v>
      </c>
      <c r="F11" s="1">
        <v>0.66666666699999999</v>
      </c>
      <c r="G11" s="1">
        <v>0.931935878</v>
      </c>
      <c r="I11" s="12">
        <v>12</v>
      </c>
      <c r="J11" s="2">
        <f>AVERAGEIF(Table126[[ Cycle size]],I11,Table126[JaccardCoefficient])</f>
        <v>0.70000000019999997</v>
      </c>
      <c r="K11" s="2">
        <f>AVERAGEIF(Table126[ [ Cycle size] ],I11,Table126[KendallTauCorrelation])</f>
        <v>0.92121212100000016</v>
      </c>
      <c r="L11" s="2">
        <f>AVERAGEIF(Table126[ [ Cycle size] ],I11,Table126[DiscountedCumulativeGain])</f>
        <v>0.92717503859999995</v>
      </c>
    </row>
    <row r="12" spans="1:17" x14ac:dyDescent="0.35">
      <c r="A12" s="1">
        <v>9.1999999999999993</v>
      </c>
      <c r="B12" s="1">
        <v>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I12" s="12">
        <v>14</v>
      </c>
      <c r="J12" s="2">
        <f>AVERAGEIF(Table126[[ Cycle size]],I12,Table126[JaccardCoefficient])</f>
        <v>0.40476190499999998</v>
      </c>
      <c r="K12" s="2">
        <f>AVERAGEIF(Table126[ [ Cycle size] ],I12,Table126[KendallTauCorrelation])</f>
        <v>0.84615384599999999</v>
      </c>
      <c r="L12" s="2">
        <f>AVERAGEIF(Table126[ [ Cycle size] ],I12,Table126[DiscountedCumulativeGain])</f>
        <v>0.82990523033333341</v>
      </c>
    </row>
    <row r="13" spans="1:17" x14ac:dyDescent="0.35">
      <c r="A13" s="1">
        <v>27.2</v>
      </c>
      <c r="B13" s="1">
        <v>6</v>
      </c>
      <c r="C13" s="1">
        <v>0.66666666699999999</v>
      </c>
      <c r="D13" s="1">
        <v>0.88888888899999996</v>
      </c>
      <c r="E13" s="1">
        <v>0.86666666699999995</v>
      </c>
      <c r="F13" s="1">
        <v>0.76190476200000001</v>
      </c>
      <c r="G13" s="1">
        <v>0.99294897400000004</v>
      </c>
      <c r="I13" s="12">
        <v>15</v>
      </c>
      <c r="J13" s="2">
        <f>AVERAGEIF(Table126[[ Cycle size]],I13,Table126[JaccardCoefficient])</f>
        <v>0.2</v>
      </c>
      <c r="K13" s="2">
        <f>AVERAGEIF(Table126[ [ Cycle size] ],I13,Table126[KendallTauCorrelation])</f>
        <v>0.86666666699999995</v>
      </c>
      <c r="L13" s="2">
        <f>AVERAGEIF(Table126[ [ Cycle size] ],I13,Table126[DiscountedCumulativeGain])</f>
        <v>0.70200889399999999</v>
      </c>
    </row>
    <row r="14" spans="1:17" x14ac:dyDescent="0.35">
      <c r="A14" s="1">
        <v>30.2</v>
      </c>
      <c r="B14" s="1">
        <v>6</v>
      </c>
      <c r="C14" s="1">
        <v>0.66666666699999999</v>
      </c>
      <c r="D14" s="1">
        <v>0.88888888899999996</v>
      </c>
      <c r="E14" s="1">
        <v>0.86666666699999995</v>
      </c>
      <c r="F14" s="1">
        <v>0.66666666699999999</v>
      </c>
      <c r="G14" s="1">
        <v>0.95138277000000004</v>
      </c>
      <c r="I14" s="12">
        <v>16</v>
      </c>
      <c r="J14" s="2">
        <f>AVERAGEIF(Table126[[ Cycle size]],I14,Table126[JaccardCoefficient])</f>
        <v>0.4375</v>
      </c>
      <c r="K14" s="2">
        <f>AVERAGEIF(Table126[ [ Cycle size] ],I14,Table126[KendallTauCorrelation])</f>
        <v>0.89166666650000004</v>
      </c>
      <c r="L14" s="2">
        <f>AVERAGEIF(Table126[ [ Cycle size] ],I14,Table126[DiscountedCumulativeGain])</f>
        <v>0.77716428100000001</v>
      </c>
    </row>
    <row r="15" spans="1:17" x14ac:dyDescent="0.35">
      <c r="A15" s="1">
        <v>1.2</v>
      </c>
      <c r="B15" s="1">
        <v>7</v>
      </c>
      <c r="C15" s="1">
        <v>0.71428571399999996</v>
      </c>
      <c r="D15" s="1">
        <v>0.91666666699999999</v>
      </c>
      <c r="E15" s="1">
        <v>0.90476190499999998</v>
      </c>
      <c r="F15" s="1">
        <v>0.89285714299999996</v>
      </c>
      <c r="G15" s="1">
        <v>0.91207477000000003</v>
      </c>
      <c r="I15" s="12">
        <v>17</v>
      </c>
      <c r="J15" s="2">
        <f>AVERAGEIF(Table126[[ Cycle size]],I15,Table126[JaccardCoefficient])</f>
        <v>0.41176470599999998</v>
      </c>
      <c r="K15" s="2">
        <f>AVERAGEIF(Table126[ [ Cycle size] ],I15,Table126[KendallTauCorrelation])</f>
        <v>0.860294118</v>
      </c>
      <c r="L15" s="2">
        <f>AVERAGEIF(Table126[ [ Cycle size] ],I15,Table126[DiscountedCumulativeGain])</f>
        <v>0.74252302599999997</v>
      </c>
    </row>
    <row r="16" spans="1:17" x14ac:dyDescent="0.35">
      <c r="A16" s="1">
        <v>6.2</v>
      </c>
      <c r="B16" s="1">
        <v>7</v>
      </c>
      <c r="C16" s="1">
        <v>0.571428571</v>
      </c>
      <c r="D16" s="1">
        <v>0.83333333300000001</v>
      </c>
      <c r="E16" s="1">
        <v>0.80952380999999995</v>
      </c>
      <c r="F16" s="1">
        <v>0.46428571400000002</v>
      </c>
      <c r="G16" s="1">
        <v>0.87004737300000001</v>
      </c>
      <c r="I16" s="12">
        <v>18</v>
      </c>
      <c r="J16" s="2">
        <f>AVERAGEIF(Table126[[ Cycle size]],I16,Table126[JaccardCoefficient])</f>
        <v>0.47222222250000001</v>
      </c>
      <c r="K16" s="2">
        <f>AVERAGEIF(Table126[ [ Cycle size] ],I16,Table126[KendallTauCorrelation])</f>
        <v>0.90849673199999992</v>
      </c>
      <c r="L16" s="2">
        <f>AVERAGEIF(Table126[ [ Cycle size] ],I16,Table126[DiscountedCumulativeGain])</f>
        <v>0.82629872800000004</v>
      </c>
    </row>
    <row r="17" spans="1:12" x14ac:dyDescent="0.35">
      <c r="A17" s="1">
        <v>8.1999999999999993</v>
      </c>
      <c r="B17" s="1">
        <v>7</v>
      </c>
      <c r="C17" s="1">
        <v>0.71428571399999996</v>
      </c>
      <c r="D17" s="1">
        <v>0.91666666699999999</v>
      </c>
      <c r="E17" s="1">
        <v>0.90476190499999998</v>
      </c>
      <c r="F17" s="1">
        <v>0.678571429</v>
      </c>
      <c r="G17" s="1">
        <v>0.96353707700000002</v>
      </c>
      <c r="I17" s="12">
        <v>20</v>
      </c>
      <c r="J17" s="2">
        <f>AVERAGEIF(Table126[[ Cycle size]],I17,Table126[JaccardCoefficient])</f>
        <v>0.32500000000000001</v>
      </c>
      <c r="K17" s="2">
        <f>AVERAGEIF(Table126[ [ Cycle size] ],I17,Table126[KendallTauCorrelation])</f>
        <v>0.76842105250000003</v>
      </c>
      <c r="L17" s="2">
        <f>AVERAGEIF(Table126[ [ Cycle size] ],I17,Table126[DiscountedCumulativeGain])</f>
        <v>0.78286892850000001</v>
      </c>
    </row>
    <row r="18" spans="1:12" x14ac:dyDescent="0.35">
      <c r="A18" s="1">
        <v>43.2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AVERAGEIF(Table126[[ Cycle size]],I18,Table126[JaccardCoefficient])</f>
        <v>0.14285714299999999</v>
      </c>
      <c r="K18" s="2">
        <f>AVERAGEIF(Table126[ [ Cycle size] ],I18,Table126[KendallTauCorrelation])</f>
        <v>0.79047619000000002</v>
      </c>
      <c r="L18" s="2">
        <f>AVERAGEIF(Table126[ [ Cycle size] ],I18,Table126[DiscountedCumulativeGain])</f>
        <v>0.66080339200000004</v>
      </c>
    </row>
    <row r="19" spans="1:12" x14ac:dyDescent="0.3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AVERAGEIF(Table126[[ Cycle size]],I19,Table126[JaccardCoefficient])</f>
        <v>0.36</v>
      </c>
      <c r="K19" s="2">
        <f>AVERAGEIF(Table126[ [ Cycle size] ],I19,Table126[KendallTauCorrelation])</f>
        <v>0.88</v>
      </c>
      <c r="L19" s="2">
        <f>AVERAGEIF(Table126[ [ Cycle size] ],I19,Table126[DiscountedCumulativeGain])</f>
        <v>0.69914875600000004</v>
      </c>
    </row>
    <row r="20" spans="1:12" x14ac:dyDescent="0.35">
      <c r="A20" s="1">
        <v>13.2</v>
      </c>
      <c r="B20" s="1">
        <v>8</v>
      </c>
      <c r="C20" s="1">
        <v>0.75</v>
      </c>
      <c r="D20" s="1">
        <v>0.9375</v>
      </c>
      <c r="E20" s="1">
        <v>0.928571429</v>
      </c>
      <c r="F20" s="1">
        <v>0.86111111100000004</v>
      </c>
      <c r="G20" s="1">
        <v>0.93161371000000004</v>
      </c>
      <c r="I20" s="12">
        <v>30</v>
      </c>
      <c r="J20" s="2">
        <f>AVERAGEIF(Table126[[ Cycle size]],I20,Table126[JaccardCoefficient])</f>
        <v>0.26666666700000002</v>
      </c>
      <c r="K20" s="2">
        <f>AVERAGEIF(Table126[ [ Cycle size] ],I20,Table126[KendallTauCorrelation])</f>
        <v>0.93103448300000002</v>
      </c>
      <c r="L20" s="2">
        <f>AVERAGEIF(Table126[ [ Cycle size] ],I20,Table126[DiscountedCumulativeGain])</f>
        <v>0.65918592099999995</v>
      </c>
    </row>
    <row r="21" spans="1:12" x14ac:dyDescent="0.35">
      <c r="A21" s="1">
        <v>29.2</v>
      </c>
      <c r="B21" s="1">
        <v>8</v>
      </c>
      <c r="C21" s="1">
        <v>0.5</v>
      </c>
      <c r="D21" s="1">
        <v>0.875</v>
      </c>
      <c r="E21" s="1">
        <v>0.85714285700000004</v>
      </c>
      <c r="F21" s="1">
        <v>0.72222222199999997</v>
      </c>
      <c r="G21" s="1">
        <v>0.86106770499999996</v>
      </c>
      <c r="I21" s="12">
        <v>40</v>
      </c>
      <c r="J21" s="2">
        <f>AVERAGEIF(Table126[[ Cycle size]],I21,Table126[JaccardCoefficient])</f>
        <v>0.125</v>
      </c>
      <c r="K21" s="2">
        <f>AVERAGEIF(Table126[ [ Cycle size] ],I21,Table126[KendallTauCorrelation])</f>
        <v>0.86410256399999996</v>
      </c>
      <c r="L21" s="2">
        <f>AVERAGEIF(Table126[ [ Cycle size] ],I21,Table126[DiscountedCumulativeGain])</f>
        <v>0.53493472200000003</v>
      </c>
    </row>
    <row r="22" spans="1:12" x14ac:dyDescent="0.35">
      <c r="A22" s="1">
        <v>2.2000000000000002</v>
      </c>
      <c r="B22" s="1">
        <v>9</v>
      </c>
      <c r="C22" s="1">
        <v>0.111111111</v>
      </c>
      <c r="D22" s="1">
        <v>0.75</v>
      </c>
      <c r="E22" s="1">
        <v>0.72222222199999997</v>
      </c>
      <c r="F22" s="1">
        <v>0.37777777800000001</v>
      </c>
      <c r="G22" s="1">
        <v>0.78735324500000003</v>
      </c>
      <c r="I22" s="12">
        <v>90</v>
      </c>
      <c r="J22" s="2">
        <f>AVERAGEIF(Table126[[ Cycle size]],I22,Table126[JaccardCoefficient])</f>
        <v>0.1</v>
      </c>
      <c r="K22" s="2">
        <f>AVERAGEIF(Table126[ [ Cycle size] ],I22,Table126[KendallTauCorrelation])</f>
        <v>0.86916354600000001</v>
      </c>
      <c r="L22" s="2">
        <f>AVERAGEIF(Table126[ [ Cycle size] ],I22,Table126[DiscountedCumulativeGain])</f>
        <v>0.44808641799999999</v>
      </c>
    </row>
    <row r="23" spans="1:12" x14ac:dyDescent="0.35">
      <c r="A23" s="1">
        <v>11.2</v>
      </c>
      <c r="B23" s="1">
        <v>9</v>
      </c>
      <c r="C23" s="1">
        <v>0.77777777800000003</v>
      </c>
      <c r="D23" s="1">
        <v>0.95</v>
      </c>
      <c r="E23" s="1">
        <v>0.94444444400000005</v>
      </c>
      <c r="F23" s="1">
        <v>0.93333333299999999</v>
      </c>
      <c r="G23" s="1">
        <v>0.89214464299999996</v>
      </c>
      <c r="I23"/>
      <c r="J23"/>
    </row>
    <row r="24" spans="1:12" x14ac:dyDescent="0.35">
      <c r="A24" s="1">
        <v>17.2</v>
      </c>
      <c r="B24" s="1">
        <v>9</v>
      </c>
      <c r="C24" s="1">
        <v>0.77777777800000003</v>
      </c>
      <c r="D24" s="1">
        <v>0.95</v>
      </c>
      <c r="E24" s="1">
        <v>0.94444444400000005</v>
      </c>
      <c r="F24" s="1">
        <v>0.75555555600000002</v>
      </c>
      <c r="G24" s="1">
        <v>0.99670952099999999</v>
      </c>
      <c r="I24"/>
      <c r="J24"/>
    </row>
    <row r="25" spans="1:12" x14ac:dyDescent="0.35">
      <c r="A25" s="1">
        <v>21.2</v>
      </c>
      <c r="B25" s="1">
        <v>9</v>
      </c>
      <c r="C25" s="1">
        <v>0.77777777800000003</v>
      </c>
      <c r="D25" s="1">
        <v>0.95</v>
      </c>
      <c r="E25" s="1">
        <v>0.94444444400000005</v>
      </c>
      <c r="F25" s="1">
        <v>0.97777777799999999</v>
      </c>
      <c r="G25" s="1">
        <v>0.86492944999999999</v>
      </c>
      <c r="I25"/>
      <c r="J25"/>
    </row>
    <row r="26" spans="1:12" x14ac:dyDescent="0.35">
      <c r="A26" s="1">
        <v>40.200000000000003</v>
      </c>
      <c r="B26" s="1">
        <v>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</row>
    <row r="27" spans="1:12" x14ac:dyDescent="0.35">
      <c r="A27" s="1">
        <v>37.200000000000003</v>
      </c>
      <c r="B27" s="1">
        <v>10</v>
      </c>
      <c r="C27" s="1">
        <v>0.2</v>
      </c>
      <c r="D27" s="1">
        <v>0.76</v>
      </c>
      <c r="E27" s="1">
        <v>0.73333333300000003</v>
      </c>
      <c r="F27" s="1">
        <v>0.41818181799999998</v>
      </c>
      <c r="G27" s="1">
        <v>0.78319255899999995</v>
      </c>
    </row>
    <row r="28" spans="1:12" x14ac:dyDescent="0.35">
      <c r="A28" s="1">
        <v>38.200000000000003</v>
      </c>
      <c r="B28" s="1">
        <v>10</v>
      </c>
      <c r="C28" s="1">
        <v>0.6</v>
      </c>
      <c r="D28" s="1">
        <v>0.92</v>
      </c>
      <c r="E28" s="1">
        <v>0.91111111099999997</v>
      </c>
      <c r="F28" s="1">
        <v>0.45454545499999999</v>
      </c>
      <c r="G28" s="1">
        <v>0.95767519899999998</v>
      </c>
    </row>
    <row r="29" spans="1:12" x14ac:dyDescent="0.35">
      <c r="A29" s="1">
        <v>42.2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</row>
    <row r="30" spans="1:12" x14ac:dyDescent="0.35">
      <c r="A30" s="1">
        <v>3.2</v>
      </c>
      <c r="B30" s="1">
        <v>12</v>
      </c>
      <c r="C30" s="1">
        <v>0.66666666699999999</v>
      </c>
      <c r="D30" s="1">
        <v>0.94444444400000005</v>
      </c>
      <c r="E30" s="1">
        <v>0.93939393900000001</v>
      </c>
      <c r="F30" s="1">
        <v>0.89743589700000004</v>
      </c>
      <c r="G30" s="1">
        <v>0.79584540999999998</v>
      </c>
    </row>
    <row r="31" spans="1:12" x14ac:dyDescent="0.35">
      <c r="A31" s="1">
        <v>12.2</v>
      </c>
      <c r="B31" s="1">
        <v>12</v>
      </c>
      <c r="C31" s="1">
        <v>0.66666666699999999</v>
      </c>
      <c r="D31" s="1">
        <v>0.94444444400000005</v>
      </c>
      <c r="E31" s="1">
        <v>0.93939393900000001</v>
      </c>
      <c r="F31" s="1">
        <v>0.69230769199999997</v>
      </c>
      <c r="G31" s="1">
        <v>0.92114393400000005</v>
      </c>
    </row>
    <row r="32" spans="1:12" x14ac:dyDescent="0.35">
      <c r="A32" s="1">
        <v>15.2</v>
      </c>
      <c r="B32" s="1">
        <v>12</v>
      </c>
      <c r="C32" s="1">
        <v>0.66666666699999999</v>
      </c>
      <c r="D32" s="1">
        <v>0.88888888899999996</v>
      </c>
      <c r="E32" s="1">
        <v>0.87878787899999999</v>
      </c>
      <c r="F32" s="1">
        <v>0.56410256400000003</v>
      </c>
      <c r="G32" s="1">
        <v>0.99148004000000001</v>
      </c>
    </row>
    <row r="33" spans="1:7" x14ac:dyDescent="0.35">
      <c r="A33" s="1">
        <v>41.2</v>
      </c>
      <c r="B33" s="1">
        <v>12</v>
      </c>
      <c r="C33" s="1">
        <v>0.83333333300000001</v>
      </c>
      <c r="D33" s="1">
        <v>0.94444444400000005</v>
      </c>
      <c r="E33" s="1">
        <v>0.909090909</v>
      </c>
      <c r="F33" s="1">
        <v>0.743589744</v>
      </c>
      <c r="G33" s="1">
        <v>0.95788728899999998</v>
      </c>
    </row>
    <row r="34" spans="1:7" x14ac:dyDescent="0.35">
      <c r="A34" s="1">
        <v>47.2</v>
      </c>
      <c r="B34" s="1">
        <v>12</v>
      </c>
      <c r="C34" s="1">
        <v>0.66666666699999999</v>
      </c>
      <c r="D34" s="1">
        <v>0.94444444400000005</v>
      </c>
      <c r="E34" s="1">
        <v>0.93939393900000001</v>
      </c>
      <c r="F34" s="1">
        <v>0.61538461499999997</v>
      </c>
      <c r="G34" s="1">
        <v>0.96951852000000005</v>
      </c>
    </row>
    <row r="35" spans="1:7" x14ac:dyDescent="0.35">
      <c r="A35" s="1">
        <v>25.2</v>
      </c>
      <c r="B35" s="1">
        <v>14</v>
      </c>
      <c r="C35" s="1">
        <v>0.428571429</v>
      </c>
      <c r="D35" s="1">
        <v>0.918367347</v>
      </c>
      <c r="E35" s="1">
        <v>0.91208791199999995</v>
      </c>
      <c r="F35" s="1">
        <v>0.50476190499999996</v>
      </c>
      <c r="G35" s="1">
        <v>0.81058620599999998</v>
      </c>
    </row>
    <row r="36" spans="1:7" x14ac:dyDescent="0.35">
      <c r="A36" s="1">
        <v>28.2</v>
      </c>
      <c r="B36" s="1">
        <v>14</v>
      </c>
      <c r="C36" s="1">
        <v>0.5</v>
      </c>
      <c r="D36" s="1">
        <v>0.85714285700000004</v>
      </c>
      <c r="E36" s="1">
        <v>0.78021978000000003</v>
      </c>
      <c r="F36" s="1">
        <v>0.571428571</v>
      </c>
      <c r="G36" s="1">
        <v>0.85051428600000001</v>
      </c>
    </row>
    <row r="37" spans="1:7" x14ac:dyDescent="0.35">
      <c r="A37" s="1">
        <v>49.2</v>
      </c>
      <c r="B37" s="1">
        <v>14</v>
      </c>
      <c r="C37" s="1">
        <v>0.28571428599999998</v>
      </c>
      <c r="D37" s="1">
        <v>0.85714285700000004</v>
      </c>
      <c r="E37" s="1">
        <v>0.84615384599999999</v>
      </c>
      <c r="F37" s="1">
        <v>0.28571428599999998</v>
      </c>
      <c r="G37" s="1">
        <v>0.82861519900000002</v>
      </c>
    </row>
    <row r="38" spans="1:7" x14ac:dyDescent="0.35">
      <c r="A38" s="1">
        <v>46.2</v>
      </c>
      <c r="B38" s="1">
        <v>15</v>
      </c>
      <c r="C38" s="1">
        <v>0.2</v>
      </c>
      <c r="D38" s="1">
        <v>0.875</v>
      </c>
      <c r="E38" s="1">
        <v>0.86666666699999995</v>
      </c>
      <c r="F38" s="1">
        <v>0.33333333300000001</v>
      </c>
      <c r="G38" s="1">
        <v>0.70200889399999999</v>
      </c>
    </row>
    <row r="39" spans="1:7" x14ac:dyDescent="0.35">
      <c r="A39" s="1">
        <v>7.2</v>
      </c>
      <c r="B39" s="1">
        <v>16</v>
      </c>
      <c r="C39" s="1">
        <v>0.375</v>
      </c>
      <c r="D39" s="1">
        <v>0.90625</v>
      </c>
      <c r="E39" s="1">
        <v>0.9</v>
      </c>
      <c r="F39" s="1">
        <v>0.41911764699999998</v>
      </c>
      <c r="G39" s="1">
        <v>0.79118463999999999</v>
      </c>
    </row>
    <row r="40" spans="1:7" x14ac:dyDescent="0.35">
      <c r="A40" s="1">
        <v>34.200000000000003</v>
      </c>
      <c r="B40" s="1">
        <v>16</v>
      </c>
      <c r="C40" s="1">
        <v>0.5</v>
      </c>
      <c r="D40" s="1">
        <v>0.90625</v>
      </c>
      <c r="E40" s="1">
        <v>0.88333333300000005</v>
      </c>
      <c r="F40" s="1">
        <v>0.64705882400000003</v>
      </c>
      <c r="G40" s="1">
        <v>0.76314392200000003</v>
      </c>
    </row>
    <row r="41" spans="1:7" x14ac:dyDescent="0.35">
      <c r="A41" s="1">
        <v>14.2</v>
      </c>
      <c r="B41" s="1">
        <v>17</v>
      </c>
      <c r="C41" s="1">
        <v>0.29411764699999998</v>
      </c>
      <c r="D41" s="1">
        <v>0.86111111100000004</v>
      </c>
      <c r="E41" s="1">
        <v>0.82352941199999996</v>
      </c>
      <c r="F41" s="1">
        <v>0.37908496699999999</v>
      </c>
      <c r="G41" s="1">
        <v>0.73167821799999999</v>
      </c>
    </row>
    <row r="42" spans="1:7" x14ac:dyDescent="0.35">
      <c r="A42" s="1">
        <v>36.200000000000003</v>
      </c>
      <c r="B42" s="1">
        <v>17</v>
      </c>
      <c r="C42" s="1">
        <v>0.52941176499999998</v>
      </c>
      <c r="D42" s="1">
        <v>0.91666666699999999</v>
      </c>
      <c r="E42" s="1">
        <v>0.89705882400000003</v>
      </c>
      <c r="F42" s="1">
        <v>0.69281045799999996</v>
      </c>
      <c r="G42" s="1">
        <v>0.75336783399999996</v>
      </c>
    </row>
    <row r="43" spans="1:7" x14ac:dyDescent="0.35">
      <c r="A43" s="1">
        <v>45.2</v>
      </c>
      <c r="B43" s="1">
        <v>18</v>
      </c>
      <c r="C43" s="1">
        <v>0.38888888900000002</v>
      </c>
      <c r="D43" s="1">
        <v>0.92592592600000001</v>
      </c>
      <c r="E43" s="1">
        <v>0.92156862699999997</v>
      </c>
      <c r="F43" s="1">
        <v>0.40350877200000002</v>
      </c>
      <c r="G43" s="1">
        <v>0.79261869500000004</v>
      </c>
    </row>
    <row r="44" spans="1:7" x14ac:dyDescent="0.35">
      <c r="A44" s="1">
        <v>48.2</v>
      </c>
      <c r="B44" s="1">
        <v>18</v>
      </c>
      <c r="C44" s="1">
        <v>0.55555555599999995</v>
      </c>
      <c r="D44" s="1">
        <v>0.91358024699999996</v>
      </c>
      <c r="E44" s="1">
        <v>0.89542483699999997</v>
      </c>
      <c r="F44" s="1">
        <v>0.54970760200000002</v>
      </c>
      <c r="G44" s="1">
        <v>0.85997876100000004</v>
      </c>
    </row>
    <row r="45" spans="1:7" x14ac:dyDescent="0.35">
      <c r="A45" s="1">
        <v>18.2</v>
      </c>
      <c r="B45" s="1">
        <v>20</v>
      </c>
      <c r="C45" s="1">
        <v>0.1</v>
      </c>
      <c r="D45" s="1">
        <v>0.69</v>
      </c>
      <c r="E45" s="1">
        <v>0.65263157900000002</v>
      </c>
      <c r="F45" s="1">
        <v>0.12857142899999999</v>
      </c>
      <c r="G45" s="1">
        <v>0.72451110200000002</v>
      </c>
    </row>
    <row r="46" spans="1:7" x14ac:dyDescent="0.35">
      <c r="A46" s="1">
        <v>35.200000000000003</v>
      </c>
      <c r="B46" s="1">
        <v>20</v>
      </c>
      <c r="C46" s="1">
        <v>0.55000000000000004</v>
      </c>
      <c r="D46" s="1">
        <v>0.91</v>
      </c>
      <c r="E46" s="1">
        <v>0.88421052600000005</v>
      </c>
      <c r="F46" s="1">
        <v>0.55238095200000004</v>
      </c>
      <c r="G46" s="1">
        <v>0.84122675499999999</v>
      </c>
    </row>
    <row r="47" spans="1:7" x14ac:dyDescent="0.35">
      <c r="A47" s="1">
        <v>24.2</v>
      </c>
      <c r="B47" s="1">
        <v>21</v>
      </c>
      <c r="C47" s="1">
        <v>0.14285714299999999</v>
      </c>
      <c r="D47" s="1">
        <v>0.83636363599999997</v>
      </c>
      <c r="E47" s="1">
        <v>0.79047619000000002</v>
      </c>
      <c r="F47" s="1">
        <v>0.19480519499999999</v>
      </c>
      <c r="G47" s="1">
        <v>0.66080339200000004</v>
      </c>
    </row>
    <row r="48" spans="1:7" x14ac:dyDescent="0.35">
      <c r="A48" s="1">
        <v>44.2</v>
      </c>
      <c r="B48" s="1">
        <v>25</v>
      </c>
      <c r="C48" s="1">
        <v>0.36</v>
      </c>
      <c r="D48" s="1">
        <v>0.89743589700000004</v>
      </c>
      <c r="E48" s="1">
        <v>0.88</v>
      </c>
      <c r="F48" s="1">
        <v>0.421538462</v>
      </c>
      <c r="G48" s="1">
        <v>0.69914875600000004</v>
      </c>
    </row>
    <row r="49" spans="1:7" x14ac:dyDescent="0.35">
      <c r="A49" s="1">
        <v>31.2</v>
      </c>
      <c r="B49" s="1">
        <v>30</v>
      </c>
      <c r="C49" s="1">
        <v>0.26666666700000002</v>
      </c>
      <c r="D49" s="1">
        <v>0.93333333299999999</v>
      </c>
      <c r="E49" s="1">
        <v>0.93103448300000002</v>
      </c>
      <c r="F49" s="1">
        <v>0.283870968</v>
      </c>
      <c r="G49" s="1">
        <v>0.65918592099999995</v>
      </c>
    </row>
    <row r="50" spans="1:7" x14ac:dyDescent="0.35">
      <c r="A50" s="1">
        <v>16.2</v>
      </c>
      <c r="B50" s="1">
        <v>40</v>
      </c>
      <c r="C50" s="1">
        <v>0.125</v>
      </c>
      <c r="D50" s="1">
        <v>0.88249999999999995</v>
      </c>
      <c r="E50" s="1">
        <v>0.86410256399999996</v>
      </c>
      <c r="F50" s="1">
        <v>0.17560975600000001</v>
      </c>
      <c r="G50" s="1">
        <v>0.53493472200000003</v>
      </c>
    </row>
    <row r="51" spans="1:7" x14ac:dyDescent="0.35">
      <c r="A51" s="1">
        <v>19.2</v>
      </c>
      <c r="B51" s="1">
        <v>90</v>
      </c>
      <c r="C51" s="1">
        <v>0.1</v>
      </c>
      <c r="D51" s="1">
        <v>0.89432098800000004</v>
      </c>
      <c r="E51" s="1">
        <v>0.86916354600000001</v>
      </c>
      <c r="F51" s="1">
        <v>0.104029304</v>
      </c>
      <c r="G51" s="1">
        <v>0.44808641799999999</v>
      </c>
    </row>
    <row r="52" spans="1:7" x14ac:dyDescent="0.35">
      <c r="A52" s="1" t="s">
        <v>32</v>
      </c>
      <c r="B52" s="1"/>
      <c r="C52" s="1">
        <f>SUBTOTAL(101,Table126[JaccardCoefficient])</f>
        <v>0.63259122322000028</v>
      </c>
      <c r="D52" s="1">
        <f>SUBTOTAL(101,Table126[MismatchDistanceCoefficient])</f>
        <v>0.92036670617999972</v>
      </c>
      <c r="E52" s="1">
        <f>SUBTOTAL(101,Table126[KendallTauCorrelation])</f>
        <v>0.90683635937999985</v>
      </c>
      <c r="F52" s="1">
        <f>SUBTOTAL(101,Table126[MismatchPositionCoefficient])</f>
        <v>0.67583220752000006</v>
      </c>
      <c r="G52" s="1">
        <f>SUBTOTAL(101,Table126[DiscountedCumulativeGain])</f>
        <v>0.87568163576000002</v>
      </c>
    </row>
  </sheetData>
  <pageMargins left="0.7" right="0.7" top="0.75" bottom="0.75" header="0.3" footer="0.3"/>
  <pageSetup orientation="portrait" r:id="rId1"/>
  <ignoredErrors>
    <ignoredError sqref="O2:Q3" calculatedColumn="1"/>
    <ignoredError sqref="O4:Q4" formulaRange="1" calculatedColumn="1"/>
  </ignoredErrors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2"/>
  <sheetViews>
    <sheetView topLeftCell="G1" zoomScaleNormal="100" workbookViewId="0">
      <selection activeCell="N1" sqref="N1:Q4"/>
    </sheetView>
  </sheetViews>
  <sheetFormatPr defaultRowHeight="14.5" x14ac:dyDescent="0.35"/>
  <cols>
    <col min="1" max="1" width="9.90625" style="1" customWidth="1"/>
    <col min="2" max="2" width="10.36328125" style="1" customWidth="1"/>
    <col min="3" max="3" width="8.7265625" style="1"/>
    <col min="4" max="4" width="12.90625" style="11" customWidth="1"/>
    <col min="5" max="5" width="13.08984375" style="11" customWidth="1"/>
    <col min="6" max="6" width="10.36328125" style="1" customWidth="1"/>
    <col min="7" max="7" width="8.7265625" style="1"/>
    <col min="8" max="8" width="10.6328125" style="1" customWidth="1"/>
    <col min="9" max="9" width="15.1796875" style="1" customWidth="1"/>
    <col min="10" max="10" width="17.453125" style="1" customWidth="1"/>
    <col min="11" max="11" width="13" style="1" customWidth="1"/>
    <col min="12" max="13" width="8.7265625" style="1"/>
    <col min="14" max="14" width="23.7265625" style="1" customWidth="1"/>
    <col min="15" max="15" width="7" style="1" customWidth="1"/>
    <col min="16" max="16" width="6.81640625" style="1" customWidth="1"/>
    <col min="17" max="17" width="6" style="1" customWidth="1"/>
    <col min="18" max="16384" width="8.7265625" style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23</v>
      </c>
      <c r="E1" s="1" t="s">
        <v>3</v>
      </c>
      <c r="F1" s="1" t="s">
        <v>24</v>
      </c>
      <c r="G1" s="1" t="s">
        <v>30</v>
      </c>
      <c r="I1" s="1" t="s">
        <v>4</v>
      </c>
      <c r="J1" s="1" t="s">
        <v>33</v>
      </c>
      <c r="K1" s="1" t="s">
        <v>29</v>
      </c>
      <c r="L1" s="1" t="s">
        <v>34</v>
      </c>
      <c r="N1" s="18" t="s">
        <v>40</v>
      </c>
      <c r="O1" s="19" t="s">
        <v>33</v>
      </c>
      <c r="P1" s="19" t="s">
        <v>29</v>
      </c>
      <c r="Q1" s="20" t="s">
        <v>34</v>
      </c>
    </row>
    <row r="2" spans="1:17" x14ac:dyDescent="0.35">
      <c r="A2" s="1">
        <v>20.2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2">
        <v>2</v>
      </c>
      <c r="J2" s="2">
        <f>AVERAGEIF(Table12633[[ Cycle size]],I2,Table12633[JaccardCoefficient])</f>
        <v>1</v>
      </c>
      <c r="K2" s="2">
        <f>AVERAGEIF(Table12633[ [ Cycle size] ],I2,Table12633[KendallTauCorrelation])</f>
        <v>1</v>
      </c>
      <c r="L2" s="2">
        <f>AVERAGEIF(Table12633[ [ Cycle size] ],I2,Table12633[DiscountedCumulativeGain])</f>
        <v>1</v>
      </c>
      <c r="N2" s="21" t="s">
        <v>41</v>
      </c>
      <c r="O2" s="22">
        <f>CORREL(I2:I22, J2:J22)</f>
        <v>-0.56786792831496236</v>
      </c>
      <c r="P2" s="22">
        <f>CORREL(I2:I22, K2:K22)</f>
        <v>-0.36238802445372276</v>
      </c>
      <c r="Q2" s="23">
        <f>CORREL(I2:I22, L2:L22)</f>
        <v>-0.39005589454965633</v>
      </c>
    </row>
    <row r="3" spans="1:17" x14ac:dyDescent="0.35">
      <c r="A3" s="1">
        <v>5.2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2">
        <v>3</v>
      </c>
      <c r="J3" s="2">
        <f>AVERAGEIF(Table12633[[ Cycle size]],I3,Table12633[JaccardCoefficient])</f>
        <v>1</v>
      </c>
      <c r="K3" s="2">
        <f>AVERAGEIF(Table12633[ [ Cycle size] ],I3,Table12633[KendallTauCorrelation])</f>
        <v>1</v>
      </c>
      <c r="L3" s="2">
        <f>AVERAGEIF(Table12633[ [ Cycle size] ],I3,Table12633[DiscountedCumulativeGain])</f>
        <v>1</v>
      </c>
      <c r="N3" s="24" t="s">
        <v>40</v>
      </c>
      <c r="O3" s="25" t="s">
        <v>33</v>
      </c>
      <c r="P3" s="25" t="s">
        <v>29</v>
      </c>
      <c r="Q3" s="26" t="s">
        <v>34</v>
      </c>
    </row>
    <row r="4" spans="1:17" x14ac:dyDescent="0.35">
      <c r="A4" s="1">
        <v>10.199999999999999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2">
        <v>4</v>
      </c>
      <c r="J4" s="2">
        <f>AVERAGEIF(Table12633[[ Cycle size]],I4,Table12633[JaccardCoefficient])</f>
        <v>1</v>
      </c>
      <c r="K4" s="2">
        <f>AVERAGEIF(Table12633[ [ Cycle size] ],I4,Table12633[KendallTauCorrelation])</f>
        <v>1</v>
      </c>
      <c r="L4" s="2">
        <f>AVERAGEIF(Table12633[ [ Cycle size] ],I4,Table12633[DiscountedCumulativeGain])</f>
        <v>1</v>
      </c>
      <c r="N4" s="27" t="s">
        <v>43</v>
      </c>
      <c r="O4" s="28">
        <f>CORREL(I2:I20, J2:J20)</f>
        <v>-0.44795076420059921</v>
      </c>
      <c r="P4" s="28">
        <f>CORREL(I2:I20, K2:K20)</f>
        <v>-0.13625781022048511</v>
      </c>
      <c r="Q4" s="29">
        <f>CORREL(I2:I20, L2:L20)</f>
        <v>-0.48834910911226725</v>
      </c>
    </row>
    <row r="5" spans="1:17" x14ac:dyDescent="0.35">
      <c r="A5" s="1">
        <v>22.2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2">
        <v>5</v>
      </c>
      <c r="J5" s="2">
        <f>AVERAGEIF(Table12633[[ Cycle size]],I5,Table12633[JaccardCoefficient])</f>
        <v>1</v>
      </c>
      <c r="K5" s="2">
        <f>AVERAGEIF(Table12633[ [ Cycle size] ],I5,Table12633[KendallTauCorrelation])</f>
        <v>1</v>
      </c>
      <c r="L5" s="2">
        <f>AVERAGEIF(Table12633[ [ Cycle size] ],I5,Table12633[DiscountedCumulativeGain])</f>
        <v>1</v>
      </c>
    </row>
    <row r="6" spans="1:17" x14ac:dyDescent="0.35">
      <c r="A6" s="1">
        <v>33.200000000000003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2">
        <v>6</v>
      </c>
      <c r="J6" s="2">
        <f>AVERAGEIF(Table12633[[ Cycle size]],I6,Table12633[JaccardCoefficient])</f>
        <v>0.83333333333333337</v>
      </c>
      <c r="K6" s="2">
        <f>AVERAGEIF(Table12633[ [ Cycle size] ],I6,Table12633[KendallTauCorrelation])</f>
        <v>0.91111111111111098</v>
      </c>
      <c r="L6" s="2">
        <f>AVERAGEIF(Table12633[ [ Cycle size] ],I6,Table12633[DiscountedCumulativeGain])</f>
        <v>0.98592613764676729</v>
      </c>
    </row>
    <row r="7" spans="1:17" x14ac:dyDescent="0.35">
      <c r="A7" s="1">
        <v>39.200000000000003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2">
        <v>7</v>
      </c>
      <c r="J7" s="2">
        <f>AVERAGEIF(Table12633[[ Cycle size]],I7,Table12633[JaccardCoefficient])</f>
        <v>0.78571428571428548</v>
      </c>
      <c r="K7" s="2">
        <f>AVERAGEIF(Table12633[ [ Cycle size] ],I7,Table12633[KendallTauCorrelation])</f>
        <v>0.90476190476190443</v>
      </c>
      <c r="L7" s="2">
        <f>AVERAGEIF(Table12633[ [ Cycle size] ],I7,Table12633[DiscountedCumulativeGain])</f>
        <v>0.98321915010162608</v>
      </c>
    </row>
    <row r="8" spans="1:17" x14ac:dyDescent="0.35">
      <c r="A8" s="1">
        <v>26.2</v>
      </c>
      <c r="B8" s="1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2">
        <v>8</v>
      </c>
      <c r="J8" s="2">
        <f>AVERAGEIF(Table12633[[ Cycle size]],I8,Table12633[JaccardCoefficient])</f>
        <v>1</v>
      </c>
      <c r="K8" s="2">
        <f>AVERAGEIF(Table12633[ [ Cycle size] ],I8,Table12633[KendallTauCorrelation])</f>
        <v>1</v>
      </c>
      <c r="L8" s="2">
        <f>AVERAGEIF(Table12633[ [ Cycle size] ],I8,Table12633[DiscountedCumulativeGain])</f>
        <v>1</v>
      </c>
    </row>
    <row r="9" spans="1:17" x14ac:dyDescent="0.35">
      <c r="A9" s="1">
        <v>32.200000000000003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2">
        <v>9</v>
      </c>
      <c r="J9" s="2">
        <f>AVERAGEIF(Table12633[[ Cycle size]],I9,Table12633[JaccardCoefficient])</f>
        <v>1</v>
      </c>
      <c r="K9" s="2">
        <f>AVERAGEIF(Table12633[ [ Cycle size] ],I9,Table12633[KendallTauCorrelation])</f>
        <v>1</v>
      </c>
      <c r="L9" s="2">
        <f>AVERAGEIF(Table12633[ [ Cycle size] ],I9,Table12633[DiscountedCumulativeGain])</f>
        <v>1</v>
      </c>
    </row>
    <row r="10" spans="1:17" x14ac:dyDescent="0.35">
      <c r="A10" s="1">
        <v>50.2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2">
        <v>10</v>
      </c>
      <c r="J10" s="2">
        <f>AVERAGEIF(Table12633[[ Cycle size]],I10,Table12633[JaccardCoefficient])</f>
        <v>0.93333333333333324</v>
      </c>
      <c r="K10" s="2">
        <f>AVERAGEIF(Table12633[ [ Cycle size] ],I10,Table12633[KendallTauCorrelation])</f>
        <v>0.98518518518518494</v>
      </c>
      <c r="L10" s="2">
        <f>AVERAGEIF(Table12633[ [ Cycle size] ],I10,Table12633[DiscountedCumulativeGain])</f>
        <v>0.992137684102259</v>
      </c>
    </row>
    <row r="11" spans="1:17" x14ac:dyDescent="0.35">
      <c r="A11" s="1">
        <v>23.2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2">
        <v>12</v>
      </c>
      <c r="J11" s="2">
        <f>AVERAGEIF(Table12633[[ Cycle size]],I11,Table12633[JaccardCoefficient])</f>
        <v>0.88333333333333319</v>
      </c>
      <c r="K11" s="2">
        <f>AVERAGEIF(Table12633[ [ Cycle size] ],I11,Table12633[KendallTauCorrelation])</f>
        <v>0.97575757575757538</v>
      </c>
      <c r="L11" s="2">
        <f>AVERAGEIF(Table12633[ [ Cycle size] ],I11,Table12633[DiscountedCumulativeGain])</f>
        <v>0.97799121135125533</v>
      </c>
    </row>
    <row r="12" spans="1:17" x14ac:dyDescent="0.35">
      <c r="A12" s="1">
        <v>9.1999999999999993</v>
      </c>
      <c r="B12" s="1">
        <v>6</v>
      </c>
      <c r="C12" s="1">
        <v>0.5</v>
      </c>
      <c r="D12" s="1">
        <v>0.77777777777777701</v>
      </c>
      <c r="E12" s="1">
        <v>0.73333333333333295</v>
      </c>
      <c r="F12" s="1">
        <v>0.71428571428571397</v>
      </c>
      <c r="G12" s="1">
        <v>0.95777841294030197</v>
      </c>
      <c r="I12" s="12">
        <v>14</v>
      </c>
      <c r="J12" s="2">
        <f>AVERAGEIF(Table12633[[ Cycle size]],I12,Table12633[JaccardCoefficient])</f>
        <v>0.71428571428571397</v>
      </c>
      <c r="K12" s="2">
        <f>AVERAGEIF(Table12633[ [ Cycle size] ],I12,Table12633[KendallTauCorrelation])</f>
        <v>0.90476190476190466</v>
      </c>
      <c r="L12" s="2">
        <f>AVERAGEIF(Table12633[ [ Cycle size] ],I12,Table12633[DiscountedCumulativeGain])</f>
        <v>0.92269903053859725</v>
      </c>
    </row>
    <row r="13" spans="1:17" x14ac:dyDescent="0.35">
      <c r="A13" s="1">
        <v>27.2</v>
      </c>
      <c r="B13" s="1">
        <v>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I13" s="12">
        <v>15</v>
      </c>
      <c r="J13" s="2">
        <f>AVERAGEIF(Table12633[[ Cycle size]],I13,Table12633[JaccardCoefficient])</f>
        <v>1</v>
      </c>
      <c r="K13" s="2">
        <f>AVERAGEIF(Table12633[ [ Cycle size] ],I13,Table12633[KendallTauCorrelation])</f>
        <v>1</v>
      </c>
      <c r="L13" s="2">
        <f>AVERAGEIF(Table12633[ [ Cycle size] ],I13,Table12633[DiscountedCumulativeGain])</f>
        <v>1</v>
      </c>
    </row>
    <row r="14" spans="1:17" x14ac:dyDescent="0.35">
      <c r="A14" s="1">
        <v>30.2</v>
      </c>
      <c r="B14" s="1">
        <v>6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I14" s="12">
        <v>16</v>
      </c>
      <c r="J14" s="2">
        <f>AVERAGEIF(Table12633[[ Cycle size]],I14,Table12633[JaccardCoefficient])</f>
        <v>1</v>
      </c>
      <c r="K14" s="2">
        <f>AVERAGEIF(Table12633[ [ Cycle size] ],I14,Table12633[KendallTauCorrelation])</f>
        <v>1</v>
      </c>
      <c r="L14" s="2">
        <f>AVERAGEIF(Table12633[ [ Cycle size] ],I14,Table12633[DiscountedCumulativeGain])</f>
        <v>1</v>
      </c>
    </row>
    <row r="15" spans="1:17" x14ac:dyDescent="0.35">
      <c r="A15" s="1">
        <v>1.2</v>
      </c>
      <c r="B15" s="1">
        <v>7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2">
        <v>17</v>
      </c>
      <c r="J15" s="2">
        <f>AVERAGEIF(Table12633[[ Cycle size]],I15,Table12633[JaccardCoefficient])</f>
        <v>0.85294117647058798</v>
      </c>
      <c r="K15" s="2">
        <f>AVERAGEIF(Table12633[ [ Cycle size] ],I15,Table12633[KendallTauCorrelation])</f>
        <v>0.96323529411764697</v>
      </c>
      <c r="L15" s="2">
        <f>AVERAGEIF(Table12633[ [ Cycle size] ],I15,Table12633[DiscountedCumulativeGain])</f>
        <v>0.97635362219963051</v>
      </c>
    </row>
    <row r="16" spans="1:17" x14ac:dyDescent="0.35">
      <c r="A16" s="1">
        <v>6.2</v>
      </c>
      <c r="B16" s="1">
        <v>7</v>
      </c>
      <c r="C16" s="1">
        <v>0.57142857142857095</v>
      </c>
      <c r="D16" s="1">
        <v>0.83333333333333304</v>
      </c>
      <c r="E16" s="1">
        <v>0.80952380952380898</v>
      </c>
      <c r="F16" s="1">
        <v>0.67857142857142805</v>
      </c>
      <c r="G16" s="1">
        <v>0.96643830020325205</v>
      </c>
      <c r="I16" s="12">
        <v>18</v>
      </c>
      <c r="J16" s="2">
        <f>AVERAGEIF(Table12633[[ Cycle size]],I16,Table12633[JaccardCoefficient])</f>
        <v>1</v>
      </c>
      <c r="K16" s="2">
        <f>AVERAGEIF(Table12633[ [ Cycle size] ],I16,Table12633[KendallTauCorrelation])</f>
        <v>1</v>
      </c>
      <c r="L16" s="2">
        <f>AVERAGEIF(Table12633[ [ Cycle size] ],I16,Table12633[DiscountedCumulativeGain])</f>
        <v>1</v>
      </c>
    </row>
    <row r="17" spans="1:12" x14ac:dyDescent="0.35">
      <c r="A17" s="1">
        <v>8.1999999999999993</v>
      </c>
      <c r="B17" s="1">
        <v>7</v>
      </c>
      <c r="C17" s="1">
        <v>0.57142857142857095</v>
      </c>
      <c r="D17" s="1">
        <v>0.83333333333333304</v>
      </c>
      <c r="E17" s="1">
        <v>0.80952380952380898</v>
      </c>
      <c r="F17" s="1">
        <v>0.67857142857142805</v>
      </c>
      <c r="G17" s="1">
        <v>0.96643830020325205</v>
      </c>
      <c r="I17" s="12">
        <v>20</v>
      </c>
      <c r="J17" s="2">
        <f>AVERAGEIF(Table12633[[ Cycle size]],I17,Table12633[JaccardCoefficient])</f>
        <v>0.55000000000000004</v>
      </c>
      <c r="K17" s="2">
        <f>AVERAGEIF(Table12633[ [ Cycle size] ],I17,Table12633[KendallTauCorrelation])</f>
        <v>0.88947368421052597</v>
      </c>
      <c r="L17" s="2">
        <f>AVERAGEIF(Table12633[ [ Cycle size] ],I17,Table12633[DiscountedCumulativeGain])</f>
        <v>0.90525822963222202</v>
      </c>
    </row>
    <row r="18" spans="1:12" x14ac:dyDescent="0.35">
      <c r="A18" s="1">
        <v>43.2</v>
      </c>
      <c r="B18" s="1">
        <v>7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I18" s="12">
        <v>21</v>
      </c>
      <c r="J18" s="2">
        <f>AVERAGEIF(Table12633[[ Cycle size]],I18,Table12633[JaccardCoefficient])</f>
        <v>1</v>
      </c>
      <c r="K18" s="2">
        <f>AVERAGEIF(Table12633[ [ Cycle size] ],I18,Table12633[KendallTauCorrelation])</f>
        <v>1</v>
      </c>
      <c r="L18" s="2">
        <f>AVERAGEIF(Table12633[ [ Cycle size] ],I18,Table12633[DiscountedCumulativeGain])</f>
        <v>1</v>
      </c>
    </row>
    <row r="19" spans="1:12" x14ac:dyDescent="0.35">
      <c r="A19" s="1">
        <v>4.2</v>
      </c>
      <c r="B19" s="1">
        <v>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I19" s="12">
        <v>25</v>
      </c>
      <c r="J19" s="2">
        <f>AVERAGEIF(Table12633[[ Cycle size]],I19,Table12633[JaccardCoefficient])</f>
        <v>0.56000000000000005</v>
      </c>
      <c r="K19" s="2">
        <f>AVERAGEIF(Table12633[ [ Cycle size] ],I19,Table12633[KendallTauCorrelation])</f>
        <v>0.94</v>
      </c>
      <c r="L19" s="2">
        <f>AVERAGEIF(Table12633[ [ Cycle size] ],I19,Table12633[DiscountedCumulativeGain])</f>
        <v>0.74226966192549804</v>
      </c>
    </row>
    <row r="20" spans="1:12" x14ac:dyDescent="0.35">
      <c r="A20" s="1">
        <v>13.2</v>
      </c>
      <c r="B20" s="1">
        <v>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I20" s="12">
        <v>30</v>
      </c>
      <c r="J20" s="2">
        <f>AVERAGEIF(Table12633[[ Cycle size]],I20,Table12633[JaccardCoefficient])</f>
        <v>0.86666666666666603</v>
      </c>
      <c r="K20" s="2">
        <f>AVERAGEIF(Table12633[ [ Cycle size] ],I20,Table12633[KendallTauCorrelation])</f>
        <v>0.99080459770114904</v>
      </c>
      <c r="L20" s="2">
        <f>AVERAGEIF(Table12633[ [ Cycle size] ],I20,Table12633[DiscountedCumulativeGain])</f>
        <v>0.97581048045803698</v>
      </c>
    </row>
    <row r="21" spans="1:12" x14ac:dyDescent="0.35">
      <c r="A21" s="1">
        <v>29.2</v>
      </c>
      <c r="B21" s="1">
        <v>8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I21" s="12">
        <v>40</v>
      </c>
      <c r="J21" s="2">
        <f>AVERAGEIF(Table12633[[ Cycle size]],I21,Table12633[JaccardCoefficient])</f>
        <v>0.57499999999999996</v>
      </c>
      <c r="K21" s="2">
        <f>AVERAGEIF(Table12633[ [ Cycle size] ],I21,Table12633[KendallTauCorrelation])</f>
        <v>0.9</v>
      </c>
      <c r="L21" s="2">
        <f>AVERAGEIF(Table12633[ [ Cycle size] ],I21,Table12633[DiscountedCumulativeGain])</f>
        <v>0.90907313880095297</v>
      </c>
    </row>
    <row r="22" spans="1:12" x14ac:dyDescent="0.35">
      <c r="A22" s="1">
        <v>2.2000000000000002</v>
      </c>
      <c r="B22" s="1">
        <v>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I22" s="12">
        <v>90</v>
      </c>
      <c r="J22" s="2">
        <f>AVERAGEIF(Table12633[[ Cycle size]],I22,Table12633[JaccardCoefficient])</f>
        <v>0.62222222222222201</v>
      </c>
      <c r="K22" s="2">
        <f>AVERAGEIF(Table12633[ [ Cycle size] ],I22,Table12633[KendallTauCorrelation])</f>
        <v>0.92359550561797699</v>
      </c>
      <c r="L22" s="2">
        <f>AVERAGEIF(Table12633[ [ Cycle size] ],I22,Table12633[DiscountedCumulativeGain])</f>
        <v>0.92429967009387703</v>
      </c>
    </row>
    <row r="23" spans="1:12" x14ac:dyDescent="0.35">
      <c r="A23" s="1">
        <v>11.2</v>
      </c>
      <c r="B23" s="1">
        <v>9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</row>
    <row r="24" spans="1:12" x14ac:dyDescent="0.35">
      <c r="A24" s="1">
        <v>17.2</v>
      </c>
      <c r="B24" s="1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</row>
    <row r="25" spans="1:12" x14ac:dyDescent="0.35">
      <c r="A25" s="1">
        <v>21.2</v>
      </c>
      <c r="B25" s="1">
        <v>9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1:12" x14ac:dyDescent="0.35">
      <c r="A26" s="1">
        <v>40.200000000000003</v>
      </c>
      <c r="B26" s="1">
        <v>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I26" s="11"/>
      <c r="J26" s="11"/>
    </row>
    <row r="27" spans="1:12" x14ac:dyDescent="0.35">
      <c r="A27" s="1">
        <v>37.200000000000003</v>
      </c>
      <c r="B27" s="1">
        <v>10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I27" s="11"/>
      <c r="J27" s="11"/>
    </row>
    <row r="28" spans="1:12" x14ac:dyDescent="0.35">
      <c r="A28" s="1">
        <v>38.200000000000003</v>
      </c>
      <c r="B28" s="1">
        <v>10</v>
      </c>
      <c r="C28" s="1">
        <v>0.8</v>
      </c>
      <c r="D28" s="1">
        <v>0.96</v>
      </c>
      <c r="E28" s="1">
        <v>0.95555555555555505</v>
      </c>
      <c r="F28" s="1">
        <v>0.8</v>
      </c>
      <c r="G28" s="1">
        <v>0.976413052306777</v>
      </c>
      <c r="I28" s="11"/>
      <c r="J28" s="11"/>
    </row>
    <row r="29" spans="1:12" x14ac:dyDescent="0.35">
      <c r="A29" s="1">
        <v>42.2</v>
      </c>
      <c r="B29" s="1">
        <v>10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I29" s="11"/>
      <c r="J29" s="11"/>
    </row>
    <row r="30" spans="1:12" x14ac:dyDescent="0.35">
      <c r="A30" s="1">
        <v>3.2</v>
      </c>
      <c r="B30" s="1">
        <v>12</v>
      </c>
      <c r="C30" s="1">
        <v>0.83333333333333304</v>
      </c>
      <c r="D30" s="1">
        <v>0.97222222222222199</v>
      </c>
      <c r="E30" s="1">
        <v>0.96969696969696895</v>
      </c>
      <c r="F30" s="1">
        <v>0.85897435897435903</v>
      </c>
      <c r="G30" s="1">
        <v>0.95323753964636504</v>
      </c>
      <c r="I30" s="11"/>
      <c r="J30" s="11"/>
    </row>
    <row r="31" spans="1:12" x14ac:dyDescent="0.35">
      <c r="A31" s="1">
        <v>12.2</v>
      </c>
      <c r="B31" s="1">
        <v>12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I31" s="11"/>
      <c r="J31" s="11"/>
    </row>
    <row r="32" spans="1:12" x14ac:dyDescent="0.35">
      <c r="A32" s="1">
        <v>15.2</v>
      </c>
      <c r="B32" s="1">
        <v>12</v>
      </c>
      <c r="C32" s="1">
        <v>0.83333333333333304</v>
      </c>
      <c r="D32" s="1">
        <v>0.97222222222222199</v>
      </c>
      <c r="E32" s="1">
        <v>0.96969696969696895</v>
      </c>
      <c r="F32" s="1">
        <v>0.80769230769230704</v>
      </c>
      <c r="G32" s="1">
        <v>0.98336817790862496</v>
      </c>
      <c r="I32" s="11"/>
      <c r="J32" s="11"/>
    </row>
    <row r="33" spans="1:10" x14ac:dyDescent="0.35">
      <c r="A33" s="1">
        <v>41.2</v>
      </c>
      <c r="B33" s="1">
        <v>12</v>
      </c>
      <c r="C33" s="1">
        <v>0.75</v>
      </c>
      <c r="D33" s="1">
        <v>0.94444444444444398</v>
      </c>
      <c r="E33" s="1">
        <v>0.939393939393939</v>
      </c>
      <c r="F33" s="1">
        <v>0.61538461538461497</v>
      </c>
      <c r="G33" s="1">
        <v>0.95335033920128698</v>
      </c>
      <c r="I33" s="11"/>
      <c r="J33" s="11"/>
    </row>
    <row r="34" spans="1:10" x14ac:dyDescent="0.35">
      <c r="A34" s="1">
        <v>47.2</v>
      </c>
      <c r="B34" s="1">
        <v>12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I34" s="11"/>
      <c r="J34" s="11"/>
    </row>
    <row r="35" spans="1:10" x14ac:dyDescent="0.35">
      <c r="A35" s="1">
        <v>25.2</v>
      </c>
      <c r="B35" s="1">
        <v>14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I35" s="11"/>
      <c r="J35" s="11"/>
    </row>
    <row r="36" spans="1:10" x14ac:dyDescent="0.35">
      <c r="A36" s="1">
        <v>28.2</v>
      </c>
      <c r="B36" s="1">
        <v>14</v>
      </c>
      <c r="C36" s="1">
        <v>0.14285714285714199</v>
      </c>
      <c r="D36" s="1">
        <v>0.73469387755102</v>
      </c>
      <c r="E36" s="1">
        <v>0.71428571428571397</v>
      </c>
      <c r="F36" s="1">
        <v>0.21904761904761899</v>
      </c>
      <c r="G36" s="1">
        <v>0.76809709161579198</v>
      </c>
      <c r="I36" s="11"/>
      <c r="J36" s="11"/>
    </row>
    <row r="37" spans="1:10" x14ac:dyDescent="0.35">
      <c r="A37" s="1">
        <v>49.2</v>
      </c>
      <c r="B37" s="1">
        <v>14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I37" s="11"/>
      <c r="J37" s="11"/>
    </row>
    <row r="38" spans="1:10" x14ac:dyDescent="0.35">
      <c r="A38" s="1">
        <v>46.2</v>
      </c>
      <c r="B38" s="1">
        <v>15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I38" s="11"/>
      <c r="J38" s="11"/>
    </row>
    <row r="39" spans="1:10" x14ac:dyDescent="0.35">
      <c r="A39" s="1">
        <v>7.2</v>
      </c>
      <c r="B39" s="1">
        <v>16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I39" s="11"/>
      <c r="J39" s="11"/>
    </row>
    <row r="40" spans="1:10" x14ac:dyDescent="0.35">
      <c r="A40" s="1">
        <v>34.200000000000003</v>
      </c>
      <c r="B40" s="1">
        <v>16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I40" s="11"/>
      <c r="J40" s="11"/>
    </row>
    <row r="41" spans="1:10" x14ac:dyDescent="0.35">
      <c r="A41" s="1">
        <v>14.2</v>
      </c>
      <c r="B41" s="1">
        <v>17</v>
      </c>
      <c r="C41" s="1">
        <v>0.70588235294117596</v>
      </c>
      <c r="D41" s="1">
        <v>0.93055555555555503</v>
      </c>
      <c r="E41" s="1">
        <v>0.92647058823529405</v>
      </c>
      <c r="F41" s="1">
        <v>0.64052287581699296</v>
      </c>
      <c r="G41" s="1">
        <v>0.95270724439926102</v>
      </c>
      <c r="I41" s="11"/>
      <c r="J41" s="11"/>
    </row>
    <row r="42" spans="1:10" x14ac:dyDescent="0.35">
      <c r="A42" s="1">
        <v>36.200000000000003</v>
      </c>
      <c r="B42" s="1">
        <v>17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I42" s="11"/>
      <c r="J42" s="11"/>
    </row>
    <row r="43" spans="1:10" x14ac:dyDescent="0.35">
      <c r="A43" s="1">
        <v>45.2</v>
      </c>
      <c r="B43" s="1">
        <v>18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I43" s="11"/>
      <c r="J43" s="11"/>
    </row>
    <row r="44" spans="1:10" x14ac:dyDescent="0.35">
      <c r="A44" s="1">
        <v>48.2</v>
      </c>
      <c r="B44" s="1">
        <v>18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I44" s="11"/>
      <c r="J44" s="11"/>
    </row>
    <row r="45" spans="1:10" x14ac:dyDescent="0.35">
      <c r="A45" s="1">
        <v>18.2</v>
      </c>
      <c r="B45" s="1">
        <v>20</v>
      </c>
      <c r="C45" s="1">
        <v>0.6</v>
      </c>
      <c r="D45" s="1">
        <v>0.9</v>
      </c>
      <c r="E45" s="1">
        <v>0.89473684210526305</v>
      </c>
      <c r="F45" s="1">
        <v>0.44761904761904697</v>
      </c>
      <c r="G45" s="1">
        <v>0.96130680307966299</v>
      </c>
      <c r="I45" s="11"/>
      <c r="J45" s="11"/>
    </row>
    <row r="46" spans="1:10" x14ac:dyDescent="0.35">
      <c r="A46" s="1">
        <v>35.200000000000003</v>
      </c>
      <c r="B46" s="1">
        <v>20</v>
      </c>
      <c r="C46" s="1">
        <v>0.5</v>
      </c>
      <c r="D46" s="1">
        <v>0.89</v>
      </c>
      <c r="E46" s="1">
        <v>0.884210526315789</v>
      </c>
      <c r="F46" s="1">
        <v>0.46666666666666601</v>
      </c>
      <c r="G46" s="1">
        <v>0.84920965618478095</v>
      </c>
      <c r="I46" s="11"/>
      <c r="J46" s="11"/>
    </row>
    <row r="47" spans="1:10" x14ac:dyDescent="0.35">
      <c r="A47" s="1">
        <v>24.2</v>
      </c>
      <c r="B47" s="1">
        <v>21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I47" s="11"/>
      <c r="J47" s="11"/>
    </row>
    <row r="48" spans="1:10" x14ac:dyDescent="0.35">
      <c r="A48" s="1">
        <v>44.2</v>
      </c>
      <c r="B48" s="1">
        <v>25</v>
      </c>
      <c r="C48" s="1">
        <v>0.56000000000000005</v>
      </c>
      <c r="D48" s="1">
        <v>0.94230769230769196</v>
      </c>
      <c r="E48" s="1">
        <v>0.94</v>
      </c>
      <c r="F48" s="1">
        <v>0.67999999999999905</v>
      </c>
      <c r="G48" s="1">
        <v>0.74226966192549804</v>
      </c>
      <c r="I48" s="11"/>
      <c r="J48" s="11"/>
    </row>
    <row r="49" spans="1:10" x14ac:dyDescent="0.35">
      <c r="A49" s="1">
        <v>31.2</v>
      </c>
      <c r="B49" s="1">
        <v>30</v>
      </c>
      <c r="C49" s="1">
        <v>0.86666666666666603</v>
      </c>
      <c r="D49" s="1">
        <v>0.99111111111111105</v>
      </c>
      <c r="E49" s="1">
        <v>0.99080459770114904</v>
      </c>
      <c r="F49" s="1">
        <v>0.81075268817204305</v>
      </c>
      <c r="G49" s="1">
        <v>0.97581048045803698</v>
      </c>
      <c r="I49" s="11"/>
      <c r="J49" s="11"/>
    </row>
    <row r="50" spans="1:10" x14ac:dyDescent="0.35">
      <c r="A50" s="1">
        <v>16.2</v>
      </c>
      <c r="B50" s="1">
        <v>40</v>
      </c>
      <c r="C50" s="1">
        <v>0.57499999999999996</v>
      </c>
      <c r="D50" s="1">
        <v>0.90249999999999997</v>
      </c>
      <c r="E50" s="1">
        <v>0.9</v>
      </c>
      <c r="F50" s="1">
        <v>0.39878048780487801</v>
      </c>
      <c r="G50" s="1">
        <v>0.90907313880095297</v>
      </c>
      <c r="I50" s="11"/>
      <c r="J50" s="11"/>
    </row>
    <row r="51" spans="1:10" x14ac:dyDescent="0.35">
      <c r="A51" s="1">
        <v>19.2</v>
      </c>
      <c r="B51" s="1">
        <v>90</v>
      </c>
      <c r="C51" s="1">
        <v>0.62222222222222201</v>
      </c>
      <c r="D51" s="1">
        <v>0.92444444444444396</v>
      </c>
      <c r="E51" s="1">
        <v>0.92359550561797699</v>
      </c>
      <c r="F51" s="1">
        <v>0.40634920634920602</v>
      </c>
      <c r="G51" s="1">
        <v>0.92429967009387703</v>
      </c>
      <c r="I51" s="11"/>
      <c r="J51" s="11"/>
    </row>
    <row r="52" spans="1:10" x14ac:dyDescent="0.35">
      <c r="A52" s="1" t="s">
        <v>32</v>
      </c>
      <c r="C52" s="1">
        <f>SUBTOTAL(101,Table12633[JaccardCoefficient])</f>
        <v>0.88864304388422033</v>
      </c>
      <c r="D52" s="1">
        <f>SUBTOTAL(101,Table12633[MismatchDistanceCoefficient])</f>
        <v>0.97017892028606312</v>
      </c>
      <c r="E52" s="1">
        <f>SUBTOTAL(101,Table12633[KendallTauCorrelation])</f>
        <v>0.96721656321971128</v>
      </c>
      <c r="F52" s="1">
        <f>SUBTOTAL(101,Table12633[MismatchPositionCoefficient])</f>
        <v>0.88446436889912616</v>
      </c>
      <c r="G52" s="1">
        <f>SUBTOTAL(101,Table12633[DiscountedCumulativeGain])</f>
        <v>0.97679595737935476</v>
      </c>
      <c r="I52" s="11"/>
      <c r="J52" s="11"/>
    </row>
  </sheetData>
  <pageMargins left="0.7" right="0.7" top="0.75" bottom="0.75" header="0.3" footer="0.3"/>
  <ignoredErrors>
    <ignoredError sqref="O2:Q3" calculatedColumn="1"/>
    <ignoredError sqref="O4:Q4" formulaRange="1" calculatedColumn="1"/>
  </ignoredErrors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E81-261F-4DE3-A202-236D5CA24336}">
  <dimension ref="A2:AM40"/>
  <sheetViews>
    <sheetView showGridLines="0" zoomScale="50" zoomScaleNormal="50" workbookViewId="0">
      <selection activeCell="AM22" sqref="A22:AM40"/>
    </sheetView>
  </sheetViews>
  <sheetFormatPr defaultRowHeight="14.5" x14ac:dyDescent="0.35"/>
  <cols>
    <col min="1" max="1" width="6.453125" customWidth="1"/>
  </cols>
  <sheetData>
    <row r="2" spans="1:34" s="14" customFormat="1" ht="18.5" x14ac:dyDescent="0.45">
      <c r="F2" s="14" t="s">
        <v>35</v>
      </c>
      <c r="O2" s="14" t="s">
        <v>37</v>
      </c>
      <c r="X2" s="14" t="s">
        <v>36</v>
      </c>
      <c r="AH2" s="14" t="s">
        <v>38</v>
      </c>
    </row>
    <row r="8" spans="1:34" ht="18.5" x14ac:dyDescent="0.45">
      <c r="A8" s="13" t="s">
        <v>39</v>
      </c>
    </row>
    <row r="22" spans="1:39" ht="18.5" x14ac:dyDescent="0.45">
      <c r="A22" s="14"/>
      <c r="B22" s="14"/>
      <c r="C22" s="14"/>
      <c r="D22" s="14"/>
      <c r="E22" s="14"/>
      <c r="F22" s="14" t="s">
        <v>35</v>
      </c>
      <c r="G22" s="14"/>
      <c r="H22" s="14"/>
      <c r="I22" s="14"/>
      <c r="J22" s="14"/>
      <c r="K22" s="14"/>
      <c r="L22" s="14"/>
      <c r="M22" s="14"/>
      <c r="N22" s="14"/>
      <c r="O22" s="14" t="s">
        <v>37</v>
      </c>
      <c r="P22" s="14"/>
      <c r="Q22" s="14"/>
      <c r="R22" s="14"/>
      <c r="S22" s="14"/>
      <c r="T22" s="14"/>
      <c r="U22" s="14"/>
      <c r="V22" s="14"/>
      <c r="W22" s="14"/>
      <c r="X22" s="14" t="s">
        <v>36</v>
      </c>
      <c r="Z22" s="14"/>
      <c r="AA22" s="14"/>
      <c r="AB22" s="14"/>
      <c r="AC22" s="14"/>
      <c r="AD22" s="14"/>
      <c r="AE22" s="14"/>
      <c r="AF22" s="14"/>
      <c r="AG22" s="14"/>
      <c r="AH22" s="14" t="s">
        <v>38</v>
      </c>
      <c r="AI22" s="14"/>
      <c r="AJ22" s="14"/>
      <c r="AK22" s="14"/>
      <c r="AL22" s="14"/>
      <c r="AM22" s="14"/>
    </row>
    <row r="23" spans="1:39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8.5" x14ac:dyDescent="0.45">
      <c r="A28" s="13" t="s">
        <v>39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C923-0E7C-4C98-8CFB-FF903D027B96}">
  <dimension ref="B2:F16"/>
  <sheetViews>
    <sheetView tabSelected="1" workbookViewId="0">
      <selection activeCell="K4" sqref="K4:L4"/>
    </sheetView>
  </sheetViews>
  <sheetFormatPr defaultRowHeight="14.5" x14ac:dyDescent="0.35"/>
  <cols>
    <col min="4" max="4" width="10.90625" customWidth="1"/>
    <col min="5" max="5" width="13.7265625" customWidth="1"/>
    <col min="6" max="6" width="10.7265625" customWidth="1"/>
  </cols>
  <sheetData>
    <row r="2" spans="2:6" x14ac:dyDescent="0.35">
      <c r="B2" t="s">
        <v>45</v>
      </c>
      <c r="C2" t="s">
        <v>5</v>
      </c>
      <c r="D2" t="s">
        <v>6</v>
      </c>
      <c r="E2" t="s">
        <v>7</v>
      </c>
      <c r="F2" t="s">
        <v>8</v>
      </c>
    </row>
    <row r="3" spans="2:6" x14ac:dyDescent="0.35">
      <c r="B3" t="s">
        <v>31</v>
      </c>
      <c r="C3" s="2">
        <f>Linear!O2</f>
        <v>-0.56786792831496236</v>
      </c>
      <c r="D3" s="2">
        <f>Saturating!O2</f>
        <v>-0.69372126001405321</v>
      </c>
      <c r="E3" s="2">
        <f>Discontinuous!O2</f>
        <v>-0.68417269470929032</v>
      </c>
      <c r="F3" s="2">
        <f>Combined!O2</f>
        <v>-0.75612519234561926</v>
      </c>
    </row>
    <row r="4" spans="2:6" x14ac:dyDescent="0.35">
      <c r="B4" t="s">
        <v>44</v>
      </c>
      <c r="C4" s="2">
        <f>Linear!O4</f>
        <v>-0.44795076420059921</v>
      </c>
      <c r="D4" s="2">
        <f>Saturating!O4</f>
        <v>-0.86170020700246419</v>
      </c>
      <c r="E4" s="2">
        <f>Discontinuous!O4</f>
        <v>-0.44755059932294011</v>
      </c>
      <c r="F4" s="2">
        <f>Combined!O4</f>
        <v>-0.64686361282490557</v>
      </c>
    </row>
    <row r="6" spans="2:6" x14ac:dyDescent="0.35">
      <c r="B6" s="1" t="s">
        <v>29</v>
      </c>
      <c r="C6" s="1" t="s">
        <v>5</v>
      </c>
      <c r="D6" s="1" t="s">
        <v>6</v>
      </c>
      <c r="E6" s="1" t="s">
        <v>7</v>
      </c>
      <c r="F6" s="1" t="s">
        <v>8</v>
      </c>
    </row>
    <row r="7" spans="2:6" x14ac:dyDescent="0.35">
      <c r="B7" s="1" t="s">
        <v>31</v>
      </c>
      <c r="C7" s="2">
        <f>Linear!P2</f>
        <v>-0.36238802445372276</v>
      </c>
      <c r="D7" s="2">
        <f>Saturating!P2</f>
        <v>-0.28268688093181399</v>
      </c>
      <c r="E7" s="2">
        <f>Discontinuous!P2</f>
        <v>0.25241772205581392</v>
      </c>
      <c r="F7" s="2">
        <f>Combined!P2</f>
        <v>0.14679482417616607</v>
      </c>
    </row>
    <row r="8" spans="2:6" x14ac:dyDescent="0.35">
      <c r="B8" s="1" t="s">
        <v>44</v>
      </c>
      <c r="C8" s="2">
        <f>Linear!P4</f>
        <v>-0.13625781022048511</v>
      </c>
      <c r="D8" s="2">
        <f>Saturating!P4</f>
        <v>-0.45988451981245337</v>
      </c>
      <c r="E8" s="2">
        <f>Discontinuous!P4</f>
        <v>0.39582703496227761</v>
      </c>
      <c r="F8" s="2">
        <f>Combined!P4</f>
        <v>0.21339957776542165</v>
      </c>
    </row>
    <row r="10" spans="2:6" x14ac:dyDescent="0.35">
      <c r="B10" s="1" t="s">
        <v>34</v>
      </c>
      <c r="C10" s="1" t="s">
        <v>5</v>
      </c>
      <c r="D10" s="1" t="s">
        <v>6</v>
      </c>
      <c r="E10" s="1" t="s">
        <v>7</v>
      </c>
      <c r="F10" s="1" t="s">
        <v>8</v>
      </c>
    </row>
    <row r="11" spans="2:6" x14ac:dyDescent="0.35">
      <c r="B11" s="1" t="s">
        <v>31</v>
      </c>
      <c r="C11" s="2">
        <f>Linear!Q2</f>
        <v>-0.39005589454965633</v>
      </c>
      <c r="D11" s="2">
        <f>Saturating!Q2</f>
        <v>-0.86209320007329493</v>
      </c>
      <c r="E11" s="2">
        <f>Discontinuous!Q2</f>
        <v>-0.82122480591543989</v>
      </c>
      <c r="F11" s="2">
        <f>Combined!Q2</f>
        <v>-0.89741626153717469</v>
      </c>
    </row>
    <row r="12" spans="2:6" x14ac:dyDescent="0.35">
      <c r="B12" s="1" t="s">
        <v>44</v>
      </c>
      <c r="C12" s="2">
        <f>Linear!Q4</f>
        <v>-0.48834910911226725</v>
      </c>
      <c r="D12" s="2">
        <f>Saturating!Q4</f>
        <v>-0.92574421987418876</v>
      </c>
      <c r="E12" s="2">
        <f>Discontinuous!Q4</f>
        <v>-0.55733843067043254</v>
      </c>
      <c r="F12" s="2">
        <f>Combined!Q4</f>
        <v>-0.67510037215646967</v>
      </c>
    </row>
    <row r="15" spans="2:6" x14ac:dyDescent="0.35">
      <c r="B15" t="s">
        <v>46</v>
      </c>
    </row>
    <row r="16" spans="2:6" x14ac:dyDescent="0.35">
      <c r="B16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B5" sqref="B5"/>
    </sheetView>
  </sheetViews>
  <sheetFormatPr defaultRowHeight="14.5" x14ac:dyDescent="0.35"/>
  <cols>
    <col min="1" max="1" width="12.7265625" customWidth="1"/>
  </cols>
  <sheetData>
    <row r="1" spans="1:4" x14ac:dyDescent="0.3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35">
      <c r="A2" s="5" t="s">
        <v>5</v>
      </c>
      <c r="B2" s="3" t="e">
        <f>#REF!</f>
        <v>#REF!</v>
      </c>
      <c r="C2" s="3">
        <f>Linear!E3</f>
        <v>1</v>
      </c>
      <c r="D2" s="3">
        <f>Linear!E4</f>
        <v>1</v>
      </c>
    </row>
    <row r="3" spans="1:4" x14ac:dyDescent="0.35">
      <c r="A3" s="5" t="s">
        <v>6</v>
      </c>
      <c r="B3" s="4" t="e">
        <f>Saturating!#REF!</f>
        <v>#REF!</v>
      </c>
      <c r="C3" s="4" t="e">
        <f>#REF!</f>
        <v>#REF!</v>
      </c>
      <c r="D3" s="4" t="e">
        <f>Saturating!#REF!</f>
        <v>#REF!</v>
      </c>
    </row>
    <row r="4" spans="1:4" x14ac:dyDescent="0.35">
      <c r="A4" s="5" t="s">
        <v>7</v>
      </c>
      <c r="B4" s="4" t="e">
        <f>#REF!</f>
        <v>#REF!</v>
      </c>
      <c r="C4" s="4" t="e">
        <f>#REF!</f>
        <v>#REF!</v>
      </c>
      <c r="D4" s="4" t="e">
        <f>#REF!</f>
        <v>#REF!</v>
      </c>
    </row>
    <row r="5" spans="1:4" x14ac:dyDescent="0.3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35">
      <c r="F18" t="s">
        <v>13</v>
      </c>
    </row>
    <row r="19" spans="6:6" x14ac:dyDescent="0.35">
      <c r="F19" t="s">
        <v>14</v>
      </c>
    </row>
    <row r="20" spans="6:6" x14ac:dyDescent="0.35">
      <c r="F20" t="s">
        <v>15</v>
      </c>
    </row>
    <row r="21" spans="6:6" x14ac:dyDescent="0.35">
      <c r="F21" t="s">
        <v>16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7" sqref="D7"/>
    </sheetView>
  </sheetViews>
  <sheetFormatPr defaultRowHeight="14.5" x14ac:dyDescent="0.35"/>
  <cols>
    <col min="1" max="1" width="13.7265625" customWidth="1"/>
  </cols>
  <sheetData>
    <row r="1" spans="1:13" x14ac:dyDescent="0.35">
      <c r="A1" s="6" t="s">
        <v>9</v>
      </c>
      <c r="B1" s="6" t="s">
        <v>10</v>
      </c>
      <c r="C1" s="6" t="s">
        <v>11</v>
      </c>
      <c r="D1" s="6" t="s">
        <v>12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s="5" t="s">
        <v>5</v>
      </c>
      <c r="B2" s="3">
        <f>Linear!E7</f>
        <v>1</v>
      </c>
      <c r="C2" s="3">
        <f>Linear!E8</f>
        <v>1</v>
      </c>
      <c r="D2" s="3">
        <f>Linear!E9</f>
        <v>1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3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3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3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5">
      <c r="A18" s="1"/>
      <c r="B18" s="1"/>
      <c r="C18" s="1"/>
      <c r="D18" s="1"/>
      <c r="E18" s="1"/>
      <c r="F18" s="1" t="s">
        <v>17</v>
      </c>
      <c r="G18" s="1"/>
      <c r="H18" s="1"/>
      <c r="I18" s="1"/>
      <c r="J18" s="1"/>
      <c r="K18" s="1"/>
      <c r="L18" s="1"/>
      <c r="M18" s="1"/>
    </row>
    <row r="19" spans="1:13" x14ac:dyDescent="0.35">
      <c r="A19" s="1"/>
      <c r="B19" s="1"/>
      <c r="C19" s="1"/>
      <c r="D19" s="1"/>
      <c r="E19" s="1"/>
      <c r="F19" s="1" t="s">
        <v>18</v>
      </c>
      <c r="G19" s="1"/>
      <c r="H19" s="1"/>
      <c r="I19" s="1"/>
      <c r="J19" s="1"/>
      <c r="K19" s="1"/>
      <c r="L19" s="1"/>
      <c r="M19" s="1"/>
    </row>
    <row r="20" spans="1:13" x14ac:dyDescent="0.35">
      <c r="A20" s="1"/>
      <c r="B20" s="1"/>
      <c r="C20" s="1"/>
      <c r="D20" s="1"/>
      <c r="E20" s="1"/>
      <c r="F20" s="1" t="s">
        <v>19</v>
      </c>
      <c r="G20" s="1"/>
      <c r="H20" s="1"/>
      <c r="I20" s="1"/>
      <c r="J20" s="1"/>
      <c r="K20" s="1"/>
      <c r="L20" s="1"/>
      <c r="M20" s="1"/>
    </row>
    <row r="21" spans="1:13" x14ac:dyDescent="0.35">
      <c r="A21" s="1"/>
      <c r="B21" s="1"/>
      <c r="C21" s="1"/>
      <c r="D21" s="1"/>
      <c r="E21" s="1"/>
      <c r="F21" s="1" t="s">
        <v>20</v>
      </c>
      <c r="G21" s="1"/>
      <c r="H21" s="1"/>
      <c r="I21" s="1"/>
      <c r="J21" s="1"/>
      <c r="K21" s="1"/>
      <c r="L21" s="1"/>
      <c r="M21" s="1"/>
    </row>
    <row r="22" spans="1:13" x14ac:dyDescent="0.35">
      <c r="A22" s="1"/>
      <c r="B22" s="1"/>
      <c r="C22" s="1"/>
      <c r="D22" s="1"/>
      <c r="E22" s="1"/>
      <c r="F22" s="1" t="s">
        <v>21</v>
      </c>
      <c r="G22" s="1"/>
      <c r="H22" s="1"/>
      <c r="I22" s="1"/>
      <c r="J22" s="1"/>
      <c r="K22" s="1"/>
      <c r="L22" s="1"/>
      <c r="M22" s="1"/>
    </row>
    <row r="23" spans="1:13" x14ac:dyDescent="0.35">
      <c r="F23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zoomScale="90" zoomScaleNormal="90" workbookViewId="0">
      <selection activeCell="O13" sqref="O13"/>
    </sheetView>
  </sheetViews>
  <sheetFormatPr defaultRowHeight="14.5" x14ac:dyDescent="0.35"/>
  <cols>
    <col min="1" max="1" width="13.7265625" style="1" customWidth="1"/>
    <col min="2" max="16384" width="8.7265625" style="1"/>
  </cols>
  <sheetData>
    <row r="1" spans="1:4" x14ac:dyDescent="0.35">
      <c r="A1" s="6" t="s">
        <v>9</v>
      </c>
      <c r="B1" s="6" t="s">
        <v>10</v>
      </c>
      <c r="C1" s="6" t="s">
        <v>11</v>
      </c>
      <c r="D1" s="6" t="s">
        <v>12</v>
      </c>
    </row>
    <row r="2" spans="1:4" x14ac:dyDescent="0.35">
      <c r="A2" s="5" t="s">
        <v>5</v>
      </c>
      <c r="B2" s="3">
        <f>Linear!E22</f>
        <v>1</v>
      </c>
      <c r="C2" s="3">
        <f>Linear!E23</f>
        <v>1</v>
      </c>
      <c r="D2" s="3">
        <f>Linear!E24</f>
        <v>1</v>
      </c>
    </row>
    <row r="3" spans="1:4" x14ac:dyDescent="0.35">
      <c r="A3" s="5" t="s">
        <v>6</v>
      </c>
      <c r="B3" s="4" t="e">
        <f>Saturating!#REF!</f>
        <v>#REF!</v>
      </c>
      <c r="C3" s="4" t="e">
        <f>Saturating!#REF!</f>
        <v>#REF!</v>
      </c>
      <c r="D3" s="4" t="e">
        <f>Saturating!#REF!</f>
        <v>#REF!</v>
      </c>
    </row>
    <row r="4" spans="1:4" x14ac:dyDescent="0.35">
      <c r="A4" s="5" t="s">
        <v>7</v>
      </c>
      <c r="B4" s="4" t="e">
        <f>#REF!</f>
        <v>#REF!</v>
      </c>
      <c r="C4" s="10" t="e">
        <f>#REF!</f>
        <v>#REF!</v>
      </c>
      <c r="D4" s="4" t="e">
        <f>#REF!</f>
        <v>#REF!</v>
      </c>
    </row>
    <row r="5" spans="1:4" x14ac:dyDescent="0.35">
      <c r="A5" s="5" t="s">
        <v>8</v>
      </c>
      <c r="B5" s="4" t="e">
        <f>#REF!</f>
        <v>#REF!</v>
      </c>
      <c r="C5" s="4" t="e">
        <f>#REF!</f>
        <v>#REF!</v>
      </c>
      <c r="D5" s="4" t="e">
        <f>#REF!</f>
        <v>#REF!</v>
      </c>
    </row>
    <row r="18" spans="6:6" x14ac:dyDescent="0.35">
      <c r="F18" s="1" t="s">
        <v>25</v>
      </c>
    </row>
    <row r="19" spans="6:6" x14ac:dyDescent="0.35">
      <c r="F19" s="1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Discontinuous</vt:lpstr>
      <vt:lpstr>Saturating</vt:lpstr>
      <vt:lpstr>Linear</vt:lpstr>
      <vt:lpstr>Charts</vt:lpstr>
      <vt:lpstr>Correlations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2018-01-14T16:10:58Z</dcterms:created>
  <dcterms:modified xsi:type="dcterms:W3CDTF">2018-01-24T18:39:31Z</dcterms:modified>
</cp:coreProperties>
</file>