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SelfHealingUtility\data\Ranking\3K\FullTrace\"/>
    </mc:Choice>
  </mc:AlternateContent>
  <bookViews>
    <workbookView xWindow="0" yWindow="0" windowWidth="18270" windowHeight="7240" tabRatio="809" activeTab="5" xr2:uid="{00000000-000D-0000-FFFF-FFFF00000000}"/>
  </bookViews>
  <sheets>
    <sheet name="Combined" sheetId="12" r:id="rId1"/>
    <sheet name="Discontinuous" sheetId="11" r:id="rId2"/>
    <sheet name="Saturating" sheetId="3" r:id="rId3"/>
    <sheet name="Linear" sheetId="4" r:id="rId4"/>
    <sheet name="Charts" sheetId="13" r:id="rId5"/>
    <sheet name="Correlations" sheetId="14" r:id="rId6"/>
    <sheet name="Jaccard" sheetId="5" r:id="rId7"/>
    <sheet name="KendallTau" sheetId="6" r:id="rId8"/>
    <sheet name="DiscountedCumGain" sheetId="10" r:id="rId9"/>
    <sheet name="MismatchPosition" sheetId="8" r:id="rId10"/>
    <sheet name="MismatchDistance" sheetId="7" r:id="rId11"/>
  </sheets>
  <calcPr calcId="171027" concurrentCalc="0"/>
</workbook>
</file>

<file path=xl/calcChain.xml><?xml version="1.0" encoding="utf-8"?>
<calcChain xmlns="http://schemas.openxmlformats.org/spreadsheetml/2006/main">
  <c r="F12" i="14" l="1"/>
  <c r="E12" i="14"/>
  <c r="D12" i="14"/>
  <c r="C12" i="14"/>
  <c r="F11" i="14"/>
  <c r="E11" i="14"/>
  <c r="D11" i="14"/>
  <c r="C11" i="14"/>
  <c r="F8" i="14"/>
  <c r="E8" i="14"/>
  <c r="D8" i="14"/>
  <c r="C8" i="14"/>
  <c r="F7" i="14"/>
  <c r="E7" i="14"/>
  <c r="D7" i="14"/>
  <c r="C7" i="14"/>
  <c r="F4" i="14"/>
  <c r="E4" i="14"/>
  <c r="D4" i="14"/>
  <c r="C4" i="14"/>
  <c r="F3" i="14"/>
  <c r="E3" i="14"/>
  <c r="D3" i="14"/>
  <c r="C3" i="14"/>
  <c r="O4" i="12"/>
  <c r="Q4" i="12"/>
  <c r="P4" i="12"/>
  <c r="Q2" i="12"/>
  <c r="P2" i="12"/>
  <c r="O2" i="12"/>
  <c r="Q4" i="11"/>
  <c r="P4" i="11"/>
  <c r="O4" i="11"/>
  <c r="Q2" i="11"/>
  <c r="P2" i="11"/>
  <c r="O2" i="11"/>
  <c r="Q4" i="3"/>
  <c r="P4" i="3"/>
  <c r="O4" i="3"/>
  <c r="Q2" i="3"/>
  <c r="P2" i="3"/>
  <c r="O2" i="3"/>
  <c r="O2" i="4"/>
  <c r="Q4" i="4"/>
  <c r="P4" i="4"/>
  <c r="O4" i="4"/>
  <c r="Q2" i="4"/>
  <c r="P2" i="4"/>
  <c r="C52" i="11"/>
  <c r="D52" i="11"/>
  <c r="E52" i="11"/>
  <c r="F52" i="11"/>
  <c r="G52" i="11"/>
  <c r="G52" i="12"/>
  <c r="F52" i="12"/>
  <c r="E52" i="12"/>
  <c r="D52" i="12"/>
  <c r="C52" i="12"/>
  <c r="L22" i="12"/>
  <c r="K22" i="12"/>
  <c r="J22" i="12"/>
  <c r="L21" i="12"/>
  <c r="K21" i="12"/>
  <c r="J21" i="12"/>
  <c r="L20" i="12"/>
  <c r="K20" i="12"/>
  <c r="J20" i="12"/>
  <c r="L19" i="12"/>
  <c r="K19" i="12"/>
  <c r="J19" i="12"/>
  <c r="L18" i="12"/>
  <c r="K18" i="12"/>
  <c r="J18" i="12"/>
  <c r="L17" i="12"/>
  <c r="K17" i="12"/>
  <c r="J17" i="12"/>
  <c r="L16" i="12"/>
  <c r="K16" i="12"/>
  <c r="J16" i="12"/>
  <c r="L15" i="12"/>
  <c r="K15" i="12"/>
  <c r="J15" i="12"/>
  <c r="L14" i="12"/>
  <c r="K14" i="12"/>
  <c r="J14" i="12"/>
  <c r="L13" i="12"/>
  <c r="K13" i="12"/>
  <c r="J13" i="12"/>
  <c r="L12" i="12"/>
  <c r="K12" i="12"/>
  <c r="J12" i="12"/>
  <c r="L11" i="12"/>
  <c r="K11" i="12"/>
  <c r="J11" i="12"/>
  <c r="L10" i="12"/>
  <c r="K10" i="12"/>
  <c r="J10" i="12"/>
  <c r="L9" i="12"/>
  <c r="K9" i="12"/>
  <c r="J9" i="12"/>
  <c r="L8" i="12"/>
  <c r="K8" i="12"/>
  <c r="J8" i="12"/>
  <c r="L7" i="12"/>
  <c r="K7" i="12"/>
  <c r="J7" i="12"/>
  <c r="L6" i="12"/>
  <c r="K6" i="12"/>
  <c r="J6" i="12"/>
  <c r="L5" i="12"/>
  <c r="K5" i="12"/>
  <c r="J5" i="12"/>
  <c r="L4" i="12"/>
  <c r="K4" i="12"/>
  <c r="J4" i="12"/>
  <c r="L3" i="12"/>
  <c r="K3" i="12"/>
  <c r="J3" i="12"/>
  <c r="L2" i="12"/>
  <c r="K2" i="12"/>
  <c r="J2" i="12"/>
  <c r="L22" i="11"/>
  <c r="K22" i="11"/>
  <c r="J22" i="11"/>
  <c r="L21" i="11"/>
  <c r="K21" i="11"/>
  <c r="J21" i="11"/>
  <c r="L20" i="11"/>
  <c r="K20" i="11"/>
  <c r="J20" i="11"/>
  <c r="L19" i="11"/>
  <c r="K19" i="11"/>
  <c r="J19" i="11"/>
  <c r="L18" i="11"/>
  <c r="K18" i="11"/>
  <c r="J18" i="11"/>
  <c r="L17" i="11"/>
  <c r="K17" i="11"/>
  <c r="J17" i="11"/>
  <c r="L16" i="11"/>
  <c r="K16" i="11"/>
  <c r="J16" i="11"/>
  <c r="L15" i="11"/>
  <c r="K15" i="11"/>
  <c r="J15" i="11"/>
  <c r="L14" i="11"/>
  <c r="K14" i="11"/>
  <c r="J14" i="11"/>
  <c r="L13" i="11"/>
  <c r="K13" i="11"/>
  <c r="J13" i="11"/>
  <c r="L12" i="11"/>
  <c r="K12" i="11"/>
  <c r="J12" i="11"/>
  <c r="L11" i="11"/>
  <c r="K11" i="11"/>
  <c r="J11" i="11"/>
  <c r="L10" i="11"/>
  <c r="K10" i="11"/>
  <c r="J10" i="11"/>
  <c r="L9" i="11"/>
  <c r="K9" i="11"/>
  <c r="J9" i="11"/>
  <c r="L8" i="11"/>
  <c r="K8" i="11"/>
  <c r="J8" i="11"/>
  <c r="L7" i="11"/>
  <c r="K7" i="11"/>
  <c r="J7" i="11"/>
  <c r="L6" i="11"/>
  <c r="K6" i="11"/>
  <c r="J6" i="11"/>
  <c r="L5" i="11"/>
  <c r="K5" i="11"/>
  <c r="J5" i="11"/>
  <c r="L4" i="11"/>
  <c r="K4" i="11"/>
  <c r="J4" i="11"/>
  <c r="L3" i="11"/>
  <c r="K3" i="11"/>
  <c r="J3" i="11"/>
  <c r="L2" i="11"/>
  <c r="K2" i="11"/>
  <c r="J2" i="11"/>
  <c r="E52" i="4"/>
  <c r="C52" i="4"/>
  <c r="G52" i="4"/>
  <c r="F52" i="4"/>
  <c r="D52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L2" i="4"/>
  <c r="K2" i="4"/>
  <c r="J2" i="4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L2" i="3"/>
  <c r="K2" i="3"/>
  <c r="J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G52" i="3"/>
  <c r="F52" i="3"/>
  <c r="E52" i="3"/>
  <c r="C52" i="3"/>
  <c r="D52" i="3"/>
  <c r="B3" i="10"/>
  <c r="B2" i="10"/>
  <c r="D2" i="10"/>
  <c r="C2" i="10"/>
  <c r="D3" i="10"/>
  <c r="C3" i="10"/>
  <c r="D4" i="10"/>
  <c r="C4" i="10"/>
  <c r="B4" i="10"/>
  <c r="D5" i="10"/>
  <c r="C5" i="10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B3" i="8"/>
  <c r="D4" i="8"/>
  <c r="C5" i="8"/>
  <c r="B2" i="8"/>
  <c r="C2" i="8"/>
  <c r="D2" i="8"/>
  <c r="C3" i="8"/>
  <c r="D3" i="8"/>
  <c r="B4" i="8"/>
  <c r="C4" i="8"/>
  <c r="B5" i="8"/>
  <c r="D5" i="8"/>
  <c r="D3" i="7"/>
  <c r="O3" i="7"/>
  <c r="D5" i="7"/>
  <c r="O5" i="7"/>
  <c r="C5" i="7"/>
  <c r="K5" i="7"/>
  <c r="B5" i="7"/>
  <c r="G5" i="7"/>
  <c r="D4" i="7"/>
  <c r="O4" i="7"/>
  <c r="B4" i="7"/>
  <c r="G4" i="7"/>
  <c r="B2" i="7"/>
  <c r="G2" i="7"/>
  <c r="C3" i="7"/>
  <c r="K3" i="7"/>
  <c r="B3" i="7"/>
  <c r="G3" i="7"/>
  <c r="D2" i="7"/>
  <c r="O2" i="7"/>
  <c r="C2" i="7"/>
  <c r="K2" i="7"/>
  <c r="C4" i="7"/>
  <c r="K4" i="7"/>
  <c r="D2" i="6"/>
  <c r="C2" i="6"/>
  <c r="B2" i="6"/>
  <c r="D4" i="6"/>
  <c r="C4" i="6"/>
  <c r="B4" i="6"/>
  <c r="D3" i="6"/>
  <c r="C3" i="6"/>
  <c r="B3" i="6"/>
  <c r="D5" i="6"/>
  <c r="C5" i="6"/>
  <c r="B5" i="6"/>
  <c r="D2" i="5"/>
  <c r="C2" i="5"/>
  <c r="B2" i="5"/>
  <c r="D3" i="5"/>
  <c r="C3" i="5"/>
  <c r="B3" i="5"/>
  <c r="D4" i="5"/>
  <c r="C4" i="5"/>
  <c r="B4" i="5"/>
  <c r="D5" i="5"/>
  <c r="C5" i="5"/>
  <c r="B5" i="5"/>
</calcChain>
</file>

<file path=xl/sharedStrings.xml><?xml version="1.0" encoding="utf-8"?>
<sst xmlns="http://schemas.openxmlformats.org/spreadsheetml/2006/main" count="198" uniqueCount="47">
  <si>
    <t>Cycle id</t>
  </si>
  <si>
    <t xml:space="preserve"> Cycle size</t>
  </si>
  <si>
    <t>JaccardCoefficient</t>
  </si>
  <si>
    <t>KendallTauCorrelation</t>
  </si>
  <si>
    <t>Cycle size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</si>
  <si>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</si>
  <si>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</si>
  <si>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</si>
  <si>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</si>
  <si>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</si>
  <si>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</si>
  <si>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</si>
  <si>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</si>
  <si>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</si>
  <si>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</si>
  <si>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</si>
  <si>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</si>
  <si>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</si>
  <si>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</si>
  <si>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</si>
  <si>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</si>
  <si>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</si>
  <si>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</si>
  <si>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</si>
  <si>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</si>
  <si>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</si>
  <si>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</si>
  <si>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</si>
  <si>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</si>
  <si>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</si>
  <si>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</si>
  <si>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All</t>
  </si>
  <si>
    <t>Total</t>
  </si>
  <si>
    <t xml:space="preserve">Jaccard </t>
  </si>
  <si>
    <t>DCG</t>
  </si>
  <si>
    <t>LINEAR</t>
  </si>
  <si>
    <t>SATURATING</t>
  </si>
  <si>
    <t>DISCONTINUOUS</t>
  </si>
  <si>
    <t>COMBINED</t>
  </si>
  <si>
    <t>3k</t>
  </si>
  <si>
    <t>Statistic</t>
  </si>
  <si>
    <t>Correl</t>
  </si>
  <si>
    <t>Correlation (cut 40 and 90)</t>
  </si>
  <si>
    <t>Jaccard</t>
  </si>
  <si>
    <t>Up to 30</t>
  </si>
  <si>
    <t>Higher complexity, lower similarity for Jaccard and DCG.</t>
  </si>
  <si>
    <t>This is confirmed by computing the correlations between cycle size and similarity metric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</si>
</sst>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757171"/>
      <name val="Calibri"/>
      <family val="2"/>
    </font>
    <font>
      <sz val="10"/>
      <color rgb="FF75717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33" borderId="10" xfId="0" applyFont="1" applyFill="1" applyBorder="1" applyAlignment="1">
      <alignment horizontal="center"/>
    </xf>
    <xf numFmtId="2" fontId="20" fillId="33" borderId="10" xfId="0" applyNumberFormat="1" applyFont="1" applyFill="1" applyBorder="1"/>
    <xf numFmtId="0" fontId="19" fillId="33" borderId="11" xfId="0" applyFont="1" applyFill="1" applyBorder="1" applyAlignment="1">
      <alignment horizontal="center"/>
    </xf>
    <xf numFmtId="2" fontId="20" fillId="33" borderId="12" xfId="0" applyNumberFormat="1" applyFont="1" applyFill="1" applyBorder="1"/>
    <xf numFmtId="0" fontId="19" fillId="33" borderId="13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/>
    <xf numFmtId="0" fontId="19" fillId="33" borderId="17" xfId="0" applyFont="1" applyFill="1" applyBorder="1" applyAlignment="1">
      <alignment horizontal="center"/>
    </xf>
    <xf numFmtId="0" fontId="19" fillId="33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7"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5717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5717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5717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5717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0.72222222222222199</c:v>
                </c:pt>
                <c:pt idx="5">
                  <c:v>0.71428571428571397</c:v>
                </c:pt>
                <c:pt idx="6">
                  <c:v>1</c:v>
                </c:pt>
                <c:pt idx="7">
                  <c:v>0.75555555555555498</c:v>
                </c:pt>
                <c:pt idx="8">
                  <c:v>0.56666666666666665</c:v>
                </c:pt>
                <c:pt idx="9">
                  <c:v>0.51666666666666639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0.5625</c:v>
                </c:pt>
                <c:pt idx="13">
                  <c:v>0.5588235294117645</c:v>
                </c:pt>
                <c:pt idx="14">
                  <c:v>0.63888888888888851</c:v>
                </c:pt>
                <c:pt idx="15">
                  <c:v>0.7</c:v>
                </c:pt>
                <c:pt idx="16">
                  <c:v>0.52380952380952295</c:v>
                </c:pt>
                <c:pt idx="17">
                  <c:v>0.48</c:v>
                </c:pt>
                <c:pt idx="18">
                  <c:v>0.33333333333333298</c:v>
                </c:pt>
                <c:pt idx="19">
                  <c:v>0.47499999999999998</c:v>
                </c:pt>
                <c:pt idx="20">
                  <c:v>0.24444444444444399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B-4293-9359-74343CC338E7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0.88888888888888873</c:v>
                </c:pt>
                <c:pt idx="3">
                  <c:v>1</c:v>
                </c:pt>
                <c:pt idx="4">
                  <c:v>0.86666666666666625</c:v>
                </c:pt>
                <c:pt idx="5">
                  <c:v>0.90476190476190421</c:v>
                </c:pt>
                <c:pt idx="6">
                  <c:v>1</c:v>
                </c:pt>
                <c:pt idx="7">
                  <c:v>0.93333333333333302</c:v>
                </c:pt>
                <c:pt idx="8">
                  <c:v>0.89629629629629604</c:v>
                </c:pt>
                <c:pt idx="9">
                  <c:v>0.89696969696969686</c:v>
                </c:pt>
                <c:pt idx="10">
                  <c:v>0.97069597069597069</c:v>
                </c:pt>
                <c:pt idx="11">
                  <c:v>1</c:v>
                </c:pt>
                <c:pt idx="12">
                  <c:v>0.91666666666666596</c:v>
                </c:pt>
                <c:pt idx="13">
                  <c:v>0.92647058823529349</c:v>
                </c:pt>
                <c:pt idx="14">
                  <c:v>0.93464052287581656</c:v>
                </c:pt>
                <c:pt idx="15">
                  <c:v>0.96842105263157896</c:v>
                </c:pt>
                <c:pt idx="16">
                  <c:v>0.92380952380952297</c:v>
                </c:pt>
                <c:pt idx="17">
                  <c:v>0.94</c:v>
                </c:pt>
                <c:pt idx="18">
                  <c:v>0.91264367816091896</c:v>
                </c:pt>
                <c:pt idx="19">
                  <c:v>0.94615384615384601</c:v>
                </c:pt>
                <c:pt idx="20">
                  <c:v>0.947066167290886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B-4293-9359-74343CC338E7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0.96596793880543197</c:v>
                </c:pt>
                <c:pt idx="3">
                  <c:v>1</c:v>
                </c:pt>
                <c:pt idx="4">
                  <c:v>0.94776052604962568</c:v>
                </c:pt>
                <c:pt idx="5">
                  <c:v>0.98696979638936821</c:v>
                </c:pt>
                <c:pt idx="6">
                  <c:v>1</c:v>
                </c:pt>
                <c:pt idx="7">
                  <c:v>0.91933674497598405</c:v>
                </c:pt>
                <c:pt idx="8">
                  <c:v>0.89420508603206061</c:v>
                </c:pt>
                <c:pt idx="9">
                  <c:v>0.83886994825984795</c:v>
                </c:pt>
                <c:pt idx="10">
                  <c:v>0.92899345553192381</c:v>
                </c:pt>
                <c:pt idx="11">
                  <c:v>1</c:v>
                </c:pt>
                <c:pt idx="12">
                  <c:v>0.8870703112124585</c:v>
                </c:pt>
                <c:pt idx="13">
                  <c:v>0.83283514403081449</c:v>
                </c:pt>
                <c:pt idx="14">
                  <c:v>0.81439469505359297</c:v>
                </c:pt>
                <c:pt idx="15">
                  <c:v>0.91764155886531995</c:v>
                </c:pt>
                <c:pt idx="16">
                  <c:v>0.81580790524194702</c:v>
                </c:pt>
                <c:pt idx="17">
                  <c:v>0.698047457715674</c:v>
                </c:pt>
                <c:pt idx="18">
                  <c:v>0.67435901158387002</c:v>
                </c:pt>
                <c:pt idx="19">
                  <c:v>0.69657568976983897</c:v>
                </c:pt>
                <c:pt idx="20">
                  <c:v>0.51710311019140198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B-4293-9359-74343CC3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0.88888888888888873</c:v>
                </c:pt>
                <c:pt idx="5">
                  <c:v>0.78571428571428548</c:v>
                </c:pt>
                <c:pt idx="6">
                  <c:v>0.83333333333333337</c:v>
                </c:pt>
                <c:pt idx="7">
                  <c:v>0.6666666666666663</c:v>
                </c:pt>
                <c:pt idx="8">
                  <c:v>0.76666666666666661</c:v>
                </c:pt>
                <c:pt idx="9">
                  <c:v>0.64999999999999969</c:v>
                </c:pt>
                <c:pt idx="10">
                  <c:v>0.30952380952380903</c:v>
                </c:pt>
                <c:pt idx="11">
                  <c:v>0.53333333333333299</c:v>
                </c:pt>
                <c:pt idx="12">
                  <c:v>0.53125</c:v>
                </c:pt>
                <c:pt idx="13">
                  <c:v>0.47058823529411697</c:v>
                </c:pt>
                <c:pt idx="14">
                  <c:v>0.44444444444444398</c:v>
                </c:pt>
                <c:pt idx="15">
                  <c:v>0.4</c:v>
                </c:pt>
                <c:pt idx="16">
                  <c:v>0.33333333333333298</c:v>
                </c:pt>
                <c:pt idx="17">
                  <c:v>0.6</c:v>
                </c:pt>
                <c:pt idx="18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4C3D-902C-A6661D6FE3ED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0.95555555555555538</c:v>
                </c:pt>
                <c:pt idx="5">
                  <c:v>0.92857142857142794</c:v>
                </c:pt>
                <c:pt idx="6">
                  <c:v>0.952380952380952</c:v>
                </c:pt>
                <c:pt idx="7">
                  <c:v>0.91111111111111054</c:v>
                </c:pt>
                <c:pt idx="8">
                  <c:v>0.89629629629629604</c:v>
                </c:pt>
                <c:pt idx="9">
                  <c:v>0.93333333333333268</c:v>
                </c:pt>
                <c:pt idx="10">
                  <c:v>0.86080586080586075</c:v>
                </c:pt>
                <c:pt idx="11">
                  <c:v>0.92380952380952297</c:v>
                </c:pt>
                <c:pt idx="12">
                  <c:v>0.91666666666666652</c:v>
                </c:pt>
                <c:pt idx="13">
                  <c:v>0.88235294117647001</c:v>
                </c:pt>
                <c:pt idx="14">
                  <c:v>0.90196078431372495</c:v>
                </c:pt>
                <c:pt idx="15">
                  <c:v>0.83684210526315761</c:v>
                </c:pt>
                <c:pt idx="16">
                  <c:v>0.76190476190476097</c:v>
                </c:pt>
                <c:pt idx="17">
                  <c:v>0.95333333333333303</c:v>
                </c:pt>
                <c:pt idx="18">
                  <c:v>0.93103448275862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4C3D-902C-A6661D6FE3ED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0.96069943523351797</c:v>
                </c:pt>
                <c:pt idx="5">
                  <c:v>0.9467346797629661</c:v>
                </c:pt>
                <c:pt idx="6">
                  <c:v>0.94330178251970465</c:v>
                </c:pt>
                <c:pt idx="7">
                  <c:v>0.94740840847466856</c:v>
                </c:pt>
                <c:pt idx="8">
                  <c:v>0.94850809375189193</c:v>
                </c:pt>
                <c:pt idx="9">
                  <c:v>0.90490118089261495</c:v>
                </c:pt>
                <c:pt idx="10">
                  <c:v>0.80743719386966328</c:v>
                </c:pt>
                <c:pt idx="11">
                  <c:v>0.81391438702469698</c:v>
                </c:pt>
                <c:pt idx="12">
                  <c:v>0.83304215370786605</c:v>
                </c:pt>
                <c:pt idx="13">
                  <c:v>0.79270046140149297</c:v>
                </c:pt>
                <c:pt idx="14">
                  <c:v>0.773008536221795</c:v>
                </c:pt>
                <c:pt idx="15">
                  <c:v>0.76159065201422793</c:v>
                </c:pt>
                <c:pt idx="16">
                  <c:v>0.68375476191127904</c:v>
                </c:pt>
                <c:pt idx="17">
                  <c:v>0.85413295421660096</c:v>
                </c:pt>
                <c:pt idx="18">
                  <c:v>0.67877320111433803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AB-4C3D-902C-A6661D6F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0.93333333333333324</c:v>
                </c:pt>
                <c:pt idx="9">
                  <c:v>0.84999999999999987</c:v>
                </c:pt>
                <c:pt idx="10">
                  <c:v>0.8571428571428571</c:v>
                </c:pt>
                <c:pt idx="11">
                  <c:v>0.86666666666666603</c:v>
                </c:pt>
                <c:pt idx="12">
                  <c:v>0.8125</c:v>
                </c:pt>
                <c:pt idx="13">
                  <c:v>0.94117647058823506</c:v>
                </c:pt>
                <c:pt idx="14">
                  <c:v>0.72222222222222143</c:v>
                </c:pt>
                <c:pt idx="15">
                  <c:v>0.7</c:v>
                </c:pt>
                <c:pt idx="16">
                  <c:v>0.85714285714285698</c:v>
                </c:pt>
                <c:pt idx="17">
                  <c:v>0.52</c:v>
                </c:pt>
                <c:pt idx="18">
                  <c:v>0.76666666666666605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4-4C86-91B0-2C94173E8B64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1</c:v>
                </c:pt>
                <c:pt idx="6">
                  <c:v>0.97619047619047594</c:v>
                </c:pt>
                <c:pt idx="7">
                  <c:v>1</c:v>
                </c:pt>
                <c:pt idx="8">
                  <c:v>0.98518518518518494</c:v>
                </c:pt>
                <c:pt idx="9">
                  <c:v>0.96969696969696939</c:v>
                </c:pt>
                <c:pt idx="10">
                  <c:v>0.9780219780219781</c:v>
                </c:pt>
                <c:pt idx="11">
                  <c:v>0.94285714285714195</c:v>
                </c:pt>
                <c:pt idx="12">
                  <c:v>0.97499999999999942</c:v>
                </c:pt>
                <c:pt idx="13">
                  <c:v>0.99264705882352899</c:v>
                </c:pt>
                <c:pt idx="14">
                  <c:v>0.96732026143790795</c:v>
                </c:pt>
                <c:pt idx="15">
                  <c:v>0.96315789473684199</c:v>
                </c:pt>
                <c:pt idx="16">
                  <c:v>0.98095238095238002</c:v>
                </c:pt>
                <c:pt idx="17">
                  <c:v>0.94</c:v>
                </c:pt>
                <c:pt idx="18">
                  <c:v>0.98160919540229796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4-4C86-91B0-2C94173E8B64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1</c:v>
                </c:pt>
                <c:pt idx="6">
                  <c:v>0.96622711196681932</c:v>
                </c:pt>
                <c:pt idx="7">
                  <c:v>1</c:v>
                </c:pt>
                <c:pt idx="8">
                  <c:v>0.99910259665740531</c:v>
                </c:pt>
                <c:pt idx="9">
                  <c:v>0.94109506075935678</c:v>
                </c:pt>
                <c:pt idx="10">
                  <c:v>0.9255273975617726</c:v>
                </c:pt>
                <c:pt idx="11">
                  <c:v>0.96558984646078805</c:v>
                </c:pt>
                <c:pt idx="12">
                  <c:v>0.89589498787780997</c:v>
                </c:pt>
                <c:pt idx="13">
                  <c:v>0.97197381744595401</c:v>
                </c:pt>
                <c:pt idx="14">
                  <c:v>0.90898845629243308</c:v>
                </c:pt>
                <c:pt idx="15">
                  <c:v>0.95694829540600446</c:v>
                </c:pt>
                <c:pt idx="16">
                  <c:v>0.93200183522997604</c:v>
                </c:pt>
                <c:pt idx="17">
                  <c:v>0.80163984709273295</c:v>
                </c:pt>
                <c:pt idx="18">
                  <c:v>0.83490051856835301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4-4C86-91B0-2C94173E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0.72222222222222199</c:v>
                </c:pt>
                <c:pt idx="5">
                  <c:v>0.71428571428571397</c:v>
                </c:pt>
                <c:pt idx="6">
                  <c:v>1</c:v>
                </c:pt>
                <c:pt idx="7">
                  <c:v>0.75555555555555498</c:v>
                </c:pt>
                <c:pt idx="8">
                  <c:v>0.56666666666666665</c:v>
                </c:pt>
                <c:pt idx="9">
                  <c:v>0.51666666666666639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0.5625</c:v>
                </c:pt>
                <c:pt idx="13">
                  <c:v>0.5588235294117645</c:v>
                </c:pt>
                <c:pt idx="14">
                  <c:v>0.63888888888888851</c:v>
                </c:pt>
                <c:pt idx="15">
                  <c:v>0.7</c:v>
                </c:pt>
                <c:pt idx="16">
                  <c:v>0.52380952380952295</c:v>
                </c:pt>
                <c:pt idx="17">
                  <c:v>0.48</c:v>
                </c:pt>
                <c:pt idx="18">
                  <c:v>0.33333333333333298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2-4EF1-A416-442EFF9CE54B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0.88888888888888873</c:v>
                </c:pt>
                <c:pt idx="3">
                  <c:v>1</c:v>
                </c:pt>
                <c:pt idx="4">
                  <c:v>0.86666666666666625</c:v>
                </c:pt>
                <c:pt idx="5">
                  <c:v>0.90476190476190421</c:v>
                </c:pt>
                <c:pt idx="6">
                  <c:v>1</c:v>
                </c:pt>
                <c:pt idx="7">
                  <c:v>0.93333333333333302</c:v>
                </c:pt>
                <c:pt idx="8">
                  <c:v>0.89629629629629604</c:v>
                </c:pt>
                <c:pt idx="9">
                  <c:v>0.89696969696969686</c:v>
                </c:pt>
                <c:pt idx="10">
                  <c:v>0.97069597069597069</c:v>
                </c:pt>
                <c:pt idx="11">
                  <c:v>1</c:v>
                </c:pt>
                <c:pt idx="12">
                  <c:v>0.91666666666666596</c:v>
                </c:pt>
                <c:pt idx="13">
                  <c:v>0.92647058823529349</c:v>
                </c:pt>
                <c:pt idx="14">
                  <c:v>0.93464052287581656</c:v>
                </c:pt>
                <c:pt idx="15">
                  <c:v>0.96842105263157896</c:v>
                </c:pt>
                <c:pt idx="16">
                  <c:v>0.92380952380952297</c:v>
                </c:pt>
                <c:pt idx="17">
                  <c:v>0.94</c:v>
                </c:pt>
                <c:pt idx="18">
                  <c:v>0.91264367816091896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2-4EF1-A416-442EFF9CE54B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0.96596793880543197</c:v>
                </c:pt>
                <c:pt idx="3">
                  <c:v>1</c:v>
                </c:pt>
                <c:pt idx="4">
                  <c:v>0.94776052604962568</c:v>
                </c:pt>
                <c:pt idx="5">
                  <c:v>0.98696979638936821</c:v>
                </c:pt>
                <c:pt idx="6">
                  <c:v>1</c:v>
                </c:pt>
                <c:pt idx="7">
                  <c:v>0.91933674497598405</c:v>
                </c:pt>
                <c:pt idx="8">
                  <c:v>0.89420508603206061</c:v>
                </c:pt>
                <c:pt idx="9">
                  <c:v>0.83886994825984795</c:v>
                </c:pt>
                <c:pt idx="10">
                  <c:v>0.92899345553192381</c:v>
                </c:pt>
                <c:pt idx="11">
                  <c:v>1</c:v>
                </c:pt>
                <c:pt idx="12">
                  <c:v>0.8870703112124585</c:v>
                </c:pt>
                <c:pt idx="13">
                  <c:v>0.83283514403081449</c:v>
                </c:pt>
                <c:pt idx="14">
                  <c:v>0.81439469505359297</c:v>
                </c:pt>
                <c:pt idx="15">
                  <c:v>0.91764155886531995</c:v>
                </c:pt>
                <c:pt idx="16">
                  <c:v>0.81580790524194702</c:v>
                </c:pt>
                <c:pt idx="17">
                  <c:v>0.698047457715674</c:v>
                </c:pt>
                <c:pt idx="18">
                  <c:v>0.67435901158387002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52-4EF1-A416-442EFF9CE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cycle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613052554477202"/>
          <c:w val="0.84286646068864157"/>
          <c:h val="0.6429613623878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9651293589"/>
          <c:y val="0.19527777777777777"/>
          <c:w val="0.83661642294713157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2030075187969926E-2"/>
                  <c:y val="1.85185185185184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cycle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18601851851851853"/>
          <c:w val="0.83413591939765974"/>
          <c:h val="0.6182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0.22222222222222199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0.94444444444444398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0.90476190476190399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0.86666666666666603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0.93333333333333324</c:v>
                </c:pt>
                <c:pt idx="9">
                  <c:v>0.84999999999999987</c:v>
                </c:pt>
                <c:pt idx="10">
                  <c:v>0.8571428571428571</c:v>
                </c:pt>
                <c:pt idx="11">
                  <c:v>0.86666666666666603</c:v>
                </c:pt>
                <c:pt idx="12">
                  <c:v>0.8125</c:v>
                </c:pt>
                <c:pt idx="13">
                  <c:v>0.94117647058823506</c:v>
                </c:pt>
                <c:pt idx="14">
                  <c:v>0.72222222222222143</c:v>
                </c:pt>
                <c:pt idx="15">
                  <c:v>0.7</c:v>
                </c:pt>
                <c:pt idx="16">
                  <c:v>0.85714285714285698</c:v>
                </c:pt>
                <c:pt idx="17">
                  <c:v>0.52</c:v>
                </c:pt>
                <c:pt idx="18">
                  <c:v>0.76666666666666605</c:v>
                </c:pt>
                <c:pt idx="19">
                  <c:v>0.55000000000000004</c:v>
                </c:pt>
                <c:pt idx="20">
                  <c:v>0.37777777777777699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B-48E8-B82D-7093EFB2D305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1</c:v>
                </c:pt>
                <c:pt idx="6">
                  <c:v>0.97619047619047594</c:v>
                </c:pt>
                <c:pt idx="7">
                  <c:v>1</c:v>
                </c:pt>
                <c:pt idx="8">
                  <c:v>0.98518518518518494</c:v>
                </c:pt>
                <c:pt idx="9">
                  <c:v>0.96969696969696939</c:v>
                </c:pt>
                <c:pt idx="10">
                  <c:v>0.9780219780219781</c:v>
                </c:pt>
                <c:pt idx="11">
                  <c:v>0.94285714285714195</c:v>
                </c:pt>
                <c:pt idx="12">
                  <c:v>0.97499999999999942</c:v>
                </c:pt>
                <c:pt idx="13">
                  <c:v>0.99264705882352899</c:v>
                </c:pt>
                <c:pt idx="14">
                  <c:v>0.96732026143790795</c:v>
                </c:pt>
                <c:pt idx="15">
                  <c:v>0.96315789473684199</c:v>
                </c:pt>
                <c:pt idx="16">
                  <c:v>0.98095238095238002</c:v>
                </c:pt>
                <c:pt idx="17">
                  <c:v>0.94</c:v>
                </c:pt>
                <c:pt idx="18">
                  <c:v>0.98160919540229796</c:v>
                </c:pt>
                <c:pt idx="19">
                  <c:v>0.94615384615384601</c:v>
                </c:pt>
                <c:pt idx="20">
                  <c:v>0.96354556803994995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B-48E8-B82D-7093EFB2D305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1</c:v>
                </c:pt>
                <c:pt idx="6">
                  <c:v>0.96622711196681932</c:v>
                </c:pt>
                <c:pt idx="7">
                  <c:v>1</c:v>
                </c:pt>
                <c:pt idx="8">
                  <c:v>0.99910259665740531</c:v>
                </c:pt>
                <c:pt idx="9">
                  <c:v>0.94109506075935678</c:v>
                </c:pt>
                <c:pt idx="10">
                  <c:v>0.9255273975617726</c:v>
                </c:pt>
                <c:pt idx="11">
                  <c:v>0.96558984646078805</c:v>
                </c:pt>
                <c:pt idx="12">
                  <c:v>0.89589498787780997</c:v>
                </c:pt>
                <c:pt idx="13">
                  <c:v>0.97197381744595401</c:v>
                </c:pt>
                <c:pt idx="14">
                  <c:v>0.90898845629243308</c:v>
                </c:pt>
                <c:pt idx="15">
                  <c:v>0.95694829540600446</c:v>
                </c:pt>
                <c:pt idx="16">
                  <c:v>0.93200183522997604</c:v>
                </c:pt>
                <c:pt idx="17">
                  <c:v>0.80163984709273295</c:v>
                </c:pt>
                <c:pt idx="18">
                  <c:v>0.83490051856835301</c:v>
                </c:pt>
                <c:pt idx="19">
                  <c:v>0.80056226507482398</c:v>
                </c:pt>
                <c:pt idx="20">
                  <c:v>0.61296811677275898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B-48E8-B82D-7093EFB2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0.86666666666666603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0.88888888888888873</c:v>
                </c:pt>
                <c:pt idx="5">
                  <c:v>0.78571428571428548</c:v>
                </c:pt>
                <c:pt idx="6">
                  <c:v>0.83333333333333337</c:v>
                </c:pt>
                <c:pt idx="7">
                  <c:v>0.6666666666666663</c:v>
                </c:pt>
                <c:pt idx="8">
                  <c:v>0.76666666666666661</c:v>
                </c:pt>
                <c:pt idx="9">
                  <c:v>0.64999999999999969</c:v>
                </c:pt>
                <c:pt idx="10">
                  <c:v>0.30952380952380903</c:v>
                </c:pt>
                <c:pt idx="11">
                  <c:v>0.53333333333333299</c:v>
                </c:pt>
                <c:pt idx="12">
                  <c:v>0.53125</c:v>
                </c:pt>
                <c:pt idx="13">
                  <c:v>0.47058823529411697</c:v>
                </c:pt>
                <c:pt idx="14">
                  <c:v>0.44444444444444398</c:v>
                </c:pt>
                <c:pt idx="15">
                  <c:v>0.4</c:v>
                </c:pt>
                <c:pt idx="16">
                  <c:v>0.33333333333333298</c:v>
                </c:pt>
                <c:pt idx="17">
                  <c:v>0.6</c:v>
                </c:pt>
                <c:pt idx="18">
                  <c:v>0.3</c:v>
                </c:pt>
                <c:pt idx="19">
                  <c:v>0.17499999999999999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A-48DB-A3D7-78A45904523E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0.95555555555555538</c:v>
                </c:pt>
                <c:pt idx="5">
                  <c:v>0.92857142857142794</c:v>
                </c:pt>
                <c:pt idx="6">
                  <c:v>0.952380952380952</c:v>
                </c:pt>
                <c:pt idx="7">
                  <c:v>0.91111111111111054</c:v>
                </c:pt>
                <c:pt idx="8">
                  <c:v>0.89629629629629604</c:v>
                </c:pt>
                <c:pt idx="9">
                  <c:v>0.93333333333333268</c:v>
                </c:pt>
                <c:pt idx="10">
                  <c:v>0.86080586080586075</c:v>
                </c:pt>
                <c:pt idx="11">
                  <c:v>0.92380952380952297</c:v>
                </c:pt>
                <c:pt idx="12">
                  <c:v>0.91666666666666652</c:v>
                </c:pt>
                <c:pt idx="13">
                  <c:v>0.88235294117647001</c:v>
                </c:pt>
                <c:pt idx="14">
                  <c:v>0.90196078431372495</c:v>
                </c:pt>
                <c:pt idx="15">
                  <c:v>0.83684210526315761</c:v>
                </c:pt>
                <c:pt idx="16">
                  <c:v>0.76190476190476097</c:v>
                </c:pt>
                <c:pt idx="17">
                  <c:v>0.95333333333333303</c:v>
                </c:pt>
                <c:pt idx="18">
                  <c:v>0.93103448275862</c:v>
                </c:pt>
                <c:pt idx="19">
                  <c:v>0.81282051282051204</c:v>
                </c:pt>
                <c:pt idx="20">
                  <c:v>0.82571785268414399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A-48DB-A3D7-78A45904523E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0.96069943523351797</c:v>
                </c:pt>
                <c:pt idx="5">
                  <c:v>0.9467346797629661</c:v>
                </c:pt>
                <c:pt idx="6">
                  <c:v>0.94330178251970465</c:v>
                </c:pt>
                <c:pt idx="7">
                  <c:v>0.94740840847466856</c:v>
                </c:pt>
                <c:pt idx="8">
                  <c:v>0.94850809375189193</c:v>
                </c:pt>
                <c:pt idx="9">
                  <c:v>0.90490118089261495</c:v>
                </c:pt>
                <c:pt idx="10">
                  <c:v>0.80743719386966328</c:v>
                </c:pt>
                <c:pt idx="11">
                  <c:v>0.81391438702469698</c:v>
                </c:pt>
                <c:pt idx="12">
                  <c:v>0.83304215370786605</c:v>
                </c:pt>
                <c:pt idx="13">
                  <c:v>0.79270046140149297</c:v>
                </c:pt>
                <c:pt idx="14">
                  <c:v>0.773008536221795</c:v>
                </c:pt>
                <c:pt idx="15">
                  <c:v>0.76159065201422793</c:v>
                </c:pt>
                <c:pt idx="16">
                  <c:v>0.68375476191127904</c:v>
                </c:pt>
                <c:pt idx="17">
                  <c:v>0.85413295421660096</c:v>
                </c:pt>
                <c:pt idx="18">
                  <c:v>0.67877320111433803</c:v>
                </c:pt>
                <c:pt idx="19">
                  <c:v>0.58376412815371403</c:v>
                </c:pt>
                <c:pt idx="20">
                  <c:v>0.416689912914466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A-48DB-A3D7-78A4590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0988817180805E-2"/>
          <c:y val="0.17171296296296298"/>
          <c:w val="0.903589427436535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0.88888888888888873</c:v>
                </c:pt>
                <c:pt idx="5">
                  <c:v>0.85714285714285698</c:v>
                </c:pt>
                <c:pt idx="6">
                  <c:v>1</c:v>
                </c:pt>
                <c:pt idx="7">
                  <c:v>0.77777777777777757</c:v>
                </c:pt>
                <c:pt idx="8">
                  <c:v>0.70000000000000007</c:v>
                </c:pt>
                <c:pt idx="9">
                  <c:v>0.88333333333333319</c:v>
                </c:pt>
                <c:pt idx="10">
                  <c:v>0.71428571428571397</c:v>
                </c:pt>
                <c:pt idx="11">
                  <c:v>1</c:v>
                </c:pt>
                <c:pt idx="12">
                  <c:v>0.8125</c:v>
                </c:pt>
                <c:pt idx="13">
                  <c:v>0.79411764705882348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0.52</c:v>
                </c:pt>
                <c:pt idx="18">
                  <c:v>0.8</c:v>
                </c:pt>
                <c:pt idx="19">
                  <c:v>0.52500000000000002</c:v>
                </c:pt>
                <c:pt idx="2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0-4F6A-B021-74775AEADB5F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0.88888888888888873</c:v>
                </c:pt>
                <c:pt idx="3">
                  <c:v>1</c:v>
                </c:pt>
                <c:pt idx="4">
                  <c:v>0.95555555555555538</c:v>
                </c:pt>
                <c:pt idx="5">
                  <c:v>0.952380952380952</c:v>
                </c:pt>
                <c:pt idx="6">
                  <c:v>1</c:v>
                </c:pt>
                <c:pt idx="7">
                  <c:v>0.83333333333333326</c:v>
                </c:pt>
                <c:pt idx="8">
                  <c:v>0.83703703703703669</c:v>
                </c:pt>
                <c:pt idx="9">
                  <c:v>0.96363636363636329</c:v>
                </c:pt>
                <c:pt idx="10">
                  <c:v>0.91941391941391937</c:v>
                </c:pt>
                <c:pt idx="11">
                  <c:v>1</c:v>
                </c:pt>
                <c:pt idx="12">
                  <c:v>0.93333333333333302</c:v>
                </c:pt>
                <c:pt idx="13">
                  <c:v>0.94852941176470551</c:v>
                </c:pt>
                <c:pt idx="14">
                  <c:v>1</c:v>
                </c:pt>
                <c:pt idx="15">
                  <c:v>0.86315789473684146</c:v>
                </c:pt>
                <c:pt idx="16">
                  <c:v>1</c:v>
                </c:pt>
                <c:pt idx="17">
                  <c:v>0.94</c:v>
                </c:pt>
                <c:pt idx="18">
                  <c:v>0.98160919540229796</c:v>
                </c:pt>
                <c:pt idx="19">
                  <c:v>0.86923076923076903</c:v>
                </c:pt>
                <c:pt idx="20">
                  <c:v>0.91460674157303301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0-4F6A-B021-74775AEADB5F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0.91746881399038804</c:v>
                </c:pt>
                <c:pt idx="3">
                  <c:v>1</c:v>
                </c:pt>
                <c:pt idx="4">
                  <c:v>0.97940822026782171</c:v>
                </c:pt>
                <c:pt idx="5">
                  <c:v>0.98176853864576707</c:v>
                </c:pt>
                <c:pt idx="6">
                  <c:v>1</c:v>
                </c:pt>
                <c:pt idx="7">
                  <c:v>0.95258758044611191</c:v>
                </c:pt>
                <c:pt idx="8">
                  <c:v>0.97900587709100961</c:v>
                </c:pt>
                <c:pt idx="9">
                  <c:v>0.98604805966739906</c:v>
                </c:pt>
                <c:pt idx="10">
                  <c:v>0.88636167739973459</c:v>
                </c:pt>
                <c:pt idx="11">
                  <c:v>1</c:v>
                </c:pt>
                <c:pt idx="12">
                  <c:v>0.94951567620255894</c:v>
                </c:pt>
                <c:pt idx="13">
                  <c:v>0.96761288082387753</c:v>
                </c:pt>
                <c:pt idx="14">
                  <c:v>1</c:v>
                </c:pt>
                <c:pt idx="15">
                  <c:v>0.89375900775271699</c:v>
                </c:pt>
                <c:pt idx="16">
                  <c:v>1</c:v>
                </c:pt>
                <c:pt idx="17">
                  <c:v>0.68409645387120899</c:v>
                </c:pt>
                <c:pt idx="18">
                  <c:v>0.95627167608463903</c:v>
                </c:pt>
                <c:pt idx="19">
                  <c:v>0.90141726976996694</c:v>
                </c:pt>
                <c:pt idx="20">
                  <c:v>0.92072117192839797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0-4F6A-B021-74775AEA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0.88888888888888873</c:v>
                </c:pt>
                <c:pt idx="5">
                  <c:v>0.85714285714285698</c:v>
                </c:pt>
                <c:pt idx="6">
                  <c:v>1</c:v>
                </c:pt>
                <c:pt idx="7">
                  <c:v>0.77777777777777757</c:v>
                </c:pt>
                <c:pt idx="8">
                  <c:v>0.70000000000000007</c:v>
                </c:pt>
                <c:pt idx="9">
                  <c:v>0.88333333333333319</c:v>
                </c:pt>
                <c:pt idx="10">
                  <c:v>0.71428571428571397</c:v>
                </c:pt>
                <c:pt idx="11">
                  <c:v>1</c:v>
                </c:pt>
                <c:pt idx="12">
                  <c:v>0.8125</c:v>
                </c:pt>
                <c:pt idx="13">
                  <c:v>0.79411764705882348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0.52</c:v>
                </c:pt>
                <c:pt idx="18">
                  <c:v>0.8</c:v>
                </c:pt>
                <c:pt idx="19">
                  <c:v>0.52500000000000002</c:v>
                </c:pt>
                <c:pt idx="2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2-406A-9417-AE48FAA23793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0.88888888888888873</c:v>
                </c:pt>
                <c:pt idx="3">
                  <c:v>1</c:v>
                </c:pt>
                <c:pt idx="4">
                  <c:v>0.95555555555555538</c:v>
                </c:pt>
                <c:pt idx="5">
                  <c:v>0.952380952380952</c:v>
                </c:pt>
                <c:pt idx="6">
                  <c:v>1</c:v>
                </c:pt>
                <c:pt idx="7">
                  <c:v>0.83333333333333326</c:v>
                </c:pt>
                <c:pt idx="8">
                  <c:v>0.83703703703703669</c:v>
                </c:pt>
                <c:pt idx="9">
                  <c:v>0.96363636363636329</c:v>
                </c:pt>
                <c:pt idx="10">
                  <c:v>0.91941391941391937</c:v>
                </c:pt>
                <c:pt idx="11">
                  <c:v>1</c:v>
                </c:pt>
                <c:pt idx="12">
                  <c:v>0.93333333333333302</c:v>
                </c:pt>
                <c:pt idx="13">
                  <c:v>0.94852941176470551</c:v>
                </c:pt>
                <c:pt idx="14">
                  <c:v>1</c:v>
                </c:pt>
                <c:pt idx="15">
                  <c:v>0.86315789473684146</c:v>
                </c:pt>
                <c:pt idx="16">
                  <c:v>1</c:v>
                </c:pt>
                <c:pt idx="17">
                  <c:v>0.94</c:v>
                </c:pt>
                <c:pt idx="18">
                  <c:v>0.98160919540229796</c:v>
                </c:pt>
                <c:pt idx="19">
                  <c:v>0.86923076923076903</c:v>
                </c:pt>
                <c:pt idx="20">
                  <c:v>0.91460674157303301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2-406A-9417-AE48FAA23793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0.91746881399038804</c:v>
                </c:pt>
                <c:pt idx="3">
                  <c:v>1</c:v>
                </c:pt>
                <c:pt idx="4">
                  <c:v>0.97940822026782171</c:v>
                </c:pt>
                <c:pt idx="5">
                  <c:v>0.98176853864576707</c:v>
                </c:pt>
                <c:pt idx="6">
                  <c:v>1</c:v>
                </c:pt>
                <c:pt idx="7">
                  <c:v>0.95258758044611191</c:v>
                </c:pt>
                <c:pt idx="8">
                  <c:v>0.97900587709100961</c:v>
                </c:pt>
                <c:pt idx="9">
                  <c:v>0.98604805966739906</c:v>
                </c:pt>
                <c:pt idx="10">
                  <c:v>0.88636167739973459</c:v>
                </c:pt>
                <c:pt idx="11">
                  <c:v>1</c:v>
                </c:pt>
                <c:pt idx="12">
                  <c:v>0.94951567620255894</c:v>
                </c:pt>
                <c:pt idx="13">
                  <c:v>0.96761288082387753</c:v>
                </c:pt>
                <c:pt idx="14">
                  <c:v>1</c:v>
                </c:pt>
                <c:pt idx="15">
                  <c:v>0.89375900775271699</c:v>
                </c:pt>
                <c:pt idx="16">
                  <c:v>1</c:v>
                </c:pt>
                <c:pt idx="17">
                  <c:v>0.68409645387120899</c:v>
                </c:pt>
                <c:pt idx="18">
                  <c:v>0.95627167608463903</c:v>
                </c:pt>
                <c:pt idx="19">
                  <c:v>0.90141726976996694</c:v>
                </c:pt>
                <c:pt idx="20">
                  <c:v>0.92072117192839797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2-406A-9417-AE48FAA2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0.88888888888888873</c:v>
                </c:pt>
                <c:pt idx="5">
                  <c:v>0.78571428571428548</c:v>
                </c:pt>
                <c:pt idx="6">
                  <c:v>0.83333333333333337</c:v>
                </c:pt>
                <c:pt idx="7">
                  <c:v>0.6666666666666663</c:v>
                </c:pt>
                <c:pt idx="8">
                  <c:v>0.76666666666666661</c:v>
                </c:pt>
                <c:pt idx="9">
                  <c:v>0.64999999999999969</c:v>
                </c:pt>
                <c:pt idx="10">
                  <c:v>0.30952380952380903</c:v>
                </c:pt>
                <c:pt idx="11">
                  <c:v>0.53333333333333299</c:v>
                </c:pt>
                <c:pt idx="12">
                  <c:v>0.53125</c:v>
                </c:pt>
                <c:pt idx="13">
                  <c:v>0.47058823529411697</c:v>
                </c:pt>
                <c:pt idx="14">
                  <c:v>0.44444444444444398</c:v>
                </c:pt>
                <c:pt idx="15">
                  <c:v>0.4</c:v>
                </c:pt>
                <c:pt idx="16">
                  <c:v>0.33333333333333298</c:v>
                </c:pt>
                <c:pt idx="17">
                  <c:v>0.6</c:v>
                </c:pt>
                <c:pt idx="18">
                  <c:v>0.3</c:v>
                </c:pt>
                <c:pt idx="19">
                  <c:v>0.17499999999999999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C-4A50-B40A-3500036880C9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0.95555555555555538</c:v>
                </c:pt>
                <c:pt idx="5">
                  <c:v>0.92857142857142794</c:v>
                </c:pt>
                <c:pt idx="6">
                  <c:v>0.952380952380952</c:v>
                </c:pt>
                <c:pt idx="7">
                  <c:v>0.91111111111111054</c:v>
                </c:pt>
                <c:pt idx="8">
                  <c:v>0.89629629629629604</c:v>
                </c:pt>
                <c:pt idx="9">
                  <c:v>0.93333333333333268</c:v>
                </c:pt>
                <c:pt idx="10">
                  <c:v>0.86080586080586075</c:v>
                </c:pt>
                <c:pt idx="11">
                  <c:v>0.92380952380952297</c:v>
                </c:pt>
                <c:pt idx="12">
                  <c:v>0.91666666666666652</c:v>
                </c:pt>
                <c:pt idx="13">
                  <c:v>0.88235294117647001</c:v>
                </c:pt>
                <c:pt idx="14">
                  <c:v>0.90196078431372495</c:v>
                </c:pt>
                <c:pt idx="15">
                  <c:v>0.83684210526315761</c:v>
                </c:pt>
                <c:pt idx="16">
                  <c:v>0.76190476190476097</c:v>
                </c:pt>
                <c:pt idx="17">
                  <c:v>0.95333333333333303</c:v>
                </c:pt>
                <c:pt idx="18">
                  <c:v>0.93103448275862</c:v>
                </c:pt>
                <c:pt idx="19">
                  <c:v>0.81282051282051204</c:v>
                </c:pt>
                <c:pt idx="20">
                  <c:v>0.82571785268414399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C-4A50-B40A-3500036880C9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0.96069943523351797</c:v>
                </c:pt>
                <c:pt idx="5">
                  <c:v>0.9467346797629661</c:v>
                </c:pt>
                <c:pt idx="6">
                  <c:v>0.94330178251970465</c:v>
                </c:pt>
                <c:pt idx="7">
                  <c:v>0.94740840847466856</c:v>
                </c:pt>
                <c:pt idx="8">
                  <c:v>0.94850809375189193</c:v>
                </c:pt>
                <c:pt idx="9">
                  <c:v>0.90490118089261495</c:v>
                </c:pt>
                <c:pt idx="10">
                  <c:v>0.80743719386966328</c:v>
                </c:pt>
                <c:pt idx="11">
                  <c:v>0.81391438702469698</c:v>
                </c:pt>
                <c:pt idx="12">
                  <c:v>0.83304215370786605</c:v>
                </c:pt>
                <c:pt idx="13">
                  <c:v>0.79270046140149297</c:v>
                </c:pt>
                <c:pt idx="14">
                  <c:v>0.773008536221795</c:v>
                </c:pt>
                <c:pt idx="15">
                  <c:v>0.76159065201422793</c:v>
                </c:pt>
                <c:pt idx="16">
                  <c:v>0.68375476191127904</c:v>
                </c:pt>
                <c:pt idx="17">
                  <c:v>0.85413295421660096</c:v>
                </c:pt>
                <c:pt idx="18">
                  <c:v>0.67877320111433803</c:v>
                </c:pt>
                <c:pt idx="19">
                  <c:v>0.58376412815371403</c:v>
                </c:pt>
                <c:pt idx="20">
                  <c:v>0.416689912914466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C-4A50-B40A-350003688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0.93333333333333324</c:v>
                </c:pt>
                <c:pt idx="9">
                  <c:v>0.84999999999999987</c:v>
                </c:pt>
                <c:pt idx="10">
                  <c:v>0.8571428571428571</c:v>
                </c:pt>
                <c:pt idx="11">
                  <c:v>0.86666666666666603</c:v>
                </c:pt>
                <c:pt idx="12">
                  <c:v>0.8125</c:v>
                </c:pt>
                <c:pt idx="13">
                  <c:v>0.94117647058823506</c:v>
                </c:pt>
                <c:pt idx="14">
                  <c:v>0.72222222222222143</c:v>
                </c:pt>
                <c:pt idx="15">
                  <c:v>0.7</c:v>
                </c:pt>
                <c:pt idx="16">
                  <c:v>0.85714285714285698</c:v>
                </c:pt>
                <c:pt idx="17">
                  <c:v>0.52</c:v>
                </c:pt>
                <c:pt idx="18">
                  <c:v>0.76666666666666605</c:v>
                </c:pt>
                <c:pt idx="19">
                  <c:v>0.55000000000000004</c:v>
                </c:pt>
                <c:pt idx="20">
                  <c:v>0.37777777777777699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7-48F9-86B2-8464A33461B7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1</c:v>
                </c:pt>
                <c:pt idx="6">
                  <c:v>0.97619047619047594</c:v>
                </c:pt>
                <c:pt idx="7">
                  <c:v>1</c:v>
                </c:pt>
                <c:pt idx="8">
                  <c:v>0.98518518518518494</c:v>
                </c:pt>
                <c:pt idx="9">
                  <c:v>0.96969696969696939</c:v>
                </c:pt>
                <c:pt idx="10">
                  <c:v>0.9780219780219781</c:v>
                </c:pt>
                <c:pt idx="11">
                  <c:v>0.94285714285714195</c:v>
                </c:pt>
                <c:pt idx="12">
                  <c:v>0.97499999999999942</c:v>
                </c:pt>
                <c:pt idx="13">
                  <c:v>0.99264705882352899</c:v>
                </c:pt>
                <c:pt idx="14">
                  <c:v>0.96732026143790795</c:v>
                </c:pt>
                <c:pt idx="15">
                  <c:v>0.96315789473684199</c:v>
                </c:pt>
                <c:pt idx="16">
                  <c:v>0.98095238095238002</c:v>
                </c:pt>
                <c:pt idx="17">
                  <c:v>0.94</c:v>
                </c:pt>
                <c:pt idx="18">
                  <c:v>0.98160919540229796</c:v>
                </c:pt>
                <c:pt idx="19">
                  <c:v>0.94615384615384601</c:v>
                </c:pt>
                <c:pt idx="20">
                  <c:v>0.96354556803994995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7-48F9-86B2-8464A33461B7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1</c:v>
                </c:pt>
                <c:pt idx="6">
                  <c:v>0.96622711196681932</c:v>
                </c:pt>
                <c:pt idx="7">
                  <c:v>1</c:v>
                </c:pt>
                <c:pt idx="8">
                  <c:v>0.99910259665740531</c:v>
                </c:pt>
                <c:pt idx="9">
                  <c:v>0.94109506075935678</c:v>
                </c:pt>
                <c:pt idx="10">
                  <c:v>0.9255273975617726</c:v>
                </c:pt>
                <c:pt idx="11">
                  <c:v>0.96558984646078805</c:v>
                </c:pt>
                <c:pt idx="12">
                  <c:v>0.89589498787780997</c:v>
                </c:pt>
                <c:pt idx="13">
                  <c:v>0.97197381744595401</c:v>
                </c:pt>
                <c:pt idx="14">
                  <c:v>0.90898845629243308</c:v>
                </c:pt>
                <c:pt idx="15">
                  <c:v>0.95694829540600446</c:v>
                </c:pt>
                <c:pt idx="16">
                  <c:v>0.93200183522997604</c:v>
                </c:pt>
                <c:pt idx="17">
                  <c:v>0.80163984709273295</c:v>
                </c:pt>
                <c:pt idx="18">
                  <c:v>0.83490051856835301</c:v>
                </c:pt>
                <c:pt idx="19">
                  <c:v>0.80056226507482398</c:v>
                </c:pt>
                <c:pt idx="20">
                  <c:v>0.61296811677275898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7-48F9-86B2-8464A334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0.72222222222222199</c:v>
                </c:pt>
                <c:pt idx="5">
                  <c:v>0.71428571428571397</c:v>
                </c:pt>
                <c:pt idx="6">
                  <c:v>1</c:v>
                </c:pt>
                <c:pt idx="7">
                  <c:v>0.75555555555555498</c:v>
                </c:pt>
                <c:pt idx="8">
                  <c:v>0.56666666666666665</c:v>
                </c:pt>
                <c:pt idx="9">
                  <c:v>0.51666666666666639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0.5625</c:v>
                </c:pt>
                <c:pt idx="13">
                  <c:v>0.5588235294117645</c:v>
                </c:pt>
                <c:pt idx="14">
                  <c:v>0.63888888888888851</c:v>
                </c:pt>
                <c:pt idx="15">
                  <c:v>0.7</c:v>
                </c:pt>
                <c:pt idx="16">
                  <c:v>0.52380952380952295</c:v>
                </c:pt>
                <c:pt idx="17">
                  <c:v>0.48</c:v>
                </c:pt>
                <c:pt idx="18">
                  <c:v>0.33333333333333298</c:v>
                </c:pt>
                <c:pt idx="19">
                  <c:v>0.47499999999999998</c:v>
                </c:pt>
                <c:pt idx="20">
                  <c:v>0.24444444444444399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4-4274-BB76-B9B0F52DF565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0.88888888888888873</c:v>
                </c:pt>
                <c:pt idx="3">
                  <c:v>1</c:v>
                </c:pt>
                <c:pt idx="4">
                  <c:v>0.86666666666666625</c:v>
                </c:pt>
                <c:pt idx="5">
                  <c:v>0.90476190476190421</c:v>
                </c:pt>
                <c:pt idx="6">
                  <c:v>1</c:v>
                </c:pt>
                <c:pt idx="7">
                  <c:v>0.93333333333333302</c:v>
                </c:pt>
                <c:pt idx="8">
                  <c:v>0.89629629629629604</c:v>
                </c:pt>
                <c:pt idx="9">
                  <c:v>0.89696969696969686</c:v>
                </c:pt>
                <c:pt idx="10">
                  <c:v>0.97069597069597069</c:v>
                </c:pt>
                <c:pt idx="11">
                  <c:v>1</c:v>
                </c:pt>
                <c:pt idx="12">
                  <c:v>0.91666666666666596</c:v>
                </c:pt>
                <c:pt idx="13">
                  <c:v>0.92647058823529349</c:v>
                </c:pt>
                <c:pt idx="14">
                  <c:v>0.93464052287581656</c:v>
                </c:pt>
                <c:pt idx="15">
                  <c:v>0.96842105263157896</c:v>
                </c:pt>
                <c:pt idx="16">
                  <c:v>0.92380952380952297</c:v>
                </c:pt>
                <c:pt idx="17">
                  <c:v>0.94</c:v>
                </c:pt>
                <c:pt idx="18">
                  <c:v>0.91264367816091896</c:v>
                </c:pt>
                <c:pt idx="19">
                  <c:v>0.94615384615384601</c:v>
                </c:pt>
                <c:pt idx="20">
                  <c:v>0.947066167290886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4-4274-BB76-B9B0F52DF565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0.96596793880543197</c:v>
                </c:pt>
                <c:pt idx="3">
                  <c:v>1</c:v>
                </c:pt>
                <c:pt idx="4">
                  <c:v>0.94776052604962568</c:v>
                </c:pt>
                <c:pt idx="5">
                  <c:v>0.98696979638936821</c:v>
                </c:pt>
                <c:pt idx="6">
                  <c:v>1</c:v>
                </c:pt>
                <c:pt idx="7">
                  <c:v>0.91933674497598405</c:v>
                </c:pt>
                <c:pt idx="8">
                  <c:v>0.89420508603206061</c:v>
                </c:pt>
                <c:pt idx="9">
                  <c:v>0.83886994825984795</c:v>
                </c:pt>
                <c:pt idx="10">
                  <c:v>0.92899345553192381</c:v>
                </c:pt>
                <c:pt idx="11">
                  <c:v>1</c:v>
                </c:pt>
                <c:pt idx="12">
                  <c:v>0.8870703112124585</c:v>
                </c:pt>
                <c:pt idx="13">
                  <c:v>0.83283514403081449</c:v>
                </c:pt>
                <c:pt idx="14">
                  <c:v>0.81439469505359297</c:v>
                </c:pt>
                <c:pt idx="15">
                  <c:v>0.91764155886531995</c:v>
                </c:pt>
                <c:pt idx="16">
                  <c:v>0.81580790524194702</c:v>
                </c:pt>
                <c:pt idx="17">
                  <c:v>0.698047457715674</c:v>
                </c:pt>
                <c:pt idx="18">
                  <c:v>0.67435901158387002</c:v>
                </c:pt>
                <c:pt idx="19">
                  <c:v>0.69657568976983897</c:v>
                </c:pt>
                <c:pt idx="20">
                  <c:v>0.51710311019140198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F4-4274-BB76-B9B0F52D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0.88888888888888873</c:v>
                </c:pt>
                <c:pt idx="5">
                  <c:v>0.85714285714285698</c:v>
                </c:pt>
                <c:pt idx="6">
                  <c:v>1</c:v>
                </c:pt>
                <c:pt idx="7">
                  <c:v>0.77777777777777757</c:v>
                </c:pt>
                <c:pt idx="8">
                  <c:v>0.70000000000000007</c:v>
                </c:pt>
                <c:pt idx="9">
                  <c:v>0.88333333333333319</c:v>
                </c:pt>
                <c:pt idx="10">
                  <c:v>0.71428571428571397</c:v>
                </c:pt>
                <c:pt idx="11">
                  <c:v>1</c:v>
                </c:pt>
                <c:pt idx="12">
                  <c:v>0.8125</c:v>
                </c:pt>
                <c:pt idx="13">
                  <c:v>0.79411764705882348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0.52</c:v>
                </c:pt>
                <c:pt idx="1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4-4636-977A-E28BF9F52A04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0.88888888888888873</c:v>
                </c:pt>
                <c:pt idx="3">
                  <c:v>1</c:v>
                </c:pt>
                <c:pt idx="4">
                  <c:v>0.95555555555555538</c:v>
                </c:pt>
                <c:pt idx="5">
                  <c:v>0.952380952380952</c:v>
                </c:pt>
                <c:pt idx="6">
                  <c:v>1</c:v>
                </c:pt>
                <c:pt idx="7">
                  <c:v>0.83333333333333326</c:v>
                </c:pt>
                <c:pt idx="8">
                  <c:v>0.83703703703703669</c:v>
                </c:pt>
                <c:pt idx="9">
                  <c:v>0.96363636363636329</c:v>
                </c:pt>
                <c:pt idx="10">
                  <c:v>0.91941391941391937</c:v>
                </c:pt>
                <c:pt idx="11">
                  <c:v>1</c:v>
                </c:pt>
                <c:pt idx="12">
                  <c:v>0.93333333333333302</c:v>
                </c:pt>
                <c:pt idx="13">
                  <c:v>0.94852941176470551</c:v>
                </c:pt>
                <c:pt idx="14">
                  <c:v>1</c:v>
                </c:pt>
                <c:pt idx="15">
                  <c:v>0.86315789473684146</c:v>
                </c:pt>
                <c:pt idx="16">
                  <c:v>1</c:v>
                </c:pt>
                <c:pt idx="17">
                  <c:v>0.94</c:v>
                </c:pt>
                <c:pt idx="18">
                  <c:v>0.98160919540229796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4-4636-977A-E28BF9F52A04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0.91746881399038804</c:v>
                </c:pt>
                <c:pt idx="3">
                  <c:v>1</c:v>
                </c:pt>
                <c:pt idx="4">
                  <c:v>0.97940822026782171</c:v>
                </c:pt>
                <c:pt idx="5">
                  <c:v>0.98176853864576707</c:v>
                </c:pt>
                <c:pt idx="6">
                  <c:v>1</c:v>
                </c:pt>
                <c:pt idx="7">
                  <c:v>0.95258758044611191</c:v>
                </c:pt>
                <c:pt idx="8">
                  <c:v>0.97900587709100961</c:v>
                </c:pt>
                <c:pt idx="9">
                  <c:v>0.98604805966739906</c:v>
                </c:pt>
                <c:pt idx="10">
                  <c:v>0.88636167739973459</c:v>
                </c:pt>
                <c:pt idx="11">
                  <c:v>1</c:v>
                </c:pt>
                <c:pt idx="12">
                  <c:v>0.94951567620255894</c:v>
                </c:pt>
                <c:pt idx="13">
                  <c:v>0.96761288082387753</c:v>
                </c:pt>
                <c:pt idx="14">
                  <c:v>1</c:v>
                </c:pt>
                <c:pt idx="15">
                  <c:v>0.89375900775271699</c:v>
                </c:pt>
                <c:pt idx="16">
                  <c:v>1</c:v>
                </c:pt>
                <c:pt idx="17">
                  <c:v>0.68409645387120899</c:v>
                </c:pt>
                <c:pt idx="18">
                  <c:v>0.95627167608463903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C4-4636-977A-E28BF9F5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14</xdr:col>
      <xdr:colOff>435429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0BFB6-E17B-426E-A3DB-5466239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584199</xdr:colOff>
      <xdr:row>22</xdr:row>
      <xdr:rowOff>127000</xdr:rowOff>
    </xdr:from>
    <xdr:to>
      <xdr:col>14</xdr:col>
      <xdr:colOff>515936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3D20E-2EC7-46ED-86BD-B55FC4CDF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14</xdr:col>
      <xdr:colOff>565150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1C87A-9196-425E-9E93-8112A15DA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14</xdr:col>
      <xdr:colOff>12700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D8036-A359-4699-B6F4-748C9EC7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2</xdr:row>
      <xdr:rowOff>15875</xdr:rowOff>
    </xdr:from>
    <xdr:to>
      <xdr:col>10</xdr:col>
      <xdr:colOff>285750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CD122-2E9F-4EFB-951D-D32EB086E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581025</xdr:colOff>
      <xdr:row>1</xdr:row>
      <xdr:rowOff>234950</xdr:rowOff>
    </xdr:from>
    <xdr:to>
      <xdr:col>29</xdr:col>
      <xdr:colOff>127000</xdr:colOff>
      <xdr:row>19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7A091-4EE1-4A8C-95FD-C6125807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365126</xdr:colOff>
      <xdr:row>2</xdr:row>
      <xdr:rowOff>22225</xdr:rowOff>
    </xdr:from>
    <xdr:to>
      <xdr:col>19</xdr:col>
      <xdr:colOff>498475</xdr:colOff>
      <xdr:row>19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823F2-551D-4B46-AEE4-BF9264161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307976</xdr:colOff>
      <xdr:row>2</xdr:row>
      <xdr:rowOff>12701</xdr:rowOff>
    </xdr:from>
    <xdr:to>
      <xdr:col>38</xdr:col>
      <xdr:colOff>466725</xdr:colOff>
      <xdr:row>19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C10B8-6100-4477-ADD8-9309839FC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</xdr:row>
      <xdr:rowOff>3175</xdr:rowOff>
    </xdr:from>
    <xdr:to>
      <xdr:col>10</xdr:col>
      <xdr:colOff>136525</xdr:colOff>
      <xdr:row>39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8E4BE3-C959-45E2-A428-87E470A8E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3175</xdr:colOff>
      <xdr:row>22</xdr:row>
      <xdr:rowOff>15875</xdr:rowOff>
    </xdr:from>
    <xdr:to>
      <xdr:col>29</xdr:col>
      <xdr:colOff>152400</xdr:colOff>
      <xdr:row>39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5444F3-FA86-4E7B-880E-01EA0AFF8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285751</xdr:colOff>
      <xdr:row>22</xdr:row>
      <xdr:rowOff>9525</xdr:rowOff>
    </xdr:from>
    <xdr:to>
      <xdr:col>19</xdr:col>
      <xdr:colOff>412750</xdr:colOff>
      <xdr:row>39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DD9C07-EFBA-4309-855E-DFCA229A8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269876</xdr:colOff>
      <xdr:row>22</xdr:row>
      <xdr:rowOff>1</xdr:rowOff>
    </xdr:from>
    <xdr:to>
      <xdr:col>38</xdr:col>
      <xdr:colOff>428625</xdr:colOff>
      <xdr:row>39</xdr:row>
      <xdr:rowOff>12701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F58323-9091-4F27-820E-23666EDA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C7CB328-959E-4A60-B47F-C5BE4432D001}" name="Table1264348" displayName="Table1264348" ref="A1:G52" totalsRowCount="1">
  <autoFilter ref="A1:G51" xr:uid="{23CD3825-5CF2-4BAA-9AFF-E8A1CC84BDCB}"/>
  <sortState ref="A2:G51">
    <sortCondition ref="B1:B51"/>
  </sortState>
  <tableColumns count="7">
    <tableColumn id="1" xr3:uid="{E4A87F51-F768-49B1-B0B6-B35AFE419D5A}" name="Cycle id" totalsRowLabel="Total"/>
    <tableColumn id="2" xr3:uid="{43DF47D8-544E-469E-97B6-A8A37F7866FA}" name=" Cycle size"/>
    <tableColumn id="3" xr3:uid="{A8515A0E-F5DC-46FB-8A16-E7D11997E83B}" name="JaccardCoefficient" totalsRowFunction="average"/>
    <tableColumn id="4" xr3:uid="{AB29773E-EAE6-428B-83A5-B5CE03C5D3CA}" name="MismatchDistanceCoefficient" totalsRowFunction="average"/>
    <tableColumn id="5" xr3:uid="{0357104E-F729-4458-B363-767F27E5E8BA}" name="KendallTauCorrelation" totalsRowFunction="average"/>
    <tableColumn id="6" xr3:uid="{A83A8951-7DCA-4C8B-B98F-D45CA17130EE}" name="MismatchPositionCoefficient" totalsRowFunction="average"/>
    <tableColumn id="7" xr3:uid="{966F9BF4-E0FB-47E8-A10A-5809D2242C57}" name="DiscountedCumulativeGain" totalsRowFunction="aver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99C9843-858C-4DF7-B7DF-C947B704A4A3}" name="Table12633" displayName="Table12633" ref="A1:G52" totalsRowCount="1">
  <autoFilter ref="A1:G51" xr:uid="{CD200457-848E-431A-96AF-C7762CE39C3D}"/>
  <sortState ref="A2:G51">
    <sortCondition ref="B1:B51"/>
  </sortState>
  <tableColumns count="7">
    <tableColumn id="1" xr3:uid="{C99F4F58-FEB5-4DA6-A79F-C2E952EE5045}" name="Cycle id" totalsRowLabel="Total"/>
    <tableColumn id="2" xr3:uid="{C0D06C3A-C545-44F5-A2E0-28161055BD72}" name=" Cycle size"/>
    <tableColumn id="3" xr3:uid="{90AA1839-1C4A-4F77-A90C-A28FA2446C5B}" name="JaccardCoefficient" totalsRowFunction="average"/>
    <tableColumn id="4" xr3:uid="{77D8A137-6A03-4C80-8173-017F6BD3025E}" name="MismatchDistanceCoefficient" totalsRowFunction="average"/>
    <tableColumn id="5" xr3:uid="{7262B6E8-15CE-4B2D-A290-205ECD2E8083}" name="KendallTauCorrelation" totalsRowFunction="average"/>
    <tableColumn id="6" xr3:uid="{E4EA6AE1-8398-4F5A-8C12-03FC3DAEFA98}" name="MismatchPositionCoefficient" totalsRowFunction="average"/>
    <tableColumn id="7" xr3:uid="{DBDE42B3-AE80-43B8-9046-A3DC4AB87BE1}" name="DiscountedCumulativeGain" totalsRowFunction="average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1EF5BA4-9C17-4EF6-9EF4-9D5095729180}" name="Table3634" displayName="Table3634" ref="I1:L22" totalsRowShown="0">
  <tableColumns count="4">
    <tableColumn id="1" xr3:uid="{A1C6A7F0-762F-48EF-927C-5D2585BC2901}" name="Cycle size" dataDxfId="64"/>
    <tableColumn id="2" xr3:uid="{49AB9E08-F0C0-41E1-9B4D-CF5A4F21526E}" name="Jaccard " dataDxfId="63">
      <calculatedColumnFormula>AVERAGEIF(Table12633[[ Cycle size]],I2,Table12633[JaccardCoefficient])</calculatedColumnFormula>
    </tableColumn>
    <tableColumn id="3" xr3:uid="{9B5D77C5-B82F-4D89-BD20-97A4EB1477BB}" name="Kendall" dataDxfId="62">
      <calculatedColumnFormula>AVERAGEIF(Table12633[ [ Cycle size] ],I2,Table12633[KendallTauCorrelation])</calculatedColumnFormula>
    </tableColumn>
    <tableColumn id="4" xr3:uid="{9584E443-EF5A-4DDC-BE94-B438EABE698C}" name="DCG" dataDxfId="61">
      <calculatedColumnFormula>AVERAGEIF(Table12633[ [ Cycle size] ],I2,Table12633[DiscountedCumulativeGain])</calculatedColumnFormula>
    </tableColumn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6B6685-9DFC-4329-8D24-057EA0142B66}" name="Table36342" displayName="Table36342" ref="N1:Q4" totalsRowShown="0" headerRowDxfId="21" headerRowBorderDxfId="22" tableBorderDxfId="23">
  <tableColumns count="4">
    <tableColumn id="1" xr3:uid="{899503E1-C1F4-4D45-BE9C-BB003920A691}" name="Statistic" dataDxfId="27"/>
    <tableColumn id="2" xr3:uid="{172D791E-F190-422D-B7BD-DB4DD84131FF}" name="Jaccard " dataDxfId="26"/>
    <tableColumn id="3" xr3:uid="{8D2E162A-C175-447A-99A4-E4F006587A46}" name="Kendall" dataDxfId="25"/>
    <tableColumn id="4" xr3:uid="{FBF48A6E-4E55-4F82-A83B-7E8FBD3C8D5E}" name="DCG" dataDxfId="24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60" dataDxfId="59">
  <autoFilter ref="A1:D5" xr:uid="{00000000-0009-0000-0100-000009000000}"/>
  <tableColumns count="4">
    <tableColumn id="1" xr3:uid="{00000000-0010-0000-0800-000001000000}" name="Model" dataDxfId="58"/>
    <tableColumn id="2" xr3:uid="{00000000-0010-0000-0800-000002000000}" name="5" dataDxfId="57"/>
    <tableColumn id="3" xr3:uid="{00000000-0010-0000-0800-000003000000}" name="25" dataDxfId="56"/>
    <tableColumn id="4" xr3:uid="{00000000-0010-0000-0800-000004000000}" name="50" dataDxfId="55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54" dataDxfId="53">
  <autoFilter ref="A1:D5" xr:uid="{8A959E55-9473-4EF7-ADCD-173BCA70F2F6}"/>
  <tableColumns count="4">
    <tableColumn id="1" xr3:uid="{239E2949-9546-4517-84DE-87E133191387}" name="Model" dataDxfId="52"/>
    <tableColumn id="2" xr3:uid="{774D349E-D602-4D8A-90D6-61DB6BD2AD4E}" name="5" dataDxfId="51"/>
    <tableColumn id="3" xr3:uid="{832CDC12-250F-4522-9610-EBB53510889F}" name="25" dataDxfId="50"/>
    <tableColumn id="4" xr3:uid="{8C7FC36E-6CFF-491C-9B72-866C71E0AC87}" name="50" dataDxfId="4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48" dataDxfId="47">
  <autoFilter ref="A1:D5" xr:uid="{8A959E55-9473-4EF7-ADCD-173BCA70F2F6}"/>
  <tableColumns count="4">
    <tableColumn id="1" xr3:uid="{A2304EAD-C29E-41E6-90F1-2750C01D329E}" name="Model" dataDxfId="46"/>
    <tableColumn id="2" xr3:uid="{09BC7742-4DA7-4249-93E5-324E3D7C9D47}" name="5" dataDxfId="45"/>
    <tableColumn id="3" xr3:uid="{A71ACE98-5F26-4CDD-9717-2F0C6E76B864}" name="25" dataDxfId="44"/>
    <tableColumn id="4" xr3:uid="{72EC72BD-E403-4E55-898D-CC711A20C4EF}" name="50" dataDxfId="4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42" dataDxfId="41">
  <autoFilter ref="A1:D5" xr:uid="{8A959E55-9473-4EF7-ADCD-173BCA70F2F6}"/>
  <tableColumns count="4">
    <tableColumn id="1" xr3:uid="{F5D38831-3CF8-4141-A1F4-E53ADB3A804C}" name="Model" dataDxfId="40"/>
    <tableColumn id="2" xr3:uid="{18A57BE0-AC3D-4A45-B274-4383A0ABC6B7}" name="5" dataDxfId="39"/>
    <tableColumn id="3" xr3:uid="{4D6B4A6C-09E0-4E65-AD8C-808C63E64927}" name="25" dataDxfId="38"/>
    <tableColumn id="4" xr3:uid="{8C5316D4-1A40-48BF-90C7-4D27CEB38B4D}" name="50" dataDxfId="3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36" dataDxfId="35">
  <autoFilter ref="A1:D5" xr:uid="{8A959E55-9473-4EF7-ADCD-173BCA70F2F6}"/>
  <tableColumns count="4">
    <tableColumn id="1" xr3:uid="{32135BED-1F04-4B05-8683-75631D6DFA3C}" name="Model" dataDxfId="34"/>
    <tableColumn id="2" xr3:uid="{7E5A33E3-DA7F-4D46-80FD-35B8B7D693E0}" name="5" dataDxfId="33"/>
    <tableColumn id="3" xr3:uid="{FD11EDB1-049A-49E7-8954-7B22EEB5700D}" name="25" dataDxfId="32"/>
    <tableColumn id="4" xr3:uid="{46D3A56B-2A8A-46A3-A893-7FE6F12167A9}" name="50" dataDxfId="3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30"/>
    <tableColumn id="3" xr3:uid="{9B9F262C-7988-45A2-8D49-040A0D4BDE46}" name="25" dataDxfId="29"/>
    <tableColumn id="4" xr3:uid="{D8D5F2CD-7013-410D-BE3E-1052B5FF0DE3}" name="50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712014E-FC37-436E-8092-68E5FBF30E27}" name="Table364449" displayName="Table364449" ref="I1:L22" totalsRowShown="0">
  <tableColumns count="4">
    <tableColumn id="1" xr3:uid="{84AFCD5A-1FEB-4321-940D-7B7E6FA2D485}" name="Cycle size" dataDxfId="76"/>
    <tableColumn id="2" xr3:uid="{DF6742EE-55DF-430B-B71D-2F427CBBA4C7}" name="Jaccard " dataDxfId="75">
      <calculatedColumnFormula>AVERAGEIF(Table1264348[[ Cycle size]],I2,Table1264348[JaccardCoefficient])</calculatedColumnFormula>
    </tableColumn>
    <tableColumn id="3" xr3:uid="{43F66FD1-4B4C-47A5-8001-0E24D7EF0650}" name="Kendall" dataDxfId="74">
      <calculatedColumnFormula>AVERAGEIF(Table1264348[ [ Cycle size] ],I2,Table1264348[KendallTauCorrelation])</calculatedColumnFormula>
    </tableColumn>
    <tableColumn id="4" xr3:uid="{AC28AFAA-DE30-4EC7-B0AF-45CEFAA1E5A3}" name="DCG" dataDxfId="73">
      <calculatedColumnFormula>AVERAGEIF(Table1264348[ [ Cycle size] ],I2,Table1264348[DiscountedCumulativeGain])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15F2DF-84C0-4086-9BE5-DF8A09E76607}" name="Table363429" displayName="Table363429" ref="N1:Q4" totalsRowShown="0" headerRowDxfId="6" headerRowBorderDxfId="4" tableBorderDxfId="5">
  <tableColumns count="4">
    <tableColumn id="1" xr3:uid="{12126CE0-2620-457D-8C9D-B7D91689657D}" name="Statistic" dataDxfId="3"/>
    <tableColumn id="2" xr3:uid="{01466E7A-801E-4654-ADCC-963AB9AB6E65}" name="Jaccard " dataDxfId="2"/>
    <tableColumn id="3" xr3:uid="{3AE3E061-6CB1-4207-943B-828B2B8E0567}" name="Kendall" dataDxfId="1"/>
    <tableColumn id="4" xr3:uid="{3CD9DAFE-5FF3-4556-835C-5CAE4930D17A}" name="DCG" dataDxfId="0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AC5A7BF-945D-49B2-A2D5-708F8ACBF589}" name="Table3644" displayName="Table3644" ref="I1:L22" totalsRowShown="0">
  <tableColumns count="4">
    <tableColumn id="1" xr3:uid="{78046DA2-C9BA-4A37-A667-0B0A2C3E0471}" name="Cycle size" dataDxfId="72"/>
    <tableColumn id="2" xr3:uid="{0774C44D-573D-4A8D-A3F8-7A15902EE741}" name="Jaccard " dataDxfId="71">
      <calculatedColumnFormula>AVERAGEIF(Table12643[[ Cycle size]],I2,Table12643[JaccardCoefficient])</calculatedColumnFormula>
    </tableColumn>
    <tableColumn id="3" xr3:uid="{29023569-472C-4DA3-A6FD-3778501F605D}" name="Kendall" dataDxfId="70">
      <calculatedColumnFormula>AVERAGEIF(Table12643[ [ Cycle size] ],I2,Table12643[KendallTauCorrelation])</calculatedColumnFormula>
    </tableColumn>
    <tableColumn id="4" xr3:uid="{7EA81829-E064-429A-8428-985796CAAF4A}" name="DCG" dataDxfId="69">
      <calculatedColumnFormula>AVERAGEIF(Table12643[ [ Cycle size] ],I2,Table12643[DiscountedCumulativeGain])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E8FD01C-0C5F-43CA-9BD2-9D356F0968A0}" name="Table12643" displayName="Table12643" ref="A1:G52" totalsRowCount="1">
  <autoFilter ref="A1:G51" xr:uid="{23CD3825-5CF2-4BAA-9AFF-E8A1CC84BDCB}"/>
  <sortState ref="A2:G51">
    <sortCondition ref="B1:B51"/>
  </sortState>
  <tableColumns count="7">
    <tableColumn id="1" xr3:uid="{909C38BF-E876-4D37-843C-F12C90C69205}" name="Cycle id" totalsRowLabel="Total"/>
    <tableColumn id="2" xr3:uid="{F0D3163A-EA54-42B1-A2E6-ADD7CBC82F39}" name=" Cycle size"/>
    <tableColumn id="3" xr3:uid="{CD4324AE-4FB9-4AC8-885D-3AD5E17D0FAE}" name="JaccardCoefficient" totalsRowFunction="average"/>
    <tableColumn id="4" xr3:uid="{255CBAEB-9E5E-4C6C-BABE-7BCA2A77E08B}" name="MismatchDistanceCoefficient" totalsRowFunction="average"/>
    <tableColumn id="5" xr3:uid="{AD2DC070-5386-4D6C-86B4-3CC7B7753783}" name="KendallTauCorrelation" totalsRowFunction="average"/>
    <tableColumn id="6" xr3:uid="{5B2FD6D0-D64C-43A2-8C14-250E4DDB880D}" name="MismatchPositionCoefficient" totalsRowFunction="average"/>
    <tableColumn id="7" xr3:uid="{DF2C25AA-0D0A-4C57-8278-7885B97E244A}" name="DiscountedCumulativeGain" totalsRowFunction="averag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5329FE-F5E2-4542-961E-AFA8FD7ADF7B}" name="Table363428" displayName="Table363428" ref="N1:Q4" totalsRowShown="0" headerRowDxfId="13" headerRowBorderDxfId="11" tableBorderDxfId="12">
  <tableColumns count="4">
    <tableColumn id="1" xr3:uid="{22EC2430-4AFA-49F3-916A-7D52AE0B8A98}" name="Statistic" dataDxfId="10"/>
    <tableColumn id="2" xr3:uid="{A5E21614-D654-463E-A4AD-CA1FF79966D0}" name="Jaccard " dataDxfId="9"/>
    <tableColumn id="3" xr3:uid="{A79E4D7D-D275-445C-9E5B-8CB90925541B}" name="Kendall" dataDxfId="8"/>
    <tableColumn id="4" xr3:uid="{00F04A61-5233-4E0F-8EB7-8834681E3440}" name="DCG" dataDxfId="7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4C0A0B0-5F50-414D-9CB6-E2DC65E45203}" name="Table126" displayName="Table126" ref="A1:G52" totalsRowCount="1">
  <autoFilter ref="A1:G51" xr:uid="{23CD3825-5CF2-4BAA-9AFF-E8A1CC84BDCB}"/>
  <sortState ref="A2:G51">
    <sortCondition ref="B1:B51"/>
  </sortState>
  <tableColumns count="7">
    <tableColumn id="1" xr3:uid="{A9C0F5CF-022E-49B2-A910-29705F69E36C}" name="Cycle id" totalsRowLabel="Total"/>
    <tableColumn id="2" xr3:uid="{66060E60-F26C-4186-87F7-DD78B0F5B2DD}" name=" Cycle size"/>
    <tableColumn id="3" xr3:uid="{09548EF7-C5B9-488A-AE22-319195B115A5}" name="JaccardCoefficient" totalsRowFunction="average"/>
    <tableColumn id="4" xr3:uid="{A6343149-A7AA-4D51-922F-CD425140CC2D}" name="MismatchDistanceCoefficient" totalsRowFunction="average"/>
    <tableColumn id="5" xr3:uid="{3F7BDCC7-2737-48FA-BC9F-79F8B51DAAC8}" name="KendallTauCorrelation" totalsRowFunction="average"/>
    <tableColumn id="6" xr3:uid="{55C430D5-2A4B-453C-9EF3-9B5C263FE655}" name="MismatchPositionCoefficient" totalsRowFunction="average"/>
    <tableColumn id="7" xr3:uid="{9204B3BC-A0E5-449B-B432-909C4EE048C5}" name="DiscountedCumulativeGain" totalsRowFunction="average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31C2CC0-57E2-4EE6-AE9A-6ACDA05D19C2}" name="Table36" displayName="Table36" ref="I1:L22" totalsRowShown="0">
  <tableColumns count="4">
    <tableColumn id="1" xr3:uid="{2DE05368-6AC0-4C85-A0FF-699BF3255BC3}" name="Cycle size" dataDxfId="68"/>
    <tableColumn id="2" xr3:uid="{14637A0D-F072-4269-B9F5-0AABD44ABD10}" name="Jaccard " dataDxfId="67">
      <calculatedColumnFormula>AVERAGEIF(Table126[[ Cycle size]],I2,Table126[JaccardCoefficient])</calculatedColumnFormula>
    </tableColumn>
    <tableColumn id="3" xr3:uid="{B9E2DBF4-3772-4870-8716-706F230E55BF}" name="Kendall" dataDxfId="66">
      <calculatedColumnFormula>AVERAGEIF(Table126[ [ Cycle size] ],I2,Table126[KendallTauCorrelation])</calculatedColumnFormula>
    </tableColumn>
    <tableColumn id="4" xr3:uid="{FE5E51E2-3AC9-48B0-B647-01483E631810}" name="DCG" dataDxfId="65">
      <calculatedColumnFormula>AVERAGEIF(Table126[ [ Cycle size] ],I2,Table126[DiscountedCumulativeGain])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3A6BA-6941-4C17-B7A2-F600F9802D11}" name="Table363427" displayName="Table363427" ref="N1:Q4" totalsRowShown="0" headerRowDxfId="20" headerRowBorderDxfId="18" tableBorderDxfId="19">
  <tableColumns count="4">
    <tableColumn id="1" xr3:uid="{AEA1DA17-BEED-4D4E-A98A-DDD68A42901E}" name="Statistic" dataDxfId="17"/>
    <tableColumn id="2" xr3:uid="{CD260E4F-E57D-4947-A083-1C0A58F49ED7}" name="Jaccard " dataDxfId="16"/>
    <tableColumn id="3" xr3:uid="{E221CA58-60AB-45CA-98BF-FB57738CB579}" name="Kendall" dataDxfId="15"/>
    <tableColumn id="4" xr3:uid="{4FF05B3C-EF7E-4942-9964-C334DFEB1817}" name="DCG" dataDxfId="1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1AB1-78CA-4D3D-8EC0-D7986E7C189E}">
  <dimension ref="A1:Q52"/>
  <sheetViews>
    <sheetView zoomScale="70" zoomScaleNormal="70" workbookViewId="0">
      <selection activeCell="N13" sqref="N13"/>
    </sheetView>
  </sheetViews>
  <sheetFormatPr defaultRowHeight="14.5" x14ac:dyDescent="0.35"/>
  <cols>
    <col min="1" max="1" width="9.08984375" style="1" customWidth="1"/>
    <col min="2" max="2" width="11.08984375" style="1" customWidth="1"/>
    <col min="3" max="3" width="17.90625" style="1" customWidth="1"/>
    <col min="4" max="4" width="25.54296875" style="1" customWidth="1"/>
    <col min="5" max="5" width="21.54296875" style="1" customWidth="1"/>
    <col min="6" max="6" width="18.36328125" style="1" customWidth="1"/>
    <col min="7" max="8" width="8.7265625" style="1"/>
    <col min="9" max="9" width="12.90625" style="11" customWidth="1"/>
    <col min="10" max="10" width="7.81640625" style="11" customWidth="1"/>
    <col min="11" max="11" width="8.7265625" style="1" customWidth="1"/>
    <col min="12" max="12" width="8.7265625" style="1"/>
    <col min="13" max="13" width="10.6328125" style="1" customWidth="1"/>
    <col min="14" max="14" width="14.1796875" style="1" customWidth="1"/>
    <col min="15" max="16384" width="8.7265625" style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9" t="s">
        <v>40</v>
      </c>
      <c r="O1" s="20" t="s">
        <v>33</v>
      </c>
      <c r="P1" s="20" t="s">
        <v>29</v>
      </c>
      <c r="Q1" s="21" t="s">
        <v>34</v>
      </c>
    </row>
    <row r="2" spans="1:17" x14ac:dyDescent="0.3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AVERAGEIF(Table1264348[[ Cycle size]],I2,Table1264348[JaccardCoefficient])</f>
        <v>1</v>
      </c>
      <c r="K2" s="2">
        <f>AVERAGEIF(Table1264348[ [ Cycle size] ],I2,Table1264348[KendallTauCorrelation])</f>
        <v>1</v>
      </c>
      <c r="L2" s="2">
        <f>AVERAGEIF(Table1264348[ [ Cycle size] ],I2,Table1264348[DiscountedCumulativeGain])</f>
        <v>1</v>
      </c>
      <c r="N2" s="17" t="s">
        <v>41</v>
      </c>
      <c r="O2" s="16">
        <f>CORREL(I2:I22, J2:J22)</f>
        <v>-0.71018114887203065</v>
      </c>
      <c r="P2" s="16">
        <f>CORREL(I2:I22, K2:K22)</f>
        <v>-3.1345402429609481E-2</v>
      </c>
      <c r="Q2" s="18">
        <f>CORREL(I2:I22, L2:L22)</f>
        <v>-0.87642903442130859</v>
      </c>
    </row>
    <row r="3" spans="1:17" x14ac:dyDescent="0.3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AVERAGEIF(Table1264348[[ Cycle size]],I3,Table1264348[JaccardCoefficient])</f>
        <v>1</v>
      </c>
      <c r="K3" s="2">
        <f>AVERAGEIF(Table1264348[ [ Cycle size] ],I3,Table1264348[KendallTauCorrelation])</f>
        <v>1</v>
      </c>
      <c r="L3" s="2">
        <f>AVERAGEIF(Table1264348[ [ Cycle size] ],I3,Table1264348[DiscountedCumulativeGain])</f>
        <v>1</v>
      </c>
      <c r="N3" s="22" t="s">
        <v>40</v>
      </c>
      <c r="O3" s="23" t="s">
        <v>33</v>
      </c>
      <c r="P3" s="23" t="s">
        <v>29</v>
      </c>
      <c r="Q3" s="24" t="s">
        <v>34</v>
      </c>
    </row>
    <row r="4" spans="1:17" x14ac:dyDescent="0.35">
      <c r="A4" s="1">
        <v>10.199999999999999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AVERAGEIF(Table1264348[[ Cycle size]],I4,Table1264348[JaccardCoefficient])</f>
        <v>0.83333333333333337</v>
      </c>
      <c r="K4" s="2">
        <f>AVERAGEIF(Table1264348[ [ Cycle size] ],I4,Table1264348[KendallTauCorrelation])</f>
        <v>0.88888888888888873</v>
      </c>
      <c r="L4" s="2">
        <f>AVERAGEIF(Table1264348[ [ Cycle size] ],I4,Table1264348[DiscountedCumulativeGain])</f>
        <v>0.96596793880543197</v>
      </c>
      <c r="N4" s="15" t="s">
        <v>42</v>
      </c>
      <c r="O4" s="16">
        <f>CORREL(I2:I20, J2:J20)</f>
        <v>-0.75029799695316901</v>
      </c>
      <c r="P4" s="16">
        <f>CORREL(I2:I20, K2:K20)</f>
        <v>-0.1694141927084977</v>
      </c>
      <c r="Q4" s="16">
        <f>CORREL(I2:I20, L2:L20)</f>
        <v>-0.8627956639382367</v>
      </c>
    </row>
    <row r="5" spans="1:17" x14ac:dyDescent="0.3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AVERAGEIF(Table1264348[[ Cycle size]],I5,Table1264348[JaccardCoefficient])</f>
        <v>1</v>
      </c>
      <c r="K5" s="2">
        <f>AVERAGEIF(Table1264348[ [ Cycle size] ],I5,Table1264348[KendallTauCorrelation])</f>
        <v>1</v>
      </c>
      <c r="L5" s="2">
        <f>AVERAGEIF(Table1264348[ [ Cycle size] ],I5,Table1264348[DiscountedCumulativeGain])</f>
        <v>1</v>
      </c>
    </row>
    <row r="6" spans="1:17" x14ac:dyDescent="0.3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AVERAGEIF(Table1264348[[ Cycle size]],I6,Table1264348[JaccardCoefficient])</f>
        <v>0.72222222222222199</v>
      </c>
      <c r="K6" s="2">
        <f>AVERAGEIF(Table1264348[ [ Cycle size] ],I6,Table1264348[KendallTauCorrelation])</f>
        <v>0.86666666666666625</v>
      </c>
      <c r="L6" s="2">
        <f>AVERAGEIF(Table1264348[ [ Cycle size] ],I6,Table1264348[DiscountedCumulativeGain])</f>
        <v>0.94776052604962568</v>
      </c>
    </row>
    <row r="7" spans="1:17" x14ac:dyDescent="0.3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AVERAGEIF(Table1264348[[ Cycle size]],I7,Table1264348[JaccardCoefficient])</f>
        <v>0.71428571428571397</v>
      </c>
      <c r="K7" s="2">
        <f>AVERAGEIF(Table1264348[ [ Cycle size] ],I7,Table1264348[KendallTauCorrelation])</f>
        <v>0.90476190476190421</v>
      </c>
      <c r="L7" s="2">
        <f>AVERAGEIF(Table1264348[ [ Cycle size] ],I7,Table1264348[DiscountedCumulativeGain])</f>
        <v>0.98696979638936821</v>
      </c>
    </row>
    <row r="8" spans="1:17" x14ac:dyDescent="0.35">
      <c r="A8" s="1">
        <v>26.2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AVERAGEIF(Table1264348[[ Cycle size]],I8,Table1264348[JaccardCoefficient])</f>
        <v>1</v>
      </c>
      <c r="K8" s="2">
        <f>AVERAGEIF(Table1264348[ [ Cycle size] ],I8,Table1264348[KendallTauCorrelation])</f>
        <v>1</v>
      </c>
      <c r="L8" s="2">
        <f>AVERAGEIF(Table1264348[ [ Cycle size] ],I8,Table1264348[DiscountedCumulativeGain])</f>
        <v>1</v>
      </c>
    </row>
    <row r="9" spans="1:17" x14ac:dyDescent="0.3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AVERAGEIF(Table1264348[[ Cycle size]],I9,Table1264348[JaccardCoefficient])</f>
        <v>0.75555555555555498</v>
      </c>
      <c r="K9" s="2">
        <f>AVERAGEIF(Table1264348[ [ Cycle size] ],I9,Table1264348[KendallTauCorrelation])</f>
        <v>0.93333333333333302</v>
      </c>
      <c r="L9" s="2">
        <f>AVERAGEIF(Table1264348[ [ Cycle size] ],I9,Table1264348[DiscountedCumulativeGain])</f>
        <v>0.91933674497598405</v>
      </c>
    </row>
    <row r="10" spans="1:17" x14ac:dyDescent="0.35">
      <c r="A10" s="1">
        <v>50.2</v>
      </c>
      <c r="B10" s="1">
        <v>4</v>
      </c>
      <c r="C10" s="1">
        <v>0.5</v>
      </c>
      <c r="D10" s="1">
        <v>0.75</v>
      </c>
      <c r="E10" s="1">
        <v>0.66666666666666596</v>
      </c>
      <c r="F10" s="1">
        <v>0.7</v>
      </c>
      <c r="G10" s="1">
        <v>0.89790381641629602</v>
      </c>
      <c r="I10" s="12">
        <v>10</v>
      </c>
      <c r="J10" s="2">
        <f>AVERAGEIF(Table1264348[[ Cycle size]],I10,Table1264348[JaccardCoefficient])</f>
        <v>0.56666666666666665</v>
      </c>
      <c r="K10" s="2">
        <f>AVERAGEIF(Table1264348[ [ Cycle size] ],I10,Table1264348[KendallTauCorrelation])</f>
        <v>0.89629629629629604</v>
      </c>
      <c r="L10" s="2">
        <f>AVERAGEIF(Table1264348[ [ Cycle size] ],I10,Table1264348[DiscountedCumulativeGain])</f>
        <v>0.89420508603206061</v>
      </c>
    </row>
    <row r="11" spans="1:17" x14ac:dyDescent="0.3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AVERAGEIF(Table1264348[[ Cycle size]],I11,Table1264348[JaccardCoefficient])</f>
        <v>0.51666666666666639</v>
      </c>
      <c r="K11" s="2">
        <f>AVERAGEIF(Table1264348[ [ Cycle size] ],I11,Table1264348[KendallTauCorrelation])</f>
        <v>0.89696969696969686</v>
      </c>
      <c r="L11" s="2">
        <f>AVERAGEIF(Table1264348[ [ Cycle size] ],I11,Table1264348[DiscountedCumulativeGain])</f>
        <v>0.83886994825984795</v>
      </c>
    </row>
    <row r="12" spans="1:17" x14ac:dyDescent="0.35">
      <c r="A12" s="1">
        <v>9.1999999999999993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AVERAGEIF(Table1264348[[ Cycle size]],I12,Table1264348[JaccardCoefficient])</f>
        <v>0.80952380952380931</v>
      </c>
      <c r="K12" s="2">
        <f>AVERAGEIF(Table1264348[ [ Cycle size] ],I12,Table1264348[KendallTauCorrelation])</f>
        <v>0.97069597069597069</v>
      </c>
      <c r="L12" s="2">
        <f>AVERAGEIF(Table1264348[ [ Cycle size] ],I12,Table1264348[DiscountedCumulativeGain])</f>
        <v>0.92899345553192381</v>
      </c>
    </row>
    <row r="13" spans="1:17" x14ac:dyDescent="0.35">
      <c r="A13" s="1">
        <v>27.2</v>
      </c>
      <c r="B13" s="1">
        <v>6</v>
      </c>
      <c r="C13" s="1">
        <v>0.5</v>
      </c>
      <c r="D13" s="1">
        <v>0.77777777777777701</v>
      </c>
      <c r="E13" s="1">
        <v>0.73333333333333295</v>
      </c>
      <c r="F13" s="1">
        <v>0.42857142857142799</v>
      </c>
      <c r="G13" s="1">
        <v>0.850332604412121</v>
      </c>
      <c r="I13" s="12">
        <v>15</v>
      </c>
      <c r="J13" s="2">
        <f>AVERAGEIF(Table1264348[[ Cycle size]],I13,Table1264348[JaccardCoefficient])</f>
        <v>1</v>
      </c>
      <c r="K13" s="2">
        <f>AVERAGEIF(Table1264348[ [ Cycle size] ],I13,Table1264348[KendallTauCorrelation])</f>
        <v>1</v>
      </c>
      <c r="L13" s="2">
        <f>AVERAGEIF(Table1264348[ [ Cycle size] ],I13,Table1264348[DiscountedCumulativeGain])</f>
        <v>1</v>
      </c>
    </row>
    <row r="14" spans="1:17" x14ac:dyDescent="0.35">
      <c r="A14" s="1">
        <v>30.2</v>
      </c>
      <c r="B14" s="1">
        <v>6</v>
      </c>
      <c r="C14" s="1">
        <v>0.66666666666666596</v>
      </c>
      <c r="D14" s="1">
        <v>0.88888888888888795</v>
      </c>
      <c r="E14" s="1">
        <v>0.86666666666666603</v>
      </c>
      <c r="F14" s="1">
        <v>0.76190476190476097</v>
      </c>
      <c r="G14" s="1">
        <v>0.99294897373675595</v>
      </c>
      <c r="I14" s="12">
        <v>16</v>
      </c>
      <c r="J14" s="2">
        <f>AVERAGEIF(Table1264348[[ Cycle size]],I14,Table1264348[JaccardCoefficient])</f>
        <v>0.5625</v>
      </c>
      <c r="K14" s="2">
        <f>AVERAGEIF(Table1264348[ [ Cycle size] ],I14,Table1264348[KendallTauCorrelation])</f>
        <v>0.91666666666666596</v>
      </c>
      <c r="L14" s="2">
        <f>AVERAGEIF(Table1264348[ [ Cycle size] ],I14,Table1264348[DiscountedCumulativeGain])</f>
        <v>0.8870703112124585</v>
      </c>
    </row>
    <row r="15" spans="1:17" x14ac:dyDescent="0.35">
      <c r="A15" s="1">
        <v>1.2</v>
      </c>
      <c r="B15" s="1">
        <v>7</v>
      </c>
      <c r="C15" s="1">
        <v>0.71428571428571397</v>
      </c>
      <c r="D15" s="1">
        <v>0.91666666666666596</v>
      </c>
      <c r="E15" s="1">
        <v>0.90476190476190399</v>
      </c>
      <c r="F15" s="1">
        <v>0.75</v>
      </c>
      <c r="G15" s="1">
        <v>0.99471173030256699</v>
      </c>
      <c r="I15" s="12">
        <v>17</v>
      </c>
      <c r="J15" s="2">
        <f>AVERAGEIF(Table1264348[[ Cycle size]],I15,Table1264348[JaccardCoefficient])</f>
        <v>0.5588235294117645</v>
      </c>
      <c r="K15" s="2">
        <f>AVERAGEIF(Table1264348[ [ Cycle size] ],I15,Table1264348[KendallTauCorrelation])</f>
        <v>0.92647058823529349</v>
      </c>
      <c r="L15" s="2">
        <f>AVERAGEIF(Table1264348[ [ Cycle size] ],I15,Table1264348[DiscountedCumulativeGain])</f>
        <v>0.83283514403081449</v>
      </c>
    </row>
    <row r="16" spans="1:17" x14ac:dyDescent="0.35">
      <c r="A16" s="1">
        <v>6.2</v>
      </c>
      <c r="B16" s="1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I16" s="12">
        <v>18</v>
      </c>
      <c r="J16" s="2">
        <f>AVERAGEIF(Table1264348[[ Cycle size]],I16,Table1264348[JaccardCoefficient])</f>
        <v>0.63888888888888851</v>
      </c>
      <c r="K16" s="2">
        <f>AVERAGEIF(Table1264348[ [ Cycle size] ],I16,Table1264348[KendallTauCorrelation])</f>
        <v>0.93464052287581656</v>
      </c>
      <c r="L16" s="2">
        <f>AVERAGEIF(Table1264348[ [ Cycle size] ],I16,Table1264348[DiscountedCumulativeGain])</f>
        <v>0.81439469505359297</v>
      </c>
    </row>
    <row r="17" spans="1:12" x14ac:dyDescent="0.35">
      <c r="A17" s="1">
        <v>8.1999999999999993</v>
      </c>
      <c r="B17" s="1">
        <v>7</v>
      </c>
      <c r="C17" s="1">
        <v>0.71428571428571397</v>
      </c>
      <c r="D17" s="1">
        <v>0.91666666666666596</v>
      </c>
      <c r="E17" s="1">
        <v>0.90476190476190399</v>
      </c>
      <c r="F17" s="1">
        <v>0.82142857142857095</v>
      </c>
      <c r="G17" s="1">
        <v>0.95366849560259803</v>
      </c>
      <c r="I17" s="12">
        <v>20</v>
      </c>
      <c r="J17" s="2">
        <f>AVERAGEIF(Table1264348[[ Cycle size]],I17,Table1264348[JaccardCoefficient])</f>
        <v>0.7</v>
      </c>
      <c r="K17" s="2">
        <f>AVERAGEIF(Table1264348[ [ Cycle size] ],I17,Table1264348[KendallTauCorrelation])</f>
        <v>0.96842105263157896</v>
      </c>
      <c r="L17" s="2">
        <f>AVERAGEIF(Table1264348[ [ Cycle size] ],I17,Table1264348[DiscountedCumulativeGain])</f>
        <v>0.91764155886531995</v>
      </c>
    </row>
    <row r="18" spans="1:12" x14ac:dyDescent="0.35">
      <c r="A18" s="1">
        <v>43.2</v>
      </c>
      <c r="B18" s="1">
        <v>7</v>
      </c>
      <c r="C18" s="1">
        <v>0.42857142857142799</v>
      </c>
      <c r="D18" s="1">
        <v>0.83333333333333304</v>
      </c>
      <c r="E18" s="1">
        <v>0.80952380952380898</v>
      </c>
      <c r="F18" s="1">
        <v>0.5</v>
      </c>
      <c r="G18" s="1">
        <v>0.99949895965230795</v>
      </c>
      <c r="I18" s="12">
        <v>21</v>
      </c>
      <c r="J18" s="2">
        <f>AVERAGEIF(Table1264348[[ Cycle size]],I18,Table1264348[JaccardCoefficient])</f>
        <v>0.52380952380952295</v>
      </c>
      <c r="K18" s="2">
        <f>AVERAGEIF(Table1264348[ [ Cycle size] ],I18,Table1264348[KendallTauCorrelation])</f>
        <v>0.92380952380952297</v>
      </c>
      <c r="L18" s="2">
        <f>AVERAGEIF(Table1264348[ [ Cycle size] ],I18,Table1264348[DiscountedCumulativeGain])</f>
        <v>0.81580790524194702</v>
      </c>
    </row>
    <row r="19" spans="1:12" x14ac:dyDescent="0.3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AVERAGEIF(Table1264348[[ Cycle size]],I19,Table1264348[JaccardCoefficient])</f>
        <v>0.48</v>
      </c>
      <c r="K19" s="2">
        <f>AVERAGEIF(Table1264348[ [ Cycle size] ],I19,Table1264348[KendallTauCorrelation])</f>
        <v>0.94</v>
      </c>
      <c r="L19" s="2">
        <f>AVERAGEIF(Table1264348[ [ Cycle size] ],I19,Table1264348[DiscountedCumulativeGain])</f>
        <v>0.698047457715674</v>
      </c>
    </row>
    <row r="20" spans="1:12" x14ac:dyDescent="0.35">
      <c r="A20" s="1">
        <v>13.2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AVERAGEIF(Table1264348[[ Cycle size]],I20,Table1264348[JaccardCoefficient])</f>
        <v>0.33333333333333298</v>
      </c>
      <c r="K20" s="2">
        <f>AVERAGEIF(Table1264348[ [ Cycle size] ],I20,Table1264348[KendallTauCorrelation])</f>
        <v>0.91264367816091896</v>
      </c>
      <c r="L20" s="2">
        <f>AVERAGEIF(Table1264348[ [ Cycle size] ],I20,Table1264348[DiscountedCumulativeGain])</f>
        <v>0.67435901158387002</v>
      </c>
    </row>
    <row r="21" spans="1:12" x14ac:dyDescent="0.35">
      <c r="A21" s="1">
        <v>29.2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AVERAGEIF(Table1264348[[ Cycle size]],I21,Table1264348[JaccardCoefficient])</f>
        <v>0.47499999999999998</v>
      </c>
      <c r="K21" s="2">
        <f>AVERAGEIF(Table1264348[ [ Cycle size] ],I21,Table1264348[KendallTauCorrelation])</f>
        <v>0.94615384615384601</v>
      </c>
      <c r="L21" s="2">
        <f>AVERAGEIF(Table1264348[ [ Cycle size] ],I21,Table1264348[DiscountedCumulativeGain])</f>
        <v>0.69657568976983897</v>
      </c>
    </row>
    <row r="22" spans="1:12" x14ac:dyDescent="0.35">
      <c r="A22" s="1">
        <v>2.2000000000000002</v>
      </c>
      <c r="B22" s="1">
        <v>9</v>
      </c>
      <c r="C22" s="1">
        <v>0.77777777777777701</v>
      </c>
      <c r="D22" s="1">
        <v>0.95</v>
      </c>
      <c r="E22" s="1">
        <v>0.94444444444444398</v>
      </c>
      <c r="F22" s="1">
        <v>0.88888888888888795</v>
      </c>
      <c r="G22" s="1">
        <v>0.91894506872036597</v>
      </c>
      <c r="I22" s="12">
        <v>90</v>
      </c>
      <c r="J22" s="2">
        <f>AVERAGEIF(Table1264348[[ Cycle size]],I22,Table1264348[JaccardCoefficient])</f>
        <v>0.24444444444444399</v>
      </c>
      <c r="K22" s="2">
        <f>AVERAGEIF(Table1264348[ [ Cycle size] ],I22,Table1264348[KendallTauCorrelation])</f>
        <v>0.947066167290886</v>
      </c>
      <c r="L22" s="2">
        <f>AVERAGEIF(Table1264348[ [ Cycle size] ],I22,Table1264348[DiscountedCumulativeGain])</f>
        <v>0.51710311019140198</v>
      </c>
    </row>
    <row r="23" spans="1:12" x14ac:dyDescent="0.35">
      <c r="A23" s="1">
        <v>11.2</v>
      </c>
      <c r="B23" s="1">
        <v>9</v>
      </c>
      <c r="C23" s="1">
        <v>0.77777777777777701</v>
      </c>
      <c r="D23" s="1">
        <v>0.95</v>
      </c>
      <c r="E23" s="1">
        <v>0.94444444444444398</v>
      </c>
      <c r="F23" s="1">
        <v>0.97777777777777697</v>
      </c>
      <c r="G23" s="1">
        <v>0.86492944988589404</v>
      </c>
      <c r="I23" s="1"/>
      <c r="J23" s="1"/>
    </row>
    <row r="24" spans="1:12" x14ac:dyDescent="0.35">
      <c r="A24" s="1">
        <v>17.2</v>
      </c>
      <c r="B24" s="1">
        <v>9</v>
      </c>
      <c r="C24" s="1">
        <v>0.77777777777777701</v>
      </c>
      <c r="D24" s="1">
        <v>0.95</v>
      </c>
      <c r="E24" s="1">
        <v>0.94444444444444398</v>
      </c>
      <c r="F24" s="1">
        <v>0.8</v>
      </c>
      <c r="G24" s="1">
        <v>0.97117150837495003</v>
      </c>
      <c r="I24" s="1"/>
      <c r="J24" s="1"/>
    </row>
    <row r="25" spans="1:12" x14ac:dyDescent="0.35">
      <c r="A25" s="1">
        <v>21.2</v>
      </c>
      <c r="B25" s="1">
        <v>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I25" s="1"/>
      <c r="J25" s="1"/>
    </row>
    <row r="26" spans="1:12" x14ac:dyDescent="0.35">
      <c r="A26" s="1">
        <v>40.200000000000003</v>
      </c>
      <c r="B26" s="1">
        <v>9</v>
      </c>
      <c r="C26" s="1">
        <v>0.44444444444444398</v>
      </c>
      <c r="D26" s="1">
        <v>0.85</v>
      </c>
      <c r="E26" s="1">
        <v>0.83333333333333304</v>
      </c>
      <c r="F26" s="1">
        <v>0.64444444444444404</v>
      </c>
      <c r="G26" s="1">
        <v>0.84163769789871001</v>
      </c>
    </row>
    <row r="27" spans="1:12" x14ac:dyDescent="0.35">
      <c r="A27" s="1">
        <v>37.200000000000003</v>
      </c>
      <c r="B27" s="1">
        <v>10</v>
      </c>
      <c r="C27" s="1">
        <v>0.6</v>
      </c>
      <c r="D27" s="1">
        <v>0.92</v>
      </c>
      <c r="E27" s="1">
        <v>0.91111111111111098</v>
      </c>
      <c r="F27" s="1">
        <v>0.6</v>
      </c>
      <c r="G27" s="1">
        <v>0.95254585450761498</v>
      </c>
    </row>
    <row r="28" spans="1:12" x14ac:dyDescent="0.35">
      <c r="A28" s="1">
        <v>38.200000000000003</v>
      </c>
      <c r="B28" s="1">
        <v>10</v>
      </c>
      <c r="C28" s="1">
        <v>0.3</v>
      </c>
      <c r="D28" s="1">
        <v>0.84</v>
      </c>
      <c r="E28" s="1">
        <v>0.82222222222222197</v>
      </c>
      <c r="F28" s="1">
        <v>0.472727272727272</v>
      </c>
      <c r="G28" s="1">
        <v>0.81831469546762903</v>
      </c>
    </row>
    <row r="29" spans="1:12" x14ac:dyDescent="0.35">
      <c r="A29" s="1">
        <v>42.2</v>
      </c>
      <c r="B29" s="1">
        <v>10</v>
      </c>
      <c r="C29" s="1">
        <v>0.8</v>
      </c>
      <c r="D29" s="1">
        <v>0.96</v>
      </c>
      <c r="E29" s="1">
        <v>0.95555555555555505</v>
      </c>
      <c r="F29" s="1">
        <v>0.90909090909090895</v>
      </c>
      <c r="G29" s="1">
        <v>0.91175470812093795</v>
      </c>
    </row>
    <row r="30" spans="1:12" x14ac:dyDescent="0.35">
      <c r="A30" s="1">
        <v>3.2</v>
      </c>
      <c r="B30" s="1">
        <v>12</v>
      </c>
      <c r="C30" s="1">
        <v>0.25</v>
      </c>
      <c r="D30" s="1">
        <v>0.83333333333333304</v>
      </c>
      <c r="E30" s="1">
        <v>0.81818181818181801</v>
      </c>
      <c r="F30" s="1">
        <v>0.269230769230769</v>
      </c>
      <c r="G30" s="1">
        <v>0.86053579095541799</v>
      </c>
    </row>
    <row r="31" spans="1:12" x14ac:dyDescent="0.35">
      <c r="A31" s="1">
        <v>12.2</v>
      </c>
      <c r="B31" s="1">
        <v>12</v>
      </c>
      <c r="C31" s="1">
        <v>0.58333333333333304</v>
      </c>
      <c r="D31" s="1">
        <v>0.91666666666666596</v>
      </c>
      <c r="E31" s="1">
        <v>0.90909090909090895</v>
      </c>
      <c r="F31" s="1">
        <v>0.80769230769230704</v>
      </c>
      <c r="G31" s="1">
        <v>0.78559900907778102</v>
      </c>
    </row>
    <row r="32" spans="1:12" x14ac:dyDescent="0.35">
      <c r="A32" s="1">
        <v>15.2</v>
      </c>
      <c r="B32" s="1">
        <v>12</v>
      </c>
      <c r="C32" s="1">
        <v>0.5</v>
      </c>
      <c r="D32" s="1">
        <v>0.91666666666666596</v>
      </c>
      <c r="E32" s="1">
        <v>0.90909090909090895</v>
      </c>
      <c r="F32" s="1">
        <v>0.60256410256410198</v>
      </c>
      <c r="G32" s="1">
        <v>0.84139031640192796</v>
      </c>
    </row>
    <row r="33" spans="1:7" x14ac:dyDescent="0.35">
      <c r="A33" s="1">
        <v>41.2</v>
      </c>
      <c r="B33" s="1">
        <v>12</v>
      </c>
      <c r="C33" s="1">
        <v>0.58333333333333304</v>
      </c>
      <c r="D33" s="1">
        <v>0.91666666666666596</v>
      </c>
      <c r="E33" s="1">
        <v>0.90909090909090895</v>
      </c>
      <c r="F33" s="1">
        <v>0.73076923076922995</v>
      </c>
      <c r="G33" s="1">
        <v>0.83222855345770197</v>
      </c>
    </row>
    <row r="34" spans="1:7" x14ac:dyDescent="0.35">
      <c r="A34" s="1">
        <v>47.2</v>
      </c>
      <c r="B34" s="1">
        <v>12</v>
      </c>
      <c r="C34" s="1">
        <v>0.66666666666666596</v>
      </c>
      <c r="D34" s="1">
        <v>0.94444444444444398</v>
      </c>
      <c r="E34" s="1">
        <v>0.939393939393939</v>
      </c>
      <c r="F34" s="1">
        <v>0.76923076923076905</v>
      </c>
      <c r="G34" s="1">
        <v>0.87459607140641005</v>
      </c>
    </row>
    <row r="35" spans="1:7" x14ac:dyDescent="0.35">
      <c r="A35" s="1">
        <v>25.2</v>
      </c>
      <c r="B35" s="1">
        <v>14</v>
      </c>
      <c r="C35" s="1">
        <v>0.57142857142857095</v>
      </c>
      <c r="D35" s="1">
        <v>0.93877551020408101</v>
      </c>
      <c r="E35" s="1">
        <v>0.93406593406593397</v>
      </c>
      <c r="F35" s="1">
        <v>0.628571428571428</v>
      </c>
      <c r="G35" s="1">
        <v>0.85669084259336103</v>
      </c>
    </row>
    <row r="36" spans="1:7" x14ac:dyDescent="0.35">
      <c r="A36" s="1">
        <v>28.2</v>
      </c>
      <c r="B36" s="1">
        <v>14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</row>
    <row r="37" spans="1:7" x14ac:dyDescent="0.35">
      <c r="A37" s="1">
        <v>49.2</v>
      </c>
      <c r="B37" s="1">
        <v>14</v>
      </c>
      <c r="C37" s="1">
        <v>0.85714285714285698</v>
      </c>
      <c r="D37" s="1">
        <v>0.97959183673469297</v>
      </c>
      <c r="E37" s="1">
        <v>0.97802197802197799</v>
      </c>
      <c r="F37" s="1">
        <v>0.91428571428571404</v>
      </c>
      <c r="G37" s="1">
        <v>0.93028952400241005</v>
      </c>
    </row>
    <row r="38" spans="1:7" x14ac:dyDescent="0.35">
      <c r="A38" s="1">
        <v>46.2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35">
      <c r="A39" s="1">
        <v>7.2</v>
      </c>
      <c r="B39" s="1">
        <v>16</v>
      </c>
      <c r="C39" s="1">
        <v>0.625</v>
      </c>
      <c r="D39" s="1">
        <v>0.9375</v>
      </c>
      <c r="E39" s="1">
        <v>0.91666666666666596</v>
      </c>
      <c r="F39" s="1">
        <v>0.61764705882352899</v>
      </c>
      <c r="G39" s="1">
        <v>0.90664262190304901</v>
      </c>
    </row>
    <row r="40" spans="1:7" x14ac:dyDescent="0.35">
      <c r="A40" s="1">
        <v>34.200000000000003</v>
      </c>
      <c r="B40" s="1">
        <v>16</v>
      </c>
      <c r="C40" s="1">
        <v>0.5</v>
      </c>
      <c r="D40" s="1">
        <v>0.921875</v>
      </c>
      <c r="E40" s="1">
        <v>0.91666666666666596</v>
      </c>
      <c r="F40" s="1">
        <v>0.48529411764705799</v>
      </c>
      <c r="G40" s="1">
        <v>0.86749800052186798</v>
      </c>
    </row>
    <row r="41" spans="1:7" x14ac:dyDescent="0.35">
      <c r="A41" s="1">
        <v>14.2</v>
      </c>
      <c r="B41" s="1">
        <v>17</v>
      </c>
      <c r="C41" s="1">
        <v>0.58823529411764697</v>
      </c>
      <c r="D41" s="1">
        <v>0.94444444444444398</v>
      </c>
      <c r="E41" s="1">
        <v>0.94117647058823495</v>
      </c>
      <c r="F41" s="1">
        <v>0.66013071895424802</v>
      </c>
      <c r="G41" s="1">
        <v>0.82954062337234102</v>
      </c>
    </row>
    <row r="42" spans="1:7" x14ac:dyDescent="0.35">
      <c r="A42" s="1">
        <v>36.200000000000003</v>
      </c>
      <c r="B42" s="1">
        <v>17</v>
      </c>
      <c r="C42" s="1">
        <v>0.52941176470588203</v>
      </c>
      <c r="D42" s="1">
        <v>0.93055555555555503</v>
      </c>
      <c r="E42" s="1">
        <v>0.91176470588235203</v>
      </c>
      <c r="F42" s="1">
        <v>0.56209150326797297</v>
      </c>
      <c r="G42" s="1">
        <v>0.83612966468928795</v>
      </c>
    </row>
    <row r="43" spans="1:7" x14ac:dyDescent="0.35">
      <c r="A43" s="1">
        <v>45.2</v>
      </c>
      <c r="B43" s="1">
        <v>18</v>
      </c>
      <c r="C43" s="1">
        <v>0.44444444444444398</v>
      </c>
      <c r="D43" s="1">
        <v>0.91358024691357997</v>
      </c>
      <c r="E43" s="1">
        <v>0.89542483660130701</v>
      </c>
      <c r="F43" s="1">
        <v>0.67251461988304095</v>
      </c>
      <c r="G43" s="1">
        <v>0.67643421718551999</v>
      </c>
    </row>
    <row r="44" spans="1:7" x14ac:dyDescent="0.35">
      <c r="A44" s="1">
        <v>48.2</v>
      </c>
      <c r="B44" s="1">
        <v>18</v>
      </c>
      <c r="C44" s="1">
        <v>0.83333333333333304</v>
      </c>
      <c r="D44" s="1">
        <v>0.97530864197530798</v>
      </c>
      <c r="E44" s="1">
        <v>0.973856209150326</v>
      </c>
      <c r="F44" s="1">
        <v>0.82456140350877105</v>
      </c>
      <c r="G44" s="1">
        <v>0.95235517292166605</v>
      </c>
    </row>
    <row r="45" spans="1:7" x14ac:dyDescent="0.35">
      <c r="A45" s="1">
        <v>18.2</v>
      </c>
      <c r="B45" s="1">
        <v>20</v>
      </c>
      <c r="C45" s="1">
        <v>0.7</v>
      </c>
      <c r="D45" s="1">
        <v>0.97</v>
      </c>
      <c r="E45" s="1">
        <v>0.96842105263157896</v>
      </c>
      <c r="F45" s="1">
        <v>0.71904761904761905</v>
      </c>
      <c r="G45" s="1">
        <v>0.88264554654727601</v>
      </c>
    </row>
    <row r="46" spans="1:7" x14ac:dyDescent="0.35">
      <c r="A46" s="1">
        <v>35.200000000000003</v>
      </c>
      <c r="B46" s="1">
        <v>20</v>
      </c>
      <c r="C46" s="1">
        <v>0.7</v>
      </c>
      <c r="D46" s="1">
        <v>0.97</v>
      </c>
      <c r="E46" s="1">
        <v>0.96842105263157896</v>
      </c>
      <c r="F46" s="1">
        <v>0.60476190476190395</v>
      </c>
      <c r="G46" s="1">
        <v>0.95263757118336401</v>
      </c>
    </row>
    <row r="47" spans="1:7" x14ac:dyDescent="0.35">
      <c r="A47" s="1">
        <v>24.2</v>
      </c>
      <c r="B47" s="1">
        <v>21</v>
      </c>
      <c r="C47" s="1">
        <v>0.52380952380952295</v>
      </c>
      <c r="D47" s="1">
        <v>0.93636363636363595</v>
      </c>
      <c r="E47" s="1">
        <v>0.92380952380952297</v>
      </c>
      <c r="F47" s="1">
        <v>0.53679653679653605</v>
      </c>
      <c r="G47" s="1">
        <v>0.81580790524194702</v>
      </c>
    </row>
    <row r="48" spans="1:7" x14ac:dyDescent="0.35">
      <c r="A48" s="1">
        <v>44.2</v>
      </c>
      <c r="B48" s="1">
        <v>25</v>
      </c>
      <c r="C48" s="1">
        <v>0.48</v>
      </c>
      <c r="D48" s="1">
        <v>0.94871794871794801</v>
      </c>
      <c r="E48" s="1">
        <v>0.94</v>
      </c>
      <c r="F48" s="1">
        <v>0.61846153846153795</v>
      </c>
      <c r="G48" s="1">
        <v>0.698047457715674</v>
      </c>
    </row>
    <row r="49" spans="1:7" x14ac:dyDescent="0.35">
      <c r="A49" s="1">
        <v>31.2</v>
      </c>
      <c r="B49" s="1">
        <v>30</v>
      </c>
      <c r="C49" s="1">
        <v>0.33333333333333298</v>
      </c>
      <c r="D49" s="1">
        <v>0.92444444444444396</v>
      </c>
      <c r="E49" s="1">
        <v>0.91264367816091896</v>
      </c>
      <c r="F49" s="1">
        <v>0.37204301075268797</v>
      </c>
      <c r="G49" s="1">
        <v>0.67435901158387002</v>
      </c>
    </row>
    <row r="50" spans="1:7" x14ac:dyDescent="0.35">
      <c r="A50" s="1">
        <v>16.2</v>
      </c>
      <c r="B50" s="1">
        <v>40</v>
      </c>
      <c r="C50" s="1">
        <v>0.47499999999999998</v>
      </c>
      <c r="D50" s="1">
        <v>0.95750000000000002</v>
      </c>
      <c r="E50" s="1">
        <v>0.94615384615384601</v>
      </c>
      <c r="F50" s="1">
        <v>0.53170731707316998</v>
      </c>
      <c r="G50" s="1">
        <v>0.69657568976983897</v>
      </c>
    </row>
    <row r="51" spans="1:7" x14ac:dyDescent="0.35">
      <c r="A51" s="1">
        <v>19.2</v>
      </c>
      <c r="B51" s="1">
        <v>90</v>
      </c>
      <c r="C51" s="1">
        <v>0.24444444444444399</v>
      </c>
      <c r="D51" s="1">
        <v>0.96098765432098698</v>
      </c>
      <c r="E51" s="1">
        <v>0.947066167290886</v>
      </c>
      <c r="F51" s="1">
        <v>0.26935286935286901</v>
      </c>
      <c r="G51" s="1">
        <v>0.51710311019140198</v>
      </c>
    </row>
    <row r="52" spans="1:7" x14ac:dyDescent="0.35">
      <c r="A52" s="1" t="s">
        <v>32</v>
      </c>
      <c r="C52" s="1">
        <f>SUBTOTAL(101,Table1264348[JaccardCoefficient])</f>
        <v>0.71981008403361357</v>
      </c>
      <c r="D52" s="1">
        <f>SUBTOTAL(101,Table1264348[MismatchDistanceCoefficient])</f>
        <v>0.94481512061571582</v>
      </c>
      <c r="E52" s="1">
        <f>SUBTOTAL(101,Table1264348[KendallTauCorrelation])</f>
        <v>0.93600554228880217</v>
      </c>
      <c r="F52" s="1">
        <f>SUBTOTAL(101,Table1264348[MismatchPositionCoefficient])</f>
        <v>0.76903177191018668</v>
      </c>
      <c r="G52" s="1">
        <f>SUBTOTAL(101,Table1264348[DiscountedCumulativeGain])</f>
        <v>0.90510940527641703</v>
      </c>
    </row>
  </sheetData>
  <pageMargins left="0.7" right="0.7" top="0.75" bottom="0.75" header="0.3" footer="0.3"/>
  <pageSetup orientation="portrait" r:id="rId1"/>
  <ignoredErrors>
    <ignoredError sqref="O4:Q4" formulaRange="1"/>
  </ignoredErrors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P15" sqref="P15"/>
    </sheetView>
  </sheetViews>
  <sheetFormatPr defaultRowHeight="14.5" x14ac:dyDescent="0.35"/>
  <cols>
    <col min="1" max="1" width="13.7265625" style="1" customWidth="1"/>
    <col min="2" max="16384" width="8.7265625" style="1"/>
  </cols>
  <sheetData>
    <row r="1" spans="1:4" x14ac:dyDescent="0.3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35">
      <c r="A2" s="5" t="s">
        <v>5</v>
      </c>
      <c r="B2" s="7">
        <f>Linear!E17</f>
        <v>0.90476190476190399</v>
      </c>
      <c r="C2" s="7">
        <f>Linear!E18</f>
        <v>1</v>
      </c>
      <c r="D2" s="7">
        <f>Linear!E19</f>
        <v>1</v>
      </c>
    </row>
    <row r="3" spans="1:4" x14ac:dyDescent="0.35">
      <c r="A3" s="5" t="s">
        <v>6</v>
      </c>
      <c r="B3" s="8" t="e">
        <f>Saturating!#REF!</f>
        <v>#REF!</v>
      </c>
      <c r="C3" s="8" t="e">
        <f>Saturating!#REF!</f>
        <v>#REF!</v>
      </c>
      <c r="D3" s="8" t="e">
        <f>Saturating!#REF!</f>
        <v>#REF!</v>
      </c>
    </row>
    <row r="4" spans="1:4" x14ac:dyDescent="0.35">
      <c r="A4" s="5" t="s">
        <v>7</v>
      </c>
      <c r="B4" s="8" t="e">
        <f>#REF!</f>
        <v>#REF!</v>
      </c>
      <c r="C4" s="9" t="e">
        <f>#REF!</f>
        <v>#REF!</v>
      </c>
      <c r="D4" s="8" t="e">
        <f>#REF!</f>
        <v>#REF!</v>
      </c>
    </row>
    <row r="5" spans="1:4" x14ac:dyDescent="0.35">
      <c r="A5" s="5" t="s">
        <v>8</v>
      </c>
      <c r="B5" s="8" t="e">
        <f>#REF!</f>
        <v>#REF!</v>
      </c>
      <c r="C5" s="8" t="e">
        <f>#REF!</f>
        <v>#REF!</v>
      </c>
      <c r="D5" s="8" t="e">
        <f>#REF!</f>
        <v>#REF!</v>
      </c>
    </row>
    <row r="18" spans="6:6" x14ac:dyDescent="0.35">
      <c r="F18" s="1" t="s">
        <v>25</v>
      </c>
    </row>
    <row r="19" spans="6:6" x14ac:dyDescent="0.35">
      <c r="F19" s="1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E11" sqref="E11"/>
    </sheetView>
  </sheetViews>
  <sheetFormatPr defaultRowHeight="14.5" x14ac:dyDescent="0.35"/>
  <cols>
    <col min="1" max="1" width="13.7265625" style="1" customWidth="1"/>
    <col min="2" max="16384" width="8.7265625" style="1"/>
  </cols>
  <sheetData>
    <row r="1" spans="1:16" x14ac:dyDescent="0.35">
      <c r="A1" s="6" t="s">
        <v>9</v>
      </c>
      <c r="B1" s="6" t="s">
        <v>10</v>
      </c>
      <c r="C1" s="6" t="s">
        <v>11</v>
      </c>
      <c r="D1" s="6" t="s">
        <v>12</v>
      </c>
      <c r="F1" s="1" t="s">
        <v>27</v>
      </c>
      <c r="G1" s="1" t="s">
        <v>28</v>
      </c>
      <c r="H1" s="1" t="s">
        <v>29</v>
      </c>
      <c r="J1" s="1" t="s">
        <v>27</v>
      </c>
      <c r="K1" s="1" t="s">
        <v>28</v>
      </c>
      <c r="L1" s="1" t="s">
        <v>29</v>
      </c>
      <c r="N1" s="1" t="s">
        <v>27</v>
      </c>
      <c r="O1" s="1" t="s">
        <v>28</v>
      </c>
      <c r="P1" s="1" t="s">
        <v>29</v>
      </c>
    </row>
    <row r="2" spans="1:16" x14ac:dyDescent="0.35">
      <c r="A2" s="5" t="s">
        <v>5</v>
      </c>
      <c r="B2" s="7">
        <f>Linear!E12</f>
        <v>1</v>
      </c>
      <c r="C2" s="7">
        <f>Linear!E13</f>
        <v>1</v>
      </c>
      <c r="D2" s="7">
        <f>Linear!E14</f>
        <v>0.86666666666666603</v>
      </c>
      <c r="F2" s="1" t="str">
        <f>Table91120[[#This Row],[Model]]</f>
        <v>Linear</v>
      </c>
      <c r="G2" s="1">
        <f>Table91120[[#This Row],[5]]</f>
        <v>1</v>
      </c>
      <c r="H2" s="1">
        <f>B8</f>
        <v>0.98000000000000009</v>
      </c>
      <c r="J2" s="1" t="str">
        <f>Table91120[[#This Row],[Model]]</f>
        <v>Linear</v>
      </c>
      <c r="K2" s="1">
        <f>Table91120[[#This Row],[25]]</f>
        <v>1</v>
      </c>
      <c r="L2" s="1">
        <f>C8</f>
        <v>0.97933333333333294</v>
      </c>
      <c r="N2" s="1" t="str">
        <f>Table91120[[#This Row],[Model]]</f>
        <v>Linear</v>
      </c>
      <c r="O2" s="1">
        <f>Table91120[[#This Row],[50]]</f>
        <v>0.86666666666666603</v>
      </c>
      <c r="P2" s="1">
        <f>D8</f>
        <v>0.97551020408163236</v>
      </c>
    </row>
    <row r="3" spans="1:16" x14ac:dyDescent="0.35">
      <c r="A3" s="5" t="s">
        <v>6</v>
      </c>
      <c r="B3" s="8" t="e">
        <f>Saturating!#REF!</f>
        <v>#REF!</v>
      </c>
      <c r="C3" s="8" t="e">
        <f>Saturating!#REF!</f>
        <v>#REF!</v>
      </c>
      <c r="D3" s="8" t="e">
        <f>Saturating!#REF!</f>
        <v>#REF!</v>
      </c>
      <c r="F3" s="1" t="str">
        <f>Table91120[[#This Row],[Model]]</f>
        <v>Saturating</v>
      </c>
      <c r="G3" s="1" t="e">
        <f>Table91120[[#This Row],[5]]</f>
        <v>#REF!</v>
      </c>
      <c r="H3" s="1">
        <f t="shared" ref="H3:H5" si="0">B9</f>
        <v>0.96</v>
      </c>
      <c r="J3" s="1" t="str">
        <f>Table91120[[#This Row],[Model]]</f>
        <v>Saturating</v>
      </c>
      <c r="K3" s="1" t="e">
        <f>Table91120[[#This Row],[25]]</f>
        <v>#REF!</v>
      </c>
      <c r="L3" s="1">
        <f t="shared" ref="L3:L5" si="1">C9</f>
        <v>0.98066666666666646</v>
      </c>
      <c r="N3" s="1" t="str">
        <f>Table91120[[#This Row],[Model]]</f>
        <v>Saturating</v>
      </c>
      <c r="O3" s="1" t="e">
        <f>Table91120[[#This Row],[50]]</f>
        <v>#REF!</v>
      </c>
      <c r="P3" s="1">
        <f t="shared" ref="P3:P5" si="2">D9</f>
        <v>0.9756734693877549</v>
      </c>
    </row>
    <row r="4" spans="1:16" x14ac:dyDescent="0.35">
      <c r="A4" s="5" t="s">
        <v>7</v>
      </c>
      <c r="B4" s="8" t="e">
        <f>#REF!</f>
        <v>#REF!</v>
      </c>
      <c r="C4" s="9" t="e">
        <f>#REF!</f>
        <v>#REF!</v>
      </c>
      <c r="D4" s="8" t="e">
        <f>#REF!</f>
        <v>#REF!</v>
      </c>
      <c r="F4" s="1" t="str">
        <f>Table91120[[#This Row],[Model]]</f>
        <v>Discontinuous</v>
      </c>
      <c r="G4" s="1" t="e">
        <f>Table91120[[#This Row],[5]]</f>
        <v>#REF!</v>
      </c>
      <c r="H4" s="1">
        <f t="shared" si="0"/>
        <v>0.98000000000000009</v>
      </c>
      <c r="J4" s="1" t="str">
        <f>Table91120[[#This Row],[Model]]</f>
        <v>Discontinuous</v>
      </c>
      <c r="K4" s="1" t="e">
        <f>Table91120[[#This Row],[25]]</f>
        <v>#REF!</v>
      </c>
      <c r="L4" s="1">
        <f t="shared" si="1"/>
        <v>0.97533333333333316</v>
      </c>
      <c r="N4" s="1" t="str">
        <f>Table91120[[#This Row],[Model]]</f>
        <v>Discontinuous</v>
      </c>
      <c r="O4" s="1" t="e">
        <f>Table91120[[#This Row],[50]]</f>
        <v>#REF!</v>
      </c>
      <c r="P4" s="1">
        <f t="shared" si="2"/>
        <v>0.98302040816326475</v>
      </c>
    </row>
    <row r="5" spans="1:16" x14ac:dyDescent="0.35">
      <c r="A5" s="5" t="s">
        <v>8</v>
      </c>
      <c r="B5" s="8" t="e">
        <f>#REF!</f>
        <v>#REF!</v>
      </c>
      <c r="C5" s="8" t="e">
        <f>#REF!</f>
        <v>#REF!</v>
      </c>
      <c r="D5" s="8" t="e">
        <f>#REF!</f>
        <v>#REF!</v>
      </c>
      <c r="F5" s="1" t="str">
        <f>Table91120[[#This Row],[Model]]</f>
        <v>Combined</v>
      </c>
      <c r="G5" s="1" t="e">
        <f>Table91120[[#This Row],[5]]</f>
        <v>#REF!</v>
      </c>
      <c r="H5" s="1">
        <f t="shared" si="0"/>
        <v>0.93333333333333335</v>
      </c>
      <c r="J5" s="1" t="str">
        <f>Table91120[[#This Row],[Model]]</f>
        <v>Combined</v>
      </c>
      <c r="K5" s="1" t="e">
        <f>Table91120[[#This Row],[25]]</f>
        <v>#REF!</v>
      </c>
      <c r="L5" s="1">
        <f t="shared" si="1"/>
        <v>0.96466666666666612</v>
      </c>
      <c r="N5" s="1" t="str">
        <f>Table91120[[#This Row],[Model]]</f>
        <v>Combined</v>
      </c>
      <c r="O5" s="1" t="e">
        <f>Table91120[[#This Row],[50]]</f>
        <v>#REF!</v>
      </c>
      <c r="P5" s="1">
        <f t="shared" si="2"/>
        <v>0.96767346938775467</v>
      </c>
    </row>
    <row r="7" spans="1:16" x14ac:dyDescent="0.35">
      <c r="A7" s="1" t="s">
        <v>9</v>
      </c>
      <c r="B7" s="1" t="s">
        <v>10</v>
      </c>
      <c r="C7" s="1" t="s">
        <v>11</v>
      </c>
      <c r="D7" s="1" t="s">
        <v>12</v>
      </c>
    </row>
    <row r="8" spans="1:16" x14ac:dyDescent="0.35">
      <c r="A8" s="1" t="s">
        <v>5</v>
      </c>
      <c r="B8" s="2">
        <v>0.98000000000000009</v>
      </c>
      <c r="C8" s="2">
        <v>0.97933333333333294</v>
      </c>
      <c r="D8" s="2">
        <v>0.97551020408163236</v>
      </c>
    </row>
    <row r="9" spans="1:16" x14ac:dyDescent="0.35">
      <c r="A9" s="1" t="s">
        <v>6</v>
      </c>
      <c r="B9" s="2">
        <v>0.96</v>
      </c>
      <c r="C9" s="2">
        <v>0.98066666666666646</v>
      </c>
      <c r="D9" s="2">
        <v>0.9756734693877549</v>
      </c>
    </row>
    <row r="10" spans="1:16" x14ac:dyDescent="0.35">
      <c r="A10" s="1" t="s">
        <v>7</v>
      </c>
      <c r="B10" s="2">
        <v>0.98000000000000009</v>
      </c>
      <c r="C10" s="2">
        <v>0.97533333333333316</v>
      </c>
      <c r="D10" s="2">
        <v>0.98302040816326475</v>
      </c>
    </row>
    <row r="11" spans="1:16" x14ac:dyDescent="0.35">
      <c r="A11" s="1" t="s">
        <v>8</v>
      </c>
      <c r="B11" s="2">
        <v>0.93333333333333335</v>
      </c>
      <c r="C11" s="2">
        <v>0.96466666666666612</v>
      </c>
      <c r="D11" s="2">
        <v>0.96767346938775467</v>
      </c>
    </row>
    <row r="18" spans="6:6" x14ac:dyDescent="0.35">
      <c r="F18" s="1" t="s">
        <v>17</v>
      </c>
    </row>
    <row r="19" spans="6:6" x14ac:dyDescent="0.35">
      <c r="F19" s="1" t="s">
        <v>18</v>
      </c>
    </row>
    <row r="20" spans="6:6" x14ac:dyDescent="0.35">
      <c r="F20" s="1" t="s">
        <v>19</v>
      </c>
    </row>
    <row r="21" spans="6:6" x14ac:dyDescent="0.35">
      <c r="F21" s="1" t="s">
        <v>20</v>
      </c>
    </row>
    <row r="22" spans="6:6" x14ac:dyDescent="0.35">
      <c r="F22" s="1" t="s">
        <v>21</v>
      </c>
    </row>
    <row r="23" spans="6:6" x14ac:dyDescent="0.35">
      <c r="F23" s="1" t="s">
        <v>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36F8-A377-477D-A967-CD096EDB59F9}">
  <dimension ref="A1:Q52"/>
  <sheetViews>
    <sheetView topLeftCell="D1" zoomScale="80" zoomScaleNormal="80" workbookViewId="0">
      <selection activeCell="O4" sqref="O4:Q4"/>
    </sheetView>
  </sheetViews>
  <sheetFormatPr defaultRowHeight="14.5" x14ac:dyDescent="0.35"/>
  <cols>
    <col min="1" max="1" width="9.08984375" style="1" customWidth="1"/>
    <col min="2" max="2" width="11.08984375" style="1" customWidth="1"/>
    <col min="3" max="3" width="17.90625" style="1" customWidth="1"/>
    <col min="4" max="4" width="25.54296875" style="1" customWidth="1"/>
    <col min="5" max="5" width="21.54296875" style="1" customWidth="1"/>
    <col min="6" max="6" width="18.36328125" style="1" customWidth="1"/>
    <col min="7" max="8" width="8.7265625" style="1"/>
    <col min="9" max="9" width="12.90625" style="11" customWidth="1"/>
    <col min="10" max="10" width="13.08984375" style="11" customWidth="1"/>
    <col min="11" max="11" width="10.36328125" style="1" customWidth="1"/>
    <col min="12" max="12" width="8.7265625" style="1"/>
    <col min="13" max="13" width="10.6328125" style="1" customWidth="1"/>
    <col min="14" max="14" width="18.26953125" style="1" customWidth="1"/>
    <col min="15" max="16384" width="8.7265625" style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9" t="s">
        <v>40</v>
      </c>
      <c r="O1" s="20" t="s">
        <v>33</v>
      </c>
      <c r="P1" s="20" t="s">
        <v>29</v>
      </c>
      <c r="Q1" s="21" t="s">
        <v>34</v>
      </c>
    </row>
    <row r="2" spans="1:17" x14ac:dyDescent="0.3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AVERAGEIF(Table12643[[ Cycle size]],I2,Table12643[JaccardCoefficient])</f>
        <v>1</v>
      </c>
      <c r="K2" s="2">
        <f>AVERAGEIF(Table12643[ [ Cycle size] ],I2,Table12643[KendallTauCorrelation])</f>
        <v>1</v>
      </c>
      <c r="L2" s="2">
        <f>AVERAGEIF(Table12643[ [ Cycle size] ],I2,Table12643[DiscountedCumulativeGain])</f>
        <v>1</v>
      </c>
      <c r="N2" s="17" t="s">
        <v>41</v>
      </c>
      <c r="O2" s="16">
        <f>CORREL(I2:I22, J2:J22)</f>
        <v>-0.79359322745568095</v>
      </c>
      <c r="P2" s="16">
        <f>CORREL(I2:I22, K2:K22)</f>
        <v>-1.5624617602267566E-2</v>
      </c>
      <c r="Q2" s="18">
        <f>CORREL(I2:I22, L2:L22)</f>
        <v>-0.9093991241335091</v>
      </c>
    </row>
    <row r="3" spans="1:17" x14ac:dyDescent="0.3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AVERAGEIF(Table12643[[ Cycle size]],I3,Table12643[JaccardCoefficient])</f>
        <v>1</v>
      </c>
      <c r="K3" s="2">
        <f>AVERAGEIF(Table12643[ [ Cycle size] ],I3,Table12643[KendallTauCorrelation])</f>
        <v>1</v>
      </c>
      <c r="L3" s="2">
        <f>AVERAGEIF(Table12643[ [ Cycle size] ],I3,Table12643[DiscountedCumulativeGain])</f>
        <v>1</v>
      </c>
      <c r="N3" s="22" t="s">
        <v>40</v>
      </c>
      <c r="O3" s="23" t="s">
        <v>33</v>
      </c>
      <c r="P3" s="23" t="s">
        <v>29</v>
      </c>
      <c r="Q3" s="24" t="s">
        <v>34</v>
      </c>
    </row>
    <row r="4" spans="1:17" x14ac:dyDescent="0.35">
      <c r="A4" s="1">
        <v>10.199999999999999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AVERAGEIF(Table12643[[ Cycle size]],I4,Table12643[JaccardCoefficient])</f>
        <v>0.66666666666666663</v>
      </c>
      <c r="K4" s="2">
        <f>AVERAGEIF(Table12643[ [ Cycle size] ],I4,Table12643[KendallTauCorrelation])</f>
        <v>0.77777777777777735</v>
      </c>
      <c r="L4" s="2">
        <f>AVERAGEIF(Table12643[ [ Cycle size] ],I4,Table12643[DiscountedCumulativeGain])</f>
        <v>0.88343675279582001</v>
      </c>
      <c r="N4" s="15" t="s">
        <v>42</v>
      </c>
      <c r="O4" s="16">
        <f>CORREL(I2:I20, J2:J20)</f>
        <v>-0.62230641800395947</v>
      </c>
      <c r="P4" s="16">
        <f>CORREL(I2:I20, K2:K20)</f>
        <v>7.0987319974828253E-2</v>
      </c>
      <c r="Q4" s="16">
        <f>CORREL(I2:I20, L2:L20)</f>
        <v>-0.71782163823377798</v>
      </c>
    </row>
    <row r="5" spans="1:17" x14ac:dyDescent="0.3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AVERAGEIF(Table12643[[ Cycle size]],I5,Table12643[JaccardCoefficient])</f>
        <v>1</v>
      </c>
      <c r="K5" s="2">
        <f>AVERAGEIF(Table12643[ [ Cycle size] ],I5,Table12643[KendallTauCorrelation])</f>
        <v>1</v>
      </c>
      <c r="L5" s="2">
        <f>AVERAGEIF(Table12643[ [ Cycle size] ],I5,Table12643[DiscountedCumulativeGain])</f>
        <v>1</v>
      </c>
    </row>
    <row r="6" spans="1:17" x14ac:dyDescent="0.3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AVERAGEIF(Table12643[[ Cycle size]],I6,Table12643[JaccardCoefficient])</f>
        <v>0.88888888888888873</v>
      </c>
      <c r="K6" s="2">
        <f>AVERAGEIF(Table12643[ [ Cycle size] ],I6,Table12643[KendallTauCorrelation])</f>
        <v>0.95555555555555538</v>
      </c>
      <c r="L6" s="2">
        <f>AVERAGEIF(Table12643[ [ Cycle size] ],I6,Table12643[DiscountedCumulativeGain])</f>
        <v>0.98379425657401498</v>
      </c>
    </row>
    <row r="7" spans="1:17" x14ac:dyDescent="0.3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AVERAGEIF(Table12643[[ Cycle size]],I7,Table12643[JaccardCoefficient])</f>
        <v>1</v>
      </c>
      <c r="K7" s="2">
        <f>AVERAGEIF(Table12643[ [ Cycle size] ],I7,Table12643[KendallTauCorrelation])</f>
        <v>1</v>
      </c>
      <c r="L7" s="2">
        <f>AVERAGEIF(Table12643[ [ Cycle size] ],I7,Table12643[DiscountedCumulativeGain])</f>
        <v>1</v>
      </c>
    </row>
    <row r="8" spans="1:17" x14ac:dyDescent="0.35">
      <c r="A8" s="1">
        <v>26.2</v>
      </c>
      <c r="B8" s="1">
        <v>4</v>
      </c>
      <c r="C8" s="1">
        <v>0.5</v>
      </c>
      <c r="D8" s="1">
        <v>0.75</v>
      </c>
      <c r="E8" s="1">
        <v>0.66666666666666596</v>
      </c>
      <c r="F8" s="1">
        <v>0.7</v>
      </c>
      <c r="G8" s="1">
        <v>0.89790381641629602</v>
      </c>
      <c r="I8" s="12">
        <v>8</v>
      </c>
      <c r="J8" s="2">
        <f>AVERAGEIF(Table12643[[ Cycle size]],I8,Table12643[JaccardCoefficient])</f>
        <v>0.91666666666666663</v>
      </c>
      <c r="K8" s="2">
        <f>AVERAGEIF(Table12643[ [ Cycle size] ],I8,Table12643[KendallTauCorrelation])</f>
        <v>0.97619047619047594</v>
      </c>
      <c r="L8" s="2">
        <f>AVERAGEIF(Table12643[ [ Cycle size] ],I8,Table12643[DiscountedCumulativeGain])</f>
        <v>0.96622711196681932</v>
      </c>
    </row>
    <row r="9" spans="1:17" x14ac:dyDescent="0.3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AVERAGEIF(Table12643[[ Cycle size]],I9,Table12643[JaccardCoefficient])</f>
        <v>1</v>
      </c>
      <c r="K9" s="2">
        <f>AVERAGEIF(Table12643[ [ Cycle size] ],I9,Table12643[KendallTauCorrelation])</f>
        <v>1</v>
      </c>
      <c r="L9" s="2">
        <f>AVERAGEIF(Table12643[ [ Cycle size] ],I9,Table12643[DiscountedCumulativeGain])</f>
        <v>1</v>
      </c>
    </row>
    <row r="10" spans="1:17" x14ac:dyDescent="0.35">
      <c r="A10" s="1">
        <v>50.2</v>
      </c>
      <c r="B10" s="1">
        <v>4</v>
      </c>
      <c r="C10" s="1">
        <v>0.5</v>
      </c>
      <c r="D10" s="1">
        <v>0.75</v>
      </c>
      <c r="E10" s="1">
        <v>0.66666666666666596</v>
      </c>
      <c r="F10" s="1">
        <v>0.5</v>
      </c>
      <c r="G10" s="1">
        <v>0.75240644197116402</v>
      </c>
      <c r="I10" s="12">
        <v>10</v>
      </c>
      <c r="J10" s="2">
        <f>AVERAGEIF(Table12643[[ Cycle size]],I10,Table12643[JaccardCoefficient])</f>
        <v>0.93333333333333324</v>
      </c>
      <c r="K10" s="2">
        <f>AVERAGEIF(Table12643[ [ Cycle size] ],I10,Table12643[KendallTauCorrelation])</f>
        <v>0.98518518518518494</v>
      </c>
      <c r="L10" s="2">
        <f>AVERAGEIF(Table12643[ [ Cycle size] ],I10,Table12643[DiscountedCumulativeGain])</f>
        <v>0.99910259665740531</v>
      </c>
    </row>
    <row r="11" spans="1:17" x14ac:dyDescent="0.3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AVERAGEIF(Table12643[[ Cycle size]],I11,Table12643[JaccardCoefficient])</f>
        <v>0.84999999999999987</v>
      </c>
      <c r="K11" s="2">
        <f>AVERAGEIF(Table12643[ [ Cycle size] ],I11,Table12643[KendallTauCorrelation])</f>
        <v>0.96969696969696939</v>
      </c>
      <c r="L11" s="2">
        <f>AVERAGEIF(Table12643[ [ Cycle size] ],I11,Table12643[DiscountedCumulativeGain])</f>
        <v>0.94109506075935678</v>
      </c>
    </row>
    <row r="12" spans="1:17" x14ac:dyDescent="0.35">
      <c r="A12" s="1">
        <v>9.1999999999999993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AVERAGEIF(Table12643[[ Cycle size]],I12,Table12643[JaccardCoefficient])</f>
        <v>0.8571428571428571</v>
      </c>
      <c r="K12" s="2">
        <f>AVERAGEIF(Table12643[ [ Cycle size] ],I12,Table12643[KendallTauCorrelation])</f>
        <v>0.9780219780219781</v>
      </c>
      <c r="L12" s="2">
        <f>AVERAGEIF(Table12643[ [ Cycle size] ],I12,Table12643[DiscountedCumulativeGain])</f>
        <v>0.9255273975617726</v>
      </c>
    </row>
    <row r="13" spans="1:17" x14ac:dyDescent="0.35">
      <c r="A13" s="1">
        <v>27.2</v>
      </c>
      <c r="B13" s="1">
        <v>6</v>
      </c>
      <c r="C13" s="1">
        <v>0.66666666666666596</v>
      </c>
      <c r="D13" s="1">
        <v>0.88888888888888795</v>
      </c>
      <c r="E13" s="1">
        <v>0.86666666666666603</v>
      </c>
      <c r="F13" s="1">
        <v>0.66666666666666596</v>
      </c>
      <c r="G13" s="1">
        <v>0.95138276972204505</v>
      </c>
      <c r="I13" s="12">
        <v>15</v>
      </c>
      <c r="J13" s="2">
        <f>AVERAGEIF(Table12643[[ Cycle size]],I13,Table12643[JaccardCoefficient])</f>
        <v>0.86666666666666603</v>
      </c>
      <c r="K13" s="2">
        <f>AVERAGEIF(Table12643[ [ Cycle size] ],I13,Table12643[KendallTauCorrelation])</f>
        <v>0.94285714285714195</v>
      </c>
      <c r="L13" s="2">
        <f>AVERAGEIF(Table12643[ [ Cycle size] ],I13,Table12643[DiscountedCumulativeGain])</f>
        <v>0.96558984646078805</v>
      </c>
    </row>
    <row r="14" spans="1:17" x14ac:dyDescent="0.35">
      <c r="A14" s="1">
        <v>30.2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AVERAGEIF(Table12643[[ Cycle size]],I14,Table12643[JaccardCoefficient])</f>
        <v>0.8125</v>
      </c>
      <c r="K14" s="2">
        <f>AVERAGEIF(Table12643[ [ Cycle size] ],I14,Table12643[KendallTauCorrelation])</f>
        <v>0.97499999999999942</v>
      </c>
      <c r="L14" s="2">
        <f>AVERAGEIF(Table12643[ [ Cycle size] ],I14,Table12643[DiscountedCumulativeGain])</f>
        <v>0.89589498787780997</v>
      </c>
    </row>
    <row r="15" spans="1:17" x14ac:dyDescent="0.35">
      <c r="A15" s="1">
        <v>1.2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AVERAGEIF(Table12643[[ Cycle size]],I15,Table12643[JaccardCoefficient])</f>
        <v>0.94117647058823506</v>
      </c>
      <c r="K15" s="2">
        <f>AVERAGEIF(Table12643[ [ Cycle size] ],I15,Table12643[KendallTauCorrelation])</f>
        <v>0.99264705882352899</v>
      </c>
      <c r="L15" s="2">
        <f>AVERAGEIF(Table12643[ [ Cycle size] ],I15,Table12643[DiscountedCumulativeGain])</f>
        <v>0.97197381744595401</v>
      </c>
    </row>
    <row r="16" spans="1:17" x14ac:dyDescent="0.35">
      <c r="A16" s="1">
        <v>6.2</v>
      </c>
      <c r="B16" s="1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I16" s="12">
        <v>18</v>
      </c>
      <c r="J16" s="2">
        <f>AVERAGEIF(Table12643[[ Cycle size]],I16,Table12643[JaccardCoefficient])</f>
        <v>0.72222222222222143</v>
      </c>
      <c r="K16" s="2">
        <f>AVERAGEIF(Table12643[ [ Cycle size] ],I16,Table12643[KendallTauCorrelation])</f>
        <v>0.96732026143790795</v>
      </c>
      <c r="L16" s="2">
        <f>AVERAGEIF(Table12643[ [ Cycle size] ],I16,Table12643[DiscountedCumulativeGain])</f>
        <v>0.90898845629243308</v>
      </c>
    </row>
    <row r="17" spans="1:12" x14ac:dyDescent="0.35">
      <c r="A17" s="1">
        <v>8.1999999999999993</v>
      </c>
      <c r="B17" s="1">
        <v>7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I17" s="12">
        <v>20</v>
      </c>
      <c r="J17" s="2">
        <f>AVERAGEIF(Table12643[[ Cycle size]],I17,Table12643[JaccardCoefficient])</f>
        <v>0.7</v>
      </c>
      <c r="K17" s="2">
        <f>AVERAGEIF(Table12643[ [ Cycle size] ],I17,Table12643[KendallTauCorrelation])</f>
        <v>0.96315789473684199</v>
      </c>
      <c r="L17" s="2">
        <f>AVERAGEIF(Table12643[ [ Cycle size] ],I17,Table12643[DiscountedCumulativeGain])</f>
        <v>0.95694829540600446</v>
      </c>
    </row>
    <row r="18" spans="1:12" x14ac:dyDescent="0.35">
      <c r="A18" s="1">
        <v>43.2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AVERAGEIF(Table12643[[ Cycle size]],I18,Table12643[JaccardCoefficient])</f>
        <v>0.85714285714285698</v>
      </c>
      <c r="K18" s="2">
        <f>AVERAGEIF(Table12643[ [ Cycle size] ],I18,Table12643[KendallTauCorrelation])</f>
        <v>0.98095238095238002</v>
      </c>
      <c r="L18" s="2">
        <f>AVERAGEIF(Table12643[ [ Cycle size] ],I18,Table12643[DiscountedCumulativeGain])</f>
        <v>0.93200183522997604</v>
      </c>
    </row>
    <row r="19" spans="1:12" x14ac:dyDescent="0.3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AVERAGEIF(Table12643[[ Cycle size]],I19,Table12643[JaccardCoefficient])</f>
        <v>0.52</v>
      </c>
      <c r="K19" s="2">
        <f>AVERAGEIF(Table12643[ [ Cycle size] ],I19,Table12643[KendallTauCorrelation])</f>
        <v>0.94</v>
      </c>
      <c r="L19" s="2">
        <f>AVERAGEIF(Table12643[ [ Cycle size] ],I19,Table12643[DiscountedCumulativeGain])</f>
        <v>0.80163984709273295</v>
      </c>
    </row>
    <row r="20" spans="1:12" x14ac:dyDescent="0.35">
      <c r="A20" s="1">
        <v>13.2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AVERAGEIF(Table12643[[ Cycle size]],I20,Table12643[JaccardCoefficient])</f>
        <v>0.76666666666666605</v>
      </c>
      <c r="K20" s="2">
        <f>AVERAGEIF(Table12643[ [ Cycle size] ],I20,Table12643[KendallTauCorrelation])</f>
        <v>0.98160919540229796</v>
      </c>
      <c r="L20" s="2">
        <f>AVERAGEIF(Table12643[ [ Cycle size] ],I20,Table12643[DiscountedCumulativeGain])</f>
        <v>0.83490051856835301</v>
      </c>
    </row>
    <row r="21" spans="1:12" x14ac:dyDescent="0.35">
      <c r="A21" s="1">
        <v>29.2</v>
      </c>
      <c r="B21" s="1">
        <v>8</v>
      </c>
      <c r="C21" s="1">
        <v>0.75</v>
      </c>
      <c r="D21" s="1">
        <v>0.9375</v>
      </c>
      <c r="E21" s="1">
        <v>0.92857142857142805</v>
      </c>
      <c r="F21" s="1">
        <v>0.91666666666666596</v>
      </c>
      <c r="G21" s="1">
        <v>0.89868133590045796</v>
      </c>
      <c r="I21" s="12">
        <v>40</v>
      </c>
      <c r="J21" s="2">
        <f>AVERAGEIF(Table12643[[ Cycle size]],I21,Table12643[JaccardCoefficient])</f>
        <v>0.55000000000000004</v>
      </c>
      <c r="K21" s="2">
        <f>AVERAGEIF(Table12643[ [ Cycle size] ],I21,Table12643[KendallTauCorrelation])</f>
        <v>0.94615384615384601</v>
      </c>
      <c r="L21" s="2">
        <f>AVERAGEIF(Table12643[ [ Cycle size] ],I21,Table12643[DiscountedCumulativeGain])</f>
        <v>0.80056226507482398</v>
      </c>
    </row>
    <row r="22" spans="1:12" x14ac:dyDescent="0.35">
      <c r="A22" s="1">
        <v>2.2000000000000002</v>
      </c>
      <c r="B22" s="1">
        <v>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I22" s="12">
        <v>90</v>
      </c>
      <c r="J22" s="2">
        <f>AVERAGEIF(Table12643[[ Cycle size]],I22,Table12643[JaccardCoefficient])</f>
        <v>0.37777777777777699</v>
      </c>
      <c r="K22" s="2">
        <f>AVERAGEIF(Table12643[ [ Cycle size] ],I22,Table12643[KendallTauCorrelation])</f>
        <v>0.96354556803994995</v>
      </c>
      <c r="L22" s="2">
        <f>AVERAGEIF(Table12643[ [ Cycle size] ],I22,Table12643[DiscountedCumulativeGain])</f>
        <v>0.61296811677275898</v>
      </c>
    </row>
    <row r="23" spans="1:12" x14ac:dyDescent="0.35">
      <c r="A23" s="1">
        <v>11.2</v>
      </c>
      <c r="B23" s="1">
        <v>9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I23" s="1"/>
      <c r="J23" s="1"/>
    </row>
    <row r="24" spans="1:12" x14ac:dyDescent="0.35">
      <c r="A24" s="1">
        <v>17.2</v>
      </c>
      <c r="B24" s="1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I24" s="1"/>
      <c r="J24" s="1"/>
    </row>
    <row r="25" spans="1:12" x14ac:dyDescent="0.35">
      <c r="A25" s="1">
        <v>21.2</v>
      </c>
      <c r="B25" s="1">
        <v>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I25" s="1"/>
      <c r="J25" s="1"/>
    </row>
    <row r="26" spans="1:12" x14ac:dyDescent="0.35">
      <c r="A26" s="1">
        <v>40.200000000000003</v>
      </c>
      <c r="B26" s="1">
        <v>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</row>
    <row r="27" spans="1:12" x14ac:dyDescent="0.35">
      <c r="A27" s="1">
        <v>37.200000000000003</v>
      </c>
      <c r="B27" s="1">
        <v>10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8" spans="1:12" x14ac:dyDescent="0.35">
      <c r="A28" s="1">
        <v>38.200000000000003</v>
      </c>
      <c r="B28" s="1">
        <v>10</v>
      </c>
      <c r="C28" s="1">
        <v>0.8</v>
      </c>
      <c r="D28" s="1">
        <v>0.96</v>
      </c>
      <c r="E28" s="1">
        <v>0.95555555555555505</v>
      </c>
      <c r="F28" s="1">
        <v>0.763636363636363</v>
      </c>
      <c r="G28" s="1">
        <v>0.99730778997221603</v>
      </c>
    </row>
    <row r="29" spans="1:12" x14ac:dyDescent="0.35">
      <c r="A29" s="1">
        <v>42.2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</row>
    <row r="30" spans="1:12" x14ac:dyDescent="0.35">
      <c r="A30" s="1">
        <v>3.2</v>
      </c>
      <c r="B30" s="1">
        <v>12</v>
      </c>
      <c r="C30" s="1">
        <v>0.83333333333333304</v>
      </c>
      <c r="D30" s="1">
        <v>0.97222222222222199</v>
      </c>
      <c r="E30" s="1">
        <v>0.96969696969696895</v>
      </c>
      <c r="F30" s="1">
        <v>0.987179487179487</v>
      </c>
      <c r="G30" s="1">
        <v>0.87377072779210996</v>
      </c>
    </row>
    <row r="31" spans="1:12" x14ac:dyDescent="0.35">
      <c r="A31" s="1">
        <v>12.2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  <row r="32" spans="1:12" x14ac:dyDescent="0.35">
      <c r="A32" s="1">
        <v>15.2</v>
      </c>
      <c r="B32" s="1">
        <v>12</v>
      </c>
      <c r="C32" s="1">
        <v>0.75</v>
      </c>
      <c r="D32" s="1">
        <v>0.94444444444444398</v>
      </c>
      <c r="E32" s="1">
        <v>0.939393939393939</v>
      </c>
      <c r="F32" s="1">
        <v>0.76923076923076905</v>
      </c>
      <c r="G32" s="1">
        <v>0.94217742347741995</v>
      </c>
    </row>
    <row r="33" spans="1:7" x14ac:dyDescent="0.35">
      <c r="A33" s="1">
        <v>41.2</v>
      </c>
      <c r="B33" s="1">
        <v>12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</row>
    <row r="34" spans="1:7" x14ac:dyDescent="0.35">
      <c r="A34" s="1">
        <v>47.2</v>
      </c>
      <c r="B34" s="1">
        <v>12</v>
      </c>
      <c r="C34" s="1">
        <v>0.66666666666666596</v>
      </c>
      <c r="D34" s="1">
        <v>0.94444444444444398</v>
      </c>
      <c r="E34" s="1">
        <v>0.939393939393939</v>
      </c>
      <c r="F34" s="1">
        <v>0.74358974358974295</v>
      </c>
      <c r="G34" s="1">
        <v>0.88952715252725401</v>
      </c>
    </row>
    <row r="35" spans="1:7" x14ac:dyDescent="0.35">
      <c r="A35" s="1">
        <v>25.2</v>
      </c>
      <c r="B35" s="1">
        <v>14</v>
      </c>
      <c r="C35" s="1">
        <v>0.85714285714285698</v>
      </c>
      <c r="D35" s="1">
        <v>0.97959183673469297</v>
      </c>
      <c r="E35" s="1">
        <v>0.97802197802197799</v>
      </c>
      <c r="F35" s="1">
        <v>0.99047619047618995</v>
      </c>
      <c r="G35" s="1">
        <v>0.88170522422904196</v>
      </c>
    </row>
    <row r="36" spans="1:7" x14ac:dyDescent="0.35">
      <c r="A36" s="1">
        <v>28.2</v>
      </c>
      <c r="B36" s="1">
        <v>14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</row>
    <row r="37" spans="1:7" x14ac:dyDescent="0.35">
      <c r="A37" s="1">
        <v>49.2</v>
      </c>
      <c r="B37" s="1">
        <v>14</v>
      </c>
      <c r="C37" s="1">
        <v>0.71428571428571397</v>
      </c>
      <c r="D37" s="1">
        <v>0.95918367346938704</v>
      </c>
      <c r="E37" s="1">
        <v>0.95604395604395598</v>
      </c>
      <c r="F37" s="1">
        <v>0.77142857142857102</v>
      </c>
      <c r="G37" s="1">
        <v>0.89487696845627596</v>
      </c>
    </row>
    <row r="38" spans="1:7" x14ac:dyDescent="0.35">
      <c r="A38" s="1">
        <v>46.2</v>
      </c>
      <c r="B38" s="1">
        <v>15</v>
      </c>
      <c r="C38" s="1">
        <v>0.86666666666666603</v>
      </c>
      <c r="D38" s="1">
        <v>0.96428571428571397</v>
      </c>
      <c r="E38" s="1">
        <v>0.94285714285714195</v>
      </c>
      <c r="F38" s="1">
        <v>0.86666666666666603</v>
      </c>
      <c r="G38" s="1">
        <v>0.96558984646078805</v>
      </c>
    </row>
    <row r="39" spans="1:7" x14ac:dyDescent="0.35">
      <c r="A39" s="1">
        <v>7.2</v>
      </c>
      <c r="B39" s="1">
        <v>16</v>
      </c>
      <c r="C39" s="1">
        <v>0.75</v>
      </c>
      <c r="D39" s="1">
        <v>0.96875</v>
      </c>
      <c r="E39" s="1">
        <v>0.96666666666666601</v>
      </c>
      <c r="F39" s="1">
        <v>0.88235294117647001</v>
      </c>
      <c r="G39" s="1">
        <v>0.84561056384199496</v>
      </c>
    </row>
    <row r="40" spans="1:7" x14ac:dyDescent="0.35">
      <c r="A40" s="1">
        <v>34.200000000000003</v>
      </c>
      <c r="B40" s="1">
        <v>16</v>
      </c>
      <c r="C40" s="1">
        <v>0.875</v>
      </c>
      <c r="D40" s="1">
        <v>0.984375</v>
      </c>
      <c r="E40" s="1">
        <v>0.98333333333333295</v>
      </c>
      <c r="F40" s="1">
        <v>0.90441176470588203</v>
      </c>
      <c r="G40" s="1">
        <v>0.94617941191362498</v>
      </c>
    </row>
    <row r="41" spans="1:7" x14ac:dyDescent="0.35">
      <c r="A41" s="1">
        <v>14.2</v>
      </c>
      <c r="B41" s="1">
        <v>17</v>
      </c>
      <c r="C41" s="1">
        <v>0.88235294117647001</v>
      </c>
      <c r="D41" s="1">
        <v>0.98611111111111105</v>
      </c>
      <c r="E41" s="1">
        <v>0.98529411764705799</v>
      </c>
      <c r="F41" s="1">
        <v>0.91503267973856195</v>
      </c>
      <c r="G41" s="1">
        <v>0.94394763489190803</v>
      </c>
    </row>
    <row r="42" spans="1:7" x14ac:dyDescent="0.35">
      <c r="A42" s="1">
        <v>36.200000000000003</v>
      </c>
      <c r="B42" s="1">
        <v>17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</row>
    <row r="43" spans="1:7" x14ac:dyDescent="0.35">
      <c r="A43" s="1">
        <v>45.2</v>
      </c>
      <c r="B43" s="1">
        <v>18</v>
      </c>
      <c r="C43" s="1">
        <v>0.66666666666666596</v>
      </c>
      <c r="D43" s="1">
        <v>0.96296296296296302</v>
      </c>
      <c r="E43" s="1">
        <v>0.96078431372549</v>
      </c>
      <c r="F43" s="1">
        <v>0.76023391812865504</v>
      </c>
      <c r="G43" s="1">
        <v>0.83333662060677605</v>
      </c>
    </row>
    <row r="44" spans="1:7" x14ac:dyDescent="0.35">
      <c r="A44" s="1">
        <v>48.2</v>
      </c>
      <c r="B44" s="1">
        <v>18</v>
      </c>
      <c r="C44" s="1">
        <v>0.77777777777777701</v>
      </c>
      <c r="D44" s="1">
        <v>0.97530864197530798</v>
      </c>
      <c r="E44" s="1">
        <v>0.973856209150326</v>
      </c>
      <c r="F44" s="1">
        <v>0.68421052631578905</v>
      </c>
      <c r="G44" s="1">
        <v>0.98464029197809</v>
      </c>
    </row>
    <row r="45" spans="1:7" x14ac:dyDescent="0.35">
      <c r="A45" s="1">
        <v>18.2</v>
      </c>
      <c r="B45" s="1">
        <v>20</v>
      </c>
      <c r="C45" s="1">
        <v>0.7</v>
      </c>
      <c r="D45" s="1">
        <v>0.97</v>
      </c>
      <c r="E45" s="1">
        <v>0.96842105263157896</v>
      </c>
      <c r="F45" s="1">
        <v>0.64285714285714202</v>
      </c>
      <c r="G45" s="1">
        <v>0.92778568199039402</v>
      </c>
    </row>
    <row r="46" spans="1:7" x14ac:dyDescent="0.35">
      <c r="A46" s="1">
        <v>35.200000000000003</v>
      </c>
      <c r="B46" s="1">
        <v>20</v>
      </c>
      <c r="C46" s="1">
        <v>0.7</v>
      </c>
      <c r="D46" s="1">
        <v>0.96</v>
      </c>
      <c r="E46" s="1">
        <v>0.95789473684210502</v>
      </c>
      <c r="F46" s="1">
        <v>0.55714285714285705</v>
      </c>
      <c r="G46" s="1">
        <v>0.98611090882161501</v>
      </c>
    </row>
    <row r="47" spans="1:7" x14ac:dyDescent="0.35">
      <c r="A47" s="1">
        <v>24.2</v>
      </c>
      <c r="B47" s="1">
        <v>21</v>
      </c>
      <c r="C47" s="1">
        <v>0.85714285714285698</v>
      </c>
      <c r="D47" s="1">
        <v>0.98181818181818103</v>
      </c>
      <c r="E47" s="1">
        <v>0.98095238095238002</v>
      </c>
      <c r="F47" s="1">
        <v>0.88311688311688297</v>
      </c>
      <c r="G47" s="1">
        <v>0.93200183522997604</v>
      </c>
    </row>
    <row r="48" spans="1:7" x14ac:dyDescent="0.35">
      <c r="A48" s="1">
        <v>44.2</v>
      </c>
      <c r="B48" s="1">
        <v>25</v>
      </c>
      <c r="C48" s="1">
        <v>0.52</v>
      </c>
      <c r="D48" s="1">
        <v>0.94871794871794801</v>
      </c>
      <c r="E48" s="1">
        <v>0.94</v>
      </c>
      <c r="F48" s="1">
        <v>0.52</v>
      </c>
      <c r="G48" s="1">
        <v>0.80163984709273295</v>
      </c>
    </row>
    <row r="49" spans="1:7" x14ac:dyDescent="0.35">
      <c r="A49" s="1">
        <v>31.2</v>
      </c>
      <c r="B49" s="1">
        <v>30</v>
      </c>
      <c r="C49" s="1">
        <v>0.76666666666666605</v>
      </c>
      <c r="D49" s="1">
        <v>0.982222222222222</v>
      </c>
      <c r="E49" s="1">
        <v>0.98160919540229796</v>
      </c>
      <c r="F49" s="1">
        <v>0.85806451612903201</v>
      </c>
      <c r="G49" s="1">
        <v>0.83490051856835301</v>
      </c>
    </row>
    <row r="50" spans="1:7" x14ac:dyDescent="0.35">
      <c r="A50" s="1">
        <v>16.2</v>
      </c>
      <c r="B50" s="1">
        <v>40</v>
      </c>
      <c r="C50" s="1">
        <v>0.55000000000000004</v>
      </c>
      <c r="D50" s="1">
        <v>0.96</v>
      </c>
      <c r="E50" s="1">
        <v>0.94615384615384601</v>
      </c>
      <c r="F50" s="1">
        <v>0.51219512195121897</v>
      </c>
      <c r="G50" s="1">
        <v>0.80056226507482398</v>
      </c>
    </row>
    <row r="51" spans="1:7" x14ac:dyDescent="0.35">
      <c r="A51" s="1">
        <v>19.2</v>
      </c>
      <c r="B51" s="1">
        <v>90</v>
      </c>
      <c r="C51" s="1">
        <v>0.37777777777777699</v>
      </c>
      <c r="D51" s="1">
        <v>0.96938271604938198</v>
      </c>
      <c r="E51" s="1">
        <v>0.96354556803994995</v>
      </c>
      <c r="F51" s="1">
        <v>0.38485958485958399</v>
      </c>
      <c r="G51" s="1">
        <v>0.61296811677275898</v>
      </c>
    </row>
    <row r="52" spans="1:7" x14ac:dyDescent="0.35">
      <c r="A52" s="1" t="s">
        <v>32</v>
      </c>
      <c r="C52" s="1">
        <f>SUBTOTAL(101,Table12643[JaccardCoefficient])</f>
        <v>0.86656293183940236</v>
      </c>
      <c r="D52" s="1">
        <f>SUBTOTAL(101,Table12643[MismatchDistanceCoefficient])</f>
        <v>0.97400420018693823</v>
      </c>
      <c r="E52" s="1">
        <f>SUBTOTAL(101,Table12643[KendallTauCorrelation])</f>
        <v>0.96836092660159867</v>
      </c>
      <c r="F52" s="1">
        <f>SUBTOTAL(101,Table12643[MismatchPositionCoefficient])</f>
        <v>0.8836003812332639</v>
      </c>
      <c r="G52" s="1">
        <f>SUBTOTAL(101,Table12643[DiscountedCumulativeGain])</f>
        <v>0.94790026387416215</v>
      </c>
    </row>
  </sheetData>
  <pageMargins left="0.7" right="0.7" top="0.75" bottom="0.75" header="0.3" footer="0.3"/>
  <pageSetup orientation="portrait" r:id="rId1"/>
  <ignoredErrors>
    <ignoredError sqref="O4:Q4" formulaRange="1"/>
  </ignoredErrors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"/>
  <sheetViews>
    <sheetView topLeftCell="G1" workbookViewId="0">
      <selection activeCell="Q6" sqref="Q6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  <col min="6" max="6" width="18.36328125" customWidth="1"/>
    <col min="9" max="9" width="12.90625" style="11" customWidth="1"/>
    <col min="10" max="10" width="13.08984375" style="11" customWidth="1"/>
    <col min="11" max="11" width="10.36328125" customWidth="1"/>
    <col min="13" max="13" width="10.6328125" customWidth="1"/>
    <col min="14" max="14" width="12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t="s">
        <v>4</v>
      </c>
      <c r="J1" t="s">
        <v>33</v>
      </c>
      <c r="K1" t="s">
        <v>29</v>
      </c>
      <c r="L1" t="s">
        <v>34</v>
      </c>
      <c r="N1" s="19" t="s">
        <v>40</v>
      </c>
      <c r="O1" s="20" t="s">
        <v>33</v>
      </c>
      <c r="P1" s="20" t="s">
        <v>29</v>
      </c>
      <c r="Q1" s="21" t="s">
        <v>34</v>
      </c>
    </row>
    <row r="2" spans="1:17" x14ac:dyDescent="0.3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AVERAGEIF(Table126[[ Cycle size]],I2,Table126[JaccardCoefficient])</f>
        <v>1</v>
      </c>
      <c r="K2" s="2">
        <f>AVERAGEIF(Table126[ [ Cycle size] ],I2,Table126[KendallTauCorrelation])</f>
        <v>1</v>
      </c>
      <c r="L2" s="2">
        <f>AVERAGEIF(Table126[ [ Cycle size] ],I2,Table126[DiscountedCumulativeGain])</f>
        <v>1</v>
      </c>
      <c r="N2" s="17" t="s">
        <v>41</v>
      </c>
      <c r="O2" s="16">
        <f>CORREL(I2:I22, J2:J22)</f>
        <v>-0.75392270877999112</v>
      </c>
      <c r="P2" s="16">
        <f>CORREL(I2:I22, K2:K22)</f>
        <v>-0.57593386729312046</v>
      </c>
      <c r="Q2" s="18">
        <f>CORREL(I2:I22, L2:L22)</f>
        <v>-0.90669507372884584</v>
      </c>
    </row>
    <row r="3" spans="1:17" x14ac:dyDescent="0.3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AVERAGEIF(Table126[[ Cycle size]],I3,Table126[JaccardCoefficient])</f>
        <v>1</v>
      </c>
      <c r="K3" s="2">
        <f>AVERAGEIF(Table126[ [ Cycle size] ],I3,Table126[KendallTauCorrelation])</f>
        <v>1</v>
      </c>
      <c r="L3" s="2">
        <f>AVERAGEIF(Table126[ [ Cycle size] ],I3,Table126[DiscountedCumulativeGain])</f>
        <v>1</v>
      </c>
      <c r="N3" s="22" t="s">
        <v>40</v>
      </c>
      <c r="O3" s="23" t="s">
        <v>33</v>
      </c>
      <c r="P3" s="23" t="s">
        <v>29</v>
      </c>
      <c r="Q3" s="24" t="s">
        <v>34</v>
      </c>
    </row>
    <row r="4" spans="1:17" x14ac:dyDescent="0.35">
      <c r="A4" s="1">
        <v>10.199999999999999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AVERAGEIF(Table126[[ Cycle size]],I4,Table126[JaccardCoefficient])</f>
        <v>1</v>
      </c>
      <c r="K4" s="2">
        <f>AVERAGEIF(Table126[ [ Cycle size] ],I4,Table126[KendallTauCorrelation])</f>
        <v>1</v>
      </c>
      <c r="L4" s="2">
        <f>AVERAGEIF(Table126[ [ Cycle size] ],I4,Table126[DiscountedCumulativeGain])</f>
        <v>1</v>
      </c>
      <c r="N4" s="15" t="s">
        <v>42</v>
      </c>
      <c r="O4" s="16">
        <f>CORREL(I2:I20, J2:J20)</f>
        <v>-0.87172115521818738</v>
      </c>
      <c r="P4" s="16">
        <f>CORREL(I2:I20, K2:K20)</f>
        <v>-0.57656548619946735</v>
      </c>
      <c r="Q4" s="16">
        <f>CORREL(I2:I20, L2:L20)</f>
        <v>-0.90904383536546407</v>
      </c>
    </row>
    <row r="5" spans="1:17" x14ac:dyDescent="0.3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AVERAGEIF(Table126[[ Cycle size]],I5,Table126[JaccardCoefficient])</f>
        <v>1</v>
      </c>
      <c r="K5" s="2">
        <f>AVERAGEIF(Table126[ [ Cycle size] ],I5,Table126[KendallTauCorrelation])</f>
        <v>1</v>
      </c>
      <c r="L5" s="2">
        <f>AVERAGEIF(Table126[ [ Cycle size] ],I5,Table126[DiscountedCumulativeGain])</f>
        <v>1</v>
      </c>
    </row>
    <row r="6" spans="1:17" x14ac:dyDescent="0.3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AVERAGEIF(Table126[[ Cycle size]],I6,Table126[JaccardCoefficient])</f>
        <v>0.88888888888888873</v>
      </c>
      <c r="K6" s="2">
        <f>AVERAGEIF(Table126[ [ Cycle size] ],I6,Table126[KendallTauCorrelation])</f>
        <v>0.95555555555555538</v>
      </c>
      <c r="L6" s="2">
        <f>AVERAGEIF(Table126[ [ Cycle size] ],I6,Table126[DiscountedCumulativeGain])</f>
        <v>0.96069943523351797</v>
      </c>
    </row>
    <row r="7" spans="1:17" x14ac:dyDescent="0.3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AVERAGEIF(Table126[[ Cycle size]],I7,Table126[JaccardCoefficient])</f>
        <v>0.78571428571428548</v>
      </c>
      <c r="K7" s="2">
        <f>AVERAGEIF(Table126[ [ Cycle size] ],I7,Table126[KendallTauCorrelation])</f>
        <v>0.92857142857142794</v>
      </c>
      <c r="L7" s="2">
        <f>AVERAGEIF(Table126[ [ Cycle size] ],I7,Table126[DiscountedCumulativeGain])</f>
        <v>0.9467346797629661</v>
      </c>
    </row>
    <row r="8" spans="1:17" x14ac:dyDescent="0.35">
      <c r="A8" s="1">
        <v>26.2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AVERAGEIF(Table126[[ Cycle size]],I8,Table126[JaccardCoefficient])</f>
        <v>0.83333333333333337</v>
      </c>
      <c r="K8" s="2">
        <f>AVERAGEIF(Table126[ [ Cycle size] ],I8,Table126[KendallTauCorrelation])</f>
        <v>0.952380952380952</v>
      </c>
      <c r="L8" s="2">
        <f>AVERAGEIF(Table126[ [ Cycle size] ],I8,Table126[DiscountedCumulativeGain])</f>
        <v>0.94330178251970465</v>
      </c>
    </row>
    <row r="9" spans="1:17" x14ac:dyDescent="0.3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AVERAGEIF(Table126[[ Cycle size]],I9,Table126[JaccardCoefficient])</f>
        <v>0.6666666666666663</v>
      </c>
      <c r="K9" s="2">
        <f>AVERAGEIF(Table126[ [ Cycle size] ],I9,Table126[KendallTauCorrelation])</f>
        <v>0.91111111111111054</v>
      </c>
      <c r="L9" s="2">
        <f>AVERAGEIF(Table126[ [ Cycle size] ],I9,Table126[DiscountedCumulativeGain])</f>
        <v>0.94740840847466856</v>
      </c>
    </row>
    <row r="10" spans="1:17" x14ac:dyDescent="0.35">
      <c r="A10" s="1">
        <v>50.2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2">
        <v>10</v>
      </c>
      <c r="J10" s="2">
        <f>AVERAGEIF(Table126[[ Cycle size]],I10,Table126[JaccardCoefficient])</f>
        <v>0.76666666666666661</v>
      </c>
      <c r="K10" s="2">
        <f>AVERAGEIF(Table126[ [ Cycle size] ],I10,Table126[KendallTauCorrelation])</f>
        <v>0.89629629629629604</v>
      </c>
      <c r="L10" s="2">
        <f>AVERAGEIF(Table126[ [ Cycle size] ],I10,Table126[DiscountedCumulativeGain])</f>
        <v>0.94850809375189193</v>
      </c>
    </row>
    <row r="11" spans="1:17" x14ac:dyDescent="0.3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AVERAGEIF(Table126[[ Cycle size]],I11,Table126[JaccardCoefficient])</f>
        <v>0.64999999999999969</v>
      </c>
      <c r="K11" s="2">
        <f>AVERAGEIF(Table126[ [ Cycle size] ],I11,Table126[KendallTauCorrelation])</f>
        <v>0.93333333333333268</v>
      </c>
      <c r="L11" s="2">
        <f>AVERAGEIF(Table126[ [ Cycle size] ],I11,Table126[DiscountedCumulativeGain])</f>
        <v>0.90490118089261495</v>
      </c>
    </row>
    <row r="12" spans="1:17" x14ac:dyDescent="0.35">
      <c r="A12" s="1">
        <v>9.1999999999999993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AVERAGEIF(Table126[[ Cycle size]],I12,Table126[JaccardCoefficient])</f>
        <v>0.30952380952380903</v>
      </c>
      <c r="K12" s="2">
        <f>AVERAGEIF(Table126[ [ Cycle size] ],I12,Table126[KendallTauCorrelation])</f>
        <v>0.86080586080586075</v>
      </c>
      <c r="L12" s="2">
        <f>AVERAGEIF(Table126[ [ Cycle size] ],I12,Table126[DiscountedCumulativeGain])</f>
        <v>0.80743719386966328</v>
      </c>
    </row>
    <row r="13" spans="1:17" x14ac:dyDescent="0.35">
      <c r="A13" s="1">
        <v>27.2</v>
      </c>
      <c r="B13" s="1">
        <v>6</v>
      </c>
      <c r="C13" s="1">
        <v>0.66666666666666596</v>
      </c>
      <c r="D13" s="1">
        <v>0.88888888888888795</v>
      </c>
      <c r="E13" s="1">
        <v>0.86666666666666603</v>
      </c>
      <c r="F13" s="1">
        <v>0.57142857142857095</v>
      </c>
      <c r="G13" s="1">
        <v>0.88209830570055403</v>
      </c>
      <c r="I13" s="12">
        <v>15</v>
      </c>
      <c r="J13" s="2">
        <f>AVERAGEIF(Table126[[ Cycle size]],I13,Table126[JaccardCoefficient])</f>
        <v>0.53333333333333299</v>
      </c>
      <c r="K13" s="2">
        <f>AVERAGEIF(Table126[ [ Cycle size] ],I13,Table126[KendallTauCorrelation])</f>
        <v>0.92380952380952297</v>
      </c>
      <c r="L13" s="2">
        <f>AVERAGEIF(Table126[ [ Cycle size] ],I13,Table126[DiscountedCumulativeGain])</f>
        <v>0.81391438702469698</v>
      </c>
    </row>
    <row r="14" spans="1:17" x14ac:dyDescent="0.35">
      <c r="A14" s="1">
        <v>30.2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AVERAGEIF(Table126[[ Cycle size]],I14,Table126[JaccardCoefficient])</f>
        <v>0.53125</v>
      </c>
      <c r="K14" s="2">
        <f>AVERAGEIF(Table126[ [ Cycle size] ],I14,Table126[KendallTauCorrelation])</f>
        <v>0.91666666666666652</v>
      </c>
      <c r="L14" s="2">
        <f>AVERAGEIF(Table126[ [ Cycle size] ],I14,Table126[DiscountedCumulativeGain])</f>
        <v>0.83304215370786605</v>
      </c>
    </row>
    <row r="15" spans="1:17" x14ac:dyDescent="0.35">
      <c r="A15" s="1">
        <v>1.2</v>
      </c>
      <c r="B15" s="1">
        <v>7</v>
      </c>
      <c r="C15" s="1">
        <v>0.71428571428571397</v>
      </c>
      <c r="D15" s="1">
        <v>0.91666666666666596</v>
      </c>
      <c r="E15" s="1">
        <v>0.90476190476190399</v>
      </c>
      <c r="F15" s="1">
        <v>0.67857142857142805</v>
      </c>
      <c r="G15" s="1">
        <v>0.96353707729153404</v>
      </c>
      <c r="I15" s="12">
        <v>17</v>
      </c>
      <c r="J15" s="2">
        <f>AVERAGEIF(Table126[[ Cycle size]],I15,Table126[JaccardCoefficient])</f>
        <v>0.47058823529411697</v>
      </c>
      <c r="K15" s="2">
        <f>AVERAGEIF(Table126[ [ Cycle size] ],I15,Table126[KendallTauCorrelation])</f>
        <v>0.88235294117647001</v>
      </c>
      <c r="L15" s="2">
        <f>AVERAGEIF(Table126[ [ Cycle size] ],I15,Table126[DiscountedCumulativeGain])</f>
        <v>0.79270046140149297</v>
      </c>
    </row>
    <row r="16" spans="1:17" x14ac:dyDescent="0.35">
      <c r="A16" s="1">
        <v>6.2</v>
      </c>
      <c r="B16" s="1">
        <v>7</v>
      </c>
      <c r="C16" s="1">
        <v>0.71428571428571397</v>
      </c>
      <c r="D16" s="1">
        <v>0.91666666666666596</v>
      </c>
      <c r="E16" s="1">
        <v>0.90476190476190399</v>
      </c>
      <c r="F16" s="1">
        <v>0.82142857142857095</v>
      </c>
      <c r="G16" s="1">
        <v>0.95366849560259803</v>
      </c>
      <c r="I16" s="12">
        <v>18</v>
      </c>
      <c r="J16" s="2">
        <f>AVERAGEIF(Table126[[ Cycle size]],I16,Table126[JaccardCoefficient])</f>
        <v>0.44444444444444398</v>
      </c>
      <c r="K16" s="2">
        <f>AVERAGEIF(Table126[ [ Cycle size] ],I16,Table126[KendallTauCorrelation])</f>
        <v>0.90196078431372495</v>
      </c>
      <c r="L16" s="2">
        <f>AVERAGEIF(Table126[ [ Cycle size] ],I16,Table126[DiscountedCumulativeGain])</f>
        <v>0.773008536221795</v>
      </c>
    </row>
    <row r="17" spans="1:12" x14ac:dyDescent="0.35">
      <c r="A17" s="1">
        <v>8.1999999999999993</v>
      </c>
      <c r="B17" s="1">
        <v>7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I17" s="12">
        <v>20</v>
      </c>
      <c r="J17" s="2">
        <f>AVERAGEIF(Table126[[ Cycle size]],I17,Table126[JaccardCoefficient])</f>
        <v>0.4</v>
      </c>
      <c r="K17" s="2">
        <f>AVERAGEIF(Table126[ [ Cycle size] ],I17,Table126[KendallTauCorrelation])</f>
        <v>0.83684210526315761</v>
      </c>
      <c r="L17" s="2">
        <f>AVERAGEIF(Table126[ [ Cycle size] ],I17,Table126[DiscountedCumulativeGain])</f>
        <v>0.76159065201422793</v>
      </c>
    </row>
    <row r="18" spans="1:12" x14ac:dyDescent="0.35">
      <c r="A18" s="1">
        <v>43.2</v>
      </c>
      <c r="B18" s="1">
        <v>7</v>
      </c>
      <c r="C18" s="1">
        <v>0.71428571428571397</v>
      </c>
      <c r="D18" s="1">
        <v>0.91666666666666596</v>
      </c>
      <c r="E18" s="1">
        <v>0.90476190476190399</v>
      </c>
      <c r="F18" s="1">
        <v>0.96428571428571397</v>
      </c>
      <c r="G18" s="1">
        <v>0.86973314615773201</v>
      </c>
      <c r="I18" s="12">
        <v>21</v>
      </c>
      <c r="J18" s="2">
        <f>AVERAGEIF(Table126[[ Cycle size]],I18,Table126[JaccardCoefficient])</f>
        <v>0.33333333333333298</v>
      </c>
      <c r="K18" s="2">
        <f>AVERAGEIF(Table126[ [ Cycle size] ],I18,Table126[KendallTauCorrelation])</f>
        <v>0.76190476190476097</v>
      </c>
      <c r="L18" s="2">
        <f>AVERAGEIF(Table126[ [ Cycle size] ],I18,Table126[DiscountedCumulativeGain])</f>
        <v>0.68375476191127904</v>
      </c>
    </row>
    <row r="19" spans="1:12" x14ac:dyDescent="0.3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AVERAGEIF(Table126[[ Cycle size]],I19,Table126[JaccardCoefficient])</f>
        <v>0.6</v>
      </c>
      <c r="K19" s="2">
        <f>AVERAGEIF(Table126[ [ Cycle size] ],I19,Table126[KendallTauCorrelation])</f>
        <v>0.95333333333333303</v>
      </c>
      <c r="L19" s="2">
        <f>AVERAGEIF(Table126[ [ Cycle size] ],I19,Table126[DiscountedCumulativeGain])</f>
        <v>0.85413295421660096</v>
      </c>
    </row>
    <row r="20" spans="1:12" x14ac:dyDescent="0.35">
      <c r="A20" s="1">
        <v>13.2</v>
      </c>
      <c r="B20" s="1">
        <v>8</v>
      </c>
      <c r="C20" s="1">
        <v>0.75</v>
      </c>
      <c r="D20" s="1">
        <v>0.9375</v>
      </c>
      <c r="E20" s="1">
        <v>0.92857142857142805</v>
      </c>
      <c r="F20" s="1">
        <v>0.91666666666666596</v>
      </c>
      <c r="G20" s="1">
        <v>0.89868133590045796</v>
      </c>
      <c r="I20" s="12">
        <v>30</v>
      </c>
      <c r="J20" s="2">
        <f>AVERAGEIF(Table126[[ Cycle size]],I20,Table126[JaccardCoefficient])</f>
        <v>0.3</v>
      </c>
      <c r="K20" s="2">
        <f>AVERAGEIF(Table126[ [ Cycle size] ],I20,Table126[KendallTauCorrelation])</f>
        <v>0.93103448275862</v>
      </c>
      <c r="L20" s="2">
        <f>AVERAGEIF(Table126[ [ Cycle size] ],I20,Table126[DiscountedCumulativeGain])</f>
        <v>0.67877320111433803</v>
      </c>
    </row>
    <row r="21" spans="1:12" x14ac:dyDescent="0.35">
      <c r="A21" s="1">
        <v>29.2</v>
      </c>
      <c r="B21" s="1">
        <v>8</v>
      </c>
      <c r="C21" s="1">
        <v>0.75</v>
      </c>
      <c r="D21" s="1">
        <v>0.9375</v>
      </c>
      <c r="E21" s="1">
        <v>0.92857142857142805</v>
      </c>
      <c r="F21" s="1">
        <v>0.63888888888888795</v>
      </c>
      <c r="G21" s="1">
        <v>0.93122401165865598</v>
      </c>
      <c r="I21" s="12">
        <v>40</v>
      </c>
      <c r="J21" s="2">
        <f>AVERAGEIF(Table126[[ Cycle size]],I21,Table126[JaccardCoefficient])</f>
        <v>0.17499999999999999</v>
      </c>
      <c r="K21" s="2">
        <f>AVERAGEIF(Table126[ [ Cycle size] ],I21,Table126[KendallTauCorrelation])</f>
        <v>0.81282051282051204</v>
      </c>
      <c r="L21" s="2">
        <f>AVERAGEIF(Table126[ [ Cycle size] ],I21,Table126[DiscountedCumulativeGain])</f>
        <v>0.58376412815371403</v>
      </c>
    </row>
    <row r="22" spans="1:12" x14ac:dyDescent="0.35">
      <c r="A22" s="1">
        <v>2.2000000000000002</v>
      </c>
      <c r="B22" s="1">
        <v>9</v>
      </c>
      <c r="C22" s="1">
        <v>0.55555555555555503</v>
      </c>
      <c r="D22" s="1">
        <v>0.9</v>
      </c>
      <c r="E22" s="1">
        <v>0.88888888888888795</v>
      </c>
      <c r="F22" s="1">
        <v>0.6</v>
      </c>
      <c r="G22" s="1">
        <v>0.94163310951674495</v>
      </c>
      <c r="I22" s="12">
        <v>90</v>
      </c>
      <c r="J22" s="2">
        <f>AVERAGEIF(Table126[[ Cycle size]],I22,Table126[JaccardCoefficient])</f>
        <v>0.1</v>
      </c>
      <c r="K22" s="2">
        <f>AVERAGEIF(Table126[ [ Cycle size] ],I22,Table126[KendallTauCorrelation])</f>
        <v>0.82571785268414399</v>
      </c>
      <c r="L22" s="2">
        <f>AVERAGEIF(Table126[ [ Cycle size] ],I22,Table126[DiscountedCumulativeGain])</f>
        <v>0.416689912914466</v>
      </c>
    </row>
    <row r="23" spans="1:12" x14ac:dyDescent="0.35">
      <c r="A23" s="1">
        <v>11.2</v>
      </c>
      <c r="B23" s="1">
        <v>9</v>
      </c>
      <c r="C23" s="1">
        <v>0.22222222222222199</v>
      </c>
      <c r="D23" s="1">
        <v>0.8</v>
      </c>
      <c r="E23" s="1">
        <v>0.77777777777777701</v>
      </c>
      <c r="F23" s="1">
        <v>0.37777777777777699</v>
      </c>
      <c r="G23" s="1">
        <v>0.85340844401395799</v>
      </c>
      <c r="I23"/>
      <c r="J23"/>
    </row>
    <row r="24" spans="1:12" x14ac:dyDescent="0.35">
      <c r="A24" s="1">
        <v>17.2</v>
      </c>
      <c r="B24" s="1">
        <v>9</v>
      </c>
      <c r="C24" s="1">
        <v>0.77777777777777701</v>
      </c>
      <c r="D24" s="1">
        <v>0.95</v>
      </c>
      <c r="E24" s="1">
        <v>0.94444444444444398</v>
      </c>
      <c r="F24" s="1">
        <v>0.75555555555555498</v>
      </c>
      <c r="G24" s="1">
        <v>0.99670952107715205</v>
      </c>
      <c r="I24"/>
      <c r="J24"/>
    </row>
    <row r="25" spans="1:12" x14ac:dyDescent="0.35">
      <c r="A25" s="1">
        <v>21.2</v>
      </c>
      <c r="B25" s="1">
        <v>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I25"/>
      <c r="J25"/>
    </row>
    <row r="26" spans="1:12" x14ac:dyDescent="0.35">
      <c r="A26" s="1">
        <v>40.200000000000003</v>
      </c>
      <c r="B26" s="1">
        <v>9</v>
      </c>
      <c r="C26" s="1">
        <v>0.77777777777777701</v>
      </c>
      <c r="D26" s="1">
        <v>0.95</v>
      </c>
      <c r="E26" s="1">
        <v>0.94444444444444398</v>
      </c>
      <c r="F26" s="1">
        <v>0.844444444444444</v>
      </c>
      <c r="G26" s="1">
        <v>0.94529096776548804</v>
      </c>
    </row>
    <row r="27" spans="1:12" x14ac:dyDescent="0.35">
      <c r="A27" s="1">
        <v>37.200000000000003</v>
      </c>
      <c r="B27" s="1">
        <v>10</v>
      </c>
      <c r="C27" s="1">
        <v>0.3</v>
      </c>
      <c r="D27" s="1">
        <v>0.76</v>
      </c>
      <c r="E27" s="1">
        <v>0.688888888888888</v>
      </c>
      <c r="F27" s="1">
        <v>0.43636363636363601</v>
      </c>
      <c r="G27" s="1">
        <v>0.84552428125567602</v>
      </c>
    </row>
    <row r="28" spans="1:12" x14ac:dyDescent="0.35">
      <c r="A28" s="1">
        <v>38.200000000000003</v>
      </c>
      <c r="B28" s="1">
        <v>10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</row>
    <row r="29" spans="1:12" x14ac:dyDescent="0.35">
      <c r="A29" s="1">
        <v>42.2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</row>
    <row r="30" spans="1:12" x14ac:dyDescent="0.35">
      <c r="A30" s="1">
        <v>3.2</v>
      </c>
      <c r="B30" s="1">
        <v>12</v>
      </c>
      <c r="C30" s="1">
        <v>0.66666666666666596</v>
      </c>
      <c r="D30" s="1">
        <v>0.94444444444444398</v>
      </c>
      <c r="E30" s="1">
        <v>0.939393939393939</v>
      </c>
      <c r="F30" s="1">
        <v>0.89743589743589702</v>
      </c>
      <c r="G30" s="1">
        <v>0.79584541041858803</v>
      </c>
    </row>
    <row r="31" spans="1:12" x14ac:dyDescent="0.35">
      <c r="A31" s="1">
        <v>12.2</v>
      </c>
      <c r="B31" s="1">
        <v>12</v>
      </c>
      <c r="C31" s="1">
        <v>0.83333333333333304</v>
      </c>
      <c r="D31" s="1">
        <v>0.97222222222222199</v>
      </c>
      <c r="E31" s="1">
        <v>0.96969696969696895</v>
      </c>
      <c r="F31" s="1">
        <v>0.88461538461538403</v>
      </c>
      <c r="G31" s="1">
        <v>0.93777575572630201</v>
      </c>
    </row>
    <row r="32" spans="1:12" x14ac:dyDescent="0.35">
      <c r="A32" s="1">
        <v>15.2</v>
      </c>
      <c r="B32" s="1">
        <v>12</v>
      </c>
      <c r="C32" s="1">
        <v>0.83333333333333304</v>
      </c>
      <c r="D32" s="1">
        <v>0.97222222222222199</v>
      </c>
      <c r="E32" s="1">
        <v>0.96969696969696895</v>
      </c>
      <c r="F32" s="1">
        <v>0.85897435897435903</v>
      </c>
      <c r="G32" s="1">
        <v>0.95323753964636504</v>
      </c>
    </row>
    <row r="33" spans="1:7" x14ac:dyDescent="0.35">
      <c r="A33" s="1">
        <v>41.2</v>
      </c>
      <c r="B33" s="1">
        <v>12</v>
      </c>
      <c r="C33" s="1">
        <v>0.58333333333333304</v>
      </c>
      <c r="D33" s="1">
        <v>0.91666666666666596</v>
      </c>
      <c r="E33" s="1">
        <v>0.90909090909090895</v>
      </c>
      <c r="F33" s="1">
        <v>0.47435897435897401</v>
      </c>
      <c r="G33" s="1">
        <v>0.993532607689255</v>
      </c>
    </row>
    <row r="34" spans="1:7" x14ac:dyDescent="0.35">
      <c r="A34" s="1">
        <v>47.2</v>
      </c>
      <c r="B34" s="1">
        <v>12</v>
      </c>
      <c r="C34" s="1">
        <v>0.33333333333333298</v>
      </c>
      <c r="D34" s="1">
        <v>0.88888888888888795</v>
      </c>
      <c r="E34" s="1">
        <v>0.87878787878787801</v>
      </c>
      <c r="F34" s="1">
        <v>0.38461538461538403</v>
      </c>
      <c r="G34" s="1">
        <v>0.84411459098256403</v>
      </c>
    </row>
    <row r="35" spans="1:7" x14ac:dyDescent="0.35">
      <c r="A35" s="1">
        <v>25.2</v>
      </c>
      <c r="B35" s="1">
        <v>14</v>
      </c>
      <c r="C35" s="1">
        <v>0.5</v>
      </c>
      <c r="D35" s="1">
        <v>0.91836734693877498</v>
      </c>
      <c r="E35" s="1">
        <v>0.91208791208791196</v>
      </c>
      <c r="F35" s="1">
        <v>0.46666666666666601</v>
      </c>
      <c r="G35" s="1">
        <v>0.89928363550731005</v>
      </c>
    </row>
    <row r="36" spans="1:7" x14ac:dyDescent="0.35">
      <c r="A36" s="1">
        <v>28.2</v>
      </c>
      <c r="B36" s="1">
        <v>14</v>
      </c>
      <c r="C36" s="1">
        <v>0.14285714285714199</v>
      </c>
      <c r="D36" s="1">
        <v>0.81632653061224403</v>
      </c>
      <c r="E36" s="1">
        <v>0.80219780219780201</v>
      </c>
      <c r="F36" s="1">
        <v>0.18095238095238</v>
      </c>
      <c r="G36" s="1">
        <v>0.77456814130702401</v>
      </c>
    </row>
    <row r="37" spans="1:7" x14ac:dyDescent="0.35">
      <c r="A37" s="1">
        <v>49.2</v>
      </c>
      <c r="B37" s="1">
        <v>14</v>
      </c>
      <c r="C37" s="1">
        <v>0.28571428571428498</v>
      </c>
      <c r="D37" s="1">
        <v>0.87755102040816302</v>
      </c>
      <c r="E37" s="1">
        <v>0.86813186813186805</v>
      </c>
      <c r="F37" s="1">
        <v>0.40952380952380901</v>
      </c>
      <c r="G37" s="1">
        <v>0.74845980479465601</v>
      </c>
    </row>
    <row r="38" spans="1:7" x14ac:dyDescent="0.35">
      <c r="A38" s="1">
        <v>46.2</v>
      </c>
      <c r="B38" s="1">
        <v>15</v>
      </c>
      <c r="C38" s="1">
        <v>0.53333333333333299</v>
      </c>
      <c r="D38" s="1">
        <v>0.92857142857142805</v>
      </c>
      <c r="E38" s="1">
        <v>0.92380952380952297</v>
      </c>
      <c r="F38" s="1">
        <v>0.63333333333333297</v>
      </c>
      <c r="G38" s="1">
        <v>0.81391438702469698</v>
      </c>
    </row>
    <row r="39" spans="1:7" x14ac:dyDescent="0.35">
      <c r="A39" s="1">
        <v>7.2</v>
      </c>
      <c r="B39" s="1">
        <v>16</v>
      </c>
      <c r="C39" s="1">
        <v>0.4375</v>
      </c>
      <c r="D39" s="1">
        <v>0.90625</v>
      </c>
      <c r="E39" s="1">
        <v>0.88333333333333297</v>
      </c>
      <c r="F39" s="1">
        <v>0.41911764705882298</v>
      </c>
      <c r="G39" s="1">
        <v>0.847913286376901</v>
      </c>
    </row>
    <row r="40" spans="1:7" x14ac:dyDescent="0.35">
      <c r="A40" s="1">
        <v>34.200000000000003</v>
      </c>
      <c r="B40" s="1">
        <v>16</v>
      </c>
      <c r="C40" s="1">
        <v>0.625</v>
      </c>
      <c r="D40" s="1">
        <v>0.953125</v>
      </c>
      <c r="E40" s="1">
        <v>0.95</v>
      </c>
      <c r="F40" s="1">
        <v>0.74264705882352899</v>
      </c>
      <c r="G40" s="1">
        <v>0.81817102103883099</v>
      </c>
    </row>
    <row r="41" spans="1:7" x14ac:dyDescent="0.35">
      <c r="A41" s="1">
        <v>14.2</v>
      </c>
      <c r="B41" s="1">
        <v>17</v>
      </c>
      <c r="C41" s="1">
        <v>0.29411764705882298</v>
      </c>
      <c r="D41" s="1">
        <v>0.875</v>
      </c>
      <c r="E41" s="1">
        <v>0.85294117647058798</v>
      </c>
      <c r="F41" s="1">
        <v>0.28104575163398599</v>
      </c>
      <c r="G41" s="1">
        <v>0.79230645683637402</v>
      </c>
    </row>
    <row r="42" spans="1:7" x14ac:dyDescent="0.35">
      <c r="A42" s="1">
        <v>36.200000000000003</v>
      </c>
      <c r="B42" s="1">
        <v>17</v>
      </c>
      <c r="C42" s="1">
        <v>0.64705882352941102</v>
      </c>
      <c r="D42" s="1">
        <v>0.93055555555555503</v>
      </c>
      <c r="E42" s="1">
        <v>0.91176470588235203</v>
      </c>
      <c r="F42" s="1">
        <v>0.80392156862745101</v>
      </c>
      <c r="G42" s="1">
        <v>0.79309446596661204</v>
      </c>
    </row>
    <row r="43" spans="1:7" x14ac:dyDescent="0.35">
      <c r="A43" s="1">
        <v>45.2</v>
      </c>
      <c r="B43" s="1">
        <v>18</v>
      </c>
      <c r="C43" s="1">
        <v>0.55555555555555503</v>
      </c>
      <c r="D43" s="1">
        <v>0.95061728395061695</v>
      </c>
      <c r="E43" s="1">
        <v>0.947712418300653</v>
      </c>
      <c r="F43" s="1">
        <v>0.64912280701754299</v>
      </c>
      <c r="G43" s="1">
        <v>0.79692830436653195</v>
      </c>
    </row>
    <row r="44" spans="1:7" x14ac:dyDescent="0.35">
      <c r="A44" s="1">
        <v>48.2</v>
      </c>
      <c r="B44" s="1">
        <v>18</v>
      </c>
      <c r="C44" s="1">
        <v>0.33333333333333298</v>
      </c>
      <c r="D44" s="1">
        <v>0.88888888888888795</v>
      </c>
      <c r="E44" s="1">
        <v>0.85620915032679701</v>
      </c>
      <c r="F44" s="1">
        <v>0.38596491228070101</v>
      </c>
      <c r="G44" s="1">
        <v>0.74908876807705804</v>
      </c>
    </row>
    <row r="45" spans="1:7" x14ac:dyDescent="0.35">
      <c r="A45" s="1">
        <v>18.2</v>
      </c>
      <c r="B45" s="1">
        <v>20</v>
      </c>
      <c r="C45" s="1">
        <v>0.25</v>
      </c>
      <c r="D45" s="1">
        <v>0.84</v>
      </c>
      <c r="E45" s="1">
        <v>0.77894736842105206</v>
      </c>
      <c r="F45" s="1">
        <v>0.338095238095238</v>
      </c>
      <c r="G45" s="1">
        <v>0.68105492551739999</v>
      </c>
    </row>
    <row r="46" spans="1:7" x14ac:dyDescent="0.35">
      <c r="A46" s="1">
        <v>35.200000000000003</v>
      </c>
      <c r="B46" s="1">
        <v>20</v>
      </c>
      <c r="C46" s="1">
        <v>0.55000000000000004</v>
      </c>
      <c r="D46" s="1">
        <v>0.91</v>
      </c>
      <c r="E46" s="1">
        <v>0.89473684210526305</v>
      </c>
      <c r="F46" s="1">
        <v>0.55238095238095197</v>
      </c>
      <c r="G46" s="1">
        <v>0.84212637851105598</v>
      </c>
    </row>
    <row r="47" spans="1:7" x14ac:dyDescent="0.35">
      <c r="A47" s="1">
        <v>24.2</v>
      </c>
      <c r="B47" s="1">
        <v>21</v>
      </c>
      <c r="C47" s="1">
        <v>0.33333333333333298</v>
      </c>
      <c r="D47" s="1">
        <v>0.82727272727272705</v>
      </c>
      <c r="E47" s="1">
        <v>0.76190476190476097</v>
      </c>
      <c r="F47" s="1">
        <v>0.493506493506493</v>
      </c>
      <c r="G47" s="1">
        <v>0.68375476191127904</v>
      </c>
    </row>
    <row r="48" spans="1:7" x14ac:dyDescent="0.35">
      <c r="A48" s="1">
        <v>44.2</v>
      </c>
      <c r="B48" s="1">
        <v>25</v>
      </c>
      <c r="C48" s="1">
        <v>0.6</v>
      </c>
      <c r="D48" s="1">
        <v>0.95512820512820495</v>
      </c>
      <c r="E48" s="1">
        <v>0.95333333333333303</v>
      </c>
      <c r="F48" s="1">
        <v>0.57230769230769196</v>
      </c>
      <c r="G48" s="1">
        <v>0.85413295421660096</v>
      </c>
    </row>
    <row r="49" spans="1:7" x14ac:dyDescent="0.35">
      <c r="A49" s="1">
        <v>31.2</v>
      </c>
      <c r="B49" s="1">
        <v>30</v>
      </c>
      <c r="C49" s="1">
        <v>0.3</v>
      </c>
      <c r="D49" s="1">
        <v>0.93777777777777704</v>
      </c>
      <c r="E49" s="1">
        <v>0.93103448275862</v>
      </c>
      <c r="F49" s="1">
        <v>0.31182795698924698</v>
      </c>
      <c r="G49" s="1">
        <v>0.67877320111433803</v>
      </c>
    </row>
    <row r="50" spans="1:7" x14ac:dyDescent="0.35">
      <c r="A50" s="1">
        <v>16.2</v>
      </c>
      <c r="B50" s="1">
        <v>40</v>
      </c>
      <c r="C50" s="1">
        <v>0.17499999999999999</v>
      </c>
      <c r="D50" s="1">
        <v>0.86250000000000004</v>
      </c>
      <c r="E50" s="1">
        <v>0.81282051282051204</v>
      </c>
      <c r="F50" s="1">
        <v>0.17804878048780401</v>
      </c>
      <c r="G50" s="1">
        <v>0.58376412815371403</v>
      </c>
    </row>
    <row r="51" spans="1:7" x14ac:dyDescent="0.35">
      <c r="A51" s="1">
        <v>19.2</v>
      </c>
      <c r="B51" s="1">
        <v>90</v>
      </c>
      <c r="C51" s="1">
        <v>0.1</v>
      </c>
      <c r="D51" s="1">
        <v>0.87456790123456796</v>
      </c>
      <c r="E51" s="1">
        <v>0.82571785268414399</v>
      </c>
      <c r="F51" s="1">
        <v>0.144566544566544</v>
      </c>
      <c r="G51" s="1">
        <v>0.416689912914466</v>
      </c>
    </row>
    <row r="52" spans="1:7" x14ac:dyDescent="0.35">
      <c r="A52" s="1" t="s">
        <v>32</v>
      </c>
      <c r="B52" s="1"/>
      <c r="C52" s="1">
        <f>SUBTOTAL(101,Table126[JaccardCoefficient])</f>
        <v>0.6771132119514468</v>
      </c>
      <c r="D52" s="1">
        <f>SUBTOTAL(101,Table126[MismatchDistanceCoefficient])</f>
        <v>0.93641665999344537</v>
      </c>
      <c r="E52" s="1">
        <f>SUBTOTAL(101,Table126[KendallTauCorrelation])</f>
        <v>0.92431778787549701</v>
      </c>
      <c r="F52" s="1">
        <f>SUBTOTAL(101,Table126[MismatchPositionCoefficient])</f>
        <v>0.71336881699326871</v>
      </c>
      <c r="G52" s="1">
        <f>SUBTOTAL(101,Table126[DiscountedCumulativeGain])</f>
        <v>0.88760078268076936</v>
      </c>
    </row>
  </sheetData>
  <pageMargins left="0.7" right="0.7" top="0.75" bottom="0.75" header="0.3" footer="0.3"/>
  <pageSetup orientation="portrait" r:id="rId1"/>
  <ignoredErrors>
    <ignoredError sqref="O4:Q4" formulaRange="1"/>
  </ignoredErrors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2"/>
  <sheetViews>
    <sheetView topLeftCell="E1" zoomScaleNormal="100" workbookViewId="0">
      <selection activeCell="N1" sqref="N1:Q4"/>
    </sheetView>
  </sheetViews>
  <sheetFormatPr defaultRowHeight="14.5" x14ac:dyDescent="0.35"/>
  <cols>
    <col min="1" max="1" width="9.90625" style="1" customWidth="1"/>
    <col min="2" max="2" width="10.36328125" style="1" customWidth="1"/>
    <col min="3" max="3" width="8.7265625" style="1"/>
    <col min="4" max="4" width="12.90625" style="11" customWidth="1"/>
    <col min="5" max="5" width="13.08984375" style="11" customWidth="1"/>
    <col min="6" max="6" width="10.36328125" style="1" customWidth="1"/>
    <col min="7" max="7" width="8.7265625" style="1"/>
    <col min="8" max="8" width="10.6328125" style="1" customWidth="1"/>
    <col min="9" max="9" width="15.1796875" style="1" customWidth="1"/>
    <col min="10" max="10" width="17.453125" style="1" customWidth="1"/>
    <col min="11" max="11" width="13" style="1" customWidth="1"/>
    <col min="12" max="13" width="8.7265625" style="1"/>
    <col min="14" max="14" width="22.7265625" style="1" customWidth="1"/>
    <col min="15" max="16384" width="8.7265625" style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9" t="s">
        <v>40</v>
      </c>
      <c r="O1" s="20" t="s">
        <v>33</v>
      </c>
      <c r="P1" s="20" t="s">
        <v>29</v>
      </c>
      <c r="Q1" s="21" t="s">
        <v>34</v>
      </c>
    </row>
    <row r="2" spans="1:17" x14ac:dyDescent="0.3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AVERAGEIF(Table12633[[ Cycle size]],I2,Table12633[JaccardCoefficient])</f>
        <v>1</v>
      </c>
      <c r="K2" s="2">
        <f>AVERAGEIF(Table12633[ [ Cycle size] ],I2,Table12633[KendallTauCorrelation])</f>
        <v>1</v>
      </c>
      <c r="L2" s="2">
        <f>AVERAGEIF(Table12633[ [ Cycle size] ],I2,Table12633[DiscountedCumulativeGain])</f>
        <v>1</v>
      </c>
      <c r="N2" s="17" t="s">
        <v>41</v>
      </c>
      <c r="O2" s="16">
        <f>CORREL(I2:I22, J2:J22)</f>
        <v>-0.53246994822591609</v>
      </c>
      <c r="P2" s="16">
        <f>CORREL(I2:I22, K2:K22)</f>
        <v>-0.19103890278885322</v>
      </c>
      <c r="Q2" s="18">
        <f>CORREL(I2:I22, L2:L22)</f>
        <v>-0.29960088852974315</v>
      </c>
    </row>
    <row r="3" spans="1:17" x14ac:dyDescent="0.3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AVERAGEIF(Table12633[[ Cycle size]],I3,Table12633[JaccardCoefficient])</f>
        <v>1</v>
      </c>
      <c r="K3" s="2">
        <f>AVERAGEIF(Table12633[ [ Cycle size] ],I3,Table12633[KendallTauCorrelation])</f>
        <v>1</v>
      </c>
      <c r="L3" s="2">
        <f>AVERAGEIF(Table12633[ [ Cycle size] ],I3,Table12633[DiscountedCumulativeGain])</f>
        <v>1</v>
      </c>
      <c r="N3" s="22" t="s">
        <v>40</v>
      </c>
      <c r="O3" s="23" t="s">
        <v>33</v>
      </c>
      <c r="P3" s="23" t="s">
        <v>29</v>
      </c>
      <c r="Q3" s="24" t="s">
        <v>34</v>
      </c>
    </row>
    <row r="4" spans="1:17" x14ac:dyDescent="0.35">
      <c r="A4" s="1">
        <v>10.199999999999999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AVERAGEIF(Table12633[[ Cycle size]],I4,Table12633[JaccardCoefficient])</f>
        <v>0.83333333333333337</v>
      </c>
      <c r="K4" s="2">
        <f>AVERAGEIF(Table12633[ [ Cycle size] ],I4,Table12633[KendallTauCorrelation])</f>
        <v>0.88888888888888873</v>
      </c>
      <c r="L4" s="2">
        <f>AVERAGEIF(Table12633[ [ Cycle size] ],I4,Table12633[DiscountedCumulativeGain])</f>
        <v>0.91746881399038804</v>
      </c>
      <c r="N4" s="15" t="s">
        <v>42</v>
      </c>
      <c r="O4" s="16">
        <f>CORREL(I2:I20, J2:J20)</f>
        <v>-0.45443687792318754</v>
      </c>
      <c r="P4" s="16">
        <f>CORREL(I2:I20, K2:K20)</f>
        <v>6.6543334560536793E-3</v>
      </c>
      <c r="Q4" s="16">
        <f>CORREL(I2:I20, L2:L20)</f>
        <v>-0.44078791706766474</v>
      </c>
    </row>
    <row r="5" spans="1:17" x14ac:dyDescent="0.3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AVERAGEIF(Table12633[[ Cycle size]],I5,Table12633[JaccardCoefficient])</f>
        <v>1</v>
      </c>
      <c r="K5" s="2">
        <f>AVERAGEIF(Table12633[ [ Cycle size] ],I5,Table12633[KendallTauCorrelation])</f>
        <v>1</v>
      </c>
      <c r="L5" s="2">
        <f>AVERAGEIF(Table12633[ [ Cycle size] ],I5,Table12633[DiscountedCumulativeGain])</f>
        <v>1</v>
      </c>
    </row>
    <row r="6" spans="1:17" x14ac:dyDescent="0.3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AVERAGEIF(Table12633[[ Cycle size]],I6,Table12633[JaccardCoefficient])</f>
        <v>0.88888888888888873</v>
      </c>
      <c r="K6" s="2">
        <f>AVERAGEIF(Table12633[ [ Cycle size] ],I6,Table12633[KendallTauCorrelation])</f>
        <v>0.95555555555555538</v>
      </c>
      <c r="L6" s="2">
        <f>AVERAGEIF(Table12633[ [ Cycle size] ],I6,Table12633[DiscountedCumulativeGain])</f>
        <v>0.97940822026782171</v>
      </c>
    </row>
    <row r="7" spans="1:17" x14ac:dyDescent="0.3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AVERAGEIF(Table12633[[ Cycle size]],I7,Table12633[JaccardCoefficient])</f>
        <v>0.85714285714285698</v>
      </c>
      <c r="K7" s="2">
        <f>AVERAGEIF(Table12633[ [ Cycle size] ],I7,Table12633[KendallTauCorrelation])</f>
        <v>0.952380952380952</v>
      </c>
      <c r="L7" s="2">
        <f>AVERAGEIF(Table12633[ [ Cycle size] ],I7,Table12633[DiscountedCumulativeGain])</f>
        <v>0.98176853864576707</v>
      </c>
    </row>
    <row r="8" spans="1:17" x14ac:dyDescent="0.35">
      <c r="A8" s="1">
        <v>26.2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AVERAGEIF(Table12633[[ Cycle size]],I8,Table12633[JaccardCoefficient])</f>
        <v>1</v>
      </c>
      <c r="K8" s="2">
        <f>AVERAGEIF(Table12633[ [ Cycle size] ],I8,Table12633[KendallTauCorrelation])</f>
        <v>1</v>
      </c>
      <c r="L8" s="2">
        <f>AVERAGEIF(Table12633[ [ Cycle size] ],I8,Table12633[DiscountedCumulativeGain])</f>
        <v>1</v>
      </c>
    </row>
    <row r="9" spans="1:17" x14ac:dyDescent="0.3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AVERAGEIF(Table12633[[ Cycle size]],I9,Table12633[JaccardCoefficient])</f>
        <v>0.77777777777777757</v>
      </c>
      <c r="K9" s="2">
        <f>AVERAGEIF(Table12633[ [ Cycle size] ],I9,Table12633[KendallTauCorrelation])</f>
        <v>0.83333333333333326</v>
      </c>
      <c r="L9" s="2">
        <f>AVERAGEIF(Table12633[ [ Cycle size] ],I9,Table12633[DiscountedCumulativeGain])</f>
        <v>0.95258758044611191</v>
      </c>
    </row>
    <row r="10" spans="1:17" x14ac:dyDescent="0.35">
      <c r="A10" s="1">
        <v>50.2</v>
      </c>
      <c r="B10" s="1">
        <v>4</v>
      </c>
      <c r="C10" s="1">
        <v>0.5</v>
      </c>
      <c r="D10" s="1">
        <v>0.75</v>
      </c>
      <c r="E10" s="1">
        <v>0.66666666666666596</v>
      </c>
      <c r="F10" s="1">
        <v>0.5</v>
      </c>
      <c r="G10" s="1">
        <v>0.75240644197116402</v>
      </c>
      <c r="I10" s="12">
        <v>10</v>
      </c>
      <c r="J10" s="2">
        <f>AVERAGEIF(Table12633[[ Cycle size]],I10,Table12633[JaccardCoefficient])</f>
        <v>0.70000000000000007</v>
      </c>
      <c r="K10" s="2">
        <f>AVERAGEIF(Table12633[ [ Cycle size] ],I10,Table12633[KendallTauCorrelation])</f>
        <v>0.83703703703703669</v>
      </c>
      <c r="L10" s="2">
        <f>AVERAGEIF(Table12633[ [ Cycle size] ],I10,Table12633[DiscountedCumulativeGain])</f>
        <v>0.97900587709100961</v>
      </c>
    </row>
    <row r="11" spans="1:17" x14ac:dyDescent="0.3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AVERAGEIF(Table12633[[ Cycle size]],I11,Table12633[JaccardCoefficient])</f>
        <v>0.88333333333333319</v>
      </c>
      <c r="K11" s="2">
        <f>AVERAGEIF(Table12633[ [ Cycle size] ],I11,Table12633[KendallTauCorrelation])</f>
        <v>0.96363636363636329</v>
      </c>
      <c r="L11" s="2">
        <f>AVERAGEIF(Table12633[ [ Cycle size] ],I11,Table12633[DiscountedCumulativeGain])</f>
        <v>0.98604805966739906</v>
      </c>
    </row>
    <row r="12" spans="1:17" x14ac:dyDescent="0.35">
      <c r="A12" s="1">
        <v>9.1999999999999993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AVERAGEIF(Table12633[[ Cycle size]],I12,Table12633[JaccardCoefficient])</f>
        <v>0.71428571428571397</v>
      </c>
      <c r="K12" s="2">
        <f>AVERAGEIF(Table12633[ [ Cycle size] ],I12,Table12633[KendallTauCorrelation])</f>
        <v>0.91941391941391937</v>
      </c>
      <c r="L12" s="2">
        <f>AVERAGEIF(Table12633[ [ Cycle size] ],I12,Table12633[DiscountedCumulativeGain])</f>
        <v>0.88636167739973459</v>
      </c>
    </row>
    <row r="13" spans="1:17" x14ac:dyDescent="0.35">
      <c r="A13" s="1">
        <v>27.2</v>
      </c>
      <c r="B13" s="1">
        <v>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I13" s="12">
        <v>15</v>
      </c>
      <c r="J13" s="2">
        <f>AVERAGEIF(Table12633[[ Cycle size]],I13,Table12633[JaccardCoefficient])</f>
        <v>1</v>
      </c>
      <c r="K13" s="2">
        <f>AVERAGEIF(Table12633[ [ Cycle size] ],I13,Table12633[KendallTauCorrelation])</f>
        <v>1</v>
      </c>
      <c r="L13" s="2">
        <f>AVERAGEIF(Table12633[ [ Cycle size] ],I13,Table12633[DiscountedCumulativeGain])</f>
        <v>1</v>
      </c>
    </row>
    <row r="14" spans="1:17" x14ac:dyDescent="0.35">
      <c r="A14" s="1">
        <v>30.2</v>
      </c>
      <c r="B14" s="1">
        <v>6</v>
      </c>
      <c r="C14" s="1">
        <v>0.66666666666666596</v>
      </c>
      <c r="D14" s="1">
        <v>0.88888888888888795</v>
      </c>
      <c r="E14" s="1">
        <v>0.86666666666666603</v>
      </c>
      <c r="F14" s="1">
        <v>0.85714285714285698</v>
      </c>
      <c r="G14" s="1">
        <v>0.938224660803465</v>
      </c>
      <c r="I14" s="12">
        <v>16</v>
      </c>
      <c r="J14" s="2">
        <f>AVERAGEIF(Table12633[[ Cycle size]],I14,Table12633[JaccardCoefficient])</f>
        <v>0.8125</v>
      </c>
      <c r="K14" s="2">
        <f>AVERAGEIF(Table12633[ [ Cycle size] ],I14,Table12633[KendallTauCorrelation])</f>
        <v>0.93333333333333302</v>
      </c>
      <c r="L14" s="2">
        <f>AVERAGEIF(Table12633[ [ Cycle size] ],I14,Table12633[DiscountedCumulativeGain])</f>
        <v>0.94951567620255894</v>
      </c>
    </row>
    <row r="15" spans="1:17" x14ac:dyDescent="0.35">
      <c r="A15" s="1">
        <v>1.2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AVERAGEIF(Table12633[[ Cycle size]],I15,Table12633[JaccardCoefficient])</f>
        <v>0.79411764705882348</v>
      </c>
      <c r="K15" s="2">
        <f>AVERAGEIF(Table12633[ [ Cycle size] ],I15,Table12633[KendallTauCorrelation])</f>
        <v>0.94852941176470551</v>
      </c>
      <c r="L15" s="2">
        <f>AVERAGEIF(Table12633[ [ Cycle size] ],I15,Table12633[DiscountedCumulativeGain])</f>
        <v>0.96761288082387753</v>
      </c>
    </row>
    <row r="16" spans="1:17" x14ac:dyDescent="0.35">
      <c r="A16" s="1">
        <v>6.2</v>
      </c>
      <c r="B16" s="1">
        <v>7</v>
      </c>
      <c r="C16" s="1">
        <v>0.71428571428571397</v>
      </c>
      <c r="D16" s="1">
        <v>0.91666666666666596</v>
      </c>
      <c r="E16" s="1">
        <v>0.90476190476190399</v>
      </c>
      <c r="F16" s="1">
        <v>0.67857142857142805</v>
      </c>
      <c r="G16" s="1">
        <v>0.96353707729153404</v>
      </c>
      <c r="I16" s="12">
        <v>18</v>
      </c>
      <c r="J16" s="2">
        <f>AVERAGEIF(Table12633[[ Cycle size]],I16,Table12633[JaccardCoefficient])</f>
        <v>1</v>
      </c>
      <c r="K16" s="2">
        <f>AVERAGEIF(Table12633[ [ Cycle size] ],I16,Table12633[KendallTauCorrelation])</f>
        <v>1</v>
      </c>
      <c r="L16" s="2">
        <f>AVERAGEIF(Table12633[ [ Cycle size] ],I16,Table12633[DiscountedCumulativeGain])</f>
        <v>1</v>
      </c>
    </row>
    <row r="17" spans="1:12" x14ac:dyDescent="0.35">
      <c r="A17" s="1">
        <v>8.1999999999999993</v>
      </c>
      <c r="B17" s="1">
        <v>7</v>
      </c>
      <c r="C17" s="1">
        <v>0.71428571428571397</v>
      </c>
      <c r="D17" s="1">
        <v>0.91666666666666596</v>
      </c>
      <c r="E17" s="1">
        <v>0.90476190476190399</v>
      </c>
      <c r="F17" s="1">
        <v>0.67857142857142805</v>
      </c>
      <c r="G17" s="1">
        <v>0.96353707729153404</v>
      </c>
      <c r="I17" s="12">
        <v>20</v>
      </c>
      <c r="J17" s="2">
        <f>AVERAGEIF(Table12633[[ Cycle size]],I17,Table12633[JaccardCoefficient])</f>
        <v>0.5</v>
      </c>
      <c r="K17" s="2">
        <f>AVERAGEIF(Table12633[ [ Cycle size] ],I17,Table12633[KendallTauCorrelation])</f>
        <v>0.86315789473684146</v>
      </c>
      <c r="L17" s="2">
        <f>AVERAGEIF(Table12633[ [ Cycle size] ],I17,Table12633[DiscountedCumulativeGain])</f>
        <v>0.89375900775271699</v>
      </c>
    </row>
    <row r="18" spans="1:12" x14ac:dyDescent="0.35">
      <c r="A18" s="1">
        <v>43.2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AVERAGEIF(Table12633[[ Cycle size]],I18,Table12633[JaccardCoefficient])</f>
        <v>1</v>
      </c>
      <c r="K18" s="2">
        <f>AVERAGEIF(Table12633[ [ Cycle size] ],I18,Table12633[KendallTauCorrelation])</f>
        <v>1</v>
      </c>
      <c r="L18" s="2">
        <f>AVERAGEIF(Table12633[ [ Cycle size] ],I18,Table12633[DiscountedCumulativeGain])</f>
        <v>1</v>
      </c>
    </row>
    <row r="19" spans="1:12" x14ac:dyDescent="0.3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AVERAGEIF(Table12633[[ Cycle size]],I19,Table12633[JaccardCoefficient])</f>
        <v>0.52</v>
      </c>
      <c r="K19" s="2">
        <f>AVERAGEIF(Table12633[ [ Cycle size] ],I19,Table12633[KendallTauCorrelation])</f>
        <v>0.94</v>
      </c>
      <c r="L19" s="2">
        <f>AVERAGEIF(Table12633[ [ Cycle size] ],I19,Table12633[DiscountedCumulativeGain])</f>
        <v>0.68409645387120899</v>
      </c>
    </row>
    <row r="20" spans="1:12" x14ac:dyDescent="0.35">
      <c r="A20" s="1">
        <v>13.2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AVERAGEIF(Table12633[[ Cycle size]],I20,Table12633[JaccardCoefficient])</f>
        <v>0.8</v>
      </c>
      <c r="K20" s="2">
        <f>AVERAGEIF(Table12633[ [ Cycle size] ],I20,Table12633[KendallTauCorrelation])</f>
        <v>0.98160919540229796</v>
      </c>
      <c r="L20" s="2">
        <f>AVERAGEIF(Table12633[ [ Cycle size] ],I20,Table12633[DiscountedCumulativeGain])</f>
        <v>0.95627167608463903</v>
      </c>
    </row>
    <row r="21" spans="1:12" x14ac:dyDescent="0.35">
      <c r="A21" s="1">
        <v>29.2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AVERAGEIF(Table12633[[ Cycle size]],I21,Table12633[JaccardCoefficient])</f>
        <v>0.52500000000000002</v>
      </c>
      <c r="K21" s="2">
        <f>AVERAGEIF(Table12633[ [ Cycle size] ],I21,Table12633[KendallTauCorrelation])</f>
        <v>0.86923076923076903</v>
      </c>
      <c r="L21" s="2">
        <f>AVERAGEIF(Table12633[ [ Cycle size] ],I21,Table12633[DiscountedCumulativeGain])</f>
        <v>0.90141726976996694</v>
      </c>
    </row>
    <row r="22" spans="1:12" x14ac:dyDescent="0.35">
      <c r="A22" s="1">
        <v>2.2000000000000002</v>
      </c>
      <c r="B22" s="1">
        <v>9</v>
      </c>
      <c r="C22" s="1">
        <v>0.11111111111111099</v>
      </c>
      <c r="D22" s="1">
        <v>0.35</v>
      </c>
      <c r="E22" s="1">
        <v>0.22222222222222199</v>
      </c>
      <c r="F22" s="1">
        <v>0.37777777777777699</v>
      </c>
      <c r="G22" s="1">
        <v>0.84399283351019405</v>
      </c>
      <c r="I22" s="12">
        <v>90</v>
      </c>
      <c r="J22" s="2">
        <f>AVERAGEIF(Table12633[[ Cycle size]],I22,Table12633[JaccardCoefficient])</f>
        <v>0.6</v>
      </c>
      <c r="K22" s="2">
        <f>AVERAGEIF(Table12633[ [ Cycle size] ],I22,Table12633[KendallTauCorrelation])</f>
        <v>0.91460674157303301</v>
      </c>
      <c r="L22" s="2">
        <f>AVERAGEIF(Table12633[ [ Cycle size] ],I22,Table12633[DiscountedCumulativeGain])</f>
        <v>0.92072117192839797</v>
      </c>
    </row>
    <row r="23" spans="1:12" x14ac:dyDescent="0.35">
      <c r="A23" s="1">
        <v>11.2</v>
      </c>
      <c r="B23" s="1">
        <v>9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</row>
    <row r="24" spans="1:12" x14ac:dyDescent="0.35">
      <c r="A24" s="1">
        <v>17.2</v>
      </c>
      <c r="B24" s="1">
        <v>9</v>
      </c>
      <c r="C24" s="1">
        <v>0.77777777777777701</v>
      </c>
      <c r="D24" s="1">
        <v>0.95</v>
      </c>
      <c r="E24" s="1">
        <v>0.94444444444444398</v>
      </c>
      <c r="F24" s="1">
        <v>0.88888888888888795</v>
      </c>
      <c r="G24" s="1">
        <v>0.91894506872036597</v>
      </c>
    </row>
    <row r="25" spans="1:12" x14ac:dyDescent="0.35">
      <c r="A25" s="1">
        <v>21.2</v>
      </c>
      <c r="B25" s="1">
        <v>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1:12" x14ac:dyDescent="0.35">
      <c r="A26" s="1">
        <v>40.200000000000003</v>
      </c>
      <c r="B26" s="1">
        <v>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I26" s="11"/>
      <c r="J26" s="11"/>
    </row>
    <row r="27" spans="1:12" x14ac:dyDescent="0.35">
      <c r="A27" s="1">
        <v>37.200000000000003</v>
      </c>
      <c r="B27" s="1">
        <v>10</v>
      </c>
      <c r="C27" s="1">
        <v>0.5</v>
      </c>
      <c r="D27" s="1">
        <v>0.76</v>
      </c>
      <c r="E27" s="1">
        <v>0.64444444444444404</v>
      </c>
      <c r="F27" s="1">
        <v>0.49090909090909002</v>
      </c>
      <c r="G27" s="1">
        <v>0.97949650064028804</v>
      </c>
      <c r="I27" s="11"/>
      <c r="J27" s="11"/>
    </row>
    <row r="28" spans="1:12" x14ac:dyDescent="0.35">
      <c r="A28" s="1">
        <v>38.200000000000003</v>
      </c>
      <c r="B28" s="1">
        <v>10</v>
      </c>
      <c r="C28" s="1">
        <v>0.6</v>
      </c>
      <c r="D28" s="1">
        <v>0.88</v>
      </c>
      <c r="E28" s="1">
        <v>0.86666666666666603</v>
      </c>
      <c r="F28" s="1">
        <v>0.6</v>
      </c>
      <c r="G28" s="1">
        <v>0.95752113063274102</v>
      </c>
      <c r="I28" s="11"/>
      <c r="J28" s="11"/>
    </row>
    <row r="29" spans="1:12" x14ac:dyDescent="0.35">
      <c r="A29" s="1">
        <v>42.2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I29" s="11"/>
      <c r="J29" s="11"/>
    </row>
    <row r="30" spans="1:12" x14ac:dyDescent="0.35">
      <c r="A30" s="1">
        <v>3.2</v>
      </c>
      <c r="B30" s="1">
        <v>12</v>
      </c>
      <c r="C30" s="1">
        <v>0.83333333333333304</v>
      </c>
      <c r="D30" s="1">
        <v>0.97222222222222199</v>
      </c>
      <c r="E30" s="1">
        <v>0.96969696969696895</v>
      </c>
      <c r="F30" s="1">
        <v>0.88461538461538403</v>
      </c>
      <c r="G30" s="1">
        <v>0.93777575572630201</v>
      </c>
      <c r="I30" s="11"/>
      <c r="J30" s="11"/>
    </row>
    <row r="31" spans="1:12" x14ac:dyDescent="0.35">
      <c r="A31" s="1">
        <v>12.2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I31" s="11"/>
      <c r="J31" s="11"/>
    </row>
    <row r="32" spans="1:12" x14ac:dyDescent="0.35">
      <c r="A32" s="1">
        <v>15.2</v>
      </c>
      <c r="B32" s="1">
        <v>12</v>
      </c>
      <c r="C32" s="1">
        <v>0.58333333333333304</v>
      </c>
      <c r="D32" s="1">
        <v>0.86111111111111105</v>
      </c>
      <c r="E32" s="1">
        <v>0.84848484848484795</v>
      </c>
      <c r="F32" s="1">
        <v>0.487179487179487</v>
      </c>
      <c r="G32" s="1">
        <v>0.99246454261069295</v>
      </c>
      <c r="I32" s="11"/>
      <c r="J32" s="11"/>
    </row>
    <row r="33" spans="1:10" x14ac:dyDescent="0.35">
      <c r="A33" s="1">
        <v>41.2</v>
      </c>
      <c r="B33" s="1">
        <v>12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I33" s="11"/>
      <c r="J33" s="11"/>
    </row>
    <row r="34" spans="1:10" x14ac:dyDescent="0.35">
      <c r="A34" s="1">
        <v>47.2</v>
      </c>
      <c r="B34" s="1">
        <v>12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I34" s="11"/>
      <c r="J34" s="11"/>
    </row>
    <row r="35" spans="1:10" x14ac:dyDescent="0.35">
      <c r="A35" s="1">
        <v>25.2</v>
      </c>
      <c r="B35" s="1">
        <v>14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I35" s="11"/>
      <c r="J35" s="11"/>
    </row>
    <row r="36" spans="1:10" x14ac:dyDescent="0.35">
      <c r="A36" s="1">
        <v>28.2</v>
      </c>
      <c r="B36" s="1">
        <v>14</v>
      </c>
      <c r="C36" s="1">
        <v>0.57142857142857095</v>
      </c>
      <c r="D36" s="1">
        <v>0.87755102040816302</v>
      </c>
      <c r="E36" s="1">
        <v>0.86813186813186805</v>
      </c>
      <c r="F36" s="1">
        <v>0.74285714285714199</v>
      </c>
      <c r="G36" s="1">
        <v>0.79294171850588602</v>
      </c>
      <c r="I36" s="11"/>
      <c r="J36" s="11"/>
    </row>
    <row r="37" spans="1:10" x14ac:dyDescent="0.35">
      <c r="A37" s="1">
        <v>49.2</v>
      </c>
      <c r="B37" s="1">
        <v>14</v>
      </c>
      <c r="C37" s="1">
        <v>0.57142857142857095</v>
      </c>
      <c r="D37" s="1">
        <v>0.89795918367346905</v>
      </c>
      <c r="E37" s="1">
        <v>0.89010989010988995</v>
      </c>
      <c r="F37" s="1">
        <v>0.628571428571428</v>
      </c>
      <c r="G37" s="1">
        <v>0.86614331369331798</v>
      </c>
      <c r="I37" s="11"/>
      <c r="J37" s="11"/>
    </row>
    <row r="38" spans="1:10" x14ac:dyDescent="0.35">
      <c r="A38" s="1">
        <v>46.2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I38" s="11"/>
      <c r="J38" s="11"/>
    </row>
    <row r="39" spans="1:10" x14ac:dyDescent="0.35">
      <c r="A39" s="1">
        <v>7.2</v>
      </c>
      <c r="B39" s="1">
        <v>16</v>
      </c>
      <c r="C39" s="1">
        <v>0.625</v>
      </c>
      <c r="D39" s="1">
        <v>0.875</v>
      </c>
      <c r="E39" s="1">
        <v>0.86666666666666603</v>
      </c>
      <c r="F39" s="1">
        <v>0.625</v>
      </c>
      <c r="G39" s="1">
        <v>0.899031352405118</v>
      </c>
      <c r="I39" s="11"/>
      <c r="J39" s="11"/>
    </row>
    <row r="40" spans="1:10" x14ac:dyDescent="0.35">
      <c r="A40" s="1">
        <v>34.200000000000003</v>
      </c>
      <c r="B40" s="1">
        <v>16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I40" s="11"/>
      <c r="J40" s="11"/>
    </row>
    <row r="41" spans="1:10" x14ac:dyDescent="0.35">
      <c r="A41" s="1">
        <v>14.2</v>
      </c>
      <c r="B41" s="1">
        <v>17</v>
      </c>
      <c r="C41" s="1">
        <v>0.58823529411764697</v>
      </c>
      <c r="D41" s="1">
        <v>0.90277777777777701</v>
      </c>
      <c r="E41" s="1">
        <v>0.89705882352941102</v>
      </c>
      <c r="F41" s="1">
        <v>0.49673202614378997</v>
      </c>
      <c r="G41" s="1">
        <v>0.93522576164775495</v>
      </c>
      <c r="I41" s="11"/>
      <c r="J41" s="11"/>
    </row>
    <row r="42" spans="1:10" x14ac:dyDescent="0.35">
      <c r="A42" s="1">
        <v>36.200000000000003</v>
      </c>
      <c r="B42" s="1">
        <v>17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I42" s="11"/>
      <c r="J42" s="11"/>
    </row>
    <row r="43" spans="1:10" x14ac:dyDescent="0.35">
      <c r="A43" s="1">
        <v>45.2</v>
      </c>
      <c r="B43" s="1">
        <v>18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I43" s="11"/>
      <c r="J43" s="11"/>
    </row>
    <row r="44" spans="1:10" x14ac:dyDescent="0.35">
      <c r="A44" s="1">
        <v>48.2</v>
      </c>
      <c r="B44" s="1">
        <v>18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I44" s="11"/>
      <c r="J44" s="11"/>
    </row>
    <row r="45" spans="1:10" x14ac:dyDescent="0.35">
      <c r="A45" s="1">
        <v>18.2</v>
      </c>
      <c r="B45" s="1">
        <v>20</v>
      </c>
      <c r="C45" s="1">
        <v>0.5</v>
      </c>
      <c r="D45" s="1">
        <v>0.85</v>
      </c>
      <c r="E45" s="1">
        <v>0.84210526315789402</v>
      </c>
      <c r="F45" s="1">
        <v>0.30952380952380898</v>
      </c>
      <c r="G45" s="1">
        <v>0.96090067853169103</v>
      </c>
      <c r="I45" s="11"/>
      <c r="J45" s="11"/>
    </row>
    <row r="46" spans="1:10" x14ac:dyDescent="0.35">
      <c r="A46" s="1">
        <v>35.200000000000003</v>
      </c>
      <c r="B46" s="1">
        <v>20</v>
      </c>
      <c r="C46" s="1">
        <v>0.5</v>
      </c>
      <c r="D46" s="1">
        <v>0.89</v>
      </c>
      <c r="E46" s="1">
        <v>0.884210526315789</v>
      </c>
      <c r="F46" s="1">
        <v>0.5</v>
      </c>
      <c r="G46" s="1">
        <v>0.82661733697374296</v>
      </c>
      <c r="I46" s="11"/>
      <c r="J46" s="11"/>
    </row>
    <row r="47" spans="1:10" x14ac:dyDescent="0.35">
      <c r="A47" s="1">
        <v>24.2</v>
      </c>
      <c r="B47" s="1">
        <v>21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I47" s="11"/>
      <c r="J47" s="11"/>
    </row>
    <row r="48" spans="1:10" x14ac:dyDescent="0.35">
      <c r="A48" s="1">
        <v>44.2</v>
      </c>
      <c r="B48" s="1">
        <v>25</v>
      </c>
      <c r="C48" s="1">
        <v>0.52</v>
      </c>
      <c r="D48" s="1">
        <v>0.94230769230769196</v>
      </c>
      <c r="E48" s="1">
        <v>0.94</v>
      </c>
      <c r="F48" s="1">
        <v>0.70461538461538398</v>
      </c>
      <c r="G48" s="1">
        <v>0.68409645387120899</v>
      </c>
      <c r="I48" s="11"/>
      <c r="J48" s="11"/>
    </row>
    <row r="49" spans="1:10" x14ac:dyDescent="0.35">
      <c r="A49" s="1">
        <v>31.2</v>
      </c>
      <c r="B49" s="1">
        <v>30</v>
      </c>
      <c r="C49" s="1">
        <v>0.8</v>
      </c>
      <c r="D49" s="1">
        <v>0.982222222222222</v>
      </c>
      <c r="E49" s="1">
        <v>0.98160919540229796</v>
      </c>
      <c r="F49" s="1">
        <v>0.72903225806451599</v>
      </c>
      <c r="G49" s="1">
        <v>0.95627167608463903</v>
      </c>
      <c r="I49" s="11"/>
      <c r="J49" s="11"/>
    </row>
    <row r="50" spans="1:10" x14ac:dyDescent="0.35">
      <c r="A50" s="1">
        <v>16.2</v>
      </c>
      <c r="B50" s="1">
        <v>40</v>
      </c>
      <c r="C50" s="1">
        <v>0.52500000000000002</v>
      </c>
      <c r="D50" s="1">
        <v>0.87250000000000005</v>
      </c>
      <c r="E50" s="1">
        <v>0.86923076923076903</v>
      </c>
      <c r="F50" s="1">
        <v>0.328048780487804</v>
      </c>
      <c r="G50" s="1">
        <v>0.90141726976996694</v>
      </c>
      <c r="I50" s="11"/>
      <c r="J50" s="11"/>
    </row>
    <row r="51" spans="1:10" x14ac:dyDescent="0.35">
      <c r="A51" s="1">
        <v>19.2</v>
      </c>
      <c r="B51" s="1">
        <v>90</v>
      </c>
      <c r="C51" s="1">
        <v>0.6</v>
      </c>
      <c r="D51" s="1">
        <v>0.91555555555555501</v>
      </c>
      <c r="E51" s="1">
        <v>0.91460674157303301</v>
      </c>
      <c r="F51" s="1">
        <v>0.371428571428571</v>
      </c>
      <c r="G51" s="1">
        <v>0.92072117192839797</v>
      </c>
      <c r="I51" s="11"/>
      <c r="J51" s="11"/>
    </row>
    <row r="52" spans="1:10" x14ac:dyDescent="0.35">
      <c r="A52" s="1" t="s">
        <v>32</v>
      </c>
      <c r="C52" s="1">
        <f>SUBTOTAL(101,Table12633[JaccardCoefficient])</f>
        <v>0.83603772175536872</v>
      </c>
      <c r="D52" s="1">
        <f>SUBTOTAL(101,Table12633[MismatchDistanceCoefficient])</f>
        <v>0.94502858015000879</v>
      </c>
      <c r="E52" s="1">
        <f>SUBTOTAL(101,Table12633[KendallTauCorrelation])</f>
        <v>0.9358509296586871</v>
      </c>
      <c r="F52" s="1">
        <f>SUBTOTAL(101,Table12633[MismatchPositionCoefficient])</f>
        <v>0.83758931490697575</v>
      </c>
      <c r="G52" s="1">
        <f>SUBTOTAL(101,Table12633[DiscountedCumulativeGain])</f>
        <v>0.95982535645220013</v>
      </c>
      <c r="I52" s="11"/>
      <c r="J52" s="11"/>
    </row>
  </sheetData>
  <pageMargins left="0.7" right="0.7" top="0.75" bottom="0.75" header="0.3" footer="0.3"/>
  <ignoredErrors>
    <ignoredError sqref="O4:Q4" formulaRange="1"/>
  </ignoredErrors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5E81-261F-4DE3-A202-236D5CA24336}">
  <dimension ref="A2:AN38"/>
  <sheetViews>
    <sheetView showGridLines="0" zoomScale="40" zoomScaleNormal="40" workbookViewId="0">
      <selection activeCell="H45" sqref="H45"/>
    </sheetView>
  </sheetViews>
  <sheetFormatPr defaultRowHeight="14.5" x14ac:dyDescent="0.35"/>
  <cols>
    <col min="1" max="1" width="6.453125" customWidth="1"/>
  </cols>
  <sheetData>
    <row r="2" spans="1:34" s="14" customFormat="1" ht="18.5" x14ac:dyDescent="0.45">
      <c r="F2" s="14" t="s">
        <v>35</v>
      </c>
      <c r="O2" s="14" t="s">
        <v>37</v>
      </c>
      <c r="Y2" s="14" t="s">
        <v>36</v>
      </c>
      <c r="AH2" s="14" t="s">
        <v>38</v>
      </c>
    </row>
    <row r="10" spans="1:34" ht="18.5" x14ac:dyDescent="0.45">
      <c r="A10" s="13" t="s">
        <v>39</v>
      </c>
    </row>
    <row r="22" spans="1:40" s="14" customFormat="1" ht="18.5" x14ac:dyDescent="0.45">
      <c r="F22" s="14" t="s">
        <v>35</v>
      </c>
      <c r="O22" s="14" t="s">
        <v>37</v>
      </c>
      <c r="Y22" s="14" t="s">
        <v>36</v>
      </c>
      <c r="AH22" s="14" t="s">
        <v>38</v>
      </c>
    </row>
    <row r="23" spans="1:4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.5" x14ac:dyDescent="0.45">
      <c r="A28" s="13" t="s">
        <v>39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6035-73C4-4010-B22F-1760326F507E}">
  <dimension ref="B2:G16"/>
  <sheetViews>
    <sheetView tabSelected="1" workbookViewId="0">
      <selection activeCell="B11" sqref="B11:F12"/>
    </sheetView>
  </sheetViews>
  <sheetFormatPr defaultRowHeight="14.5" x14ac:dyDescent="0.35"/>
  <sheetData>
    <row r="2" spans="2:7" x14ac:dyDescent="0.35">
      <c r="B2" s="1" t="s">
        <v>43</v>
      </c>
      <c r="C2" s="1" t="s">
        <v>5</v>
      </c>
      <c r="D2" s="1" t="s">
        <v>7</v>
      </c>
      <c r="E2" s="1" t="s">
        <v>6</v>
      </c>
      <c r="F2" s="1" t="s">
        <v>8</v>
      </c>
      <c r="G2" s="1"/>
    </row>
    <row r="3" spans="2:7" x14ac:dyDescent="0.35">
      <c r="B3" s="1" t="s">
        <v>31</v>
      </c>
      <c r="C3" s="2">
        <f>Linear!O2</f>
        <v>-0.53246994822591609</v>
      </c>
      <c r="D3" s="2">
        <f>Discontinuous!O2</f>
        <v>-0.79359322745568095</v>
      </c>
      <c r="E3" s="2">
        <f>Saturating!O2</f>
        <v>-0.75392270877999112</v>
      </c>
      <c r="F3" s="2">
        <f>Combined!O2</f>
        <v>-0.71018114887203065</v>
      </c>
      <c r="G3" s="1"/>
    </row>
    <row r="4" spans="2:7" x14ac:dyDescent="0.35">
      <c r="B4" s="1" t="s">
        <v>44</v>
      </c>
      <c r="C4" s="2">
        <f>Linear!O4</f>
        <v>-0.45443687792318754</v>
      </c>
      <c r="D4" s="2">
        <f>Discontinuous!O4</f>
        <v>-0.62230641800395947</v>
      </c>
      <c r="E4" s="2">
        <f>Saturating!O4</f>
        <v>-0.87172115521818738</v>
      </c>
      <c r="F4" s="2">
        <f>Combined!O4</f>
        <v>-0.75029799695316901</v>
      </c>
      <c r="G4" s="1"/>
    </row>
    <row r="5" spans="2:7" x14ac:dyDescent="0.35">
      <c r="B5" s="1"/>
      <c r="C5" s="1"/>
      <c r="D5" s="1"/>
      <c r="E5" s="1"/>
      <c r="F5" s="1"/>
      <c r="G5" s="1"/>
    </row>
    <row r="6" spans="2:7" x14ac:dyDescent="0.35">
      <c r="B6" s="1" t="s">
        <v>29</v>
      </c>
      <c r="C6" s="1" t="s">
        <v>5</v>
      </c>
      <c r="D6" s="1" t="s">
        <v>7</v>
      </c>
      <c r="E6" s="1" t="s">
        <v>6</v>
      </c>
      <c r="F6" s="1" t="s">
        <v>8</v>
      </c>
      <c r="G6" s="1"/>
    </row>
    <row r="7" spans="2:7" x14ac:dyDescent="0.35">
      <c r="B7" s="1" t="s">
        <v>31</v>
      </c>
      <c r="C7" s="2">
        <f>Linear!P2</f>
        <v>-0.19103890278885322</v>
      </c>
      <c r="D7" s="2">
        <f>Discontinuous!P2</f>
        <v>-1.5624617602267566E-2</v>
      </c>
      <c r="E7" s="2">
        <f>Saturating!P2</f>
        <v>-0.57593386729312046</v>
      </c>
      <c r="F7" s="2">
        <f>Combined!P2</f>
        <v>-3.1345402429609481E-2</v>
      </c>
      <c r="G7" s="1"/>
    </row>
    <row r="8" spans="2:7" x14ac:dyDescent="0.35">
      <c r="B8" s="1" t="s">
        <v>44</v>
      </c>
      <c r="C8" s="2">
        <f>Linear!P4</f>
        <v>6.6543334560536793E-3</v>
      </c>
      <c r="D8" s="2">
        <f>Discontinuous!P4</f>
        <v>7.0987319974828253E-2</v>
      </c>
      <c r="E8" s="2">
        <f>Saturating!P4</f>
        <v>-0.57656548619946735</v>
      </c>
      <c r="F8" s="2">
        <f>Combined!P4</f>
        <v>-0.1694141927084977</v>
      </c>
      <c r="G8" s="1"/>
    </row>
    <row r="9" spans="2:7" x14ac:dyDescent="0.35">
      <c r="B9" s="1"/>
      <c r="C9" s="1"/>
      <c r="D9" s="1"/>
      <c r="E9" s="1"/>
      <c r="F9" s="1"/>
      <c r="G9" s="1"/>
    </row>
    <row r="10" spans="2:7" x14ac:dyDescent="0.35">
      <c r="B10" s="1" t="s">
        <v>34</v>
      </c>
      <c r="C10" s="1" t="s">
        <v>5</v>
      </c>
      <c r="D10" s="1" t="s">
        <v>7</v>
      </c>
      <c r="E10" s="1" t="s">
        <v>6</v>
      </c>
      <c r="F10" s="1" t="s">
        <v>8</v>
      </c>
      <c r="G10" s="1"/>
    </row>
    <row r="11" spans="2:7" x14ac:dyDescent="0.35">
      <c r="B11" s="1" t="s">
        <v>31</v>
      </c>
      <c r="C11" s="2">
        <f>Linear!Q2</f>
        <v>-0.29960088852974315</v>
      </c>
      <c r="D11" s="2">
        <f>Discontinuous!Q2</f>
        <v>-0.9093991241335091</v>
      </c>
      <c r="E11" s="2">
        <f>Saturating!Q2</f>
        <v>-0.90669507372884584</v>
      </c>
      <c r="F11" s="2">
        <f>Combined!Q2</f>
        <v>-0.87642903442130859</v>
      </c>
      <c r="G11" s="1"/>
    </row>
    <row r="12" spans="2:7" x14ac:dyDescent="0.35">
      <c r="B12" s="1" t="s">
        <v>44</v>
      </c>
      <c r="C12" s="2">
        <f>Linear!Q4</f>
        <v>-0.44078791706766474</v>
      </c>
      <c r="D12" s="2">
        <f>Discontinuous!Q4</f>
        <v>-0.71782163823377798</v>
      </c>
      <c r="E12" s="2">
        <f>Saturating!Q4</f>
        <v>-0.90904383536546407</v>
      </c>
      <c r="F12" s="2">
        <f>Combined!Q4</f>
        <v>-0.8627956639382367</v>
      </c>
      <c r="G12" s="1"/>
    </row>
    <row r="13" spans="2:7" x14ac:dyDescent="0.35">
      <c r="B13" s="1"/>
      <c r="C13" s="1"/>
      <c r="D13" s="1"/>
      <c r="E13" s="1"/>
      <c r="F13" s="1"/>
      <c r="G13" s="1"/>
    </row>
    <row r="14" spans="2:7" x14ac:dyDescent="0.35">
      <c r="B14" s="1"/>
      <c r="C14" s="1"/>
      <c r="D14" s="1"/>
      <c r="E14" s="1"/>
      <c r="F14" s="1"/>
      <c r="G14" s="1"/>
    </row>
    <row r="15" spans="2:7" x14ac:dyDescent="0.35">
      <c r="B15" s="1" t="s">
        <v>45</v>
      </c>
      <c r="C15" s="1"/>
      <c r="D15" s="1"/>
      <c r="E15" s="1"/>
      <c r="F15" s="1"/>
      <c r="G15" s="1"/>
    </row>
    <row r="16" spans="2:7" x14ac:dyDescent="0.35">
      <c r="B16" s="1" t="s">
        <v>46</v>
      </c>
      <c r="C16" s="1"/>
      <c r="D16" s="1"/>
      <c r="E16" s="1"/>
      <c r="F16" s="1"/>
      <c r="G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B5" sqref="B5"/>
    </sheetView>
  </sheetViews>
  <sheetFormatPr defaultRowHeight="14.5" x14ac:dyDescent="0.35"/>
  <cols>
    <col min="1" max="1" width="12.7265625" customWidth="1"/>
  </cols>
  <sheetData>
    <row r="1" spans="1:4" x14ac:dyDescent="0.3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35">
      <c r="A2" s="5" t="s">
        <v>5</v>
      </c>
      <c r="B2" s="3" t="e">
        <f>#REF!</f>
        <v>#REF!</v>
      </c>
      <c r="C2" s="3">
        <f>Linear!E3</f>
        <v>1</v>
      </c>
      <c r="D2" s="3">
        <f>Linear!E4</f>
        <v>1</v>
      </c>
    </row>
    <row r="3" spans="1:4" x14ac:dyDescent="0.35">
      <c r="A3" s="5" t="s">
        <v>6</v>
      </c>
      <c r="B3" s="4" t="e">
        <f>Saturating!#REF!</f>
        <v>#REF!</v>
      </c>
      <c r="C3" s="4" t="e">
        <f>#REF!</f>
        <v>#REF!</v>
      </c>
      <c r="D3" s="4" t="e">
        <f>Saturating!#REF!</f>
        <v>#REF!</v>
      </c>
    </row>
    <row r="4" spans="1:4" x14ac:dyDescent="0.35">
      <c r="A4" s="5" t="s">
        <v>7</v>
      </c>
      <c r="B4" s="4" t="e">
        <f>#REF!</f>
        <v>#REF!</v>
      </c>
      <c r="C4" s="4" t="e">
        <f>#REF!</f>
        <v>#REF!</v>
      </c>
      <c r="D4" s="4" t="e">
        <f>#REF!</f>
        <v>#REF!</v>
      </c>
    </row>
    <row r="5" spans="1:4" x14ac:dyDescent="0.3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18" spans="6:6" x14ac:dyDescent="0.35">
      <c r="F18" t="s">
        <v>13</v>
      </c>
    </row>
    <row r="19" spans="6:6" x14ac:dyDescent="0.35">
      <c r="F19" t="s">
        <v>14</v>
      </c>
    </row>
    <row r="20" spans="6:6" x14ac:dyDescent="0.35">
      <c r="F20" t="s">
        <v>15</v>
      </c>
    </row>
    <row r="21" spans="6:6" x14ac:dyDescent="0.35">
      <c r="F21" t="s">
        <v>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7" sqref="D7"/>
    </sheetView>
  </sheetViews>
  <sheetFormatPr defaultRowHeight="14.5" x14ac:dyDescent="0.35"/>
  <cols>
    <col min="1" max="1" width="13.7265625" customWidth="1"/>
  </cols>
  <sheetData>
    <row r="1" spans="1:13" x14ac:dyDescent="0.35">
      <c r="A1" s="6" t="s">
        <v>9</v>
      </c>
      <c r="B1" s="6" t="s">
        <v>10</v>
      </c>
      <c r="C1" s="6" t="s">
        <v>11</v>
      </c>
      <c r="D1" s="6" t="s">
        <v>12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s="5" t="s">
        <v>5</v>
      </c>
      <c r="B2" s="3">
        <f>Linear!E7</f>
        <v>1</v>
      </c>
      <c r="C2" s="3">
        <f>Linear!E8</f>
        <v>1</v>
      </c>
      <c r="D2" s="3">
        <f>Linear!E9</f>
        <v>1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35">
      <c r="A3" s="5" t="s">
        <v>6</v>
      </c>
      <c r="B3" s="4" t="e">
        <f>Saturating!#REF!</f>
        <v>#REF!</v>
      </c>
      <c r="C3" s="4" t="e">
        <f>Saturating!#REF!</f>
        <v>#REF!</v>
      </c>
      <c r="D3" s="4" t="e">
        <f>Saturating!#REF!</f>
        <v>#REF!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35">
      <c r="A4" s="5" t="s">
        <v>7</v>
      </c>
      <c r="B4" s="4" t="e">
        <f>#REF!</f>
        <v>#REF!</v>
      </c>
      <c r="C4" s="10" t="e">
        <f>#REF!</f>
        <v>#REF!</v>
      </c>
      <c r="D4" s="4" t="e">
        <f>#REF!</f>
        <v>#REF!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5">
      <c r="A18" s="1"/>
      <c r="B18" s="1"/>
      <c r="C18" s="1"/>
      <c r="D18" s="1"/>
      <c r="E18" s="1"/>
      <c r="F18" s="1" t="s">
        <v>17</v>
      </c>
      <c r="G18" s="1"/>
      <c r="H18" s="1"/>
      <c r="I18" s="1"/>
      <c r="J18" s="1"/>
      <c r="K18" s="1"/>
      <c r="L18" s="1"/>
      <c r="M18" s="1"/>
    </row>
    <row r="19" spans="1:13" x14ac:dyDescent="0.35">
      <c r="A19" s="1"/>
      <c r="B19" s="1"/>
      <c r="C19" s="1"/>
      <c r="D19" s="1"/>
      <c r="E19" s="1"/>
      <c r="F19" s="1" t="s">
        <v>18</v>
      </c>
      <c r="G19" s="1"/>
      <c r="H19" s="1"/>
      <c r="I19" s="1"/>
      <c r="J19" s="1"/>
      <c r="K19" s="1"/>
      <c r="L19" s="1"/>
      <c r="M19" s="1"/>
    </row>
    <row r="20" spans="1:13" x14ac:dyDescent="0.35">
      <c r="A20" s="1"/>
      <c r="B20" s="1"/>
      <c r="C20" s="1"/>
      <c r="D20" s="1"/>
      <c r="E20" s="1"/>
      <c r="F20" s="1" t="s">
        <v>19</v>
      </c>
      <c r="G20" s="1"/>
      <c r="H20" s="1"/>
      <c r="I20" s="1"/>
      <c r="J20" s="1"/>
      <c r="K20" s="1"/>
      <c r="L20" s="1"/>
      <c r="M20" s="1"/>
    </row>
    <row r="21" spans="1:13" x14ac:dyDescent="0.35">
      <c r="A21" s="1"/>
      <c r="B21" s="1"/>
      <c r="C21" s="1"/>
      <c r="D21" s="1"/>
      <c r="E21" s="1"/>
      <c r="F21" s="1" t="s">
        <v>20</v>
      </c>
      <c r="G21" s="1"/>
      <c r="H21" s="1"/>
      <c r="I21" s="1"/>
      <c r="J21" s="1"/>
      <c r="K21" s="1"/>
      <c r="L21" s="1"/>
      <c r="M21" s="1"/>
    </row>
    <row r="22" spans="1:13" x14ac:dyDescent="0.35">
      <c r="A22" s="1"/>
      <c r="B22" s="1"/>
      <c r="C22" s="1"/>
      <c r="D22" s="1"/>
      <c r="E22" s="1"/>
      <c r="F22" s="1" t="s">
        <v>21</v>
      </c>
      <c r="G22" s="1"/>
      <c r="H22" s="1"/>
      <c r="I22" s="1"/>
      <c r="J22" s="1"/>
      <c r="K22" s="1"/>
      <c r="L22" s="1"/>
      <c r="M22" s="1"/>
    </row>
    <row r="23" spans="1:13" x14ac:dyDescent="0.35">
      <c r="F23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zoomScale="90" zoomScaleNormal="90" workbookViewId="0">
      <selection activeCell="O13" sqref="O13"/>
    </sheetView>
  </sheetViews>
  <sheetFormatPr defaultRowHeight="14.5" x14ac:dyDescent="0.35"/>
  <cols>
    <col min="1" max="1" width="13.7265625" style="1" customWidth="1"/>
    <col min="2" max="16384" width="8.7265625" style="1"/>
  </cols>
  <sheetData>
    <row r="1" spans="1:4" x14ac:dyDescent="0.3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35">
      <c r="A2" s="5" t="s">
        <v>5</v>
      </c>
      <c r="B2" s="3">
        <f>Linear!E22</f>
        <v>0.22222222222222199</v>
      </c>
      <c r="C2" s="3">
        <f>Linear!E23</f>
        <v>1</v>
      </c>
      <c r="D2" s="3">
        <f>Linear!E24</f>
        <v>0.94444444444444398</v>
      </c>
    </row>
    <row r="3" spans="1:4" x14ac:dyDescent="0.35">
      <c r="A3" s="5" t="s">
        <v>6</v>
      </c>
      <c r="B3" s="4" t="e">
        <f>Saturating!#REF!</f>
        <v>#REF!</v>
      </c>
      <c r="C3" s="4" t="e">
        <f>Saturating!#REF!</f>
        <v>#REF!</v>
      </c>
      <c r="D3" s="4" t="e">
        <f>Saturating!#REF!</f>
        <v>#REF!</v>
      </c>
    </row>
    <row r="4" spans="1:4" x14ac:dyDescent="0.35">
      <c r="A4" s="5" t="s">
        <v>7</v>
      </c>
      <c r="B4" s="4" t="e">
        <f>#REF!</f>
        <v>#REF!</v>
      </c>
      <c r="C4" s="10" t="e">
        <f>#REF!</f>
        <v>#REF!</v>
      </c>
      <c r="D4" s="4" t="e">
        <f>#REF!</f>
        <v>#REF!</v>
      </c>
    </row>
    <row r="5" spans="1:4" x14ac:dyDescent="0.3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18" spans="6:6" x14ac:dyDescent="0.35">
      <c r="F18" s="1" t="s">
        <v>25</v>
      </c>
    </row>
    <row r="19" spans="6:6" x14ac:dyDescent="0.35">
      <c r="F19" s="1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Discontinuous</vt:lpstr>
      <vt:lpstr>Saturating</vt:lpstr>
      <vt:lpstr>Linear</vt:lpstr>
      <vt:lpstr>Charts</vt:lpstr>
      <vt:lpstr>Correlations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2018-01-14T16:10:58Z</dcterms:created>
  <dcterms:modified xsi:type="dcterms:W3CDTF">2018-01-24T18:40:07Z</dcterms:modified>
</cp:coreProperties>
</file>