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9K\FullTrace\"/>
    </mc:Choice>
  </mc:AlternateContent>
  <bookViews>
    <workbookView minimized="1" xWindow="0" yWindow="0" windowWidth="18270" windowHeight="7240" tabRatio="809" activeTab="4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 concurrentCalc="0"/>
</workbook>
</file>

<file path=xl/calcChain.xml><?xml version="1.0" encoding="utf-8"?>
<calcChain xmlns="http://schemas.openxmlformats.org/spreadsheetml/2006/main">
  <c r="F12" i="14" l="1"/>
  <c r="D12" i="14"/>
  <c r="E12" i="14"/>
  <c r="C12" i="14"/>
  <c r="F11" i="14"/>
  <c r="D11" i="14"/>
  <c r="E11" i="14"/>
  <c r="C11" i="14"/>
  <c r="F8" i="14"/>
  <c r="D8" i="14"/>
  <c r="E8" i="14"/>
  <c r="C8" i="14"/>
  <c r="F7" i="14"/>
  <c r="D7" i="14"/>
  <c r="E7" i="14"/>
  <c r="C7" i="14"/>
  <c r="F4" i="14"/>
  <c r="D4" i="14"/>
  <c r="E4" i="14"/>
  <c r="C4" i="14"/>
  <c r="F3" i="14"/>
  <c r="D3" i="14"/>
  <c r="E3" i="14"/>
  <c r="C3" i="14"/>
  <c r="Q4" i="12"/>
  <c r="P4" i="12"/>
  <c r="O4" i="12"/>
  <c r="Q2" i="12"/>
  <c r="P2" i="12"/>
  <c r="O2" i="12"/>
  <c r="Q4" i="11"/>
  <c r="P4" i="11"/>
  <c r="O4" i="11"/>
  <c r="Q2" i="11"/>
  <c r="P2" i="11"/>
  <c r="O2" i="11"/>
  <c r="Q4" i="3"/>
  <c r="P4" i="3"/>
  <c r="O4" i="3"/>
  <c r="Q2" i="3"/>
  <c r="P2" i="3"/>
  <c r="O2" i="3"/>
  <c r="P4" i="4"/>
  <c r="Q4" i="4"/>
  <c r="O4" i="4"/>
  <c r="Q2" i="4"/>
  <c r="P2" i="4"/>
  <c r="O2" i="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2" i="3"/>
  <c r="K2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</calcChain>
</file>

<file path=xl/sharedStrings.xml><?xml version="1.0" encoding="utf-8"?>
<sst xmlns="http://schemas.openxmlformats.org/spreadsheetml/2006/main" count="203" uniqueCount="47">
  <si>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</si>
  <si>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</si>
  <si>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</si>
  <si>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</si>
  <si>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</si>
  <si>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</si>
  <si>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</si>
  <si>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</si>
  <si>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</si>
  <si>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</si>
  <si>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</si>
  <si>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</si>
  <si>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</si>
  <si>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</si>
  <si>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</si>
  <si>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</si>
  <si>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</si>
  <si>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</si>
  <si>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</si>
  <si>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</si>
  <si>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</si>
  <si>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</si>
  <si>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</si>
  <si>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</si>
  <si>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</si>
  <si>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</si>
  <si>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</si>
  <si>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</si>
  <si>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</si>
  <si>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</si>
  <si>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</si>
  <si>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</si>
  <si>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</si>
  <si>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</si>
  <si>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</si>
  <si>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</si>
  <si>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</si>
  <si>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</si>
  <si>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</si>
  <si>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9k</t>
  </si>
  <si>
    <t>Jaccard</t>
  </si>
  <si>
    <t>Up to 30</t>
  </si>
  <si>
    <t>Higher complexity, lower similarity for Jaccard and DCG.</t>
  </si>
  <si>
    <t>This is confirmed by computing the correlations between cycle size and similarity metric value.</t>
  </si>
  <si>
    <t>Statistic</t>
  </si>
  <si>
    <t>Correl</t>
  </si>
  <si>
    <t>Correlation (cut 40 and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</si>
</sst>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757171"/>
      <name val="Calibri"/>
      <family val="2"/>
    </font>
    <font>
      <sz val="10"/>
      <color rgb="FF75717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33" borderId="10" xfId="0" applyFont="1" applyFill="1" applyBorder="1"/>
    <xf numFmtId="0" fontId="19" fillId="33" borderId="10" xfId="0" applyFont="1" applyFill="1" applyBorder="1" applyAlignment="1">
      <alignment horizontal="center"/>
    </xf>
    <xf numFmtId="2" fontId="2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  <c:pt idx="20">
                  <c:v>0.344444444444444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  <c:pt idx="20">
                  <c:v>0.96454431960049902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  <c:pt idx="20">
                  <c:v>0.60267946643171399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B-409C-9EED-BE2D8A5FEE01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B-409C-9EED-BE2D8A5FEE01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Saturating!$L$2:$L$21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B-409C-9EED-BE2D8A5F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Discontinuous!$J$2:$J$21</c:f>
              <c:numCache>
                <c:formatCode>0.00</c:formatCode>
                <c:ptCount val="20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A99-9E3F-40DFC0E6B9A0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Discontinuous!$K$2:$K$21</c:f>
              <c:numCache>
                <c:formatCode>0.00</c:formatCode>
                <c:ptCount val="20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A99-9E3F-40DFC0E6B9A0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Discontinuous!$L$2:$L$21</c:f>
              <c:numCache>
                <c:formatCode>0.00</c:formatCode>
                <c:ptCount val="20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D-4A99-9E3F-40DFC0E6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D86-8150-28AAA320473F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E-4D86-8150-28AAA320473F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Combined!$L$2:$L$21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E-4D86-8150-28AAA320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437-8477-C9A00589AEB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F-4437-8477-C9A00589AEB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F-4437-8477-C9A00589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6-4C4A-96FC-EADCF7F5AEEC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6-4C4A-96FC-EADCF7F5AEEC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6-4C4A-96FC-EADCF7F5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8-4034-8EFD-8980226C6519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8-4034-8EFD-8980226C6519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8-4034-8EFD-8980226C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2-4BA8-A740-F1F0A2E6A12C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2-4BA8-A740-F1F0A2E6A12C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2-4BA8-A740-F1F0A2E6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  <c:pt idx="20">
                  <c:v>0.35555555555555501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  <c:pt idx="20">
                  <c:v>0.97153558052434397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  <c:pt idx="20">
                  <c:v>0.60186781760003605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0.80952380952380898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  <c:pt idx="20">
                  <c:v>0.17777777777777701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  <c:pt idx="20">
                  <c:v>0.90561797752808904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  <c:pt idx="20">
                  <c:v>0.48736772558338498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0.73333333333333306</c:v>
                </c:pt>
                <c:pt idx="8">
                  <c:v>0.8666666666666667</c:v>
                </c:pt>
                <c:pt idx="9">
                  <c:v>0.78333333333333299</c:v>
                </c:pt>
                <c:pt idx="10">
                  <c:v>0.476190476190476</c:v>
                </c:pt>
                <c:pt idx="11">
                  <c:v>0.46666666666666601</c:v>
                </c:pt>
                <c:pt idx="12">
                  <c:v>0.5</c:v>
                </c:pt>
                <c:pt idx="13">
                  <c:v>0.38235294117647045</c:v>
                </c:pt>
                <c:pt idx="14">
                  <c:v>0.72222222222222143</c:v>
                </c:pt>
                <c:pt idx="15">
                  <c:v>0.55000000000000004</c:v>
                </c:pt>
                <c:pt idx="16">
                  <c:v>0.476190476190476</c:v>
                </c:pt>
                <c:pt idx="17">
                  <c:v>0.56000000000000005</c:v>
                </c:pt>
                <c:pt idx="18">
                  <c:v>0.53333333333333299</c:v>
                </c:pt>
                <c:pt idx="19">
                  <c:v>0.625</c:v>
                </c:pt>
                <c:pt idx="20">
                  <c:v>0.17777777777777701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0.89999999999999969</c:v>
                </c:pt>
                <c:pt idx="8">
                  <c:v>0.95555555555555538</c:v>
                </c:pt>
                <c:pt idx="9">
                  <c:v>0.9575757575757573</c:v>
                </c:pt>
                <c:pt idx="10">
                  <c:v>0.87545787545787535</c:v>
                </c:pt>
                <c:pt idx="11">
                  <c:v>0.90476190476190399</c:v>
                </c:pt>
                <c:pt idx="12">
                  <c:v>0.92500000000000004</c:v>
                </c:pt>
                <c:pt idx="13">
                  <c:v>0.88970588235294101</c:v>
                </c:pt>
                <c:pt idx="14">
                  <c:v>0.96732026143790795</c:v>
                </c:pt>
                <c:pt idx="15">
                  <c:v>0.92105263157894701</c:v>
                </c:pt>
                <c:pt idx="16">
                  <c:v>0.87619047619047596</c:v>
                </c:pt>
                <c:pt idx="17">
                  <c:v>0.94</c:v>
                </c:pt>
                <c:pt idx="18">
                  <c:v>0.958620689655172</c:v>
                </c:pt>
                <c:pt idx="19">
                  <c:v>0.90512820512820502</c:v>
                </c:pt>
                <c:pt idx="20">
                  <c:v>0.90561797752808904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0.91253309560611706</c:v>
                </c:pt>
                <c:pt idx="3">
                  <c:v>1</c:v>
                </c:pt>
                <c:pt idx="4">
                  <c:v>0.99764965791225191</c:v>
                </c:pt>
                <c:pt idx="5">
                  <c:v>0.98841712390064951</c:v>
                </c:pt>
                <c:pt idx="6">
                  <c:v>0.97720456990228666</c:v>
                </c:pt>
                <c:pt idx="7">
                  <c:v>0.93429177658279072</c:v>
                </c:pt>
                <c:pt idx="8">
                  <c:v>0.92678210948025475</c:v>
                </c:pt>
                <c:pt idx="9">
                  <c:v>0.91386663515654543</c:v>
                </c:pt>
                <c:pt idx="10">
                  <c:v>0.86255168555847106</c:v>
                </c:pt>
                <c:pt idx="11">
                  <c:v>0.74282566427766095</c:v>
                </c:pt>
                <c:pt idx="12">
                  <c:v>0.782234292492899</c:v>
                </c:pt>
                <c:pt idx="13">
                  <c:v>0.71449558754378295</c:v>
                </c:pt>
                <c:pt idx="14">
                  <c:v>0.88427265787522946</c:v>
                </c:pt>
                <c:pt idx="15">
                  <c:v>0.85175558975982057</c:v>
                </c:pt>
                <c:pt idx="16">
                  <c:v>0.81149888900304601</c:v>
                </c:pt>
                <c:pt idx="17">
                  <c:v>0.747139958403083</c:v>
                </c:pt>
                <c:pt idx="18">
                  <c:v>0.82227836858853398</c:v>
                </c:pt>
                <c:pt idx="19">
                  <c:v>0.92087308045251004</c:v>
                </c:pt>
                <c:pt idx="20">
                  <c:v>0.48736772558338498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0.66666666666666663</c:v>
                </c:pt>
                <c:pt idx="3">
                  <c:v>1</c:v>
                </c:pt>
                <c:pt idx="4">
                  <c:v>0.88888888888888873</c:v>
                </c:pt>
                <c:pt idx="5">
                  <c:v>0.92857142857142849</c:v>
                </c:pt>
                <c:pt idx="6">
                  <c:v>0.91666666666666663</c:v>
                </c:pt>
                <c:pt idx="7">
                  <c:v>0.86666666666666603</c:v>
                </c:pt>
                <c:pt idx="8">
                  <c:v>0.93333333333333324</c:v>
                </c:pt>
                <c:pt idx="9">
                  <c:v>0.83333333333333326</c:v>
                </c:pt>
                <c:pt idx="10">
                  <c:v>0.80952380952380931</c:v>
                </c:pt>
                <c:pt idx="11">
                  <c:v>1</c:v>
                </c:pt>
                <c:pt idx="12">
                  <c:v>0.9375</c:v>
                </c:pt>
                <c:pt idx="13">
                  <c:v>0.82352941176470551</c:v>
                </c:pt>
                <c:pt idx="14">
                  <c:v>0.77777777777777701</c:v>
                </c:pt>
                <c:pt idx="15">
                  <c:v>0.77500000000000002</c:v>
                </c:pt>
                <c:pt idx="16">
                  <c:v>0.80952380952380898</c:v>
                </c:pt>
                <c:pt idx="17">
                  <c:v>0.72</c:v>
                </c:pt>
                <c:pt idx="18">
                  <c:v>0.83333333333333304</c:v>
                </c:pt>
                <c:pt idx="19">
                  <c:v>0.4</c:v>
                </c:pt>
                <c:pt idx="20">
                  <c:v>0.35555555555555501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0.77777777777777735</c:v>
                </c:pt>
                <c:pt idx="3">
                  <c:v>1</c:v>
                </c:pt>
                <c:pt idx="4">
                  <c:v>0.95555555555555538</c:v>
                </c:pt>
                <c:pt idx="5">
                  <c:v>0.97619047619047605</c:v>
                </c:pt>
                <c:pt idx="6">
                  <c:v>0.97619047619047594</c:v>
                </c:pt>
                <c:pt idx="7">
                  <c:v>0.96666666666666623</c:v>
                </c:pt>
                <c:pt idx="8">
                  <c:v>0.98518518518518494</c:v>
                </c:pt>
                <c:pt idx="9">
                  <c:v>0.96363636363636318</c:v>
                </c:pt>
                <c:pt idx="10">
                  <c:v>0.95604395604395587</c:v>
                </c:pt>
                <c:pt idx="11">
                  <c:v>1</c:v>
                </c:pt>
                <c:pt idx="12">
                  <c:v>0.99166666666666647</c:v>
                </c:pt>
                <c:pt idx="13">
                  <c:v>0.97058823529411753</c:v>
                </c:pt>
                <c:pt idx="14">
                  <c:v>0.97385620915032645</c:v>
                </c:pt>
                <c:pt idx="15">
                  <c:v>0.96842105263157852</c:v>
                </c:pt>
                <c:pt idx="16">
                  <c:v>0.98095238095238002</c:v>
                </c:pt>
                <c:pt idx="17">
                  <c:v>0.97333333333333305</c:v>
                </c:pt>
                <c:pt idx="18">
                  <c:v>0.97701149425287304</c:v>
                </c:pt>
                <c:pt idx="19">
                  <c:v>0.95128205128205101</c:v>
                </c:pt>
                <c:pt idx="20">
                  <c:v>0.97153558052434397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0.88343675279582001</c:v>
                </c:pt>
                <c:pt idx="3">
                  <c:v>1</c:v>
                </c:pt>
                <c:pt idx="4">
                  <c:v>0.98379425657401498</c:v>
                </c:pt>
                <c:pt idx="5">
                  <c:v>0.96743328653943306</c:v>
                </c:pt>
                <c:pt idx="6">
                  <c:v>0.99054664966817541</c:v>
                </c:pt>
                <c:pt idx="7">
                  <c:v>0.94583309727434961</c:v>
                </c:pt>
                <c:pt idx="8">
                  <c:v>0.97789410965100909</c:v>
                </c:pt>
                <c:pt idx="9">
                  <c:v>0.95613837449097239</c:v>
                </c:pt>
                <c:pt idx="10">
                  <c:v>0.90449171528027505</c:v>
                </c:pt>
                <c:pt idx="11">
                  <c:v>1</c:v>
                </c:pt>
                <c:pt idx="12">
                  <c:v>0.97308970595681243</c:v>
                </c:pt>
                <c:pt idx="13">
                  <c:v>0.96964509169741242</c:v>
                </c:pt>
                <c:pt idx="14">
                  <c:v>0.90185911712120093</c:v>
                </c:pt>
                <c:pt idx="15">
                  <c:v>0.85952649152367444</c:v>
                </c:pt>
                <c:pt idx="16">
                  <c:v>0.86948087201170199</c:v>
                </c:pt>
                <c:pt idx="17">
                  <c:v>0.82639553335889504</c:v>
                </c:pt>
                <c:pt idx="18">
                  <c:v>0.91688831385987801</c:v>
                </c:pt>
                <c:pt idx="19">
                  <c:v>0.73072837244478805</c:v>
                </c:pt>
                <c:pt idx="20">
                  <c:v>0.60186781760003605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0.72222222222222199</c:v>
                </c:pt>
                <c:pt idx="5">
                  <c:v>0.67857142857142816</c:v>
                </c:pt>
                <c:pt idx="6">
                  <c:v>0.91666666666666663</c:v>
                </c:pt>
                <c:pt idx="7">
                  <c:v>0.66666666666666596</c:v>
                </c:pt>
                <c:pt idx="8">
                  <c:v>0.73333333333333339</c:v>
                </c:pt>
                <c:pt idx="9">
                  <c:v>0.71666666666666645</c:v>
                </c:pt>
                <c:pt idx="10">
                  <c:v>0.80952380952380931</c:v>
                </c:pt>
                <c:pt idx="11">
                  <c:v>0.86666666666666603</c:v>
                </c:pt>
                <c:pt idx="12">
                  <c:v>0.53125</c:v>
                </c:pt>
                <c:pt idx="13">
                  <c:v>0.67647058823529393</c:v>
                </c:pt>
                <c:pt idx="14">
                  <c:v>0.63888888888888851</c:v>
                </c:pt>
                <c:pt idx="15">
                  <c:v>0.875</c:v>
                </c:pt>
                <c:pt idx="16">
                  <c:v>0.66666666666666596</c:v>
                </c:pt>
                <c:pt idx="17">
                  <c:v>0.6</c:v>
                </c:pt>
                <c:pt idx="18">
                  <c:v>0.6</c:v>
                </c:pt>
                <c:pt idx="19">
                  <c:v>0.52500000000000002</c:v>
                </c:pt>
                <c:pt idx="20">
                  <c:v>0.344444444444444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0.86666666666666625</c:v>
                </c:pt>
                <c:pt idx="5">
                  <c:v>0.83333333333333282</c:v>
                </c:pt>
                <c:pt idx="6">
                  <c:v>0.97619047619047594</c:v>
                </c:pt>
                <c:pt idx="7">
                  <c:v>0.91111111111111032</c:v>
                </c:pt>
                <c:pt idx="8">
                  <c:v>0.94074074074074066</c:v>
                </c:pt>
                <c:pt idx="9">
                  <c:v>0.94545454545454499</c:v>
                </c:pt>
                <c:pt idx="10">
                  <c:v>0.95604395604395587</c:v>
                </c:pt>
                <c:pt idx="11">
                  <c:v>0.98095238095238002</c:v>
                </c:pt>
                <c:pt idx="12">
                  <c:v>0.89999999999999947</c:v>
                </c:pt>
                <c:pt idx="13">
                  <c:v>0.94117647058823495</c:v>
                </c:pt>
                <c:pt idx="14">
                  <c:v>0.9542483660130715</c:v>
                </c:pt>
                <c:pt idx="15">
                  <c:v>0.98421052631578898</c:v>
                </c:pt>
                <c:pt idx="16">
                  <c:v>0.96190476190476104</c:v>
                </c:pt>
                <c:pt idx="17">
                  <c:v>0.96</c:v>
                </c:pt>
                <c:pt idx="18">
                  <c:v>0.958620689655172</c:v>
                </c:pt>
                <c:pt idx="19">
                  <c:v>0.96666666666666601</c:v>
                </c:pt>
                <c:pt idx="20">
                  <c:v>0.96454431960049902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0.93989293501860771</c:v>
                </c:pt>
                <c:pt idx="5">
                  <c:v>0.95762431091121003</c:v>
                </c:pt>
                <c:pt idx="6">
                  <c:v>0.97720456990228666</c:v>
                </c:pt>
                <c:pt idx="7">
                  <c:v>0.93469940051731903</c:v>
                </c:pt>
                <c:pt idx="8">
                  <c:v>0.91942463081157133</c:v>
                </c:pt>
                <c:pt idx="9">
                  <c:v>0.91462033741574156</c:v>
                </c:pt>
                <c:pt idx="10">
                  <c:v>0.92720598943441301</c:v>
                </c:pt>
                <c:pt idx="11">
                  <c:v>0.94934854370721</c:v>
                </c:pt>
                <c:pt idx="12">
                  <c:v>0.88816637329542703</c:v>
                </c:pt>
                <c:pt idx="13">
                  <c:v>0.87333737692619606</c:v>
                </c:pt>
                <c:pt idx="14">
                  <c:v>0.83469262984525394</c:v>
                </c:pt>
                <c:pt idx="15">
                  <c:v>0.9493160709899785</c:v>
                </c:pt>
                <c:pt idx="16">
                  <c:v>0.78196070894059699</c:v>
                </c:pt>
                <c:pt idx="17">
                  <c:v>0.71469640308924898</c:v>
                </c:pt>
                <c:pt idx="18">
                  <c:v>0.90188353345859695</c:v>
                </c:pt>
                <c:pt idx="19">
                  <c:v>0.69643054956171002</c:v>
                </c:pt>
                <c:pt idx="20">
                  <c:v>0.60267946643171399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Linear!$J$2:$J$21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0.8999999999999998</c:v>
                </c:pt>
                <c:pt idx="10">
                  <c:v>0.80952380952380931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0.68</c:v>
                </c:pt>
                <c:pt idx="18">
                  <c:v>0.93333333333333302</c:v>
                </c:pt>
                <c:pt idx="19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E62-B5BE-58B4AF41CDCB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Linear!$K$2:$K$21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0.9818181818181817</c:v>
                </c:pt>
                <c:pt idx="10">
                  <c:v>0.92673992673992667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0.884210526315789</c:v>
                </c:pt>
                <c:pt idx="16">
                  <c:v>1</c:v>
                </c:pt>
                <c:pt idx="17">
                  <c:v>0.95333333333333303</c:v>
                </c:pt>
                <c:pt idx="18">
                  <c:v>0.99540229885057396</c:v>
                </c:pt>
                <c:pt idx="1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D-4E62-B5BE-58B4AF41CDCB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</c:numCache>
            </c:numRef>
          </c:xVal>
          <c:yVal>
            <c:numRef>
              <c:f>Linear!$L$2:$L$21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0.96207528906942019</c:v>
                </c:pt>
                <c:pt idx="10">
                  <c:v>0.90870146542822938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0.85677041723270353</c:v>
                </c:pt>
                <c:pt idx="16">
                  <c:v>1</c:v>
                </c:pt>
                <c:pt idx="17">
                  <c:v>0.864471623785805</c:v>
                </c:pt>
                <c:pt idx="18">
                  <c:v>0.97048588781225498</c:v>
                </c:pt>
                <c:pt idx="19">
                  <c:v>0.90907313880095297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D-4E62-B5BE-58B4AF41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13</xdr:col>
      <xdr:colOff>12700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</xdr:row>
      <xdr:rowOff>28575</xdr:rowOff>
    </xdr:from>
    <xdr:to>
      <xdr:col>29</xdr:col>
      <xdr:colOff>254000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555626</xdr:colOff>
      <xdr:row>2</xdr:row>
      <xdr:rowOff>53975</xdr:rowOff>
    </xdr:from>
    <xdr:to>
      <xdr:col>20</xdr:col>
      <xdr:colOff>85725</xdr:colOff>
      <xdr:row>19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</xdr:row>
      <xdr:rowOff>3175</xdr:rowOff>
    </xdr:from>
    <xdr:to>
      <xdr:col>10</xdr:col>
      <xdr:colOff>136525</xdr:colOff>
      <xdr:row>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023271-8565-4D13-BA1E-4E4172A0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415925</xdr:colOff>
      <xdr:row>23</xdr:row>
      <xdr:rowOff>0</xdr:rowOff>
    </xdr:from>
    <xdr:to>
      <xdr:col>28</xdr:col>
      <xdr:colOff>565150</xdr:colOff>
      <xdr:row>40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B152E2-F57E-4262-BF6B-C1D01D9E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190501</xdr:colOff>
      <xdr:row>23</xdr:row>
      <xdr:rowOff>0</xdr:rowOff>
    </xdr:from>
    <xdr:to>
      <xdr:col>19</xdr:col>
      <xdr:colOff>317500</xdr:colOff>
      <xdr:row>39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6A07DA-3443-42FA-A3D6-41B5EB69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158751</xdr:colOff>
      <xdr:row>23</xdr:row>
      <xdr:rowOff>1</xdr:rowOff>
    </xdr:from>
    <xdr:to>
      <xdr:col>38</xdr:col>
      <xdr:colOff>317500</xdr:colOff>
      <xdr:row>40</xdr:row>
      <xdr:rowOff>12701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CC0EFD-1B6F-4F2C-95FE-06150882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45</xdr:row>
      <xdr:rowOff>3175</xdr:rowOff>
    </xdr:from>
    <xdr:to>
      <xdr:col>10</xdr:col>
      <xdr:colOff>136525</xdr:colOff>
      <xdr:row>62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41ADC-4146-4389-907E-66990803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463550</xdr:colOff>
      <xdr:row>45</xdr:row>
      <xdr:rowOff>0</xdr:rowOff>
    </xdr:from>
    <xdr:to>
      <xdr:col>29</xdr:col>
      <xdr:colOff>9525</xdr:colOff>
      <xdr:row>62</xdr:row>
      <xdr:rowOff>34925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119845-8F09-418B-9FD0-41C9B229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222251</xdr:colOff>
      <xdr:row>45</xdr:row>
      <xdr:rowOff>9525</xdr:rowOff>
    </xdr:from>
    <xdr:to>
      <xdr:col>19</xdr:col>
      <xdr:colOff>349250</xdr:colOff>
      <xdr:row>62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C6B2-486B-4871-9D9D-C03ABCA0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158751</xdr:colOff>
      <xdr:row>45</xdr:row>
      <xdr:rowOff>1</xdr:rowOff>
    </xdr:from>
    <xdr:to>
      <xdr:col>38</xdr:col>
      <xdr:colOff>317500</xdr:colOff>
      <xdr:row>62</xdr:row>
      <xdr:rowOff>12701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E8D7DB5-831A-448E-BA6E-B0DC5246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48"/>
    <tableColumn id="2" xr3:uid="{DF6742EE-55DF-430B-B71D-2F427CBBA4C7}" name="Jaccard " dataDxfId="47">
      <calculatedColumnFormula>AVERAGEIF(Table1264348[[ Cycle size]],I2,Table1264348[JaccardCoefficient])</calculatedColumnFormula>
    </tableColumn>
    <tableColumn id="3" xr3:uid="{43F66FD1-4B4C-47A5-8001-0E24D7EF0650}" name="Kendall" dataDxfId="46">
      <calculatedColumnFormula>AVERAGEIF(Table1264348[ [ Cycle size] ],I2,Table1264348[KendallTauCorrelation])</calculatedColumnFormula>
    </tableColumn>
    <tableColumn id="4" xr3:uid="{AC28AFAA-DE30-4EC7-B0AF-45CEFAA1E5A3}" name="DCG" dataDxfId="45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44"/>
    <tableColumn id="2" xr3:uid="{0774C44D-573D-4A8D-A3F8-7A15902EE741}" name="Jaccard " dataDxfId="43">
      <calculatedColumnFormula>AVERAGEIF(Table12643[[ Cycle size]],I2,Table12643[JaccardCoefficient])</calculatedColumnFormula>
    </tableColumn>
    <tableColumn id="3" xr3:uid="{29023569-472C-4DA3-A6FD-3778501F605D}" name="Kendall" dataDxfId="42">
      <calculatedColumnFormula>AVERAGEIF(Table12643[ [ Cycle size] ],I2,Table12643[KendallTauCorrelation])</calculatedColumnFormula>
    </tableColumn>
    <tableColumn id="4" xr3:uid="{7EA81829-E064-429A-8428-985796CAAF4A}" name="DCG" dataDxfId="41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1">
    <sortCondition ref="B1:B51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40"/>
    <tableColumn id="2" xr3:uid="{14637A0D-F072-4269-B9F5-0AABD44ABD10}" name="Jaccard " dataDxfId="39">
      <calculatedColumnFormula>AVERAGEIF(Table126[[ Cycle size]],I2,Table126[JaccardCoefficient])</calculatedColumnFormula>
    </tableColumn>
    <tableColumn id="3" xr3:uid="{B9E2DBF4-3772-4870-8716-706F230E55BF}" name="Kendall" dataDxfId="38">
      <calculatedColumnFormula>AVERAGEIF(Table126[ [ Cycle size] ],I2,Table126[KendallTauCorrelation])</calculatedColumnFormula>
    </tableColumn>
    <tableColumn id="4" xr3:uid="{FE5E51E2-3AC9-48B0-B647-01483E631810}" name="DCG" dataDxfId="37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51">
    <sortCondition ref="B1:B5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36"/>
    <tableColumn id="2" xr3:uid="{49AB9E08-F0C0-41E1-9B4D-CF5A4F21526E}" name="Jaccard " dataDxfId="35">
      <calculatedColumnFormula>AVERAGEIF(Table12633[[ Cycle size]],I2,Table12633[JaccardCoefficient])</calculatedColumnFormula>
    </tableColumn>
    <tableColumn id="3" xr3:uid="{9B5D77C5-B82F-4D89-BD20-97A4EB1477BB}" name="Kendall" dataDxfId="34">
      <calculatedColumnFormula>AVERAGEIF(Table12633[ [ Cycle size] ],I2,Table12633[KendallTauCorrelation])</calculatedColumnFormula>
    </tableColumn>
    <tableColumn id="4" xr3:uid="{9584E443-EF5A-4DDC-BE94-B438EABE698C}" name="DCG" dataDxfId="33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zoomScale="70" zoomScaleNormal="70" workbookViewId="0">
      <selection activeCell="N13" sqref="N13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7.81640625" style="11" customWidth="1"/>
    <col min="11" max="11" width="8.7265625" style="1" customWidth="1"/>
    <col min="12" max="12" width="8.7265625" style="1"/>
    <col min="13" max="13" width="10.6328125" style="1" customWidth="1"/>
    <col min="14" max="14" width="27.8164062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6" t="s">
        <v>34</v>
      </c>
    </row>
    <row r="2" spans="1:17" x14ac:dyDescent="0.35">
      <c r="A2" s="1">
        <v>20.100000000000001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16" t="s">
        <v>45</v>
      </c>
      <c r="O2" s="17">
        <f>CORREL(I2:I22, J2:J22)</f>
        <v>-0.7387123142517128</v>
      </c>
      <c r="P2" s="17">
        <f>CORREL(I2:I22, K2:K22)</f>
        <v>7.6033443732449343E-2</v>
      </c>
      <c r="Q2" s="17">
        <f>CORREL(I2:I22, L2:L22)</f>
        <v>-0.8569551968436695</v>
      </c>
    </row>
    <row r="3" spans="1:17" x14ac:dyDescent="0.35">
      <c r="A3" s="1">
        <v>5.0999999999999996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1</v>
      </c>
      <c r="K3" s="2">
        <f>AVERAGEIF(Table1264348[ [ Cycle size] ],I3,Table1264348[KendallTauCorrelation])</f>
        <v>1</v>
      </c>
      <c r="L3" s="2">
        <f>AVERAGEIF(Table1264348[ [ Cycle size] ],I3,Table1264348[DiscountedCumulativeGain])</f>
        <v>1</v>
      </c>
      <c r="N3" s="15" t="s">
        <v>44</v>
      </c>
      <c r="O3" s="16" t="s">
        <v>33</v>
      </c>
      <c r="P3" s="16" t="s">
        <v>29</v>
      </c>
      <c r="Q3" s="16" t="s">
        <v>34</v>
      </c>
    </row>
    <row r="4" spans="1:17" x14ac:dyDescent="0.35">
      <c r="A4" s="1">
        <v>10.1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AVERAGEIF(Table1264348[[ Cycle size]],I4,Table1264348[JaccardCoefficient])</f>
        <v>1</v>
      </c>
      <c r="K4" s="2">
        <f>AVERAGEIF(Table1264348[ [ Cycle size] ],I4,Table1264348[KendallTauCorrelation])</f>
        <v>1</v>
      </c>
      <c r="L4" s="2">
        <f>AVERAGEIF(Table1264348[ [ Cycle size] ],I4,Table1264348[DiscountedCumulativeGain])</f>
        <v>1</v>
      </c>
      <c r="N4" s="16" t="s">
        <v>46</v>
      </c>
      <c r="O4" s="17">
        <f>CORREL(I2:I20, J2:J20)</f>
        <v>-0.66626268288222079</v>
      </c>
      <c r="P4" s="17">
        <f>CORREL(I2:I20, K2:K20)</f>
        <v>-7.6040969567188355E-3</v>
      </c>
      <c r="Q4" s="17">
        <f>CORREL(I2:I20, L2:L20)</f>
        <v>-0.75054705324224213</v>
      </c>
    </row>
    <row r="5" spans="1:17" x14ac:dyDescent="0.35">
      <c r="A5" s="1">
        <v>22.1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</row>
    <row r="6" spans="1:17" x14ac:dyDescent="0.35">
      <c r="A6" s="1">
        <v>33.1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0.93989293501860771</v>
      </c>
    </row>
    <row r="7" spans="1:17" x14ac:dyDescent="0.35">
      <c r="A7" s="1">
        <v>39.1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0.67857142857142816</v>
      </c>
      <c r="K7" s="2">
        <f>AVERAGEIF(Table1264348[ [ Cycle size] ],I7,Table1264348[KendallTauCorrelation])</f>
        <v>0.83333333333333282</v>
      </c>
      <c r="L7" s="2">
        <f>AVERAGEIF(Table1264348[ [ Cycle size] ],I7,Table1264348[DiscountedCumulativeGain])</f>
        <v>0.95762431091121003</v>
      </c>
    </row>
    <row r="8" spans="1:17" x14ac:dyDescent="0.35">
      <c r="A8" s="1">
        <v>26.1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0.91666666666666663</v>
      </c>
      <c r="K8" s="2">
        <f>AVERAGEIF(Table1264348[ [ Cycle size] ],I8,Table1264348[KendallTauCorrelation])</f>
        <v>0.97619047619047594</v>
      </c>
      <c r="L8" s="2">
        <f>AVERAGEIF(Table1264348[ [ Cycle size] ],I8,Table1264348[DiscountedCumulativeGain])</f>
        <v>0.97720456990228666</v>
      </c>
    </row>
    <row r="9" spans="1:17" x14ac:dyDescent="0.35">
      <c r="A9" s="1">
        <v>32.1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0.66666666666666596</v>
      </c>
      <c r="K9" s="2">
        <f>AVERAGEIF(Table1264348[ [ Cycle size] ],I9,Table1264348[KendallTauCorrelation])</f>
        <v>0.91111111111111032</v>
      </c>
      <c r="L9" s="2">
        <f>AVERAGEIF(Table1264348[ [ Cycle size] ],I9,Table1264348[DiscountedCumulativeGain])</f>
        <v>0.93469940051731903</v>
      </c>
    </row>
    <row r="10" spans="1:17" x14ac:dyDescent="0.35">
      <c r="A10" s="1">
        <v>50.1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AVERAGEIF(Table1264348[[ Cycle size]],I10,Table1264348[JaccardCoefficient])</f>
        <v>0.73333333333333339</v>
      </c>
      <c r="K10" s="2">
        <f>AVERAGEIF(Table1264348[ [ Cycle size] ],I10,Table1264348[KendallTauCorrelation])</f>
        <v>0.94074074074074066</v>
      </c>
      <c r="L10" s="2">
        <f>AVERAGEIF(Table1264348[ [ Cycle size] ],I10,Table1264348[DiscountedCumulativeGain])</f>
        <v>0.91942463081157133</v>
      </c>
    </row>
    <row r="11" spans="1:17" x14ac:dyDescent="0.35">
      <c r="A11" s="1">
        <v>23.1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0.71666666666666645</v>
      </c>
      <c r="K11" s="2">
        <f>AVERAGEIF(Table1264348[ [ Cycle size] ],I11,Table1264348[KendallTauCorrelation])</f>
        <v>0.94545454545454499</v>
      </c>
      <c r="L11" s="2">
        <f>AVERAGEIF(Table1264348[ [ Cycle size] ],I11,Table1264348[DiscountedCumulativeGain])</f>
        <v>0.91462033741574156</v>
      </c>
    </row>
    <row r="12" spans="1:17" x14ac:dyDescent="0.35">
      <c r="A12" s="1">
        <v>9.1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0.80952380952380931</v>
      </c>
      <c r="K12" s="2">
        <f>AVERAGEIF(Table1264348[ [ Cycle size] ],I12,Table1264348[KendallTauCorrelation])</f>
        <v>0.95604395604395587</v>
      </c>
      <c r="L12" s="2">
        <f>AVERAGEIF(Table1264348[ [ Cycle size] ],I12,Table1264348[DiscountedCumulativeGain])</f>
        <v>0.92720598943441301</v>
      </c>
    </row>
    <row r="13" spans="1:17" x14ac:dyDescent="0.35">
      <c r="A13" s="1">
        <v>27.1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0.82672983131906697</v>
      </c>
      <c r="I13" s="12">
        <v>15</v>
      </c>
      <c r="J13" s="2">
        <f>AVERAGEIF(Table1264348[[ Cycle size]],I13,Table1264348[JaccardCoefficient])</f>
        <v>0.86666666666666603</v>
      </c>
      <c r="K13" s="2">
        <f>AVERAGEIF(Table1264348[ [ Cycle size] ],I13,Table1264348[KendallTauCorrelation])</f>
        <v>0.98095238095238002</v>
      </c>
      <c r="L13" s="2">
        <f>AVERAGEIF(Table1264348[ [ Cycle size] ],I13,Table1264348[DiscountedCumulativeGain])</f>
        <v>0.94934854370721</v>
      </c>
    </row>
    <row r="14" spans="1:17" x14ac:dyDescent="0.35">
      <c r="A14" s="1">
        <v>30.1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0.53125</v>
      </c>
      <c r="K14" s="2">
        <f>AVERAGEIF(Table1264348[ [ Cycle size] ],I14,Table1264348[KendallTauCorrelation])</f>
        <v>0.89999999999999947</v>
      </c>
      <c r="L14" s="2">
        <f>AVERAGEIF(Table1264348[ [ Cycle size] ],I14,Table1264348[DiscountedCumulativeGain])</f>
        <v>0.88816637329542703</v>
      </c>
    </row>
    <row r="15" spans="1:17" x14ac:dyDescent="0.35">
      <c r="A15" s="1">
        <v>1.1000000000000001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0.67647058823529393</v>
      </c>
      <c r="K15" s="2">
        <f>AVERAGEIF(Table1264348[ [ Cycle size] ],I15,Table1264348[KendallTauCorrelation])</f>
        <v>0.94117647058823495</v>
      </c>
      <c r="L15" s="2">
        <f>AVERAGEIF(Table1264348[ [ Cycle size] ],I15,Table1264348[DiscountedCumulativeGain])</f>
        <v>0.87333737692619606</v>
      </c>
    </row>
    <row r="16" spans="1:17" x14ac:dyDescent="0.35">
      <c r="A16" s="1">
        <v>6.1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0.67857142857142805</v>
      </c>
      <c r="G16" s="1">
        <v>0.96353707729153404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0.9542483660130715</v>
      </c>
      <c r="L16" s="2">
        <f>AVERAGEIF(Table1264348[ [ Cycle size] ],I16,Table1264348[DiscountedCumulativeGain])</f>
        <v>0.83469262984525394</v>
      </c>
    </row>
    <row r="17" spans="1:12" x14ac:dyDescent="0.35">
      <c r="A17" s="1">
        <v>8.1</v>
      </c>
      <c r="B17" s="1">
        <v>7</v>
      </c>
      <c r="C17" s="1">
        <v>0.57142857142857095</v>
      </c>
      <c r="D17" s="1">
        <v>0.75</v>
      </c>
      <c r="E17" s="1">
        <v>0.61904761904761896</v>
      </c>
      <c r="F17" s="1">
        <v>0.71428571428571397</v>
      </c>
      <c r="G17" s="1">
        <v>0.96067470677532396</v>
      </c>
      <c r="I17" s="12">
        <v>20</v>
      </c>
      <c r="J17" s="2">
        <f>AVERAGEIF(Table1264348[[ Cycle size]],I17,Table1264348[JaccardCoefficient])</f>
        <v>0.875</v>
      </c>
      <c r="K17" s="2">
        <f>AVERAGEIF(Table1264348[ [ Cycle size] ],I17,Table1264348[KendallTauCorrelation])</f>
        <v>0.98421052631578898</v>
      </c>
      <c r="L17" s="2">
        <f>AVERAGEIF(Table1264348[ [ Cycle size] ],I17,Table1264348[DiscountedCumulativeGain])</f>
        <v>0.9493160709899785</v>
      </c>
    </row>
    <row r="18" spans="1:12" x14ac:dyDescent="0.35">
      <c r="A18" s="1">
        <v>43.1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0.60714285714285698</v>
      </c>
      <c r="G18" s="1">
        <v>0.91157372927541502</v>
      </c>
      <c r="I18" s="12">
        <v>21</v>
      </c>
      <c r="J18" s="2">
        <f>AVERAGEIF(Table1264348[[ Cycle size]],I18,Table1264348[JaccardCoefficient])</f>
        <v>0.66666666666666596</v>
      </c>
      <c r="K18" s="2">
        <f>AVERAGEIF(Table1264348[ [ Cycle size] ],I18,Table1264348[KendallTauCorrelation])</f>
        <v>0.96190476190476104</v>
      </c>
      <c r="L18" s="2">
        <f>AVERAGEIF(Table1264348[ [ Cycle size] ],I18,Table1264348[DiscountedCumulativeGain])</f>
        <v>0.78196070894059699</v>
      </c>
    </row>
    <row r="19" spans="1:12" x14ac:dyDescent="0.35">
      <c r="A19" s="1">
        <v>4.0999999999999996</v>
      </c>
      <c r="B19" s="1">
        <v>8</v>
      </c>
      <c r="C19" s="1">
        <v>0.75</v>
      </c>
      <c r="D19" s="1">
        <v>0.9375</v>
      </c>
      <c r="E19" s="1">
        <v>0.92857142857142805</v>
      </c>
      <c r="F19" s="1">
        <v>0.86111111111111105</v>
      </c>
      <c r="G19" s="1">
        <v>0.93161370970685997</v>
      </c>
      <c r="I19" s="12">
        <v>25</v>
      </c>
      <c r="J19" s="2">
        <f>AVERAGEIF(Table1264348[[ Cycle size]],I19,Table1264348[JaccardCoefficient])</f>
        <v>0.6</v>
      </c>
      <c r="K19" s="2">
        <f>AVERAGEIF(Table1264348[ [ Cycle size] ],I19,Table1264348[KendallTauCorrelation])</f>
        <v>0.96</v>
      </c>
      <c r="L19" s="2">
        <f>AVERAGEIF(Table1264348[ [ Cycle size] ],I19,Table1264348[DiscountedCumulativeGain])</f>
        <v>0.71469640308924898</v>
      </c>
    </row>
    <row r="20" spans="1:12" x14ac:dyDescent="0.35">
      <c r="A20" s="1">
        <v>13.1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0.6</v>
      </c>
      <c r="K20" s="2">
        <f>AVERAGEIF(Table1264348[ [ Cycle size] ],I20,Table1264348[KendallTauCorrelation])</f>
        <v>0.958620689655172</v>
      </c>
      <c r="L20" s="2">
        <f>AVERAGEIF(Table1264348[ [ Cycle size] ],I20,Table1264348[DiscountedCumulativeGain])</f>
        <v>0.90188353345859695</v>
      </c>
    </row>
    <row r="21" spans="1:12" x14ac:dyDescent="0.35">
      <c r="A21" s="1">
        <v>29.1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0.52500000000000002</v>
      </c>
      <c r="K21" s="2">
        <f>AVERAGEIF(Table1264348[ [ Cycle size] ],I21,Table1264348[KendallTauCorrelation])</f>
        <v>0.96666666666666601</v>
      </c>
      <c r="L21" s="2">
        <f>AVERAGEIF(Table1264348[ [ Cycle size] ],I21,Table1264348[DiscountedCumulativeGain])</f>
        <v>0.69643054956171002</v>
      </c>
    </row>
    <row r="22" spans="1:12" x14ac:dyDescent="0.35">
      <c r="A22" s="1">
        <v>2.1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0.344444444444444</v>
      </c>
      <c r="K22" s="2">
        <f>AVERAGEIF(Table1264348[ [ Cycle size] ],I22,Table1264348[KendallTauCorrelation])</f>
        <v>0.96454431960049902</v>
      </c>
      <c r="L22" s="2">
        <f>AVERAGEIF(Table1264348[ [ Cycle size] ],I22,Table1264348[DiscountedCumulativeGain])</f>
        <v>0.60267946643171399</v>
      </c>
    </row>
    <row r="23" spans="1:12" x14ac:dyDescent="0.35">
      <c r="A23" s="1">
        <v>11.1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0.97777777777777697</v>
      </c>
      <c r="G23" s="1">
        <v>0.86492944988589404</v>
      </c>
      <c r="I23" s="1"/>
      <c r="J23" s="1"/>
    </row>
    <row r="24" spans="1:12" x14ac:dyDescent="0.35">
      <c r="A24" s="1">
        <v>17.100000000000001</v>
      </c>
      <c r="B24" s="1">
        <v>9</v>
      </c>
      <c r="C24" s="1">
        <v>0.55555555555555503</v>
      </c>
      <c r="D24" s="1">
        <v>0.9</v>
      </c>
      <c r="E24" s="1">
        <v>0.88888888888888795</v>
      </c>
      <c r="F24" s="1">
        <v>0.51111111111111096</v>
      </c>
      <c r="G24" s="1">
        <v>0.99385954917132902</v>
      </c>
      <c r="I24" s="1"/>
      <c r="J24" s="1"/>
    </row>
    <row r="25" spans="1:12" x14ac:dyDescent="0.35">
      <c r="A25" s="1">
        <v>21.1</v>
      </c>
      <c r="B25" s="1">
        <v>9</v>
      </c>
      <c r="C25" s="1">
        <v>0.55555555555555503</v>
      </c>
      <c r="D25" s="1">
        <v>0.9</v>
      </c>
      <c r="E25" s="1">
        <v>0.88888888888888795</v>
      </c>
      <c r="F25" s="1">
        <v>0.64444444444444404</v>
      </c>
      <c r="G25" s="1">
        <v>0.91565458979751901</v>
      </c>
      <c r="I25" s="1"/>
      <c r="J25" s="1"/>
    </row>
    <row r="26" spans="1:12" x14ac:dyDescent="0.35">
      <c r="A26" s="1">
        <v>40.1</v>
      </c>
      <c r="B26" s="1">
        <v>9</v>
      </c>
      <c r="C26" s="1">
        <v>0.66666666666666596</v>
      </c>
      <c r="D26" s="1">
        <v>0.9</v>
      </c>
      <c r="E26" s="1">
        <v>0.88888888888888795</v>
      </c>
      <c r="F26" s="1">
        <v>0.6</v>
      </c>
      <c r="G26" s="1">
        <v>0.98010834501148703</v>
      </c>
    </row>
    <row r="27" spans="1:12" x14ac:dyDescent="0.35">
      <c r="A27" s="1">
        <v>37.1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2" x14ac:dyDescent="0.35">
      <c r="A28" s="1">
        <v>38.1</v>
      </c>
      <c r="B28" s="1">
        <v>10</v>
      </c>
      <c r="C28" s="1">
        <v>0.6</v>
      </c>
      <c r="D28" s="1">
        <v>0.92</v>
      </c>
      <c r="E28" s="1">
        <v>0.91111111111111098</v>
      </c>
      <c r="F28" s="1">
        <v>0.85454545454545405</v>
      </c>
      <c r="G28" s="1">
        <v>0.80059869295762798</v>
      </c>
    </row>
    <row r="29" spans="1:12" x14ac:dyDescent="0.35">
      <c r="A29" s="1">
        <v>42.1</v>
      </c>
      <c r="B29" s="1">
        <v>10</v>
      </c>
      <c r="C29" s="1">
        <v>0.6</v>
      </c>
      <c r="D29" s="1">
        <v>0.92</v>
      </c>
      <c r="E29" s="1">
        <v>0.91111111111111098</v>
      </c>
      <c r="F29" s="1">
        <v>0.45454545454545398</v>
      </c>
      <c r="G29" s="1">
        <v>0.95767519947708601</v>
      </c>
    </row>
    <row r="30" spans="1:12" x14ac:dyDescent="0.35">
      <c r="A30" s="1">
        <v>3.1</v>
      </c>
      <c r="B30" s="1">
        <v>12</v>
      </c>
      <c r="C30" s="1">
        <v>0.41666666666666602</v>
      </c>
      <c r="D30" s="1">
        <v>0.88888888888888795</v>
      </c>
      <c r="E30" s="1">
        <v>0.87878787878787801</v>
      </c>
      <c r="F30" s="1">
        <v>0.53846153846153799</v>
      </c>
      <c r="G30" s="1">
        <v>0.82657936320945202</v>
      </c>
    </row>
    <row r="31" spans="1:12" x14ac:dyDescent="0.35">
      <c r="A31" s="1">
        <v>12.1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35">
      <c r="A32" s="1">
        <v>15.1</v>
      </c>
      <c r="B32" s="1">
        <v>12</v>
      </c>
      <c r="C32" s="1">
        <v>0.5</v>
      </c>
      <c r="D32" s="1">
        <v>0.91666666666666596</v>
      </c>
      <c r="E32" s="1">
        <v>0.90909090909090895</v>
      </c>
      <c r="F32" s="1">
        <v>0.65384615384615297</v>
      </c>
      <c r="G32" s="1">
        <v>0.80964813029369398</v>
      </c>
    </row>
    <row r="33" spans="1:7" x14ac:dyDescent="0.35">
      <c r="A33" s="1">
        <v>41.1</v>
      </c>
      <c r="B33" s="1">
        <v>12</v>
      </c>
      <c r="C33" s="1">
        <v>0.83333333333333304</v>
      </c>
      <c r="D33" s="1">
        <v>0.97222222222222199</v>
      </c>
      <c r="E33" s="1">
        <v>0.96969696969696895</v>
      </c>
      <c r="F33" s="1">
        <v>0.83333333333333304</v>
      </c>
      <c r="G33" s="1">
        <v>0.968437096787781</v>
      </c>
    </row>
    <row r="34" spans="1:7" x14ac:dyDescent="0.35">
      <c r="A34" s="1">
        <v>47.1</v>
      </c>
      <c r="B34" s="1">
        <v>12</v>
      </c>
      <c r="C34" s="1">
        <v>0.83333333333333304</v>
      </c>
      <c r="D34" s="1">
        <v>0.97222222222222199</v>
      </c>
      <c r="E34" s="1">
        <v>0.96969696969696895</v>
      </c>
      <c r="F34" s="1">
        <v>0.83333333333333304</v>
      </c>
      <c r="G34" s="1">
        <v>0.968437096787781</v>
      </c>
    </row>
    <row r="35" spans="1:7" x14ac:dyDescent="0.35">
      <c r="A35" s="1">
        <v>25.1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0.628571428571428</v>
      </c>
      <c r="G35" s="1">
        <v>0.85669084259336103</v>
      </c>
    </row>
    <row r="36" spans="1:7" x14ac:dyDescent="0.35">
      <c r="A36" s="1">
        <v>28.1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35">
      <c r="A37" s="1">
        <v>49.1</v>
      </c>
      <c r="B37" s="1">
        <v>14</v>
      </c>
      <c r="C37" s="1">
        <v>0.85714285714285698</v>
      </c>
      <c r="D37" s="1">
        <v>0.95918367346938704</v>
      </c>
      <c r="E37" s="1">
        <v>0.93406593406593397</v>
      </c>
      <c r="F37" s="1">
        <v>0.92380952380952297</v>
      </c>
      <c r="G37" s="1">
        <v>0.92492712570987801</v>
      </c>
    </row>
    <row r="38" spans="1:7" x14ac:dyDescent="0.35">
      <c r="A38" s="1">
        <v>46.1</v>
      </c>
      <c r="B38" s="1">
        <v>15</v>
      </c>
      <c r="C38" s="1">
        <v>0.86666666666666603</v>
      </c>
      <c r="D38" s="1">
        <v>0.98214285714285698</v>
      </c>
      <c r="E38" s="1">
        <v>0.98095238095238002</v>
      </c>
      <c r="F38" s="1">
        <v>0.89166666666666605</v>
      </c>
      <c r="G38" s="1">
        <v>0.94934854370721</v>
      </c>
    </row>
    <row r="39" spans="1:7" x14ac:dyDescent="0.35">
      <c r="A39" s="1">
        <v>7.1</v>
      </c>
      <c r="B39" s="1">
        <v>16</v>
      </c>
      <c r="C39" s="1">
        <v>0.625</v>
      </c>
      <c r="D39" s="1">
        <v>0.9375</v>
      </c>
      <c r="E39" s="1">
        <v>0.91666666666666596</v>
      </c>
      <c r="F39" s="1">
        <v>0.61764705882352899</v>
      </c>
      <c r="G39" s="1">
        <v>0.90664262190304901</v>
      </c>
    </row>
    <row r="40" spans="1:7" x14ac:dyDescent="0.35">
      <c r="A40" s="1">
        <v>34.1</v>
      </c>
      <c r="B40" s="1">
        <v>16</v>
      </c>
      <c r="C40" s="1">
        <v>0.4375</v>
      </c>
      <c r="D40" s="1">
        <v>0.90625</v>
      </c>
      <c r="E40" s="1">
        <v>0.88333333333333297</v>
      </c>
      <c r="F40" s="1">
        <v>0.39705882352941102</v>
      </c>
      <c r="G40" s="1">
        <v>0.86969012468780504</v>
      </c>
    </row>
    <row r="41" spans="1:7" x14ac:dyDescent="0.35">
      <c r="A41" s="1">
        <v>14.1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35">
      <c r="A42" s="1">
        <v>36.1</v>
      </c>
      <c r="B42" s="1">
        <v>17</v>
      </c>
      <c r="C42" s="1">
        <v>0.76470588235294101</v>
      </c>
      <c r="D42" s="1">
        <v>0.95833333333333304</v>
      </c>
      <c r="E42" s="1">
        <v>0.94117647058823495</v>
      </c>
      <c r="F42" s="1">
        <v>0.78431372549019596</v>
      </c>
      <c r="G42" s="1">
        <v>0.91713413048005099</v>
      </c>
    </row>
    <row r="43" spans="1:7" x14ac:dyDescent="0.35">
      <c r="A43" s="1">
        <v>45.1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0.71345029239766</v>
      </c>
      <c r="G43" s="1">
        <v>0.86254053451695201</v>
      </c>
    </row>
    <row r="44" spans="1:7" x14ac:dyDescent="0.35">
      <c r="A44" s="1">
        <v>48.1</v>
      </c>
      <c r="B44" s="1">
        <v>18</v>
      </c>
      <c r="C44" s="1">
        <v>0.61111111111111105</v>
      </c>
      <c r="D44" s="1">
        <v>0.95061728395061695</v>
      </c>
      <c r="E44" s="1">
        <v>0.947712418300653</v>
      </c>
      <c r="F44" s="1">
        <v>0.71929824561403499</v>
      </c>
      <c r="G44" s="1">
        <v>0.80684472517355599</v>
      </c>
    </row>
    <row r="45" spans="1:7" x14ac:dyDescent="0.35">
      <c r="A45" s="1">
        <v>18.100000000000001</v>
      </c>
      <c r="B45" s="1">
        <v>20</v>
      </c>
      <c r="C45" s="1">
        <v>0.9</v>
      </c>
      <c r="D45" s="1">
        <v>0.99</v>
      </c>
      <c r="E45" s="1">
        <v>0.98947368421052595</v>
      </c>
      <c r="F45" s="1">
        <v>0.871428571428571</v>
      </c>
      <c r="G45" s="1">
        <v>0.98263108615436401</v>
      </c>
    </row>
    <row r="46" spans="1:7" x14ac:dyDescent="0.35">
      <c r="A46" s="1">
        <v>35.1</v>
      </c>
      <c r="B46" s="1">
        <v>20</v>
      </c>
      <c r="C46" s="1">
        <v>0.85</v>
      </c>
      <c r="D46" s="1">
        <v>0.98</v>
      </c>
      <c r="E46" s="1">
        <v>0.97894736842105201</v>
      </c>
      <c r="F46" s="1">
        <v>0.9</v>
      </c>
      <c r="G46" s="1">
        <v>0.91600105582559299</v>
      </c>
    </row>
    <row r="47" spans="1:7" x14ac:dyDescent="0.35">
      <c r="A47" s="1">
        <v>24.1</v>
      </c>
      <c r="B47" s="1">
        <v>21</v>
      </c>
      <c r="C47" s="1">
        <v>0.66666666666666596</v>
      </c>
      <c r="D47" s="1">
        <v>0.96363636363636296</v>
      </c>
      <c r="E47" s="1">
        <v>0.96190476190476104</v>
      </c>
      <c r="F47" s="1">
        <v>0.81818181818181801</v>
      </c>
      <c r="G47" s="1">
        <v>0.78196070894059699</v>
      </c>
    </row>
    <row r="48" spans="1:7" x14ac:dyDescent="0.35">
      <c r="A48" s="1">
        <v>44.1</v>
      </c>
      <c r="B48" s="1">
        <v>25</v>
      </c>
      <c r="C48" s="1">
        <v>0.6</v>
      </c>
      <c r="D48" s="1">
        <v>0.96153846153846101</v>
      </c>
      <c r="E48" s="1">
        <v>0.96</v>
      </c>
      <c r="F48" s="1">
        <v>0.78769230769230703</v>
      </c>
      <c r="G48" s="1">
        <v>0.71469640308924898</v>
      </c>
    </row>
    <row r="49" spans="1:7" x14ac:dyDescent="0.35">
      <c r="A49" s="1">
        <v>31.1</v>
      </c>
      <c r="B49" s="1">
        <v>30</v>
      </c>
      <c r="C49" s="1">
        <v>0.6</v>
      </c>
      <c r="D49" s="1">
        <v>0.96444444444444399</v>
      </c>
      <c r="E49" s="1">
        <v>0.958620689655172</v>
      </c>
      <c r="F49" s="1">
        <v>0.47096774193548302</v>
      </c>
      <c r="G49" s="1">
        <v>0.90188353345859695</v>
      </c>
    </row>
    <row r="50" spans="1:7" x14ac:dyDescent="0.35">
      <c r="A50" s="1">
        <v>16.100000000000001</v>
      </c>
      <c r="B50" s="1">
        <v>40</v>
      </c>
      <c r="C50" s="1">
        <v>0.52500000000000002</v>
      </c>
      <c r="D50" s="1">
        <v>0.97</v>
      </c>
      <c r="E50" s="1">
        <v>0.96666666666666601</v>
      </c>
      <c r="F50" s="1">
        <v>0.62073170731707294</v>
      </c>
      <c r="G50" s="1">
        <v>0.69643054956171002</v>
      </c>
    </row>
    <row r="51" spans="1:7" x14ac:dyDescent="0.35">
      <c r="A51" s="1">
        <v>19.100000000000001</v>
      </c>
      <c r="B51" s="1">
        <v>90</v>
      </c>
      <c r="C51" s="1">
        <v>0.344444444444444</v>
      </c>
      <c r="D51" s="1">
        <v>0.97135802469135801</v>
      </c>
      <c r="E51" s="1">
        <v>0.96454431960049902</v>
      </c>
      <c r="F51" s="1">
        <v>0.334798534798534</v>
      </c>
      <c r="G51" s="1">
        <v>0.60267946643171399</v>
      </c>
    </row>
    <row r="52" spans="1:7" x14ac:dyDescent="0.35">
      <c r="A52" s="1" t="s">
        <v>32</v>
      </c>
      <c r="C52" s="1">
        <f>SUBTOTAL(101,Table1264348[JaccardCoefficient])</f>
        <v>0.76444374416433225</v>
      </c>
      <c r="D52" s="1">
        <f>SUBTOTAL(101,Table1264348[MismatchDistanceCoefficient])</f>
        <v>0.9527070805296991</v>
      </c>
      <c r="E52" s="1">
        <f>SUBTOTAL(101,Table1264348[KendallTauCorrelation])</f>
        <v>0.9437409335940159</v>
      </c>
      <c r="F52" s="1">
        <f>SUBTOTAL(101,Table1264348[MismatchPositionCoefficient])</f>
        <v>0.79463243914170545</v>
      </c>
      <c r="G52" s="1">
        <f>SUBTOTAL(101,Table1264348[DiscountedCumulativeGain])</f>
        <v>0.92212608832227128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7">
        <f>Linear!E17</f>
        <v>0.80952380952380898</v>
      </c>
      <c r="C2" s="7">
        <f>Linear!E18</f>
        <v>1</v>
      </c>
      <c r="D2" s="7">
        <f>Linear!E19</f>
        <v>1</v>
      </c>
    </row>
    <row r="3" spans="1:4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16" x14ac:dyDescent="0.3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35">
      <c r="A2" s="5" t="s">
        <v>5</v>
      </c>
      <c r="B2" s="7">
        <f>Linear!E12</f>
        <v>0.73333333333333295</v>
      </c>
      <c r="C2" s="7">
        <f>Linear!E13</f>
        <v>1</v>
      </c>
      <c r="D2" s="7">
        <f>Linear!E14</f>
        <v>1</v>
      </c>
      <c r="F2" s="1" t="str">
        <f>Table91120[[#This Row],[Model]]</f>
        <v>Linear</v>
      </c>
      <c r="G2" s="1">
        <f>Table91120[[#This Row],[5]]</f>
        <v>0.73333333333333295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1</v>
      </c>
      <c r="P2" s="1">
        <f>D8</f>
        <v>0.97551020408163236</v>
      </c>
    </row>
    <row r="3" spans="1:16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3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3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3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3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3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35">
      <c r="F18" s="1" t="s">
        <v>17</v>
      </c>
    </row>
    <row r="19" spans="6:6" x14ac:dyDescent="0.35">
      <c r="F19" s="1" t="s">
        <v>18</v>
      </c>
    </row>
    <row r="20" spans="6:6" x14ac:dyDescent="0.35">
      <c r="F20" s="1" t="s">
        <v>19</v>
      </c>
    </row>
    <row r="21" spans="6:6" x14ac:dyDescent="0.35">
      <c r="F21" s="1" t="s">
        <v>20</v>
      </c>
    </row>
    <row r="22" spans="6:6" x14ac:dyDescent="0.35">
      <c r="F22" s="1" t="s">
        <v>21</v>
      </c>
    </row>
    <row r="23" spans="6:6" x14ac:dyDescent="0.3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D1" zoomScale="80" zoomScaleNormal="80" workbookViewId="0">
      <selection activeCell="N1" sqref="N1:Q4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13.08984375" style="11" customWidth="1"/>
    <col min="11" max="11" width="10.36328125" style="1" customWidth="1"/>
    <col min="12" max="12" width="8.7265625" style="1"/>
    <col min="13" max="13" width="10.6328125" style="1" customWidth="1"/>
    <col min="14" max="14" width="22.632812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6" t="s">
        <v>34</v>
      </c>
    </row>
    <row r="2" spans="1:17" x14ac:dyDescent="0.35">
      <c r="A2" s="1">
        <v>20.399999999999999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16" t="s">
        <v>45</v>
      </c>
      <c r="O2" s="17">
        <f>CORREL(I2:I22, J2:J22)</f>
        <v>-0.80095082363904357</v>
      </c>
      <c r="P2" s="17">
        <f>CORREL(I2:I22, K2:K22)</f>
        <v>0.15981874291995243</v>
      </c>
      <c r="Q2" s="17">
        <f>CORREL(I2:I22, L2:L22)</f>
        <v>-0.8793866776678575</v>
      </c>
    </row>
    <row r="3" spans="1:17" x14ac:dyDescent="0.35">
      <c r="A3" s="1">
        <v>5.4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AVERAGEIF(Table12643[[ Cycle size]],I3,Table12643[JaccardCoefficient])</f>
        <v>0.86666666666666659</v>
      </c>
      <c r="K3" s="2">
        <f>AVERAGEIF(Table12643[ [ Cycle size] ],I3,Table12643[KendallTauCorrelation])</f>
        <v>0.86666666666666659</v>
      </c>
      <c r="L3" s="2">
        <f>AVERAGEIF(Table12643[ [ Cycle size] ],I3,Table12643[DiscountedCumulativeGain])</f>
        <v>0.91746881399038804</v>
      </c>
      <c r="N3" s="15" t="s">
        <v>44</v>
      </c>
      <c r="O3" s="16" t="s">
        <v>33</v>
      </c>
      <c r="P3" s="16" t="s">
        <v>29</v>
      </c>
      <c r="Q3" s="16" t="s">
        <v>34</v>
      </c>
    </row>
    <row r="4" spans="1:17" x14ac:dyDescent="0.35">
      <c r="A4" s="1">
        <v>10.4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0.88343675279582001</v>
      </c>
      <c r="N4" s="16" t="s">
        <v>46</v>
      </c>
      <c r="O4" s="17">
        <f>CORREL(I2:I20, J2:J20)</f>
        <v>-0.40347336681283164</v>
      </c>
      <c r="P4" s="17">
        <f>CORREL(I2:I20, K2:K20)</f>
        <v>0.33930944629576543</v>
      </c>
      <c r="Q4" s="17">
        <f>CORREL(I2:I20, L2:L20)</f>
        <v>-0.54134520440419731</v>
      </c>
    </row>
    <row r="5" spans="1:17" x14ac:dyDescent="0.35">
      <c r="A5" s="1">
        <v>22.4</v>
      </c>
      <c r="B5" s="1">
        <v>3</v>
      </c>
      <c r="C5" s="1">
        <v>0.33333333333333298</v>
      </c>
      <c r="D5" s="1">
        <v>0.5</v>
      </c>
      <c r="E5" s="1">
        <v>0.33333333333333298</v>
      </c>
      <c r="F5" s="1">
        <v>0.5</v>
      </c>
      <c r="G5" s="1">
        <v>0.58734406995194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</row>
    <row r="6" spans="1:17" x14ac:dyDescent="0.35">
      <c r="A6" s="1">
        <v>33.4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AVERAGEIF(Table12643[[ Cycle size]],I6,Table12643[JaccardCoefficient])</f>
        <v>0.88888888888888873</v>
      </c>
      <c r="K6" s="2">
        <f>AVERAGEIF(Table12643[ [ Cycle size] ],I6,Table12643[KendallTauCorrelation])</f>
        <v>0.95555555555555538</v>
      </c>
      <c r="L6" s="2">
        <f>AVERAGEIF(Table12643[ [ Cycle size] ],I6,Table12643[DiscountedCumulativeGain])</f>
        <v>0.98379425657401498</v>
      </c>
    </row>
    <row r="7" spans="1:17" x14ac:dyDescent="0.35">
      <c r="A7" s="1">
        <v>39.4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AVERAGEIF(Table12643[[ Cycle size]],I7,Table12643[JaccardCoefficient])</f>
        <v>0.92857142857142849</v>
      </c>
      <c r="K7" s="2">
        <f>AVERAGEIF(Table12643[ [ Cycle size] ],I7,Table12643[KendallTauCorrelation])</f>
        <v>0.97619047619047605</v>
      </c>
      <c r="L7" s="2">
        <f>AVERAGEIF(Table12643[ [ Cycle size] ],I7,Table12643[DiscountedCumulativeGain])</f>
        <v>0.96743328653943306</v>
      </c>
    </row>
    <row r="8" spans="1:17" x14ac:dyDescent="0.35">
      <c r="A8" s="1">
        <v>26.4</v>
      </c>
      <c r="B8" s="1">
        <v>4</v>
      </c>
      <c r="C8" s="1">
        <v>0.5</v>
      </c>
      <c r="D8" s="1">
        <v>0.75</v>
      </c>
      <c r="E8" s="1">
        <v>0.66666666666666596</v>
      </c>
      <c r="F8" s="1">
        <v>0.7</v>
      </c>
      <c r="G8" s="1">
        <v>0.89790381641629602</v>
      </c>
      <c r="I8" s="12">
        <v>8</v>
      </c>
      <c r="J8" s="2">
        <f>AVERAGEIF(Table12643[[ Cycle size]],I8,Table12643[JaccardCoefficient])</f>
        <v>0.91666666666666663</v>
      </c>
      <c r="K8" s="2">
        <f>AVERAGEIF(Table12643[ [ Cycle size] ],I8,Table12643[KendallTauCorrelation])</f>
        <v>0.97619047619047594</v>
      </c>
      <c r="L8" s="2">
        <f>AVERAGEIF(Table12643[ [ Cycle size] ],I8,Table12643[DiscountedCumulativeGain])</f>
        <v>0.99054664966817541</v>
      </c>
    </row>
    <row r="9" spans="1:17" x14ac:dyDescent="0.35">
      <c r="A9" s="1">
        <v>32.4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AVERAGEIF(Table12643[[ Cycle size]],I9,Table12643[JaccardCoefficient])</f>
        <v>0.86666666666666603</v>
      </c>
      <c r="K9" s="2">
        <f>AVERAGEIF(Table12643[ [ Cycle size] ],I9,Table12643[KendallTauCorrelation])</f>
        <v>0.96666666666666623</v>
      </c>
      <c r="L9" s="2">
        <f>AVERAGEIF(Table12643[ [ Cycle size] ],I9,Table12643[DiscountedCumulativeGain])</f>
        <v>0.94583309727434961</v>
      </c>
    </row>
    <row r="10" spans="1:17" x14ac:dyDescent="0.35">
      <c r="A10" s="1">
        <v>50.4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AVERAGEIF(Table12643[[ Cycle size]],I10,Table12643[JaccardCoefficient])</f>
        <v>0.93333333333333324</v>
      </c>
      <c r="K10" s="2">
        <f>AVERAGEIF(Table12643[ [ Cycle size] ],I10,Table12643[KendallTauCorrelation])</f>
        <v>0.98518518518518494</v>
      </c>
      <c r="L10" s="2">
        <f>AVERAGEIF(Table12643[ [ Cycle size] ],I10,Table12643[DiscountedCumulativeGain])</f>
        <v>0.97789410965100909</v>
      </c>
    </row>
    <row r="11" spans="1:17" x14ac:dyDescent="0.35">
      <c r="A11" s="1">
        <v>23.4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AVERAGEIF(Table12643[[ Cycle size]],I11,Table12643[JaccardCoefficient])</f>
        <v>0.83333333333333326</v>
      </c>
      <c r="K11" s="2">
        <f>AVERAGEIF(Table12643[ [ Cycle size] ],I11,Table12643[KendallTauCorrelation])</f>
        <v>0.96363636363636318</v>
      </c>
      <c r="L11" s="2">
        <f>AVERAGEIF(Table12643[ [ Cycle size] ],I11,Table12643[DiscountedCumulativeGain])</f>
        <v>0.95613837449097239</v>
      </c>
    </row>
    <row r="12" spans="1:17" x14ac:dyDescent="0.35">
      <c r="A12" s="1">
        <v>9.4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AVERAGEIF(Table12643[[ Cycle size]],I12,Table12643[JaccardCoefficient])</f>
        <v>0.80952380952380931</v>
      </c>
      <c r="K12" s="2">
        <f>AVERAGEIF(Table12643[ [ Cycle size] ],I12,Table12643[KendallTauCorrelation])</f>
        <v>0.95604395604395587</v>
      </c>
      <c r="L12" s="2">
        <f>AVERAGEIF(Table12643[ [ Cycle size] ],I12,Table12643[DiscountedCumulativeGain])</f>
        <v>0.90449171528027505</v>
      </c>
    </row>
    <row r="13" spans="1:17" x14ac:dyDescent="0.35">
      <c r="A13" s="1">
        <v>27.4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0.66666666666666596</v>
      </c>
      <c r="G13" s="1">
        <v>0.95138276972204505</v>
      </c>
      <c r="I13" s="12">
        <v>15</v>
      </c>
      <c r="J13" s="2">
        <f>AVERAGEIF(Table12643[[ Cycle size]],I13,Table12643[JaccardCoefficient])</f>
        <v>1</v>
      </c>
      <c r="K13" s="2">
        <f>AVERAGEIF(Table12643[ [ Cycle size] ],I13,Table12643[KendallTauCorrelation])</f>
        <v>1</v>
      </c>
      <c r="L13" s="2">
        <f>AVERAGEIF(Table12643[ [ Cycle size] ],I13,Table12643[DiscountedCumulativeGain])</f>
        <v>1</v>
      </c>
    </row>
    <row r="14" spans="1:17" x14ac:dyDescent="0.35">
      <c r="A14" s="1">
        <v>30.4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AVERAGEIF(Table12643[[ Cycle size]],I14,Table12643[JaccardCoefficient])</f>
        <v>0.9375</v>
      </c>
      <c r="K14" s="2">
        <f>AVERAGEIF(Table12643[ [ Cycle size] ],I14,Table12643[KendallTauCorrelation])</f>
        <v>0.99166666666666647</v>
      </c>
      <c r="L14" s="2">
        <f>AVERAGEIF(Table12643[ [ Cycle size] ],I14,Table12643[DiscountedCumulativeGain])</f>
        <v>0.97308970595681243</v>
      </c>
    </row>
    <row r="15" spans="1:17" x14ac:dyDescent="0.35">
      <c r="A15" s="1">
        <v>1.4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AVERAGEIF(Table12643[[ Cycle size]],I15,Table12643[JaccardCoefficient])</f>
        <v>0.82352941176470551</v>
      </c>
      <c r="K15" s="2">
        <f>AVERAGEIF(Table12643[ [ Cycle size] ],I15,Table12643[KendallTauCorrelation])</f>
        <v>0.97058823529411753</v>
      </c>
      <c r="L15" s="2">
        <f>AVERAGEIF(Table12643[ [ Cycle size] ],I15,Table12643[DiscountedCumulativeGain])</f>
        <v>0.96964509169741242</v>
      </c>
    </row>
    <row r="16" spans="1:17" x14ac:dyDescent="0.35">
      <c r="A16" s="1">
        <v>6.4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AVERAGEIF(Table12643[[ Cycle size]],I16,Table12643[JaccardCoefficient])</f>
        <v>0.77777777777777701</v>
      </c>
      <c r="K16" s="2">
        <f>AVERAGEIF(Table12643[ [ Cycle size] ],I16,Table12643[KendallTauCorrelation])</f>
        <v>0.97385620915032645</v>
      </c>
      <c r="L16" s="2">
        <f>AVERAGEIF(Table12643[ [ Cycle size] ],I16,Table12643[DiscountedCumulativeGain])</f>
        <v>0.90185911712120093</v>
      </c>
    </row>
    <row r="17" spans="1:12" x14ac:dyDescent="0.35">
      <c r="A17" s="1">
        <v>8.4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0.96428571428571397</v>
      </c>
      <c r="G17" s="1">
        <v>0.86973314615773201</v>
      </c>
      <c r="I17" s="12">
        <v>20</v>
      </c>
      <c r="J17" s="2">
        <f>AVERAGEIF(Table12643[[ Cycle size]],I17,Table12643[JaccardCoefficient])</f>
        <v>0.77500000000000002</v>
      </c>
      <c r="K17" s="2">
        <f>AVERAGEIF(Table12643[ [ Cycle size] ],I17,Table12643[KendallTauCorrelation])</f>
        <v>0.96842105263157852</v>
      </c>
      <c r="L17" s="2">
        <f>AVERAGEIF(Table12643[ [ Cycle size] ],I17,Table12643[DiscountedCumulativeGain])</f>
        <v>0.85952649152367444</v>
      </c>
    </row>
    <row r="18" spans="1:12" x14ac:dyDescent="0.35">
      <c r="A18" s="1">
        <v>43.4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0.80952380952380898</v>
      </c>
      <c r="K18" s="2">
        <f>AVERAGEIF(Table12643[ [ Cycle size] ],I18,Table12643[KendallTauCorrelation])</f>
        <v>0.98095238095238002</v>
      </c>
      <c r="L18" s="2">
        <f>AVERAGEIF(Table12643[ [ Cycle size] ],I18,Table12643[DiscountedCumulativeGain])</f>
        <v>0.86948087201170199</v>
      </c>
    </row>
    <row r="19" spans="1:12" x14ac:dyDescent="0.35">
      <c r="A19" s="1">
        <v>4.4000000000000004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AVERAGEIF(Table12643[[ Cycle size]],I19,Table12643[JaccardCoefficient])</f>
        <v>0.72</v>
      </c>
      <c r="K19" s="2">
        <f>AVERAGEIF(Table12643[ [ Cycle size] ],I19,Table12643[KendallTauCorrelation])</f>
        <v>0.97333333333333305</v>
      </c>
      <c r="L19" s="2">
        <f>AVERAGEIF(Table12643[ [ Cycle size] ],I19,Table12643[DiscountedCumulativeGain])</f>
        <v>0.82639553335889504</v>
      </c>
    </row>
    <row r="20" spans="1:12" x14ac:dyDescent="0.35">
      <c r="A20" s="1">
        <v>13.4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AVERAGEIF(Table12643[[ Cycle size]],I20,Table12643[JaccardCoefficient])</f>
        <v>0.83333333333333304</v>
      </c>
      <c r="K20" s="2">
        <f>AVERAGEIF(Table12643[ [ Cycle size] ],I20,Table12643[KendallTauCorrelation])</f>
        <v>0.97701149425287304</v>
      </c>
      <c r="L20" s="2">
        <f>AVERAGEIF(Table12643[ [ Cycle size] ],I20,Table12643[DiscountedCumulativeGain])</f>
        <v>0.91688831385987801</v>
      </c>
    </row>
    <row r="21" spans="1:12" x14ac:dyDescent="0.35">
      <c r="A21" s="1">
        <v>29.4</v>
      </c>
      <c r="B21" s="1">
        <v>8</v>
      </c>
      <c r="C21" s="1">
        <v>0.75</v>
      </c>
      <c r="D21" s="1">
        <v>0.9375</v>
      </c>
      <c r="E21" s="1">
        <v>0.92857142857142805</v>
      </c>
      <c r="F21" s="1">
        <v>0.69444444444444398</v>
      </c>
      <c r="G21" s="1">
        <v>0.97163994900452599</v>
      </c>
      <c r="I21" s="12">
        <v>40</v>
      </c>
      <c r="J21" s="2">
        <f>AVERAGEIF(Table12643[[ Cycle size]],I21,Table12643[JaccardCoefficient])</f>
        <v>0.4</v>
      </c>
      <c r="K21" s="2">
        <f>AVERAGEIF(Table12643[ [ Cycle size] ],I21,Table12643[KendallTauCorrelation])</f>
        <v>0.95128205128205101</v>
      </c>
      <c r="L21" s="2">
        <f>AVERAGEIF(Table12643[ [ Cycle size] ],I21,Table12643[DiscountedCumulativeGain])</f>
        <v>0.73072837244478805</v>
      </c>
    </row>
    <row r="22" spans="1:12" x14ac:dyDescent="0.35">
      <c r="A22" s="1">
        <v>2.4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AVERAGEIF(Table12643[[ Cycle size]],I22,Table12643[JaccardCoefficient])</f>
        <v>0.35555555555555501</v>
      </c>
      <c r="K22" s="2">
        <f>AVERAGEIF(Table12643[ [ Cycle size] ],I22,Table12643[KendallTauCorrelation])</f>
        <v>0.97153558052434397</v>
      </c>
      <c r="L22" s="2">
        <f>AVERAGEIF(Table12643[ [ Cycle size] ],I22,Table12643[DiscountedCumulativeGain])</f>
        <v>0.60186781760003605</v>
      </c>
    </row>
    <row r="23" spans="1:12" x14ac:dyDescent="0.35">
      <c r="A23" s="1">
        <v>11.4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/>
      <c r="J23" s="1"/>
    </row>
    <row r="24" spans="1:12" x14ac:dyDescent="0.35">
      <c r="A24" s="1">
        <v>17.399999999999999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35">
      <c r="A25" s="1">
        <v>21.4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0.97777777777777697</v>
      </c>
      <c r="G25" s="1">
        <v>0.86492944988589404</v>
      </c>
      <c r="I25" s="1"/>
      <c r="J25" s="1"/>
    </row>
    <row r="26" spans="1:12" x14ac:dyDescent="0.35">
      <c r="A26" s="1">
        <v>40.4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0.844444444444444</v>
      </c>
      <c r="G26" s="1">
        <v>0.94529096776548804</v>
      </c>
    </row>
    <row r="27" spans="1:12" x14ac:dyDescent="0.35">
      <c r="A27" s="1">
        <v>37.4</v>
      </c>
      <c r="B27" s="1">
        <v>10</v>
      </c>
      <c r="C27" s="1">
        <v>0.8</v>
      </c>
      <c r="D27" s="1">
        <v>0.96</v>
      </c>
      <c r="E27" s="1">
        <v>0.95555555555555505</v>
      </c>
      <c r="F27" s="1">
        <v>0.87272727272727202</v>
      </c>
      <c r="G27" s="1">
        <v>0.93368232895302705</v>
      </c>
    </row>
    <row r="28" spans="1:12" x14ac:dyDescent="0.35">
      <c r="A28" s="1">
        <v>38.4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35">
      <c r="A29" s="1">
        <v>42.4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35">
      <c r="A30" s="1">
        <v>3.4</v>
      </c>
      <c r="B30" s="1">
        <v>12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35">
      <c r="A31" s="1">
        <v>3.1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35">
      <c r="A32" s="1">
        <v>15.4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0.83333333333333304</v>
      </c>
      <c r="G32" s="1">
        <v>0.968437096787781</v>
      </c>
    </row>
    <row r="33" spans="1:7" x14ac:dyDescent="0.35">
      <c r="A33" s="1">
        <v>41.4</v>
      </c>
      <c r="B33" s="1">
        <v>12</v>
      </c>
      <c r="C33" s="1">
        <v>0.83333333333333304</v>
      </c>
      <c r="D33" s="1">
        <v>0.97222222222222199</v>
      </c>
      <c r="E33" s="1">
        <v>0.96969696969696895</v>
      </c>
      <c r="F33" s="1">
        <v>0.83333333333333304</v>
      </c>
      <c r="G33" s="1">
        <v>0.968437096787781</v>
      </c>
    </row>
    <row r="34" spans="1:7" x14ac:dyDescent="0.35">
      <c r="A34" s="1">
        <v>47.4</v>
      </c>
      <c r="B34" s="1">
        <v>12</v>
      </c>
      <c r="C34" s="1">
        <v>0.5</v>
      </c>
      <c r="D34" s="1">
        <v>0.88888888888888795</v>
      </c>
      <c r="E34" s="1">
        <v>0.87878787878787801</v>
      </c>
      <c r="F34" s="1">
        <v>0.60256410256410198</v>
      </c>
      <c r="G34" s="1">
        <v>0.84381767887930004</v>
      </c>
    </row>
    <row r="35" spans="1:7" x14ac:dyDescent="0.35">
      <c r="A35" s="1">
        <v>25.4</v>
      </c>
      <c r="B35" s="1">
        <v>14</v>
      </c>
      <c r="C35" s="1">
        <v>0.85714285714285698</v>
      </c>
      <c r="D35" s="1">
        <v>0.97959183673469297</v>
      </c>
      <c r="E35" s="1">
        <v>0.97802197802197799</v>
      </c>
      <c r="F35" s="1">
        <v>0.99047619047618995</v>
      </c>
      <c r="G35" s="1">
        <v>0.88170522422904196</v>
      </c>
    </row>
    <row r="36" spans="1:7" x14ac:dyDescent="0.35">
      <c r="A36" s="1">
        <v>28.4</v>
      </c>
      <c r="B36" s="1">
        <v>14</v>
      </c>
      <c r="C36" s="1">
        <v>0.85714285714285698</v>
      </c>
      <c r="D36" s="1">
        <v>0.97959183673469297</v>
      </c>
      <c r="E36" s="1">
        <v>0.97802197802197799</v>
      </c>
      <c r="F36" s="1">
        <v>0.91428571428571404</v>
      </c>
      <c r="G36" s="1">
        <v>0.93028952400241005</v>
      </c>
    </row>
    <row r="37" spans="1:7" x14ac:dyDescent="0.35">
      <c r="A37" s="1">
        <v>49.4</v>
      </c>
      <c r="B37" s="1">
        <v>14</v>
      </c>
      <c r="C37" s="1">
        <v>0.71428571428571397</v>
      </c>
      <c r="D37" s="1">
        <v>0.93877551020408101</v>
      </c>
      <c r="E37" s="1">
        <v>0.91208791208791196</v>
      </c>
      <c r="F37" s="1">
        <v>0.76190476190476097</v>
      </c>
      <c r="G37" s="1">
        <v>0.90148039760937304</v>
      </c>
    </row>
    <row r="38" spans="1:7" x14ac:dyDescent="0.35">
      <c r="A38" s="1">
        <v>46.4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35">
      <c r="A39" s="1">
        <v>34.1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35">
      <c r="A40" s="1">
        <v>34.4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0.90441176470588203</v>
      </c>
      <c r="G40" s="1">
        <v>0.94617941191362498</v>
      </c>
    </row>
    <row r="41" spans="1:7" x14ac:dyDescent="0.35">
      <c r="A41" s="1">
        <v>14.4</v>
      </c>
      <c r="B41" s="1">
        <v>17</v>
      </c>
      <c r="C41" s="1">
        <v>0.64705882352941102</v>
      </c>
      <c r="D41" s="1">
        <v>0.94444444444444398</v>
      </c>
      <c r="E41" s="1">
        <v>0.94117647058823495</v>
      </c>
      <c r="F41" s="1">
        <v>0.57516339869280997</v>
      </c>
      <c r="G41" s="1">
        <v>0.93929018339482495</v>
      </c>
    </row>
    <row r="42" spans="1:7" x14ac:dyDescent="0.35">
      <c r="A42" s="1">
        <v>14.1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35">
      <c r="A43" s="1">
        <v>45.4</v>
      </c>
      <c r="B43" s="1">
        <v>18</v>
      </c>
      <c r="C43" s="1">
        <v>0.66666666666666596</v>
      </c>
      <c r="D43" s="1">
        <v>0.96296296296296302</v>
      </c>
      <c r="E43" s="1">
        <v>0.96078431372549</v>
      </c>
      <c r="F43" s="1">
        <v>0.79532163742689999</v>
      </c>
      <c r="G43" s="1">
        <v>0.80968877129408101</v>
      </c>
    </row>
    <row r="44" spans="1:7" x14ac:dyDescent="0.35">
      <c r="A44" s="1">
        <v>48.4</v>
      </c>
      <c r="B44" s="1">
        <v>18</v>
      </c>
      <c r="C44" s="1">
        <v>0.88888888888888795</v>
      </c>
      <c r="D44" s="1">
        <v>0.98765432098765404</v>
      </c>
      <c r="E44" s="1">
        <v>0.986928104575163</v>
      </c>
      <c r="F44" s="1">
        <v>0.81871345029239695</v>
      </c>
      <c r="G44" s="1">
        <v>0.99402946294832095</v>
      </c>
    </row>
    <row r="45" spans="1:7" x14ac:dyDescent="0.35">
      <c r="A45" s="1">
        <v>18.399999999999999</v>
      </c>
      <c r="B45" s="1">
        <v>20</v>
      </c>
      <c r="C45" s="1">
        <v>0.55000000000000004</v>
      </c>
      <c r="D45" s="1">
        <v>0.94</v>
      </c>
      <c r="E45" s="1">
        <v>0.93684210526315703</v>
      </c>
      <c r="F45" s="1">
        <v>0.74285714285714199</v>
      </c>
      <c r="G45" s="1">
        <v>0.71905298304734899</v>
      </c>
    </row>
    <row r="46" spans="1:7" x14ac:dyDescent="0.35">
      <c r="A46" s="1">
        <v>35.4</v>
      </c>
      <c r="B46" s="1">
        <v>20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</row>
    <row r="47" spans="1:7" x14ac:dyDescent="0.35">
      <c r="A47" s="1">
        <v>24.4</v>
      </c>
      <c r="B47" s="1">
        <v>21</v>
      </c>
      <c r="C47" s="1">
        <v>0.80952380952380898</v>
      </c>
      <c r="D47" s="1">
        <v>0.98181818181818103</v>
      </c>
      <c r="E47" s="1">
        <v>0.98095238095238002</v>
      </c>
      <c r="F47" s="1">
        <v>0.90476190476190399</v>
      </c>
      <c r="G47" s="1">
        <v>0.86948087201170199</v>
      </c>
    </row>
    <row r="48" spans="1:7" x14ac:dyDescent="0.35">
      <c r="A48" s="1">
        <v>44.4</v>
      </c>
      <c r="B48" s="1">
        <v>25</v>
      </c>
      <c r="C48" s="1">
        <v>0.72</v>
      </c>
      <c r="D48" s="1">
        <v>0.97435897435897401</v>
      </c>
      <c r="E48" s="1">
        <v>0.97333333333333305</v>
      </c>
      <c r="F48" s="1">
        <v>0.80923076923076898</v>
      </c>
      <c r="G48" s="1">
        <v>0.82639553335889504</v>
      </c>
    </row>
    <row r="49" spans="1:7" x14ac:dyDescent="0.35">
      <c r="A49" s="1">
        <v>31.4</v>
      </c>
      <c r="B49" s="1">
        <v>30</v>
      </c>
      <c r="C49" s="1">
        <v>0.83333333333333304</v>
      </c>
      <c r="D49" s="1">
        <v>0.982222222222222</v>
      </c>
      <c r="E49" s="1">
        <v>0.97701149425287304</v>
      </c>
      <c r="F49" s="1">
        <v>0.84731182795698901</v>
      </c>
      <c r="G49" s="1">
        <v>0.91688831385987801</v>
      </c>
    </row>
    <row r="50" spans="1:7" x14ac:dyDescent="0.35">
      <c r="A50" s="1">
        <v>16.399999999999999</v>
      </c>
      <c r="B50" s="1">
        <v>40</v>
      </c>
      <c r="C50" s="1">
        <v>0.4</v>
      </c>
      <c r="D50" s="1">
        <v>0.95499999999999996</v>
      </c>
      <c r="E50" s="1">
        <v>0.95128205128205101</v>
      </c>
      <c r="F50" s="1">
        <v>0.34878048780487803</v>
      </c>
      <c r="G50" s="1">
        <v>0.73072837244478805</v>
      </c>
    </row>
    <row r="51" spans="1:7" x14ac:dyDescent="0.35">
      <c r="A51" s="1">
        <v>19.399999999999999</v>
      </c>
      <c r="B51" s="1">
        <v>90</v>
      </c>
      <c r="C51" s="1">
        <v>0.35555555555555501</v>
      </c>
      <c r="D51" s="1">
        <v>0.97432098765432096</v>
      </c>
      <c r="E51" s="1">
        <v>0.97153558052434397</v>
      </c>
      <c r="F51" s="1">
        <v>0.35628815628815602</v>
      </c>
      <c r="G51" s="1">
        <v>0.60186781760003605</v>
      </c>
    </row>
    <row r="52" spans="1:7" x14ac:dyDescent="0.35">
      <c r="A52" s="1" t="s">
        <v>32</v>
      </c>
      <c r="C52" s="1">
        <f>SUBTOTAL(101,Table12643[JaccardCoefficient])</f>
        <v>0.83877768440709599</v>
      </c>
      <c r="D52" s="1">
        <f>SUBTOTAL(101,Table12643[MismatchDistanceCoefficient])</f>
        <v>0.95943010334022205</v>
      </c>
      <c r="E52" s="1">
        <f>SUBTOTAL(101,Table12643[KendallTauCorrelation])</f>
        <v>0.95010096819399181</v>
      </c>
      <c r="F52" s="1">
        <f>SUBTOTAL(101,Table12643[MismatchPositionCoefficient])</f>
        <v>0.87295946370300936</v>
      </c>
      <c r="G52" s="1">
        <f>SUBTOTAL(101,Table12643[DiscountedCumulativeGain])</f>
        <v>0.93082053497435335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F1" workbookViewId="0">
      <selection activeCell="N1" sqref="N1:Q4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8.36328125" customWidth="1"/>
    <col min="9" max="9" width="12.90625" style="11" customWidth="1"/>
    <col min="10" max="10" width="13.08984375" style="11" customWidth="1"/>
    <col min="11" max="11" width="10.36328125" customWidth="1"/>
    <col min="13" max="13" width="10.6328125" customWidth="1"/>
    <col min="14" max="14" width="23.269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15" t="s">
        <v>44</v>
      </c>
      <c r="O1" s="16" t="s">
        <v>33</v>
      </c>
      <c r="P1" s="16" t="s">
        <v>29</v>
      </c>
      <c r="Q1" s="16" t="s">
        <v>34</v>
      </c>
    </row>
    <row r="2" spans="1:17" x14ac:dyDescent="0.35">
      <c r="A2" s="1">
        <v>20.100000000000001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16" t="s">
        <v>45</v>
      </c>
      <c r="O2" s="17">
        <f>CORREL(I2:I22, J2:J22)</f>
        <v>-0.70901597017509299</v>
      </c>
      <c r="P2" s="17">
        <f>CORREL(I2:I22, K2:K22)</f>
        <v>-0.19843610814515833</v>
      </c>
      <c r="Q2" s="17">
        <f>CORREL(I2:I22, L2:L22)</f>
        <v>-0.80154448031778835</v>
      </c>
    </row>
    <row r="3" spans="1:17" x14ac:dyDescent="0.35">
      <c r="A3" s="1">
        <v>5.0999999999999996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AVERAGEIF(Table126[[ Cycle size]],I3,Table126[JaccardCoefficient])</f>
        <v>1</v>
      </c>
      <c r="K3" s="2">
        <f>AVERAGEIF(Table126[ [ Cycle size] ],I3,Table126[KendallTauCorrelation])</f>
        <v>1</v>
      </c>
      <c r="L3" s="2">
        <f>AVERAGEIF(Table126[ [ Cycle size] ],I3,Table126[DiscountedCumulativeGain])</f>
        <v>1</v>
      </c>
      <c r="N3" s="15" t="s">
        <v>44</v>
      </c>
      <c r="O3" s="16" t="s">
        <v>33</v>
      </c>
      <c r="P3" s="16" t="s">
        <v>29</v>
      </c>
      <c r="Q3" s="16" t="s">
        <v>34</v>
      </c>
    </row>
    <row r="4" spans="1:17" x14ac:dyDescent="0.35">
      <c r="A4" s="1">
        <v>10.1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AVERAGEIF(Table126[[ Cycle size]],I4,Table126[JaccardCoefficient])</f>
        <v>0.66666666666666663</v>
      </c>
      <c r="K4" s="2">
        <f>AVERAGEIF(Table126[ [ Cycle size] ],I4,Table126[KendallTauCorrelation])</f>
        <v>0.77777777777777735</v>
      </c>
      <c r="L4" s="2">
        <f>AVERAGEIF(Table126[ [ Cycle size] ],I4,Table126[DiscountedCumulativeGain])</f>
        <v>0.91253309560611706</v>
      </c>
      <c r="N4" s="16" t="s">
        <v>46</v>
      </c>
      <c r="O4" s="17">
        <f>CORREL(I2:I20, J2:J20)</f>
        <v>-0.76011956622295818</v>
      </c>
      <c r="P4" s="17">
        <f>CORREL(I2:I20, K2:K20)</f>
        <v>-0.16527367850382241</v>
      </c>
      <c r="Q4" s="17">
        <f>CORREL(I2:I20, L2:L20)</f>
        <v>-0.78390812098357465</v>
      </c>
    </row>
    <row r="5" spans="1:17" x14ac:dyDescent="0.35">
      <c r="A5" s="1">
        <v>22.1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AVERAGEIF(Table126[[ Cycle size]],I5,Table126[JaccardCoefficient])</f>
        <v>1</v>
      </c>
      <c r="K5" s="2">
        <f>AVERAGEIF(Table126[ [ Cycle size] ],I5,Table126[KendallTauCorrelation])</f>
        <v>1</v>
      </c>
      <c r="L5" s="2">
        <f>AVERAGEIF(Table126[ [ Cycle size] ],I5,Table126[DiscountedCumulativeGain])</f>
        <v>1</v>
      </c>
    </row>
    <row r="6" spans="1:17" x14ac:dyDescent="0.35">
      <c r="A6" s="1">
        <v>33.1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AVERAGEIF(Table126[[ Cycle size]],I6,Table126[JaccardCoefficient])</f>
        <v>0.88888888888888873</v>
      </c>
      <c r="K6" s="2">
        <f>AVERAGEIF(Table126[ [ Cycle size] ],I6,Table126[KendallTauCorrelation])</f>
        <v>0.95555555555555538</v>
      </c>
      <c r="L6" s="2">
        <f>AVERAGEIF(Table126[ [ Cycle size] ],I6,Table126[DiscountedCumulativeGain])</f>
        <v>0.99764965791225191</v>
      </c>
    </row>
    <row r="7" spans="1:17" x14ac:dyDescent="0.35">
      <c r="A7" s="1">
        <v>39.1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AVERAGEIF(Table126[[ Cycle size]],I7,Table126[JaccardCoefficient])</f>
        <v>0.92857142857142849</v>
      </c>
      <c r="K7" s="2">
        <f>AVERAGEIF(Table126[ [ Cycle size] ],I7,Table126[KendallTauCorrelation])</f>
        <v>0.97619047619047605</v>
      </c>
      <c r="L7" s="2">
        <f>AVERAGEIF(Table126[ [ Cycle size] ],I7,Table126[DiscountedCumulativeGain])</f>
        <v>0.98841712390064951</v>
      </c>
    </row>
    <row r="8" spans="1:17" x14ac:dyDescent="0.35">
      <c r="A8" s="1">
        <v>26.1</v>
      </c>
      <c r="B8" s="1">
        <v>4</v>
      </c>
      <c r="C8" s="1">
        <v>0.5</v>
      </c>
      <c r="D8" s="1">
        <v>0.75</v>
      </c>
      <c r="E8" s="1">
        <v>0.66666666666666596</v>
      </c>
      <c r="F8" s="1">
        <v>0.9</v>
      </c>
      <c r="G8" s="1">
        <v>0.98519284484718705</v>
      </c>
      <c r="I8" s="12">
        <v>8</v>
      </c>
      <c r="J8" s="2">
        <f>AVERAGEIF(Table126[[ Cycle size]],I8,Table126[JaccardCoefficient])</f>
        <v>0.91666666666666663</v>
      </c>
      <c r="K8" s="2">
        <f>AVERAGEIF(Table126[ [ Cycle size] ],I8,Table126[KendallTauCorrelation])</f>
        <v>0.97619047619047594</v>
      </c>
      <c r="L8" s="2">
        <f>AVERAGEIF(Table126[ [ Cycle size] ],I8,Table126[DiscountedCumulativeGain])</f>
        <v>0.97720456990228666</v>
      </c>
    </row>
    <row r="9" spans="1:17" x14ac:dyDescent="0.35">
      <c r="A9" s="1">
        <v>32.1</v>
      </c>
      <c r="B9" s="1">
        <v>4</v>
      </c>
      <c r="C9" s="1">
        <v>0.5</v>
      </c>
      <c r="D9" s="1">
        <v>0.75</v>
      </c>
      <c r="E9" s="1">
        <v>0.66666666666666596</v>
      </c>
      <c r="F9" s="1">
        <v>0.5</v>
      </c>
      <c r="G9" s="1">
        <v>0.75240644197116402</v>
      </c>
      <c r="I9" s="12">
        <v>9</v>
      </c>
      <c r="J9" s="2">
        <f>AVERAGEIF(Table126[[ Cycle size]],I9,Table126[JaccardCoefficient])</f>
        <v>0.73333333333333306</v>
      </c>
      <c r="K9" s="2">
        <f>AVERAGEIF(Table126[ [ Cycle size] ],I9,Table126[KendallTauCorrelation])</f>
        <v>0.89999999999999969</v>
      </c>
      <c r="L9" s="2">
        <f>AVERAGEIF(Table126[ [ Cycle size] ],I9,Table126[DiscountedCumulativeGain])</f>
        <v>0.93429177658279072</v>
      </c>
    </row>
    <row r="10" spans="1:17" x14ac:dyDescent="0.35">
      <c r="A10" s="1">
        <v>50.1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0.8666666666666667</v>
      </c>
      <c r="K10" s="2">
        <f>AVERAGEIF(Table126[ [ Cycle size] ],I10,Table126[KendallTauCorrelation])</f>
        <v>0.95555555555555538</v>
      </c>
      <c r="L10" s="2">
        <f>AVERAGEIF(Table126[ [ Cycle size] ],I10,Table126[DiscountedCumulativeGain])</f>
        <v>0.92678210948025475</v>
      </c>
    </row>
    <row r="11" spans="1:17" x14ac:dyDescent="0.35">
      <c r="A11" s="1">
        <v>23.1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AVERAGEIF(Table126[[ Cycle size]],I11,Table126[JaccardCoefficient])</f>
        <v>0.78333333333333299</v>
      </c>
      <c r="K11" s="2">
        <f>AVERAGEIF(Table126[ [ Cycle size] ],I11,Table126[KendallTauCorrelation])</f>
        <v>0.9575757575757573</v>
      </c>
      <c r="L11" s="2">
        <f>AVERAGEIF(Table126[ [ Cycle size] ],I11,Table126[DiscountedCumulativeGain])</f>
        <v>0.91386663515654543</v>
      </c>
    </row>
    <row r="12" spans="1:17" x14ac:dyDescent="0.35">
      <c r="A12" s="1">
        <v>9.1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AVERAGEIF(Table126[[ Cycle size]],I12,Table126[JaccardCoefficient])</f>
        <v>0.476190476190476</v>
      </c>
      <c r="K12" s="2">
        <f>AVERAGEIF(Table126[ [ Cycle size] ],I12,Table126[KendallTauCorrelation])</f>
        <v>0.87545787545787535</v>
      </c>
      <c r="L12" s="2">
        <f>AVERAGEIF(Table126[ [ Cycle size] ],I12,Table126[DiscountedCumulativeGain])</f>
        <v>0.86255168555847106</v>
      </c>
    </row>
    <row r="13" spans="1:17" x14ac:dyDescent="0.35">
      <c r="A13" s="1">
        <v>27.1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0.76190476190476097</v>
      </c>
      <c r="G13" s="1">
        <v>0.99294897373675595</v>
      </c>
      <c r="I13" s="12">
        <v>15</v>
      </c>
      <c r="J13" s="2">
        <f>AVERAGEIF(Table126[[ Cycle size]],I13,Table126[JaccardCoefficient])</f>
        <v>0.46666666666666601</v>
      </c>
      <c r="K13" s="2">
        <f>AVERAGEIF(Table126[ [ Cycle size] ],I13,Table126[KendallTauCorrelation])</f>
        <v>0.90476190476190399</v>
      </c>
      <c r="L13" s="2">
        <f>AVERAGEIF(Table126[ [ Cycle size] ],I13,Table126[DiscountedCumulativeGain])</f>
        <v>0.74282566427766095</v>
      </c>
    </row>
    <row r="14" spans="1:17" x14ac:dyDescent="0.35">
      <c r="A14" s="1">
        <v>30.1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AVERAGEIF(Table126[[ Cycle size]],I14,Table126[JaccardCoefficient])</f>
        <v>0.5</v>
      </c>
      <c r="K14" s="2">
        <f>AVERAGEIF(Table126[ [ Cycle size] ],I14,Table126[KendallTauCorrelation])</f>
        <v>0.92500000000000004</v>
      </c>
      <c r="L14" s="2">
        <f>AVERAGEIF(Table126[ [ Cycle size] ],I14,Table126[DiscountedCumulativeGain])</f>
        <v>0.782234292492899</v>
      </c>
    </row>
    <row r="15" spans="1:17" x14ac:dyDescent="0.35">
      <c r="A15" s="1">
        <v>1.1000000000000001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AVERAGEIF(Table126[[ Cycle size]],I15,Table126[JaccardCoefficient])</f>
        <v>0.38235294117647045</v>
      </c>
      <c r="K15" s="2">
        <f>AVERAGEIF(Table126[ [ Cycle size] ],I15,Table126[KendallTauCorrelation])</f>
        <v>0.88970588235294101</v>
      </c>
      <c r="L15" s="2">
        <f>AVERAGEIF(Table126[ [ Cycle size] ],I15,Table126[DiscountedCumulativeGain])</f>
        <v>0.71449558754378295</v>
      </c>
    </row>
    <row r="16" spans="1:17" x14ac:dyDescent="0.35">
      <c r="A16" s="1">
        <v>6.1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0.82142857142857095</v>
      </c>
      <c r="G16" s="1">
        <v>0.95366849560259803</v>
      </c>
      <c r="I16" s="12">
        <v>18</v>
      </c>
      <c r="J16" s="2">
        <f>AVERAGEIF(Table126[[ Cycle size]],I16,Table126[JaccardCoefficient])</f>
        <v>0.72222222222222143</v>
      </c>
      <c r="K16" s="2">
        <f>AVERAGEIF(Table126[ [ Cycle size] ],I16,Table126[KendallTauCorrelation])</f>
        <v>0.96732026143790795</v>
      </c>
      <c r="L16" s="2">
        <f>AVERAGEIF(Table126[ [ Cycle size] ],I16,Table126[DiscountedCumulativeGain])</f>
        <v>0.88427265787522946</v>
      </c>
    </row>
    <row r="17" spans="1:12" x14ac:dyDescent="0.35">
      <c r="A17" s="1">
        <v>8.1</v>
      </c>
      <c r="B17" s="1">
        <v>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I17" s="12">
        <v>20</v>
      </c>
      <c r="J17" s="2">
        <f>AVERAGEIF(Table126[[ Cycle size]],I17,Table126[JaccardCoefficient])</f>
        <v>0.55000000000000004</v>
      </c>
      <c r="K17" s="2">
        <f>AVERAGEIF(Table126[ [ Cycle size] ],I17,Table126[KendallTauCorrelation])</f>
        <v>0.92105263157894701</v>
      </c>
      <c r="L17" s="2">
        <f>AVERAGEIF(Table126[ [ Cycle size] ],I17,Table126[DiscountedCumulativeGain])</f>
        <v>0.85175558975982057</v>
      </c>
    </row>
    <row r="18" spans="1:12" x14ac:dyDescent="0.35">
      <c r="A18" s="1">
        <v>43.1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AVERAGEIF(Table126[[ Cycle size]],I18,Table126[JaccardCoefficient])</f>
        <v>0.476190476190476</v>
      </c>
      <c r="K18" s="2">
        <f>AVERAGEIF(Table126[ [ Cycle size] ],I18,Table126[KendallTauCorrelation])</f>
        <v>0.87619047619047596</v>
      </c>
      <c r="L18" s="2">
        <f>AVERAGEIF(Table126[ [ Cycle size] ],I18,Table126[DiscountedCumulativeGain])</f>
        <v>0.81149888900304601</v>
      </c>
    </row>
    <row r="19" spans="1:12" x14ac:dyDescent="0.35">
      <c r="A19" s="1">
        <v>4.0999999999999996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AVERAGEIF(Table126[[ Cycle size]],I19,Table126[JaccardCoefficient])</f>
        <v>0.56000000000000005</v>
      </c>
      <c r="K19" s="2">
        <f>AVERAGEIF(Table126[ [ Cycle size] ],I19,Table126[KendallTauCorrelation])</f>
        <v>0.94</v>
      </c>
      <c r="L19" s="2">
        <f>AVERAGEIF(Table126[ [ Cycle size] ],I19,Table126[DiscountedCumulativeGain])</f>
        <v>0.747139958403083</v>
      </c>
    </row>
    <row r="20" spans="1:12" x14ac:dyDescent="0.35">
      <c r="A20" s="1">
        <v>13.1</v>
      </c>
      <c r="B20" s="1">
        <v>8</v>
      </c>
      <c r="C20" s="1">
        <v>0.75</v>
      </c>
      <c r="D20" s="1">
        <v>0.9375</v>
      </c>
      <c r="E20" s="1">
        <v>0.92857142857142805</v>
      </c>
      <c r="F20" s="1">
        <v>0.86111111111111105</v>
      </c>
      <c r="G20" s="1">
        <v>0.93161370970685997</v>
      </c>
      <c r="I20" s="12">
        <v>30</v>
      </c>
      <c r="J20" s="2">
        <f>AVERAGEIF(Table126[[ Cycle size]],I20,Table126[JaccardCoefficient])</f>
        <v>0.53333333333333299</v>
      </c>
      <c r="K20" s="2">
        <f>AVERAGEIF(Table126[ [ Cycle size] ],I20,Table126[KendallTauCorrelation])</f>
        <v>0.958620689655172</v>
      </c>
      <c r="L20" s="2">
        <f>AVERAGEIF(Table126[ [ Cycle size] ],I20,Table126[DiscountedCumulativeGain])</f>
        <v>0.82227836858853398</v>
      </c>
    </row>
    <row r="21" spans="1:12" x14ac:dyDescent="0.35">
      <c r="A21" s="1">
        <v>29.1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AVERAGEIF(Table126[[ Cycle size]],I21,Table126[JaccardCoefficient])</f>
        <v>0.625</v>
      </c>
      <c r="K21" s="2">
        <f>AVERAGEIF(Table126[ [ Cycle size] ],I21,Table126[KendallTauCorrelation])</f>
        <v>0.90512820512820502</v>
      </c>
      <c r="L21" s="2">
        <f>AVERAGEIF(Table126[ [ Cycle size] ],I21,Table126[DiscountedCumulativeGain])</f>
        <v>0.92087308045251004</v>
      </c>
    </row>
    <row r="22" spans="1:12" x14ac:dyDescent="0.35">
      <c r="A22" s="1">
        <v>2.1</v>
      </c>
      <c r="B22" s="1">
        <v>9</v>
      </c>
      <c r="C22" s="1">
        <v>0.66666666666666596</v>
      </c>
      <c r="D22" s="1">
        <v>0.85</v>
      </c>
      <c r="E22" s="1">
        <v>0.77777777777777701</v>
      </c>
      <c r="F22" s="1">
        <v>0.91111111111111098</v>
      </c>
      <c r="G22" s="1">
        <v>0.83555344388164199</v>
      </c>
      <c r="I22" s="12">
        <v>90</v>
      </c>
      <c r="J22" s="2">
        <f>AVERAGEIF(Table126[[ Cycle size]],I22,Table126[JaccardCoefficient])</f>
        <v>0.17777777777777701</v>
      </c>
      <c r="K22" s="2">
        <f>AVERAGEIF(Table126[ [ Cycle size] ],I22,Table126[KendallTauCorrelation])</f>
        <v>0.90561797752808904</v>
      </c>
      <c r="L22" s="2">
        <f>AVERAGEIF(Table126[ [ Cycle size] ],I22,Table126[DiscountedCumulativeGain])</f>
        <v>0.48736772558338498</v>
      </c>
    </row>
    <row r="23" spans="1:12" x14ac:dyDescent="0.35">
      <c r="A23" s="1">
        <v>11.1</v>
      </c>
      <c r="B23" s="1">
        <v>9</v>
      </c>
      <c r="C23" s="1">
        <v>0.22222222222222199</v>
      </c>
      <c r="D23" s="1">
        <v>0.8</v>
      </c>
      <c r="E23" s="1">
        <v>0.77777777777777701</v>
      </c>
      <c r="F23" s="1">
        <v>0.22222222222222199</v>
      </c>
      <c r="G23" s="1">
        <v>0.97097598914641803</v>
      </c>
      <c r="I23"/>
      <c r="J23"/>
    </row>
    <row r="24" spans="1:12" x14ac:dyDescent="0.35">
      <c r="A24" s="1">
        <v>17.100000000000001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/>
      <c r="J24"/>
    </row>
    <row r="25" spans="1:12" x14ac:dyDescent="0.35">
      <c r="A25" s="1">
        <v>21.1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0.97777777777777697</v>
      </c>
      <c r="G25" s="1">
        <v>0.86492944988589404</v>
      </c>
      <c r="I25"/>
      <c r="J25"/>
    </row>
    <row r="26" spans="1:12" x14ac:dyDescent="0.35">
      <c r="A26" s="1">
        <v>40.1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2" x14ac:dyDescent="0.35">
      <c r="A27" s="1">
        <v>37.1</v>
      </c>
      <c r="B27" s="1">
        <v>10</v>
      </c>
      <c r="C27" s="1">
        <v>0.6</v>
      </c>
      <c r="D27" s="1">
        <v>0.88</v>
      </c>
      <c r="E27" s="1">
        <v>0.86666666666666603</v>
      </c>
      <c r="F27" s="1">
        <v>0.89090909090908998</v>
      </c>
      <c r="G27" s="1">
        <v>0.78034632844076401</v>
      </c>
    </row>
    <row r="28" spans="1:12" x14ac:dyDescent="0.35">
      <c r="A28" s="1">
        <v>38.1</v>
      </c>
      <c r="B28" s="1">
        <v>10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2" x14ac:dyDescent="0.35">
      <c r="A29" s="1">
        <v>42.1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35">
      <c r="A30" s="1">
        <v>3.1</v>
      </c>
      <c r="B30" s="1">
        <v>12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35">
      <c r="A31" s="1">
        <v>12.1</v>
      </c>
      <c r="B31" s="1">
        <v>12</v>
      </c>
      <c r="C31" s="1">
        <v>0.66666666666666596</v>
      </c>
      <c r="D31" s="1">
        <v>0.94444444444444398</v>
      </c>
      <c r="E31" s="1">
        <v>0.939393939393939</v>
      </c>
      <c r="F31" s="1">
        <v>0.87179487179487103</v>
      </c>
      <c r="G31" s="1">
        <v>0.81154648351841296</v>
      </c>
    </row>
    <row r="32" spans="1:12" x14ac:dyDescent="0.35">
      <c r="A32" s="1">
        <v>15.1</v>
      </c>
      <c r="B32" s="1">
        <v>12</v>
      </c>
      <c r="C32" s="1">
        <v>0.75</v>
      </c>
      <c r="D32" s="1">
        <v>0.94444444444444398</v>
      </c>
      <c r="E32" s="1">
        <v>0.939393939393939</v>
      </c>
      <c r="F32" s="1">
        <v>0.96153846153846101</v>
      </c>
      <c r="G32" s="1">
        <v>0.82320266216219795</v>
      </c>
    </row>
    <row r="33" spans="1:7" x14ac:dyDescent="0.35">
      <c r="A33" s="1">
        <v>41.1</v>
      </c>
      <c r="B33" s="1">
        <v>12</v>
      </c>
      <c r="C33" s="1">
        <v>0.66666666666666596</v>
      </c>
      <c r="D33" s="1">
        <v>0.94444444444444398</v>
      </c>
      <c r="E33" s="1">
        <v>0.939393939393939</v>
      </c>
      <c r="F33" s="1">
        <v>0.61538461538461497</v>
      </c>
      <c r="G33" s="1">
        <v>0.96632679395196797</v>
      </c>
    </row>
    <row r="34" spans="1:7" x14ac:dyDescent="0.35">
      <c r="A34" s="1">
        <v>47.1</v>
      </c>
      <c r="B34" s="1">
        <v>12</v>
      </c>
      <c r="C34" s="1">
        <v>0.83333333333333304</v>
      </c>
      <c r="D34" s="1">
        <v>0.97222222222222199</v>
      </c>
      <c r="E34" s="1">
        <v>0.96969696969696895</v>
      </c>
      <c r="F34" s="1">
        <v>0.73076923076922995</v>
      </c>
      <c r="G34" s="1">
        <v>0.96825723615014903</v>
      </c>
    </row>
    <row r="35" spans="1:7" x14ac:dyDescent="0.35">
      <c r="A35" s="1">
        <v>25.1</v>
      </c>
      <c r="B35" s="1">
        <v>14</v>
      </c>
      <c r="C35" s="1">
        <v>0.5</v>
      </c>
      <c r="D35" s="1">
        <v>0.91836734693877498</v>
      </c>
      <c r="E35" s="1">
        <v>0.91208791208791196</v>
      </c>
      <c r="F35" s="1">
        <v>0.46666666666666601</v>
      </c>
      <c r="G35" s="1">
        <v>0.90400419012592104</v>
      </c>
    </row>
    <row r="36" spans="1:7" x14ac:dyDescent="0.35">
      <c r="A36" s="1">
        <v>28.1</v>
      </c>
      <c r="B36" s="1">
        <v>14</v>
      </c>
      <c r="C36" s="1">
        <v>0.214285714285714</v>
      </c>
      <c r="D36" s="1">
        <v>0.81632653061224403</v>
      </c>
      <c r="E36" s="1">
        <v>0.78021978021978</v>
      </c>
      <c r="F36" s="1">
        <v>0.27619047619047599</v>
      </c>
      <c r="G36" s="1">
        <v>0.77521347711262001</v>
      </c>
    </row>
    <row r="37" spans="1:7" x14ac:dyDescent="0.35">
      <c r="A37" s="1">
        <v>49.1</v>
      </c>
      <c r="B37" s="1">
        <v>14</v>
      </c>
      <c r="C37" s="1">
        <v>0.71428571428571397</v>
      </c>
      <c r="D37" s="1">
        <v>0.93877551020408101</v>
      </c>
      <c r="E37" s="1">
        <v>0.93406593406593397</v>
      </c>
      <c r="F37" s="1">
        <v>0.75238095238095204</v>
      </c>
      <c r="G37" s="1">
        <v>0.90843738943687202</v>
      </c>
    </row>
    <row r="38" spans="1:7" x14ac:dyDescent="0.35">
      <c r="A38" s="1">
        <v>46.1</v>
      </c>
      <c r="B38" s="1">
        <v>15</v>
      </c>
      <c r="C38" s="1">
        <v>0.46666666666666601</v>
      </c>
      <c r="D38" s="1">
        <v>0.91071428571428503</v>
      </c>
      <c r="E38" s="1">
        <v>0.90476190476190399</v>
      </c>
      <c r="F38" s="1">
        <v>0.65</v>
      </c>
      <c r="G38" s="1">
        <v>0.74282566427766095</v>
      </c>
    </row>
    <row r="39" spans="1:7" x14ac:dyDescent="0.35">
      <c r="A39" s="1">
        <v>7.1</v>
      </c>
      <c r="B39" s="1">
        <v>16</v>
      </c>
      <c r="C39" s="1">
        <v>0.375</v>
      </c>
      <c r="D39" s="1">
        <v>0.90625</v>
      </c>
      <c r="E39" s="1">
        <v>0.9</v>
      </c>
      <c r="F39" s="1">
        <v>0.49264705882352899</v>
      </c>
      <c r="G39" s="1">
        <v>0.746297563946967</v>
      </c>
    </row>
    <row r="40" spans="1:7" x14ac:dyDescent="0.35">
      <c r="A40" s="1">
        <v>34.1</v>
      </c>
      <c r="B40" s="1">
        <v>16</v>
      </c>
      <c r="C40" s="1">
        <v>0.625</v>
      </c>
      <c r="D40" s="1">
        <v>0.953125</v>
      </c>
      <c r="E40" s="1">
        <v>0.95</v>
      </c>
      <c r="F40" s="1">
        <v>0.74264705882352899</v>
      </c>
      <c r="G40" s="1">
        <v>0.81817102103883099</v>
      </c>
    </row>
    <row r="41" spans="1:7" x14ac:dyDescent="0.35">
      <c r="A41" s="1">
        <v>14.1</v>
      </c>
      <c r="B41" s="1">
        <v>17</v>
      </c>
      <c r="C41" s="1">
        <v>0.17647058823529399</v>
      </c>
      <c r="D41" s="1">
        <v>0.86111111111111105</v>
      </c>
      <c r="E41" s="1">
        <v>0.85294117647058798</v>
      </c>
      <c r="F41" s="1">
        <v>0.24836601307189499</v>
      </c>
      <c r="G41" s="1">
        <v>0.70317412006939595</v>
      </c>
    </row>
    <row r="42" spans="1:7" x14ac:dyDescent="0.35">
      <c r="A42" s="1">
        <v>36.1</v>
      </c>
      <c r="B42" s="1">
        <v>17</v>
      </c>
      <c r="C42" s="1">
        <v>0.58823529411764697</v>
      </c>
      <c r="D42" s="1">
        <v>0.93055555555555503</v>
      </c>
      <c r="E42" s="1">
        <v>0.92647058823529405</v>
      </c>
      <c r="F42" s="1">
        <v>0.82352941176470495</v>
      </c>
      <c r="G42" s="1">
        <v>0.72581705501816995</v>
      </c>
    </row>
    <row r="43" spans="1:7" x14ac:dyDescent="0.35">
      <c r="A43" s="1">
        <v>45.1</v>
      </c>
      <c r="B43" s="1">
        <v>18</v>
      </c>
      <c r="C43" s="1">
        <v>0.55555555555555503</v>
      </c>
      <c r="D43" s="1">
        <v>0.95061728395061695</v>
      </c>
      <c r="E43" s="1">
        <v>0.947712418300653</v>
      </c>
      <c r="F43" s="1">
        <v>0.64912280701754299</v>
      </c>
      <c r="G43" s="1">
        <v>0.79692830436653195</v>
      </c>
    </row>
    <row r="44" spans="1:7" x14ac:dyDescent="0.35">
      <c r="A44" s="1">
        <v>48.1</v>
      </c>
      <c r="B44" s="1">
        <v>18</v>
      </c>
      <c r="C44" s="1">
        <v>0.88888888888888795</v>
      </c>
      <c r="D44" s="1">
        <v>0.98765432098765404</v>
      </c>
      <c r="E44" s="1">
        <v>0.986928104575163</v>
      </c>
      <c r="F44" s="1">
        <v>0.87719298245613997</v>
      </c>
      <c r="G44" s="1">
        <v>0.97161701138392698</v>
      </c>
    </row>
    <row r="45" spans="1:7" x14ac:dyDescent="0.35">
      <c r="A45" s="1">
        <v>18.100000000000001</v>
      </c>
      <c r="B45" s="1">
        <v>20</v>
      </c>
      <c r="C45" s="1">
        <v>0.6</v>
      </c>
      <c r="D45" s="1">
        <v>0.94</v>
      </c>
      <c r="E45" s="1">
        <v>0.92631578947368398</v>
      </c>
      <c r="F45" s="1">
        <v>0.61904761904761896</v>
      </c>
      <c r="G45" s="1">
        <v>0.84950528707591899</v>
      </c>
    </row>
    <row r="46" spans="1:7" x14ac:dyDescent="0.35">
      <c r="A46" s="1">
        <v>35.1</v>
      </c>
      <c r="B46" s="1">
        <v>20</v>
      </c>
      <c r="C46" s="1">
        <v>0.5</v>
      </c>
      <c r="D46" s="1">
        <v>0.92</v>
      </c>
      <c r="E46" s="1">
        <v>0.91578947368421004</v>
      </c>
      <c r="F46" s="1">
        <v>0.452380952380952</v>
      </c>
      <c r="G46" s="1">
        <v>0.85400589244372205</v>
      </c>
    </row>
    <row r="47" spans="1:7" x14ac:dyDescent="0.35">
      <c r="A47" s="1">
        <v>24.1</v>
      </c>
      <c r="B47" s="1">
        <v>21</v>
      </c>
      <c r="C47" s="1">
        <v>0.476190476190476</v>
      </c>
      <c r="D47" s="1">
        <v>0.89090909090908998</v>
      </c>
      <c r="E47" s="1">
        <v>0.87619047619047596</v>
      </c>
      <c r="F47" s="1">
        <v>0.50216450216450204</v>
      </c>
      <c r="G47" s="1">
        <v>0.81149888900304601</v>
      </c>
    </row>
    <row r="48" spans="1:7" x14ac:dyDescent="0.35">
      <c r="A48" s="1">
        <v>44.1</v>
      </c>
      <c r="B48" s="1">
        <v>25</v>
      </c>
      <c r="C48" s="1">
        <v>0.56000000000000005</v>
      </c>
      <c r="D48" s="1">
        <v>0.94871794871794801</v>
      </c>
      <c r="E48" s="1">
        <v>0.94</v>
      </c>
      <c r="F48" s="1">
        <v>0.67076923076923001</v>
      </c>
      <c r="G48" s="1">
        <v>0.747139958403083</v>
      </c>
    </row>
    <row r="49" spans="1:7" x14ac:dyDescent="0.35">
      <c r="A49" s="1">
        <v>31.1</v>
      </c>
      <c r="B49" s="1">
        <v>30</v>
      </c>
      <c r="C49" s="1">
        <v>0.53333333333333299</v>
      </c>
      <c r="D49" s="1">
        <v>0.96</v>
      </c>
      <c r="E49" s="1">
        <v>0.958620689655172</v>
      </c>
      <c r="F49" s="1">
        <v>0.48172043010752602</v>
      </c>
      <c r="G49" s="1">
        <v>0.82227836858853398</v>
      </c>
    </row>
    <row r="50" spans="1:7" x14ac:dyDescent="0.35">
      <c r="A50" s="1">
        <v>16.100000000000001</v>
      </c>
      <c r="B50" s="1">
        <v>40</v>
      </c>
      <c r="C50" s="1">
        <v>0.625</v>
      </c>
      <c r="D50" s="1">
        <v>0.9325</v>
      </c>
      <c r="E50" s="1">
        <v>0.90512820512820502</v>
      </c>
      <c r="F50" s="1">
        <v>0.46707317073170701</v>
      </c>
      <c r="G50" s="1">
        <v>0.92087308045251004</v>
      </c>
    </row>
    <row r="51" spans="1:7" x14ac:dyDescent="0.35">
      <c r="A51" s="1">
        <v>19.100000000000001</v>
      </c>
      <c r="B51" s="1">
        <v>90</v>
      </c>
      <c r="C51" s="1">
        <v>0.17777777777777701</v>
      </c>
      <c r="D51" s="1">
        <v>0.926419753086419</v>
      </c>
      <c r="E51" s="1">
        <v>0.90561797752808904</v>
      </c>
      <c r="F51" s="1">
        <v>0.18656898656898599</v>
      </c>
      <c r="G51" s="1">
        <v>0.48736772558338498</v>
      </c>
    </row>
    <row r="52" spans="1:7" x14ac:dyDescent="0.35">
      <c r="A52" s="1" t="s">
        <v>32</v>
      </c>
      <c r="B52" s="1"/>
      <c r="C52" s="1">
        <f>SUBTOTAL(101,Table126[JaccardCoefficient])</f>
        <v>0.73781951447245542</v>
      </c>
      <c r="D52" s="1">
        <f>SUBTOTAL(101,Table126[MismatchDistanceCoefficient])</f>
        <v>0.9444130969779776</v>
      </c>
      <c r="E52" s="1">
        <f>SUBTOTAL(101,Table126[KendallTauCorrelation])</f>
        <v>0.93421458436511673</v>
      </c>
      <c r="F52" s="1">
        <f>SUBTOTAL(101,Table126[MismatchPositionCoefficient])</f>
        <v>0.78768840289835562</v>
      </c>
      <c r="G52" s="1">
        <f>SUBTOTAL(101,Table126[DiscountedCumulativeGain])</f>
        <v>0.9044424770265822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opLeftCell="G1" zoomScaleNormal="100" workbookViewId="0">
      <selection activeCell="N1" sqref="N1:Q4"/>
    </sheetView>
  </sheetViews>
  <sheetFormatPr defaultRowHeight="14.5" x14ac:dyDescent="0.35"/>
  <cols>
    <col min="1" max="1" width="9.90625" style="1" customWidth="1"/>
    <col min="2" max="2" width="10.36328125" style="1" customWidth="1"/>
    <col min="3" max="3" width="8.7265625" style="1"/>
    <col min="4" max="4" width="12.90625" style="11" customWidth="1"/>
    <col min="5" max="5" width="13.08984375" style="11" customWidth="1"/>
    <col min="6" max="6" width="10.36328125" style="1" customWidth="1"/>
    <col min="7" max="7" width="8.7265625" style="1"/>
    <col min="8" max="8" width="10.6328125" style="1" customWidth="1"/>
    <col min="9" max="9" width="15.1796875" style="1" customWidth="1"/>
    <col min="10" max="10" width="17.453125" style="1" customWidth="1"/>
    <col min="11" max="11" width="13" style="1" customWidth="1"/>
    <col min="12" max="13" width="8.7265625" style="1"/>
    <col min="14" max="14" width="21.26953125" style="1" customWidth="1"/>
    <col min="15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5" t="s">
        <v>44</v>
      </c>
      <c r="O1" s="16" t="s">
        <v>33</v>
      </c>
      <c r="P1" s="16" t="s">
        <v>29</v>
      </c>
      <c r="Q1" s="16" t="s">
        <v>34</v>
      </c>
    </row>
    <row r="2" spans="1:17" x14ac:dyDescent="0.35">
      <c r="A2" s="1">
        <v>20.399999999999999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16" t="s">
        <v>45</v>
      </c>
      <c r="O2" s="17">
        <f>CORREL(I2:I22, J2:J22)</f>
        <v>-0.57230055083887155</v>
      </c>
      <c r="P2" s="17">
        <f>CORREL(I2:I22, K2:K22)</f>
        <v>-0.36902571311328258</v>
      </c>
      <c r="Q2" s="17">
        <f>CORREL(I2:I22, L2:L22)</f>
        <v>-0.46035458052708023</v>
      </c>
    </row>
    <row r="3" spans="1:17" x14ac:dyDescent="0.35">
      <c r="A3" s="1">
        <v>5.4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15" t="s">
        <v>44</v>
      </c>
      <c r="O3" s="16" t="s">
        <v>33</v>
      </c>
      <c r="P3" s="16" t="s">
        <v>29</v>
      </c>
      <c r="Q3" s="16" t="s">
        <v>34</v>
      </c>
    </row>
    <row r="4" spans="1:17" x14ac:dyDescent="0.35">
      <c r="A4" s="1">
        <v>10.4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1</v>
      </c>
      <c r="K4" s="2">
        <f>AVERAGEIF(Table12633[ [ Cycle size] ],I4,Table12633[KendallTauCorrelation])</f>
        <v>1</v>
      </c>
      <c r="L4" s="2">
        <f>AVERAGEIF(Table12633[ [ Cycle size] ],I4,Table12633[DiscountedCumulativeGain])</f>
        <v>1</v>
      </c>
      <c r="N4" s="16" t="s">
        <v>46</v>
      </c>
      <c r="O4" s="17">
        <f>CORREL(I2:I20, J2:J20)</f>
        <v>-0.36116740939242498</v>
      </c>
      <c r="P4" s="17">
        <f>CORREL(I2:I20, K2:K20)</f>
        <v>-9.9536103085989855E-2</v>
      </c>
      <c r="Q4" s="17">
        <f>CORREL(I2:I20, L2:L20)</f>
        <v>-0.4960459807218307</v>
      </c>
    </row>
    <row r="5" spans="1:17" x14ac:dyDescent="0.35">
      <c r="A5" s="1">
        <v>22.4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</row>
    <row r="6" spans="1:17" x14ac:dyDescent="0.35">
      <c r="A6" s="1">
        <v>33.4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0.83333333333333337</v>
      </c>
      <c r="K6" s="2">
        <f>AVERAGEIF(Table12633[ [ Cycle size] ],I6,Table12633[KendallTauCorrelation])</f>
        <v>0.91111111111111098</v>
      </c>
      <c r="L6" s="2">
        <f>AVERAGEIF(Table12633[ [ Cycle size] ],I6,Table12633[DiscountedCumulativeGain])</f>
        <v>0.98592613764676729</v>
      </c>
    </row>
    <row r="7" spans="1:17" x14ac:dyDescent="0.35">
      <c r="A7" s="1">
        <v>39.4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0.78571428571428548</v>
      </c>
      <c r="K7" s="2">
        <f>AVERAGEIF(Table12633[ [ Cycle size] ],I7,Table12633[KendallTauCorrelation])</f>
        <v>0.90476190476190443</v>
      </c>
      <c r="L7" s="2">
        <f>AVERAGEIF(Table12633[ [ Cycle size] ],I7,Table12633[DiscountedCumulativeGain])</f>
        <v>0.98321915010162608</v>
      </c>
    </row>
    <row r="8" spans="1:17" x14ac:dyDescent="0.35">
      <c r="A8" s="1">
        <v>26.4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</row>
    <row r="9" spans="1:17" x14ac:dyDescent="0.35">
      <c r="A9" s="1">
        <v>32.4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1</v>
      </c>
      <c r="K9" s="2">
        <f>AVERAGEIF(Table12633[ [ Cycle size] ],I9,Table12633[KendallTauCorrelation])</f>
        <v>1</v>
      </c>
      <c r="L9" s="2">
        <f>AVERAGEIF(Table12633[ [ Cycle size] ],I9,Table12633[DiscountedCumulativeGain])</f>
        <v>1</v>
      </c>
    </row>
    <row r="10" spans="1:17" x14ac:dyDescent="0.35">
      <c r="A10" s="1">
        <v>50.4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AVERAGEIF(Table12633[[ Cycle size]],I10,Table12633[JaccardCoefficient])</f>
        <v>0.93333333333333324</v>
      </c>
      <c r="K10" s="2">
        <f>AVERAGEIF(Table12633[ [ Cycle size] ],I10,Table12633[KendallTauCorrelation])</f>
        <v>0.98518518518518494</v>
      </c>
      <c r="L10" s="2">
        <f>AVERAGEIF(Table12633[ [ Cycle size] ],I10,Table12633[DiscountedCumulativeGain])</f>
        <v>0.992137684102259</v>
      </c>
    </row>
    <row r="11" spans="1:17" x14ac:dyDescent="0.35">
      <c r="A11" s="1">
        <v>23.4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0.8999999999999998</v>
      </c>
      <c r="K11" s="2">
        <f>AVERAGEIF(Table12633[ [ Cycle size] ],I11,Table12633[KendallTauCorrelation])</f>
        <v>0.9818181818181817</v>
      </c>
      <c r="L11" s="2">
        <f>AVERAGEIF(Table12633[ [ Cycle size] ],I11,Table12633[DiscountedCumulativeGain])</f>
        <v>0.96207528906942019</v>
      </c>
    </row>
    <row r="12" spans="1:17" x14ac:dyDescent="0.35">
      <c r="A12" s="1">
        <v>9.4</v>
      </c>
      <c r="B12" s="1">
        <v>6</v>
      </c>
      <c r="C12" s="1">
        <v>0.5</v>
      </c>
      <c r="D12" s="1">
        <v>0.77777777777777701</v>
      </c>
      <c r="E12" s="1">
        <v>0.73333333333333295</v>
      </c>
      <c r="F12" s="1">
        <v>0.71428571428571397</v>
      </c>
      <c r="G12" s="1">
        <v>0.95777841294030197</v>
      </c>
      <c r="I12" s="12">
        <v>14</v>
      </c>
      <c r="J12" s="2">
        <f>AVERAGEIF(Table12633[[ Cycle size]],I12,Table12633[JaccardCoefficient])</f>
        <v>0.80952380952380931</v>
      </c>
      <c r="K12" s="2">
        <f>AVERAGEIF(Table12633[ [ Cycle size] ],I12,Table12633[KendallTauCorrelation])</f>
        <v>0.92673992673992667</v>
      </c>
      <c r="L12" s="2">
        <f>AVERAGEIF(Table12633[ [ Cycle size] ],I12,Table12633[DiscountedCumulativeGain])</f>
        <v>0.90870146542822938</v>
      </c>
    </row>
    <row r="13" spans="1:17" x14ac:dyDescent="0.35">
      <c r="A13" s="1">
        <v>27.4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35">
      <c r="A14" s="1">
        <v>30.4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AVERAGEIF(Table12633[[ Cycle size]],I14,Table12633[JaccardCoefficient])</f>
        <v>1</v>
      </c>
      <c r="K14" s="2">
        <f>AVERAGEIF(Table12633[ [ Cycle size] ],I14,Table12633[KendallTauCorrelation])</f>
        <v>1</v>
      </c>
      <c r="L14" s="2">
        <f>AVERAGEIF(Table12633[ [ Cycle size] ],I14,Table12633[DiscountedCumulativeGain])</f>
        <v>1</v>
      </c>
    </row>
    <row r="15" spans="1:17" x14ac:dyDescent="0.35">
      <c r="A15" s="1">
        <v>1.4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0.85294117647058798</v>
      </c>
      <c r="K15" s="2">
        <f>AVERAGEIF(Table12633[ [ Cycle size] ],I15,Table12633[KendallTauCorrelation])</f>
        <v>0.96323529411764697</v>
      </c>
      <c r="L15" s="2">
        <f>AVERAGEIF(Table12633[ [ Cycle size] ],I15,Table12633[DiscountedCumulativeGain])</f>
        <v>0.97635362219963051</v>
      </c>
    </row>
    <row r="16" spans="1:17" x14ac:dyDescent="0.35">
      <c r="A16" s="1">
        <v>6.4</v>
      </c>
      <c r="B16" s="1">
        <v>7</v>
      </c>
      <c r="C16" s="1">
        <v>0.57142857142857095</v>
      </c>
      <c r="D16" s="1">
        <v>0.83333333333333304</v>
      </c>
      <c r="E16" s="1">
        <v>0.80952380952380898</v>
      </c>
      <c r="F16" s="1">
        <v>0.67857142857142805</v>
      </c>
      <c r="G16" s="1">
        <v>0.96643830020325205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35">
      <c r="A17" s="1">
        <v>8.4</v>
      </c>
      <c r="B17" s="1">
        <v>7</v>
      </c>
      <c r="C17" s="1">
        <v>0.57142857142857095</v>
      </c>
      <c r="D17" s="1">
        <v>0.83333333333333304</v>
      </c>
      <c r="E17" s="1">
        <v>0.80952380952380898</v>
      </c>
      <c r="F17" s="1">
        <v>0.67857142857142805</v>
      </c>
      <c r="G17" s="1">
        <v>0.96643830020325205</v>
      </c>
      <c r="I17" s="12">
        <v>20</v>
      </c>
      <c r="J17" s="2">
        <f>AVERAGEIF(Table12633[[ Cycle size]],I17,Table12633[JaccardCoefficient])</f>
        <v>0.5</v>
      </c>
      <c r="K17" s="2">
        <f>AVERAGEIF(Table12633[ [ Cycle size] ],I17,Table12633[KendallTauCorrelation])</f>
        <v>0.884210526315789</v>
      </c>
      <c r="L17" s="2">
        <f>AVERAGEIF(Table12633[ [ Cycle size] ],I17,Table12633[DiscountedCumulativeGain])</f>
        <v>0.85677041723270353</v>
      </c>
    </row>
    <row r="18" spans="1:12" x14ac:dyDescent="0.35">
      <c r="A18" s="1">
        <v>43.4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35">
      <c r="A19" s="1">
        <v>4.4000000000000004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0.68</v>
      </c>
      <c r="K19" s="2">
        <f>AVERAGEIF(Table12633[ [ Cycle size] ],I19,Table12633[KendallTauCorrelation])</f>
        <v>0.95333333333333303</v>
      </c>
      <c r="L19" s="2">
        <f>AVERAGEIF(Table12633[ [ Cycle size] ],I19,Table12633[DiscountedCumulativeGain])</f>
        <v>0.864471623785805</v>
      </c>
    </row>
    <row r="20" spans="1:12" x14ac:dyDescent="0.35">
      <c r="A20" s="1">
        <v>13.4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0.93333333333333302</v>
      </c>
      <c r="K20" s="2">
        <f>AVERAGEIF(Table12633[ [ Cycle size] ],I20,Table12633[KendallTauCorrelation])</f>
        <v>0.99540229885057396</v>
      </c>
      <c r="L20" s="2">
        <f>AVERAGEIF(Table12633[ [ Cycle size] ],I20,Table12633[DiscountedCumulativeGain])</f>
        <v>0.97048588781225498</v>
      </c>
    </row>
    <row r="21" spans="1:12" x14ac:dyDescent="0.35">
      <c r="A21" s="1">
        <v>29.4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0.57499999999999996</v>
      </c>
      <c r="K21" s="2">
        <f>AVERAGEIF(Table12633[ [ Cycle size] ],I21,Table12633[KendallTauCorrelation])</f>
        <v>0.9</v>
      </c>
      <c r="L21" s="2">
        <f>AVERAGEIF(Table12633[ [ Cycle size] ],I21,Table12633[DiscountedCumulativeGain])</f>
        <v>0.90907313880095297</v>
      </c>
    </row>
    <row r="22" spans="1:12" x14ac:dyDescent="0.35">
      <c r="A22" s="1">
        <v>2.4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AVERAGEIF(Table12633[[ Cycle size]],I22,Table12633[JaccardCoefficient])</f>
        <v>0.62222222222222201</v>
      </c>
      <c r="K22" s="2">
        <f>AVERAGEIF(Table12633[ [ Cycle size] ],I22,Table12633[KendallTauCorrelation])</f>
        <v>0.92359550561797699</v>
      </c>
      <c r="L22" s="2">
        <f>AVERAGEIF(Table12633[ [ Cycle size] ],I22,Table12633[DiscountedCumulativeGain])</f>
        <v>0.92429967009387703</v>
      </c>
    </row>
    <row r="23" spans="1:12" x14ac:dyDescent="0.35">
      <c r="A23" s="1">
        <v>11.4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35">
      <c r="A24" s="1">
        <v>17.399999999999999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12" x14ac:dyDescent="0.35">
      <c r="A25" s="1">
        <v>21.4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35">
      <c r="A26" s="1">
        <v>40.4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35">
      <c r="A27" s="1">
        <v>37.4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1"/>
      <c r="J27" s="11"/>
    </row>
    <row r="28" spans="1:12" x14ac:dyDescent="0.35">
      <c r="A28" s="1">
        <v>38.4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0.8</v>
      </c>
      <c r="G28" s="1">
        <v>0.976413052306777</v>
      </c>
      <c r="I28" s="11"/>
      <c r="J28" s="11"/>
    </row>
    <row r="29" spans="1:12" x14ac:dyDescent="0.35">
      <c r="A29" s="1">
        <v>42.4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35">
      <c r="A30" s="1">
        <v>3.4</v>
      </c>
      <c r="B30" s="1">
        <v>12</v>
      </c>
      <c r="C30" s="1">
        <v>0.66666666666666596</v>
      </c>
      <c r="D30" s="1">
        <v>0.94444444444444398</v>
      </c>
      <c r="E30" s="1">
        <v>0.939393939393939</v>
      </c>
      <c r="F30" s="1">
        <v>0.84615384615384603</v>
      </c>
      <c r="G30" s="1">
        <v>0.827008267438476</v>
      </c>
      <c r="I30" s="11"/>
      <c r="J30" s="11"/>
    </row>
    <row r="31" spans="1:12" x14ac:dyDescent="0.35">
      <c r="A31" s="1">
        <v>12.4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35">
      <c r="A32" s="1">
        <v>15.4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0.80769230769230704</v>
      </c>
      <c r="G32" s="1">
        <v>0.98336817790862496</v>
      </c>
      <c r="I32" s="11"/>
      <c r="J32" s="11"/>
    </row>
    <row r="33" spans="1:10" x14ac:dyDescent="0.35">
      <c r="A33" s="1">
        <v>41.4</v>
      </c>
      <c r="B33" s="1">
        <v>12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I33" s="11"/>
      <c r="J33" s="11"/>
    </row>
    <row r="34" spans="1:10" x14ac:dyDescent="0.35">
      <c r="A34" s="1">
        <v>47.4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35">
      <c r="A35" s="1">
        <v>25.4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35">
      <c r="A36" s="1">
        <v>28.4</v>
      </c>
      <c r="B36" s="1">
        <v>14</v>
      </c>
      <c r="C36" s="1">
        <v>0.42857142857142799</v>
      </c>
      <c r="D36" s="1">
        <v>0.79591836734693799</v>
      </c>
      <c r="E36" s="1">
        <v>0.78021978021978</v>
      </c>
      <c r="F36" s="1">
        <v>0.65714285714285703</v>
      </c>
      <c r="G36" s="1">
        <v>0.72610439628468804</v>
      </c>
      <c r="I36" s="11"/>
      <c r="J36" s="11"/>
    </row>
    <row r="37" spans="1:10" x14ac:dyDescent="0.35">
      <c r="A37" s="1">
        <v>49.4</v>
      </c>
      <c r="B37" s="1">
        <v>14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I37" s="11"/>
      <c r="J37" s="11"/>
    </row>
    <row r="38" spans="1:10" x14ac:dyDescent="0.35">
      <c r="A38" s="1">
        <v>46.4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35">
      <c r="A39" s="1">
        <v>7.4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I39" s="11"/>
      <c r="J39" s="11"/>
    </row>
    <row r="40" spans="1:10" x14ac:dyDescent="0.35">
      <c r="A40" s="1">
        <v>34.4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35">
      <c r="A41" s="1">
        <v>14.4</v>
      </c>
      <c r="B41" s="1">
        <v>17</v>
      </c>
      <c r="C41" s="1">
        <v>0.70588235294117596</v>
      </c>
      <c r="D41" s="1">
        <v>0.93055555555555503</v>
      </c>
      <c r="E41" s="1">
        <v>0.92647058823529405</v>
      </c>
      <c r="F41" s="1">
        <v>0.64052287581699296</v>
      </c>
      <c r="G41" s="1">
        <v>0.95270724439926102</v>
      </c>
      <c r="I41" s="11"/>
      <c r="J41" s="11"/>
    </row>
    <row r="42" spans="1:10" x14ac:dyDescent="0.35">
      <c r="A42" s="1">
        <v>36.4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35">
      <c r="A43" s="1">
        <v>45.4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35">
      <c r="A44" s="1">
        <v>48.4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35">
      <c r="A45" s="1">
        <v>18.399999999999999</v>
      </c>
      <c r="B45" s="1">
        <v>20</v>
      </c>
      <c r="C45" s="1">
        <v>0.6</v>
      </c>
      <c r="D45" s="1">
        <v>0.9</v>
      </c>
      <c r="E45" s="1">
        <v>0.89473684210526305</v>
      </c>
      <c r="F45" s="1">
        <v>0.44761904761904697</v>
      </c>
      <c r="G45" s="1">
        <v>0.96130680307966299</v>
      </c>
      <c r="I45" s="11"/>
      <c r="J45" s="11"/>
    </row>
    <row r="46" spans="1:10" x14ac:dyDescent="0.35">
      <c r="A46" s="1">
        <v>35.4</v>
      </c>
      <c r="B46" s="1">
        <v>20</v>
      </c>
      <c r="C46" s="1">
        <v>0.4</v>
      </c>
      <c r="D46" s="1">
        <v>0.88</v>
      </c>
      <c r="E46" s="1">
        <v>0.87368421052631495</v>
      </c>
      <c r="F46" s="1">
        <v>0.46190476190476099</v>
      </c>
      <c r="G46" s="1">
        <v>0.75223403138574396</v>
      </c>
      <c r="I46" s="11"/>
      <c r="J46" s="11"/>
    </row>
    <row r="47" spans="1:10" x14ac:dyDescent="0.35">
      <c r="A47" s="1">
        <v>24.4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35">
      <c r="A48" s="1">
        <v>44.4</v>
      </c>
      <c r="B48" s="1">
        <v>25</v>
      </c>
      <c r="C48" s="1">
        <v>0.68</v>
      </c>
      <c r="D48" s="1">
        <v>0.95512820512820495</v>
      </c>
      <c r="E48" s="1">
        <v>0.95333333333333303</v>
      </c>
      <c r="F48" s="1">
        <v>0.68923076923076898</v>
      </c>
      <c r="G48" s="1">
        <v>0.864471623785805</v>
      </c>
      <c r="I48" s="11"/>
      <c r="J48" s="11"/>
    </row>
    <row r="49" spans="1:10" x14ac:dyDescent="0.35">
      <c r="A49" s="1">
        <v>31.4</v>
      </c>
      <c r="B49" s="1">
        <v>30</v>
      </c>
      <c r="C49" s="1">
        <v>0.93333333333333302</v>
      </c>
      <c r="D49" s="1">
        <v>0.99555555555555497</v>
      </c>
      <c r="E49" s="1">
        <v>0.99540229885057396</v>
      </c>
      <c r="F49" s="1">
        <v>0.93333333333333302</v>
      </c>
      <c r="G49" s="1">
        <v>0.97048588781225498</v>
      </c>
      <c r="I49" s="11"/>
      <c r="J49" s="11"/>
    </row>
    <row r="50" spans="1:10" x14ac:dyDescent="0.35">
      <c r="A50" s="1">
        <v>16.399999999999999</v>
      </c>
      <c r="B50" s="1">
        <v>40</v>
      </c>
      <c r="C50" s="1">
        <v>0.57499999999999996</v>
      </c>
      <c r="D50" s="1">
        <v>0.90249999999999997</v>
      </c>
      <c r="E50" s="1">
        <v>0.9</v>
      </c>
      <c r="F50" s="1">
        <v>0.39878048780487801</v>
      </c>
      <c r="G50" s="1">
        <v>0.90907313880095297</v>
      </c>
      <c r="I50" s="11"/>
      <c r="J50" s="11"/>
    </row>
    <row r="51" spans="1:10" x14ac:dyDescent="0.35">
      <c r="A51" s="1">
        <v>19.399999999999999</v>
      </c>
      <c r="B51" s="1">
        <v>90</v>
      </c>
      <c r="C51" s="1">
        <v>0.62222222222222201</v>
      </c>
      <c r="D51" s="1">
        <v>0.92444444444444396</v>
      </c>
      <c r="E51" s="1">
        <v>0.92359550561797699</v>
      </c>
      <c r="F51" s="1">
        <v>0.40634920634920602</v>
      </c>
      <c r="G51" s="1">
        <v>0.92429967009387703</v>
      </c>
      <c r="I51" s="11"/>
      <c r="J51" s="11"/>
    </row>
    <row r="52" spans="1:10" x14ac:dyDescent="0.35">
      <c r="A52" s="1" t="s">
        <v>32</v>
      </c>
      <c r="C52" s="1">
        <f>SUBTOTAL(101,Table12633[JaccardCoefficient])</f>
        <v>0.89775732959850585</v>
      </c>
      <c r="D52" s="1">
        <f>SUBTOTAL(101,Table12633[MismatchDistanceCoefficient])</f>
        <v>0.97210426478283618</v>
      </c>
      <c r="E52" s="1">
        <f>SUBTOTAL(101,Table12633[KendallTauCorrelation])</f>
        <v>0.96928939951831883</v>
      </c>
      <c r="F52" s="1">
        <f>SUBTOTAL(101,Table12633[MismatchPositionCoefficient])</f>
        <v>0.90320316128953138</v>
      </c>
      <c r="G52" s="1">
        <f>SUBTOTAL(101,Table12633[DiscountedCumulativeGain])</f>
        <v>0.97476254613285884</v>
      </c>
      <c r="I52" s="11"/>
      <c r="J52" s="1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M64"/>
  <sheetViews>
    <sheetView showGridLines="0" tabSelected="1" zoomScale="40" zoomScaleNormal="40" workbookViewId="0">
      <selection activeCell="AO18" sqref="AO18"/>
    </sheetView>
  </sheetViews>
  <sheetFormatPr defaultRowHeight="14.5" x14ac:dyDescent="0.35"/>
  <cols>
    <col min="1" max="1" width="6.453125" customWidth="1"/>
  </cols>
  <sheetData>
    <row r="2" spans="1:34" s="14" customFormat="1" ht="18.5" x14ac:dyDescent="0.45">
      <c r="F2" s="14" t="s">
        <v>35</v>
      </c>
      <c r="O2" s="14" t="s">
        <v>37</v>
      </c>
      <c r="Y2" s="14" t="s">
        <v>36</v>
      </c>
      <c r="AH2" s="14" t="s">
        <v>38</v>
      </c>
    </row>
    <row r="10" spans="1:34" ht="18.5" x14ac:dyDescent="0.45">
      <c r="A10" s="13" t="s">
        <v>39</v>
      </c>
    </row>
    <row r="23" spans="1:39" s="14" customFormat="1" ht="18.5" x14ac:dyDescent="0.45">
      <c r="F23" s="14" t="s">
        <v>35</v>
      </c>
      <c r="O23" s="14" t="s">
        <v>37</v>
      </c>
      <c r="Y23" s="14" t="s">
        <v>36</v>
      </c>
      <c r="AH23" s="14" t="s">
        <v>38</v>
      </c>
    </row>
    <row r="24" spans="1:39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.5" x14ac:dyDescent="0.45">
      <c r="A30" s="13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5" spans="1:39" s="14" customFormat="1" ht="18.5" x14ac:dyDescent="0.45">
      <c r="F45" s="14" t="s">
        <v>35</v>
      </c>
      <c r="P45" s="14" t="s">
        <v>37</v>
      </c>
      <c r="Y45" s="14" t="s">
        <v>36</v>
      </c>
      <c r="AH45" s="14" t="s">
        <v>38</v>
      </c>
    </row>
    <row r="46" spans="1:3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.5" x14ac:dyDescent="0.45">
      <c r="A52" s="13" t="s">
        <v>39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9524-ACBE-4CA4-AA45-C8356AE41068}">
  <dimension ref="B2:F16"/>
  <sheetViews>
    <sheetView workbookViewId="0">
      <selection activeCell="B12" sqref="B12:F12"/>
    </sheetView>
  </sheetViews>
  <sheetFormatPr defaultRowHeight="14.5" x14ac:dyDescent="0.35"/>
  <cols>
    <col min="1" max="3" width="8.7265625" style="1"/>
    <col min="4" max="4" width="10.90625" style="1" customWidth="1"/>
    <col min="5" max="5" width="13.7265625" style="1" customWidth="1"/>
    <col min="6" max="6" width="10.7265625" style="1" customWidth="1"/>
    <col min="7" max="16384" width="8.7265625" style="1"/>
  </cols>
  <sheetData>
    <row r="2" spans="2:6" x14ac:dyDescent="0.35">
      <c r="B2" s="1" t="s">
        <v>40</v>
      </c>
      <c r="C2" s="1" t="s">
        <v>5</v>
      </c>
      <c r="D2" s="1" t="s">
        <v>7</v>
      </c>
      <c r="E2" s="1" t="s">
        <v>6</v>
      </c>
      <c r="F2" s="1" t="s">
        <v>8</v>
      </c>
    </row>
    <row r="3" spans="2:6" x14ac:dyDescent="0.35">
      <c r="B3" s="1" t="s">
        <v>31</v>
      </c>
      <c r="C3" s="2">
        <f>Linear!O2</f>
        <v>-0.57230055083887155</v>
      </c>
      <c r="D3" s="2">
        <f>Discontinuous!O2</f>
        <v>-0.80095082363904357</v>
      </c>
      <c r="E3" s="2">
        <f>Saturating!O2</f>
        <v>-0.70901597017509299</v>
      </c>
      <c r="F3" s="2">
        <f>Combined!O2</f>
        <v>-0.7387123142517128</v>
      </c>
    </row>
    <row r="4" spans="2:6" x14ac:dyDescent="0.35">
      <c r="B4" s="1" t="s">
        <v>41</v>
      </c>
      <c r="C4" s="2">
        <f>Linear!O4</f>
        <v>-0.36116740939242498</v>
      </c>
      <c r="D4" s="2">
        <f>Discontinuous!O4</f>
        <v>-0.40347336681283164</v>
      </c>
      <c r="E4" s="2">
        <f>Saturating!O4</f>
        <v>-0.76011956622295818</v>
      </c>
      <c r="F4" s="2">
        <f>Combined!O4</f>
        <v>-0.66626268288222079</v>
      </c>
    </row>
    <row r="6" spans="2:6" x14ac:dyDescent="0.35">
      <c r="B6" s="1" t="s">
        <v>29</v>
      </c>
      <c r="C6" s="1" t="s">
        <v>5</v>
      </c>
      <c r="D6" s="1" t="s">
        <v>7</v>
      </c>
      <c r="E6" s="1" t="s">
        <v>6</v>
      </c>
      <c r="F6" s="1" t="s">
        <v>8</v>
      </c>
    </row>
    <row r="7" spans="2:6" x14ac:dyDescent="0.35">
      <c r="B7" s="1" t="s">
        <v>31</v>
      </c>
      <c r="C7" s="2">
        <f>Linear!P2</f>
        <v>-0.36902571311328258</v>
      </c>
      <c r="D7" s="2">
        <f>Discontinuous!P2</f>
        <v>0.15981874291995243</v>
      </c>
      <c r="E7" s="2">
        <f>Saturating!P2</f>
        <v>-0.19843610814515833</v>
      </c>
      <c r="F7" s="2">
        <f>Combined!P2</f>
        <v>7.6033443732449343E-2</v>
      </c>
    </row>
    <row r="8" spans="2:6" x14ac:dyDescent="0.35">
      <c r="B8" s="1" t="s">
        <v>41</v>
      </c>
      <c r="C8" s="2">
        <f>Linear!P4</f>
        <v>-9.9536103085989855E-2</v>
      </c>
      <c r="D8" s="2">
        <f>Discontinuous!P4</f>
        <v>0.33930944629576543</v>
      </c>
      <c r="E8" s="2">
        <f>Saturating!P4</f>
        <v>-0.16527367850382241</v>
      </c>
      <c r="F8" s="2">
        <f>Combined!P4</f>
        <v>-7.6040969567188355E-3</v>
      </c>
    </row>
    <row r="10" spans="2:6" x14ac:dyDescent="0.35">
      <c r="B10" s="1" t="s">
        <v>34</v>
      </c>
      <c r="C10" s="1" t="s">
        <v>5</v>
      </c>
      <c r="D10" s="1" t="s">
        <v>7</v>
      </c>
      <c r="E10" s="1" t="s">
        <v>6</v>
      </c>
      <c r="F10" s="1" t="s">
        <v>8</v>
      </c>
    </row>
    <row r="11" spans="2:6" x14ac:dyDescent="0.35">
      <c r="B11" s="1" t="s">
        <v>31</v>
      </c>
      <c r="C11" s="2">
        <f>Linear!Q2</f>
        <v>-0.46035458052708023</v>
      </c>
      <c r="D11" s="2">
        <f>Discontinuous!Q2</f>
        <v>-0.8793866776678575</v>
      </c>
      <c r="E11" s="2">
        <f>Saturating!Q2</f>
        <v>-0.80154448031778835</v>
      </c>
      <c r="F11" s="2">
        <f>Combined!Q2</f>
        <v>-0.8569551968436695</v>
      </c>
    </row>
    <row r="12" spans="2:6" x14ac:dyDescent="0.35">
      <c r="B12" s="1" t="s">
        <v>41</v>
      </c>
      <c r="C12" s="2">
        <f>Linear!Q4</f>
        <v>-0.4960459807218307</v>
      </c>
      <c r="D12" s="2">
        <f>Discontinuous!Q4</f>
        <v>-0.54134520440419731</v>
      </c>
      <c r="E12" s="2">
        <f>Saturating!Q4</f>
        <v>-0.78390812098357465</v>
      </c>
      <c r="F12" s="2">
        <f>Combined!Q4</f>
        <v>-0.75054705324224213</v>
      </c>
    </row>
    <row r="15" spans="2:6" x14ac:dyDescent="0.35">
      <c r="B15" s="1" t="s">
        <v>42</v>
      </c>
    </row>
    <row r="16" spans="2:6" x14ac:dyDescent="0.35">
      <c r="B16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5" x14ac:dyDescent="0.35"/>
  <cols>
    <col min="1" max="1" width="12.7265625" customWidth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3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t="s">
        <v>13</v>
      </c>
    </row>
    <row r="19" spans="6:6" x14ac:dyDescent="0.35">
      <c r="F19" t="s">
        <v>14</v>
      </c>
    </row>
    <row r="20" spans="6:6" x14ac:dyDescent="0.35">
      <c r="F20" t="s">
        <v>15</v>
      </c>
    </row>
    <row r="21" spans="6:6" x14ac:dyDescent="0.3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5" x14ac:dyDescent="0.35"/>
  <cols>
    <col min="1" max="1" width="13.7265625" customWidth="1"/>
  </cols>
  <sheetData>
    <row r="1" spans="1:13" x14ac:dyDescent="0.3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3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3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>
        <f>Linear!E22</f>
        <v>1</v>
      </c>
      <c r="C2" s="3">
        <f>Linear!E23</f>
        <v>1</v>
      </c>
      <c r="D2" s="3">
        <f>Linear!E24</f>
        <v>1</v>
      </c>
    </row>
    <row r="3" spans="1:4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2018-01-25T13:39:46Z</dcterms:modified>
</cp:coreProperties>
</file>