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2.xml" ContentType="application/vnd.openxmlformats-officedocument.spreadsheetml.comments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omments3.xml" ContentType="application/vnd.openxmlformats-officedocument.spreadsheetml.comments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1.SVN\crowdsourcing-fault-understanding\data\"/>
    </mc:Choice>
  </mc:AlternateContent>
  <bookViews>
    <workbookView xWindow="0" yWindow="0" windowWidth="18248" windowHeight="6608" xr2:uid="{A1CEA698-9783-4770-9967-DE9B4C8392C3}"/>
  </bookViews>
  <sheets>
    <sheet name="Data" sheetId="1" r:id="rId1"/>
    <sheet name="Demographics" sheetId="15" r:id="rId2"/>
    <sheet name="Analysis" sheetId="3" r:id="rId3"/>
    <sheet name="ExplanationsRelated" sheetId="14" r:id="rId4"/>
    <sheet name="Confidence" sheetId="11" r:id="rId5"/>
    <sheet name="Confidence Others" sheetId="12" r:id="rId6"/>
    <sheet name="DurationAnalysis" sheetId="10" r:id="rId7"/>
    <sheet name="AcrossBugs" sheetId="6" r:id="rId8"/>
    <sheet name="AcrossSubjectsCorrectness" sheetId="8" r:id="rId9"/>
    <sheet name="Takeaway" sheetId="4" r:id="rId10"/>
    <sheet name="ExperimentalSetup" sheetId="5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5" l="1"/>
  <c r="B10" i="15"/>
  <c r="A10" i="15"/>
  <c r="A6" i="15"/>
  <c r="F2" i="15"/>
  <c r="D6" i="15"/>
  <c r="C6" i="15"/>
  <c r="B6" i="15"/>
  <c r="E2" i="15"/>
  <c r="D2" i="15"/>
  <c r="B2" i="15"/>
  <c r="AH2" i="1"/>
  <c r="AH3" i="1"/>
  <c r="AH4" i="1"/>
  <c r="AH5" i="1"/>
  <c r="AH6" i="1"/>
  <c r="AH7" i="1"/>
  <c r="AH8" i="1"/>
  <c r="C2" i="15" s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2" i="15"/>
  <c r="E3" i="14"/>
  <c r="E4" i="14"/>
  <c r="E5" i="14"/>
  <c r="E6" i="14"/>
  <c r="E7" i="14"/>
  <c r="E8" i="14"/>
  <c r="E9" i="14"/>
  <c r="E10" i="14"/>
  <c r="D3" i="14"/>
  <c r="D4" i="14"/>
  <c r="C4" i="14" s="1"/>
  <c r="D5" i="14"/>
  <c r="C5" i="14" s="1"/>
  <c r="D6" i="14"/>
  <c r="C6" i="14" s="1"/>
  <c r="D7" i="14"/>
  <c r="D8" i="14"/>
  <c r="C8" i="14" s="1"/>
  <c r="D9" i="14"/>
  <c r="C9" i="14" s="1"/>
  <c r="D10" i="14"/>
  <c r="C10" i="14" s="1"/>
  <c r="B3" i="14"/>
  <c r="B4" i="14"/>
  <c r="B5" i="14"/>
  <c r="B6" i="14"/>
  <c r="B7" i="14"/>
  <c r="B8" i="14"/>
  <c r="B9" i="14"/>
  <c r="B10" i="14"/>
  <c r="C3" i="14"/>
  <c r="E4" i="12"/>
  <c r="E3" i="12"/>
  <c r="E5" i="12"/>
  <c r="E6" i="12"/>
  <c r="E7" i="12"/>
  <c r="E8" i="12"/>
  <c r="E9" i="12"/>
  <c r="E10" i="12"/>
  <c r="D3" i="12"/>
  <c r="D4" i="12"/>
  <c r="D5" i="12"/>
  <c r="C5" i="12" s="1"/>
  <c r="D6" i="12"/>
  <c r="C6" i="12" s="1"/>
  <c r="D7" i="12"/>
  <c r="C7" i="12" s="1"/>
  <c r="D8" i="12"/>
  <c r="C8" i="12" s="1"/>
  <c r="D9" i="12"/>
  <c r="C9" i="12" s="1"/>
  <c r="D10" i="12"/>
  <c r="C10" i="12" s="1"/>
  <c r="B3" i="12"/>
  <c r="B4" i="12"/>
  <c r="B5" i="12"/>
  <c r="B6" i="12"/>
  <c r="B7" i="12"/>
  <c r="B8" i="12"/>
  <c r="B9" i="12"/>
  <c r="B10" i="12"/>
  <c r="E3" i="11"/>
  <c r="E4" i="11"/>
  <c r="E5" i="11"/>
  <c r="E6" i="11"/>
  <c r="E7" i="11"/>
  <c r="E8" i="11"/>
  <c r="E9" i="11"/>
  <c r="E10" i="11"/>
  <c r="D3" i="11"/>
  <c r="D4" i="11"/>
  <c r="C4" i="11" s="1"/>
  <c r="D5" i="11"/>
  <c r="C5" i="11" s="1"/>
  <c r="D6" i="11"/>
  <c r="C6" i="11" s="1"/>
  <c r="D7" i="11"/>
  <c r="D8" i="11"/>
  <c r="C8" i="11" s="1"/>
  <c r="D9" i="11"/>
  <c r="D10" i="11"/>
  <c r="B3" i="11"/>
  <c r="B4" i="11"/>
  <c r="B5" i="11"/>
  <c r="B6" i="11"/>
  <c r="B7" i="11"/>
  <c r="B8" i="11"/>
  <c r="B9" i="11"/>
  <c r="B10" i="11"/>
  <c r="D4" i="10"/>
  <c r="D5" i="10"/>
  <c r="D6" i="10"/>
  <c r="D7" i="10"/>
  <c r="D8" i="10"/>
  <c r="D9" i="10"/>
  <c r="D10" i="10"/>
  <c r="D3" i="10"/>
  <c r="E4" i="10"/>
  <c r="E5" i="10"/>
  <c r="E6" i="10"/>
  <c r="E7" i="10"/>
  <c r="E8" i="10"/>
  <c r="E9" i="10"/>
  <c r="E10" i="10"/>
  <c r="E3" i="10"/>
  <c r="B4" i="10"/>
  <c r="B5" i="10"/>
  <c r="B6" i="10"/>
  <c r="B7" i="10"/>
  <c r="B8" i="10"/>
  <c r="B9" i="10"/>
  <c r="B10" i="10"/>
  <c r="B3" i="10"/>
  <c r="F11" i="6"/>
  <c r="G4" i="6"/>
  <c r="G3" i="6"/>
  <c r="G5" i="6"/>
  <c r="F5" i="6"/>
  <c r="F4" i="6"/>
  <c r="F3" i="6"/>
  <c r="B13" i="6"/>
  <c r="B12" i="6"/>
  <c r="B11" i="6"/>
  <c r="E13" i="6"/>
  <c r="E12" i="6"/>
  <c r="E11" i="6"/>
  <c r="D13" i="6"/>
  <c r="D12" i="6"/>
  <c r="D11" i="6"/>
  <c r="F13" i="6"/>
  <c r="F12" i="6"/>
  <c r="E12" i="14" l="1"/>
  <c r="D18" i="14"/>
  <c r="E18" i="14"/>
  <c r="C7" i="14"/>
  <c r="C12" i="14" s="1"/>
  <c r="B11" i="14"/>
  <c r="B12" i="14"/>
  <c r="C18" i="14"/>
  <c r="D11" i="14"/>
  <c r="D12" i="14"/>
  <c r="E11" i="14"/>
  <c r="C10" i="11"/>
  <c r="E11" i="11"/>
  <c r="B11" i="10"/>
  <c r="E11" i="10"/>
  <c r="E16" i="10"/>
  <c r="E12" i="12"/>
  <c r="C18" i="12"/>
  <c r="D12" i="12"/>
  <c r="C16" i="10"/>
  <c r="B12" i="12"/>
  <c r="D16" i="10"/>
  <c r="E20" i="6"/>
  <c r="D11" i="10"/>
  <c r="C4" i="12"/>
  <c r="D11" i="11"/>
  <c r="E11" i="12"/>
  <c r="D18" i="12"/>
  <c r="E18" i="12"/>
  <c r="B11" i="12"/>
  <c r="C3" i="12"/>
  <c r="D11" i="12"/>
  <c r="C9" i="11"/>
  <c r="D16" i="11"/>
  <c r="C7" i="11"/>
  <c r="B11" i="11"/>
  <c r="E16" i="11"/>
  <c r="C3" i="11"/>
  <c r="C16" i="11"/>
  <c r="C10" i="10"/>
  <c r="C9" i="10"/>
  <c r="C5" i="10"/>
  <c r="C6" i="10"/>
  <c r="C8" i="10"/>
  <c r="C4" i="10"/>
  <c r="C3" i="10"/>
  <c r="C7" i="10"/>
  <c r="E19" i="6"/>
  <c r="F7" i="6"/>
  <c r="G7" i="6"/>
  <c r="E23" i="6"/>
  <c r="D19" i="6"/>
  <c r="F15" i="6"/>
  <c r="E18" i="6"/>
  <c r="C20" i="6"/>
  <c r="G13" i="6"/>
  <c r="C19" i="6"/>
  <c r="D23" i="6"/>
  <c r="D18" i="6"/>
  <c r="D15" i="6"/>
  <c r="C18" i="6"/>
  <c r="C23" i="6"/>
  <c r="D20" i="6"/>
  <c r="B15" i="6"/>
  <c r="E15" i="6"/>
  <c r="F6" i="6"/>
  <c r="B14" i="6"/>
  <c r="G12" i="6"/>
  <c r="G6" i="6"/>
  <c r="F14" i="6"/>
  <c r="G11" i="6"/>
  <c r="E14" i="6"/>
  <c r="D14" i="6"/>
  <c r="B18" i="14" l="1"/>
  <c r="C11" i="14"/>
  <c r="E15" i="14"/>
  <c r="D15" i="14"/>
  <c r="C15" i="14"/>
  <c r="B15" i="14"/>
  <c r="B16" i="10"/>
  <c r="C11" i="10"/>
  <c r="C11" i="11"/>
  <c r="D15" i="12"/>
  <c r="C15" i="12"/>
  <c r="C11" i="12"/>
  <c r="B15" i="12" s="1"/>
  <c r="C12" i="12"/>
  <c r="E15" i="12"/>
  <c r="B18" i="12"/>
  <c r="B16" i="11"/>
  <c r="G15" i="6"/>
  <c r="G14" i="6"/>
  <c r="E3" i="8" l="1"/>
  <c r="E4" i="8"/>
  <c r="E5" i="8"/>
  <c r="E6" i="8"/>
  <c r="E7" i="8"/>
  <c r="E8" i="8"/>
  <c r="E9" i="8"/>
  <c r="E2" i="8"/>
  <c r="D3" i="8"/>
  <c r="C3" i="8" s="1"/>
  <c r="D4" i="8"/>
  <c r="D5" i="8"/>
  <c r="C5" i="8" s="1"/>
  <c r="D6" i="8"/>
  <c r="C6" i="8" s="1"/>
  <c r="D7" i="8"/>
  <c r="D8" i="8"/>
  <c r="C8" i="8" s="1"/>
  <c r="D9" i="8"/>
  <c r="C9" i="8" s="1"/>
  <c r="D2" i="8"/>
  <c r="B2" i="8"/>
  <c r="B3" i="8"/>
  <c r="B4" i="8"/>
  <c r="B5" i="8"/>
  <c r="B6" i="8"/>
  <c r="B7" i="8"/>
  <c r="B8" i="8"/>
  <c r="B9" i="8"/>
  <c r="C4" i="8" l="1"/>
  <c r="C7" i="8"/>
  <c r="E17" i="8"/>
  <c r="C2" i="8"/>
  <c r="C17" i="8"/>
  <c r="D17" i="8"/>
  <c r="B11" i="8"/>
  <c r="D11" i="8"/>
  <c r="E11" i="8"/>
  <c r="B10" i="8"/>
  <c r="E10" i="8"/>
  <c r="D10" i="8"/>
  <c r="B5" i="6"/>
  <c r="B4" i="6"/>
  <c r="E5" i="6"/>
  <c r="E4" i="6"/>
  <c r="D5" i="6"/>
  <c r="D4" i="6"/>
  <c r="B3" i="6"/>
  <c r="E3" i="6"/>
  <c r="D3" i="6"/>
  <c r="C11" i="8" l="1"/>
  <c r="B17" i="8"/>
  <c r="C10" i="8"/>
  <c r="B7" i="6"/>
  <c r="D7" i="6"/>
  <c r="E7" i="6"/>
  <c r="B6" i="6"/>
  <c r="D6" i="6"/>
  <c r="E6" i="6"/>
  <c r="C13" i="6"/>
  <c r="B20" i="6" s="1"/>
  <c r="C4" i="6"/>
  <c r="C12" i="6"/>
  <c r="B19" i="6" s="1"/>
  <c r="C3" i="6"/>
  <c r="C11" i="6"/>
  <c r="B14" i="8"/>
  <c r="E14" i="8"/>
  <c r="D14" i="8"/>
  <c r="C14" i="8"/>
  <c r="C5" i="6"/>
  <c r="C7" i="6" l="1"/>
  <c r="C15" i="6"/>
  <c r="B23" i="6"/>
  <c r="B18" i="6"/>
  <c r="C6" i="6"/>
  <c r="C1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A25" authorId="0" shapeId="0" xr:uid="{86586FF7-5669-489B-96A9-5C696002B6D5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Probability of detecting the effect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A25" authorId="0" shapeId="0" xr:uid="{738C5F34-0512-4C2E-B3AB-2D128443E28E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Probability of detecting the effect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A30" authorId="0" shapeId="0" xr:uid="{E2EC0BDD-B121-4B3B-B72F-AEB8A12CA3D6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Probability of detecting the effect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A24" authorId="0" shapeId="0" xr:uid="{552826C2-2EDB-4822-A20C-B583DB280F94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Probability of detecting the effect</t>
        </r>
      </text>
    </comment>
  </commentList>
</comments>
</file>

<file path=xl/sharedStrings.xml><?xml version="1.0" encoding="utf-8"?>
<sst xmlns="http://schemas.openxmlformats.org/spreadsheetml/2006/main" count="315" uniqueCount="115">
  <si>
    <t>KIT</t>
  </si>
  <si>
    <t>WorkingSet</t>
  </si>
  <si>
    <t>ExplanationType</t>
  </si>
  <si>
    <t>Age</t>
  </si>
  <si>
    <t>YoE</t>
  </si>
  <si>
    <t>UnitTestPractice</t>
  </si>
  <si>
    <t>Java</t>
  </si>
  <si>
    <t>Javascript</t>
  </si>
  <si>
    <t>Confidence</t>
  </si>
  <si>
    <t>ConfidenceOthers</t>
  </si>
  <si>
    <t>LearnedUniversity</t>
  </si>
  <si>
    <t>LearnedOnLine</t>
  </si>
  <si>
    <t>LearnedSelftTaught</t>
  </si>
  <si>
    <t>SuggestFix</t>
  </si>
  <si>
    <t>CreateUnitTest</t>
  </si>
  <si>
    <t>AddDocumentation</t>
  </si>
  <si>
    <t>Refactor</t>
  </si>
  <si>
    <t>None</t>
  </si>
  <si>
    <t>1.8F</t>
  </si>
  <si>
    <t>2.24R</t>
  </si>
  <si>
    <t>7.33N</t>
  </si>
  <si>
    <t>1.8N</t>
  </si>
  <si>
    <t>2.24F</t>
  </si>
  <si>
    <t>7.33R</t>
  </si>
  <si>
    <t>1.8R</t>
  </si>
  <si>
    <t>2.24N</t>
  </si>
  <si>
    <t>7.33F</t>
  </si>
  <si>
    <t>Fix</t>
  </si>
  <si>
    <t>RootCause</t>
  </si>
  <si>
    <t>ValidFix</t>
  </si>
  <si>
    <t>DurationMinutes</t>
  </si>
  <si>
    <t>Python</t>
  </si>
  <si>
    <t>PHP</t>
  </si>
  <si>
    <t>VB</t>
  </si>
  <si>
    <t>SAME_AS_OTHERS</t>
  </si>
  <si>
    <t>C++</t>
  </si>
  <si>
    <t>C</t>
  </si>
  <si>
    <t>Pascal</t>
  </si>
  <si>
    <t>C#</t>
  </si>
  <si>
    <t>SQL</t>
  </si>
  <si>
    <t>SmallTalk</t>
  </si>
  <si>
    <t>Prolog</t>
  </si>
  <si>
    <t>LESS_THAN_OTHERS</t>
  </si>
  <si>
    <t>Scala</t>
  </si>
  <si>
    <t>FixRelatedExplanations</t>
  </si>
  <si>
    <t>NA</t>
  </si>
  <si>
    <t>Bug</t>
  </si>
  <si>
    <t>Does explanations seem to help during bug fixing?</t>
  </si>
  <si>
    <t xml:space="preserve">Confidence was self-declare and measured in two aspects: confidence in the programmer's own fix and confidence that other programmers would also be able </t>
  </si>
  <si>
    <t>to provide a valid fix. The confidence in one's own fixes was provided in a scale of 1 (low) to 5 (high confidence). The confidence about</t>
  </si>
  <si>
    <t>other programmers was also in a scale of 1 to 5.</t>
  </si>
  <si>
    <t>We answered this by looking at (1) the correctness of fixes, (2) the time to produce fixes, and (2) the confidence of programmers on the fixes.</t>
  </si>
  <si>
    <t>We also look at the number of explanations that the each programmer considered related to their suggestions of bug fix.</t>
  </si>
  <si>
    <t>Explanations seem to positively relate with more effective (correctness) and efficient (cost) bug fixing of crowdsourced software failures.</t>
  </si>
  <si>
    <t>However, explanations are still expensive to categorize and could still be expensive to collect.</t>
  </si>
  <si>
    <t xml:space="preserve">We gave participants pen and paper so we could control for them not relying on more resources that could add more confounding factors, </t>
  </si>
  <si>
    <t>for instance, a step trace debugger would tell exactly which statements were executed and the state of the variables.</t>
  </si>
  <si>
    <t>Not relying on a debugger also prevented programmers from executing the code with fixes until finding one that would make the unit test pass.</t>
  </si>
  <si>
    <t>Total</t>
  </si>
  <si>
    <t>With explanation</t>
  </si>
  <si>
    <t>Power of the test</t>
  </si>
  <si>
    <t>Std</t>
  </si>
  <si>
    <t>Mean</t>
  </si>
  <si>
    <t>Subject</t>
  </si>
  <si>
    <t>With Explanations</t>
  </si>
  <si>
    <t>Without Explanations</t>
  </si>
  <si>
    <t>With RootCause Explanations</t>
  </si>
  <si>
    <t>With Fix Explanations</t>
  </si>
  <si>
    <t>Cohen's d (observed effect)</t>
  </si>
  <si>
    <t>Probability level (alpha)</t>
  </si>
  <si>
    <t>Post-hoc Statistical Power for a Student t-Test</t>
  </si>
  <si>
    <t>Strength of effect</t>
  </si>
  <si>
    <t>Strong</t>
  </si>
  <si>
    <t>Moderate</t>
  </si>
  <si>
    <t>Large</t>
  </si>
  <si>
    <t>Standard Deviation</t>
  </si>
  <si>
    <t>p-value</t>
  </si>
  <si>
    <t>T-Tests, one tailed, homoscedastic</t>
  </si>
  <si>
    <t>Without Explanation</t>
  </si>
  <si>
    <t>With Fix</t>
  </si>
  <si>
    <t>With RootCause</t>
  </si>
  <si>
    <t>Total answers</t>
  </si>
  <si>
    <t>https://www.danielsoper.com/statcalc/calculator.aspx?id=49</t>
  </si>
  <si>
    <t>Observed power. One-tailed test</t>
  </si>
  <si>
    <t>Total correct</t>
  </si>
  <si>
    <t>With RootCause &gt; Without</t>
  </si>
  <si>
    <t>With &gt; Without</t>
  </si>
  <si>
    <t>With Fix &gt; Without</t>
  </si>
  <si>
    <t>With Fix &gt; With Root Cause</t>
  </si>
  <si>
    <t>total correct</t>
  </si>
  <si>
    <t>Without &lt; With</t>
  </si>
  <si>
    <t>Without &lt; With RootCause</t>
  </si>
  <si>
    <t xml:space="preserve">Without &lt; With Fix </t>
  </si>
  <si>
    <t>With RootCause &lt; With Fix</t>
  </si>
  <si>
    <t>Without &lt; With Fix</t>
  </si>
  <si>
    <t>ANSWER COUNT</t>
  </si>
  <si>
    <t>PROPORTIONALLY CORRECT</t>
  </si>
  <si>
    <t>U</t>
  </si>
  <si>
    <t>Explanation</t>
  </si>
  <si>
    <t>With</t>
  </si>
  <si>
    <t>Duration in minutes</t>
  </si>
  <si>
    <t>Confidence Others</t>
  </si>
  <si>
    <t>Explanations considered related to the fix</t>
  </si>
  <si>
    <t>Languages</t>
  </si>
  <si>
    <t>Total Languages</t>
  </si>
  <si>
    <t>Total Participant</t>
  </si>
  <si>
    <t>Learned University</t>
  </si>
  <si>
    <t>Learned OnLine</t>
  </si>
  <si>
    <t>Learned SelftTaught</t>
  </si>
  <si>
    <t>Suggest Fix</t>
  </si>
  <si>
    <t>Create Unit Test</t>
  </si>
  <si>
    <t>Add Documentation</t>
  </si>
  <si>
    <t>Which activies would you feel comfortable performing for the same Java methods?</t>
  </si>
  <si>
    <t>MORE_THAN_OTHERS</t>
  </si>
  <si>
    <t>How much Unit Test do you code in your programs?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</si>
</sst>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2" formatCode="0.0000"/>
    <numFmt numFmtId="173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2" fontId="0" fillId="0" borderId="0" xfId="0" applyNumberForma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1" xfId="0" applyFont="1" applyBorder="1"/>
    <xf numFmtId="0" fontId="1" fillId="0" borderId="0" xfId="0" applyFont="1"/>
    <xf numFmtId="172" fontId="0" fillId="0" borderId="0" xfId="0" applyNumberFormat="1"/>
    <xf numFmtId="173" fontId="0" fillId="0" borderId="0" xfId="0" applyNumberFormat="1"/>
    <xf numFmtId="173" fontId="1" fillId="0" borderId="0" xfId="0" applyNumberFormat="1" applyFont="1"/>
    <xf numFmtId="0" fontId="1" fillId="0" borderId="0" xfId="0" applyFont="1" applyAlignment="1">
      <alignment horizontal="center"/>
    </xf>
    <xf numFmtId="9" fontId="0" fillId="0" borderId="0" xfId="2" applyFont="1"/>
    <xf numFmtId="0" fontId="0" fillId="0" borderId="0" xfId="0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43" fontId="1" fillId="0" borderId="0" xfId="1" applyFont="1" applyAlignment="1">
      <alignment horizontal="center" vertical="center"/>
    </xf>
    <xf numFmtId="173" fontId="1" fillId="0" borderId="0" xfId="0" applyNumberFormat="1" applyFont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40">
    <dxf>
      <font>
        <color auto="1"/>
      </font>
      <fill>
        <patternFill>
          <bgColor theme="5" tint="0.79998168889431442"/>
        </patternFill>
      </fill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3" formatCode="0.000"/>
    </dxf>
    <dxf>
      <numFmt numFmtId="173" formatCode="0.000"/>
    </dxf>
    <dxf>
      <numFmt numFmtId="173" formatCode="0.000"/>
    </dxf>
    <dxf>
      <numFmt numFmtId="173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</font>
    </dxf>
    <dxf>
      <font>
        <b/>
      </font>
      <alignment horizontal="center" vertical="center" textRotation="0" wrapText="0" indent="0" justifyLastLine="0" shrinkToFit="0" readingOrder="0"/>
    </dxf>
    <dxf>
      <numFmt numFmtId="172" formatCode="0.0000"/>
    </dxf>
    <dxf>
      <numFmt numFmtId="172" formatCode="0.0000"/>
    </dxf>
    <dxf>
      <numFmt numFmtId="172" formatCode="0.0000"/>
    </dxf>
    <dxf>
      <numFmt numFmtId="172" formatCode="0.0000"/>
    </dxf>
    <dxf>
      <font>
        <b/>
      </font>
    </dxf>
    <dxf>
      <numFmt numFmtId="173" formatCode="0.000"/>
    </dxf>
    <dxf>
      <numFmt numFmtId="173" formatCode="0.000"/>
    </dxf>
    <dxf>
      <numFmt numFmtId="173" formatCode="0.000"/>
    </dxf>
    <dxf>
      <numFmt numFmtId="173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alignment horizontal="center" vertical="center" textRotation="0" wrapText="0" indent="0" justifyLastLine="0" shrinkToFit="0" readingOrder="0"/>
    </dxf>
    <dxf>
      <numFmt numFmtId="172" formatCode="0.0000"/>
    </dxf>
    <dxf>
      <numFmt numFmtId="172" formatCode="0.0000"/>
    </dxf>
    <dxf>
      <numFmt numFmtId="172" formatCode="0.0000"/>
    </dxf>
    <dxf>
      <numFmt numFmtId="172" formatCode="0.0000"/>
    </dxf>
    <dxf>
      <font>
        <b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</font>
      <alignment horizontal="center" vertical="center" textRotation="0" wrapText="0" indent="0" justifyLastLine="0" shrinkToFit="0" readingOrder="0"/>
    </dxf>
    <dxf>
      <numFmt numFmtId="172" formatCode="0.0000"/>
    </dxf>
    <dxf>
      <numFmt numFmtId="172" formatCode="0.0000"/>
    </dxf>
    <dxf>
      <numFmt numFmtId="172" formatCode="0.0000"/>
    </dxf>
    <dxf>
      <numFmt numFmtId="172" formatCode="0.000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72" formatCode="0.0000"/>
    </dxf>
    <dxf>
      <numFmt numFmtId="172" formatCode="0.0000"/>
    </dxf>
    <dxf>
      <numFmt numFmtId="172" formatCode="0.0000"/>
    </dxf>
    <dxf>
      <numFmt numFmtId="172" formatCode="0.0000"/>
    </dxf>
    <dxf>
      <font>
        <b/>
      </font>
    </dxf>
    <dxf>
      <numFmt numFmtId="173" formatCode="0.000"/>
    </dxf>
    <dxf>
      <numFmt numFmtId="173" formatCode="0.000"/>
    </dxf>
    <dxf>
      <numFmt numFmtId="173" formatCode="0.000"/>
    </dxf>
    <dxf>
      <numFmt numFmtId="173" formatCode="0.000"/>
    </dxf>
    <dxf>
      <numFmt numFmtId="173" formatCode="0.000"/>
    </dxf>
    <dxf>
      <numFmt numFmtId="173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numFmt numFmtId="2" formatCode="0.00"/>
      <alignment horizontal="center" vertical="center" textRotation="0" wrapText="0" indent="0" justifyLastLine="0" shrinkToFit="0" readingOrder="0"/>
    </dxf>
    <dxf>
      <numFmt numFmtId="13" formatCode="0%"/>
    </dxf>
    <dxf>
      <numFmt numFmtId="2" formatCode="0.00"/>
    </dxf>
    <dxf>
      <font>
        <b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/>
      </font>
      <alignment horizontal="center" vertical="center" textRotation="0" wrapText="0" indent="0" justifyLastLine="0" shrinkToFit="0" readingOrder="0"/>
    </dxf>
    <dxf>
      <numFmt numFmtId="172" formatCode="0.0000"/>
    </dxf>
    <dxf>
      <numFmt numFmtId="172" formatCode="0.0000"/>
    </dxf>
    <dxf>
      <numFmt numFmtId="172" formatCode="0.0000"/>
    </dxf>
    <dxf>
      <numFmt numFmtId="172" formatCode="0.0000"/>
    </dxf>
    <dxf>
      <font>
        <b/>
      </font>
    </dxf>
    <dxf>
      <font>
        <b/>
      </font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1" indent="0" justifyLastLine="0" shrinkToFit="0" readingOrder="0"/>
    </dxf>
    <dxf>
      <numFmt numFmtId="13" formatCode="0%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</dxf>
    <dxf>
      <numFmt numFmtId="172" formatCode="0.0000"/>
    </dxf>
    <dxf>
      <numFmt numFmtId="172" formatCode="0.0000"/>
    </dxf>
    <dxf>
      <numFmt numFmtId="172" formatCode="0.0000"/>
    </dxf>
    <dxf>
      <numFmt numFmtId="172" formatCode="0.0000"/>
    </dxf>
    <dxf>
      <numFmt numFmtId="173" formatCode="0.000"/>
    </dxf>
    <dxf>
      <font>
        <b/>
      </font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B67CDD-02FF-4FB6-902A-E2E7EA91A8E1}" name="Table1" displayName="Table1" ref="A1:AH28" totalsRowShown="0" headerRowDxfId="16">
  <autoFilter ref="A1:AH28" xr:uid="{ECB7930C-BB63-4B0A-8F71-6C2288E212AC}"/>
  <tableColumns count="34">
    <tableColumn id="1" xr3:uid="{18AD0FD6-AFD0-4DF8-903E-3C62B643DAA3}" name="KIT" dataDxfId="15"/>
    <tableColumn id="33" xr3:uid="{36FFF865-7F52-4A6D-A6E4-2BFF5B57A719}" name="Bug" dataDxfId="14"/>
    <tableColumn id="2" xr3:uid="{00DEAD63-8FC1-471B-A099-911FF857957C}" name="WorkingSet" dataDxfId="13"/>
    <tableColumn id="3" xr3:uid="{78CD43AC-6C2D-429B-AF10-2BD78D5E6166}" name="ExplanationType" dataDxfId="12"/>
    <tableColumn id="4" xr3:uid="{600956AD-43F5-4CDB-ACD1-75E8C7CCF98E}" name="ValidFix"/>
    <tableColumn id="5" xr3:uid="{AE1C51A6-7362-43C1-A3C9-C6A4C700EFDC}" name="Confidence"/>
    <tableColumn id="6" xr3:uid="{7A73BC91-E207-483E-8E63-26EDF613DE85}" name="ConfidenceOthers"/>
    <tableColumn id="7" xr3:uid="{2A554F88-17B1-4396-9F79-BC9879D4E733}" name="DurationMinutes"/>
    <tableColumn id="32" xr3:uid="{7A2BD519-1233-4A70-87EE-B9A8280A7EE6}" name="FixRelatedExplanations" dataDxfId="11"/>
    <tableColumn id="8" xr3:uid="{CCAD2136-6710-459A-9E6F-9652997963A5}" name="Age"/>
    <tableColumn id="9" xr3:uid="{EEFCDC51-7DF7-4144-8EC9-2403A22A5E16}" name="YoE"/>
    <tableColumn id="10" xr3:uid="{392F950F-DF2C-4B0F-AB59-87170117FE25}" name="UnitTestPractice"/>
    <tableColumn id="11" xr3:uid="{94723AE3-1D4E-4CEC-8848-51501F1A8F39}" name="LearnedUniversity"/>
    <tableColumn id="12" xr3:uid="{9A2585F5-A30A-4658-AE19-47ABF3E73B8B}" name="LearnedOnLine"/>
    <tableColumn id="13" xr3:uid="{BC798B06-BDE9-423C-BAF6-7646B0538F70}" name="LearnedSelftTaught"/>
    <tableColumn id="14" xr3:uid="{B3B16044-C0C3-4289-BB59-3E6928CB042F}" name="SuggestFix"/>
    <tableColumn id="15" xr3:uid="{E73D663E-0811-4241-BD00-52B68E6EECC2}" name="CreateUnitTest"/>
    <tableColumn id="16" xr3:uid="{12A27280-A5EB-42FC-AD15-435326A9C19A}" name="AddDocumentation"/>
    <tableColumn id="17" xr3:uid="{8EF5A68F-20F7-44DD-8C29-2009372F5461}" name="Refactor"/>
    <tableColumn id="18" xr3:uid="{CFB6A7BC-EDB1-4AC2-8F62-7B41876B83B7}" name="None"/>
    <tableColumn id="19" xr3:uid="{1F42DAA8-7B09-45D5-907B-44FC7B432827}" name="Java"/>
    <tableColumn id="20" xr3:uid="{6321A484-C8EB-4E7D-8EF0-AAED368646C5}" name="Javascript"/>
    <tableColumn id="21" xr3:uid="{A0CF2797-9DCD-427B-A82B-E9D348182DA7}" name="Python"/>
    <tableColumn id="22" xr3:uid="{64FC0D5F-F922-4D84-8CBA-5ED6865233BC}" name="C"/>
    <tableColumn id="25" xr3:uid="{927D66B7-ACA3-4B57-97EE-506E75AA575A}" name="C++"/>
    <tableColumn id="27" xr3:uid="{8B2FF689-0612-436E-9511-739BBDD79D1B}" name="C#"/>
    <tableColumn id="23" xr3:uid="{356532F0-00F1-48B6-89DB-8A9CC25758DD}" name="PHP"/>
    <tableColumn id="24" xr3:uid="{7CFFD73B-6D39-4DBD-B7F2-BFB18CE55094}" name="VB"/>
    <tableColumn id="26" xr3:uid="{60934223-C637-4B20-8D28-EF4D1383AAA6}" name="Pascal"/>
    <tableColumn id="28" xr3:uid="{CBBCFE69-2BDB-4472-80DA-DDE58B8EF3BA}" name="SQL"/>
    <tableColumn id="29" xr3:uid="{E71CFD24-BE8F-4372-8625-30E0802F0895}" name="SmallTalk"/>
    <tableColumn id="30" xr3:uid="{255068CC-95E7-4C6A-9E57-9D39CB2EF877}" name="Prolog"/>
    <tableColumn id="31" xr3:uid="{FAE6C626-346C-443A-A882-E0C80CEF706D}" name="Scala"/>
    <tableColumn id="34" xr3:uid="{60C416CD-2E8F-4245-B501-7954141D6A12}" name="Total Languages" dataDxfId="10">
      <calculatedColumnFormula>COUNTIF(Table1[[#This Row],[Java]:[Scala]],TRUE)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F3642F9-A3FE-4865-8E4B-7A83513B4092}" name="Table511121416" displayName="Table511121416" ref="A17:E18" totalsRowShown="0">
  <tableColumns count="5">
    <tableColumn id="1" xr3:uid="{4EE1A7F8-9822-4532-9161-C886BE1C8A5C}" name="T-Tests, one tailed, homoscedastic" dataDxfId="64"/>
    <tableColumn id="4" xr3:uid="{00C79275-E12D-4B1F-92C9-FB2578E4B85C}" name="Without &lt; With" dataDxfId="63">
      <calculatedColumnFormula>TTEST(B3:B10,C3:C10,1,2)</calculatedColumnFormula>
    </tableColumn>
    <tableColumn id="5" xr3:uid="{2600408E-9FF5-4EB8-A32B-7CE65003F22D}" name="Without &lt; With RootCause" dataDxfId="62">
      <calculatedColumnFormula>TTEST(B3:B10,D3:D10,1,2)</calculatedColumnFormula>
    </tableColumn>
    <tableColumn id="6" xr3:uid="{EDEDAD2A-3502-434C-A840-C2EA6E92A6B6}" name="Without &lt; With Fix" dataDxfId="61">
      <calculatedColumnFormula>TTEST(B3:B10,E3:E10,1,2)</calculatedColumnFormula>
    </tableColumn>
    <tableColumn id="7" xr3:uid="{5A647E53-4375-4FE5-B34D-B0B1F35D4B24}" name="With RootCause &lt; With Fix" dataDxfId="60">
      <calculatedColumnFormula>TTEST(D3:D10,E3:E10,1,2)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FB3C93-EC95-492F-8464-BF8D780B1A71}" name="Table121517" displayName="Table121517" ref="A2:E11" totalsRowCount="1">
  <tableColumns count="5">
    <tableColumn id="1" xr3:uid="{9B871DDF-D8CA-47DE-A8E6-ECA9633FB1BE}" name="Explanation" totalsRowLabel="Total" dataDxfId="59" totalsRowDxfId="55"/>
    <tableColumn id="2" xr3:uid="{1743CF06-66AD-4CB7-A7EC-5633CB942A45}" name="None" totalsRowFunction="average" dataDxfId="58" totalsRowDxfId="44">
      <calculatedColumnFormula>SUMIFS(Table1[ConfidenceOthers],Table1[KIT],A3,Table1[ExplanationType],$B$2)</calculatedColumnFormula>
    </tableColumn>
    <tableColumn id="3" xr3:uid="{6EC7AC27-026E-4F65-8B61-D22A2D718A6C}" name="With" totalsRowFunction="average" totalsRowDxfId="43">
      <calculatedColumnFormula>AVERAGE(D3:E3)</calculatedColumnFormula>
    </tableColumn>
    <tableColumn id="4" xr3:uid="{4E806A63-652C-4B94-A2F9-B44201327F7D}" name="RootCause" totalsRowFunction="average" dataDxfId="57" totalsRowDxfId="42">
      <calculatedColumnFormula>SUMIFS(Table1[ConfidenceOthers],Table1[KIT],A3,Table1[ExplanationType],$D$2)</calculatedColumnFormula>
    </tableColumn>
    <tableColumn id="5" xr3:uid="{13133616-B2F9-44DB-9509-722F3596E5C2}" name="Fix" totalsRowFunction="average" dataDxfId="56" totalsRowDxfId="41">
      <calculatedColumnFormula>SUMIFS(Table1[ConfidenceOthers],Table1[KIT],A3,Table1[ExplanationType],$E$2)</calculatedColumnFormula>
    </tableColumn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8FCCF0D-973C-42A2-AA56-EE4D55034964}" name="Table41018" displayName="Table41018" ref="A21:E25" totalsRowShown="0">
  <tableColumns count="5">
    <tableColumn id="1" xr3:uid="{D6512207-2278-4526-8D29-8A35432BE5B6}" name="Power of the test" dataDxfId="54"/>
    <tableColumn id="4" xr3:uid="{7138A421-C421-460C-85A3-1489AE820C88}" name="Without &lt; With"/>
    <tableColumn id="5" xr3:uid="{6CE17F96-CFFC-4DA3-A909-490BDD31C5A8}" name="Without &lt; With RootCause"/>
    <tableColumn id="6" xr3:uid="{CFF380C3-7720-4C82-88EA-40F5E850B1B1}" name="Without &lt; With Fix"/>
    <tableColumn id="7" xr3:uid="{E57E136C-4482-479B-8974-C885C4CD39AE}" name="With RootCause &lt; With Fix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4688A6E-5823-411F-88BC-8D24EDB3CADF}" name="Table819" displayName="Table819" ref="B14:E15" totalsRowShown="0" headerRowDxfId="53" dataDxfId="52" headerRowBorderDxfId="50" tableBorderDxfId="51" totalsRowBorderDxfId="49">
  <autoFilter ref="B14:E15" xr:uid="{C8A793A8-C6AA-4A15-B042-3D65A4512F4E}"/>
  <tableColumns count="4">
    <tableColumn id="1" xr3:uid="{8A45B160-ED3F-44BB-BA28-33E6A7DEB1BF}" name="Without &lt; With" dataDxfId="48">
      <calculatedColumnFormula>IF(Table121517[[#Totals],[None]]&lt;Table121517[[#Totals],[With]],"YES","NO")</calculatedColumnFormula>
    </tableColumn>
    <tableColumn id="2" xr3:uid="{D70ADC6E-91C6-4F9C-90AA-9CEB32C31EB4}" name="Without &lt; With RootCause" dataDxfId="47">
      <calculatedColumnFormula>IF(Table121517[[#Totals],[None]]&lt;Table121517[[#Totals],[RootCause]],"YES","NO")</calculatedColumnFormula>
    </tableColumn>
    <tableColumn id="3" xr3:uid="{1729FD9D-8DAF-4A40-84F8-7878568E2EB9}" name="Without &lt; With Fix " dataDxfId="46">
      <calculatedColumnFormula>IF(Table121517[[#Totals],[None]]&lt;Table121517[[#Totals],[Fix]],"YES","NO")</calculatedColumnFormula>
    </tableColumn>
    <tableColumn id="4" xr3:uid="{8CF918AB-8972-42CA-82B1-AA0F322C20E2}" name="With RootCause &lt; With Fix" dataDxfId="45">
      <calculatedColumnFormula>IF(Table121517[[#Totals],[RootCause]]&lt;Table121517[[#Totals],[Fix]],"YES","NO")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8EA5C51-6F05-4AAF-BCFC-85D01F3FB462}" name="Table51112" displayName="Table51112" ref="A15:E16" totalsRowShown="0">
  <tableColumns count="5">
    <tableColumn id="1" xr3:uid="{10479685-A818-4C88-B443-D6693A9625DC}" name="T-Tests, one tailed, homoscedastic" dataDxfId="81"/>
    <tableColumn id="4" xr3:uid="{4DDF8CC0-2CE2-4215-A2BC-6D32FF91EE7C}" name="Without &lt; With" dataDxfId="80">
      <calculatedColumnFormula>TTEST(B3:B10,C3:C10,1,2)</calculatedColumnFormula>
    </tableColumn>
    <tableColumn id="5" xr3:uid="{7100612C-0598-4D1B-91B1-3A13A0146B25}" name="Without &lt; With RootCause" dataDxfId="79">
      <calculatedColumnFormula>TTEST(B3:B10,D3:D10,1,2)</calculatedColumnFormula>
    </tableColumn>
    <tableColumn id="6" xr3:uid="{C77B6C1B-9ADB-45EA-A0A6-F8925E33661F}" name="Without &lt; With Fix" dataDxfId="78">
      <calculatedColumnFormula>TTEST(B3:B10,E3:E10,1,2)</calculatedColumnFormula>
    </tableColumn>
    <tableColumn id="7" xr3:uid="{98E793FB-9ECE-4904-A1E2-E472D70FBFC3}" name="With RootCause &lt; With Fix" dataDxfId="77">
      <calculatedColumnFormula>TTEST(D3:D10,E3:E10,1,2)</calculatedColumnFormula>
    </tableColumn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C079299-9F34-4547-A48D-DE4EA8301CF4}" name="Table12" displayName="Table12" ref="A2:E11" totalsRowCount="1">
  <tableColumns count="5">
    <tableColumn id="1" xr3:uid="{B31B7B26-69FC-4F1F-B690-B072EE0A94C7}" name="Explanation" totalsRowLabel="Total" dataDxfId="76" totalsRowDxfId="75"/>
    <tableColumn id="2" xr3:uid="{66BF09AB-3F9A-4979-8FF8-AFD1F0456BDC}" name="None" totalsRowFunction="average"/>
    <tableColumn id="3" xr3:uid="{E73C4573-D2BC-4D7E-8077-E5CCC3D4C5BD}" name="With" totalsRowFunction="average"/>
    <tableColumn id="4" xr3:uid="{2A7A28B9-98B1-42B3-AD2F-8AE7BA0FAD50}" name="RootCause" totalsRowFunction="average"/>
    <tableColumn id="5" xr3:uid="{F4E63398-E744-4430-B42D-60108AE1B246}" name="Fix" totalsRowFunction="average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63DEF9-3E03-4C95-B95E-3D4C3BE65594}" name="Table2" displayName="Table2" ref="A2:G6" totalsRowCount="1" headerRowDxfId="129">
  <tableColumns count="7">
    <tableColumn id="1" xr3:uid="{07E39BB7-674A-4150-9F70-B8548BF70440}" name="Bug" totalsRowLabel="Mean" dataDxfId="108" totalsRowDxfId="100"/>
    <tableColumn id="5" xr3:uid="{26106DA8-8833-404F-9DDF-52757745C09D}" name="Without Explanation" totalsRowFunction="average" dataDxfId="101" totalsRowDxfId="99"/>
    <tableColumn id="6" xr3:uid="{D3A29D48-2BC9-4D6B-A4CA-4DDCC2FFBBA6}" name="With explanation" totalsRowFunction="average" dataDxfId="107" totalsRowDxfId="98">
      <calculatedColumnFormula>(Table2[[#This Row],[With RootCause]]+Table2[[#This Row],[With Fix]])</calculatedColumnFormula>
    </tableColumn>
    <tableColumn id="3" xr3:uid="{F5FA073C-B27F-416E-8673-C55FBDB759B8}" name="With RootCause" totalsRowFunction="average" dataDxfId="106" totalsRowDxfId="97"/>
    <tableColumn id="4" xr3:uid="{5608BB9A-46B5-4AC9-937F-4CD812A78A6F}" name="With Fix" totalsRowFunction="average" dataDxfId="105" totalsRowDxfId="96"/>
    <tableColumn id="9" xr3:uid="{D2D4D141-3986-4F3E-BF80-E75B6B0FC38A}" name="Total answers" totalsRowFunction="average" dataDxfId="104" totalsRowDxfId="95">
      <calculatedColumnFormula>COUNTIF(Table1[Bug],Table2[[#This Row],[Bug]])</calculatedColumnFormula>
    </tableColumn>
    <tableColumn id="10" xr3:uid="{993A6246-4559-4A06-82E2-473BA10766C7}" name="Total correct" totalsRowFunction="average" dataDxfId="103" totalsRowDxfId="94">
      <calculatedColumnFormula>COUNTIFS(Table1[Bug],Table2[[#This Row],[Bug]],Table1[ValidFix],TRUE)</calculatedColumnFormula>
    </tableColumn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38F56F-B917-40D7-9811-695CC53EDDDE}" name="Table27" displayName="Table27" ref="A10:G14" totalsRowCount="1" headerRowDxfId="128">
  <tableColumns count="7">
    <tableColumn id="1" xr3:uid="{4FBD88C2-5D9E-4912-8885-D289F9F75DE0}" name="Bug" totalsRowLabel="Mean" dataDxfId="127" totalsRowDxfId="88"/>
    <tableColumn id="5" xr3:uid="{B4865278-8F87-4B91-847D-C2B361AF5E82}" name="Without Explanation" totalsRowFunction="average" dataDxfId="93" totalsRowDxfId="87" dataCellStyle="Percent"/>
    <tableColumn id="6" xr3:uid="{D9845AD0-BA1E-41FE-9EA5-6D45F295B8D8}" name="With explanation" totalsRowFunction="average" dataDxfId="126" totalsRowDxfId="86" dataCellStyle="Percent">
      <calculatedColumnFormula>(D3+E3)/(COUNTIF(Table1[WorkingSet],"1.8R")+COUNTIF(Table1[WorkingSet],"1.8F"))</calculatedColumnFormula>
    </tableColumn>
    <tableColumn id="3" xr3:uid="{BD063B27-5B16-4F82-9E1A-66E8139AA70D}" name="With RootCause" totalsRowFunction="average" totalsRowDxfId="85" dataCellStyle="Percent"/>
    <tableColumn id="4" xr3:uid="{9F550DE7-B247-4755-93AD-46644101B081}" name="With Fix" totalsRowFunction="average" totalsRowDxfId="84" dataCellStyle="Percent"/>
    <tableColumn id="9" xr3:uid="{573731E0-A50B-4B62-8D18-BC9C5E648AA6}" name="Total answers" totalsRowFunction="average" totalsRowDxfId="83" dataCellStyle="Comma">
      <calculatedColumnFormula>COUNTIF(Table1[Bug],Table27[[#This Row],[Bug]])</calculatedColumnFormula>
    </tableColumn>
    <tableColumn id="10" xr3:uid="{40998789-7566-49C4-9EA9-030FD25CFA75}" name="total correct" totalsRowFunction="average" dataDxfId="102" totalsRowDxfId="82" dataCellStyle="Percent">
      <calculatedColumnFormula>G3/F3</calculatedColumnFormula>
    </tableColumn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938F48-56A6-4E8B-AB26-F0D2A558F6B3}" name="Table7" displayName="Table7" ref="A17:E20" totalsRowShown="0" headerRowDxfId="125">
  <tableColumns count="5">
    <tableColumn id="5" xr3:uid="{B6A98FD2-5BFE-4A27-97AD-BDEC8E080CDB}" name="Bug" dataDxfId="115"/>
    <tableColumn id="1" xr3:uid="{CF8237C5-00FF-491F-BECF-F79AF235CA06}" name="With &gt; Without" dataDxfId="92">
      <calculatedColumnFormula>IF(B11&lt;C11,"YES", "NO")</calculatedColumnFormula>
    </tableColumn>
    <tableColumn id="2" xr3:uid="{49DC9241-54CD-4732-839C-D0CEE58CDECD}" name="With RootCause &gt; Without" dataDxfId="91">
      <calculatedColumnFormula>IF(B11&lt;D11,"YES","NO")</calculatedColumnFormula>
    </tableColumn>
    <tableColumn id="3" xr3:uid="{B3791A4A-2CEE-4F0E-84D8-AC09E18E13F9}" name="With Fix &gt; Without" dataDxfId="90">
      <calculatedColumnFormula>IF(B11&lt;E11,"YES","NO")</calculatedColumnFormula>
    </tableColumn>
    <tableColumn id="4" xr3:uid="{C95ED31B-636C-4C9B-9E11-8EA312D2D310}" name="With Fix &gt; With Root Cause" dataDxfId="89">
      <calculatedColumnFormula>IF(D11&lt;E11,"YES","NO")</calculatedColumnFormula>
    </tableColumn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A4533FC-F29C-4B54-A20F-28EB6E712E3A}" name="Table410" displayName="Table410" ref="A26:E30" totalsRowShown="0">
  <tableColumns count="5">
    <tableColumn id="1" xr3:uid="{9BB73B7C-CFCA-43E9-A248-FBC9FBB12779}" name="Power of the test" dataDxfId="114"/>
    <tableColumn id="4" xr3:uid="{6A4D8597-BCFD-41D6-B5AC-05615398FED7}" name="Without &lt; With"/>
    <tableColumn id="5" xr3:uid="{6E76D4F2-0926-4CA1-9F1E-C9574B94DC67}" name="Without &lt; With RootCause"/>
    <tableColumn id="6" xr3:uid="{DC351FBB-A118-441B-962A-B70726ABB0BA}" name="Without &lt; With Fix"/>
    <tableColumn id="7" xr3:uid="{01AD4504-2D8B-409A-84EE-4231335BC78E}" name="With RootCause &lt; With Fix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756717B-A744-4CA9-A6D6-05CE97F9517E}" name="Table23" displayName="Table23" ref="A1:G2" totalsRowShown="0" headerRowDxfId="6" dataDxfId="7">
  <tableColumns count="7">
    <tableColumn id="1" xr3:uid="{89C6EB2A-60D8-4D8A-A035-AFF975C26BFD}" name="Age" dataDxfId="2">
      <calculatedColumnFormula>AVERAGEIFS(Table1[Age],Table1[ExplanationType],"Fix")</calculatedColumnFormula>
    </tableColumn>
    <tableColumn id="2" xr3:uid="{E47CA96E-F97E-441C-B111-D1988B6DA55D}" name="YoE" dataDxfId="3">
      <calculatedColumnFormula>AVERAGEIFS(Table1[YoE],Table1[ExplanationType],"Fix")</calculatedColumnFormula>
    </tableColumn>
    <tableColumn id="3" xr3:uid="{1617CECA-EF5E-446E-A522-32C1E25175DF}" name="Languages" dataDxfId="4">
      <calculatedColumnFormula>AVERAGEIFS(Table1[Total Languages],Table1[ExplanationType],"Fix")</calculatedColumnFormula>
    </tableColumn>
    <tableColumn id="4" xr3:uid="{4CA6F546-5681-4FEE-BEEC-82C343DC6ADC}" name="Learned University" dataDxfId="5">
      <calculatedColumnFormula>COUNTIFS(Table1[LearnedUniversity],TRUE,Table1[ExplanationType],"Fix")/$G$2</calculatedColumnFormula>
    </tableColumn>
    <tableColumn id="5" xr3:uid="{8BF8CAC6-556B-4144-B851-EA0F1B0ADBB6}" name="Learned OnLine" dataDxfId="9">
      <calculatedColumnFormula>COUNTIFS(Table1[LearnedOnLine],TRUE,Table1[ExplanationType],"Fix")/$G$2</calculatedColumnFormula>
    </tableColumn>
    <tableColumn id="6" xr3:uid="{F9E2727D-DF04-4605-8564-601A4D5A36FC}" name="Learned SelftTaught" dataDxfId="8">
      <calculatedColumnFormula>COUNTIFS(Table1[LearnedSelftTaught],TRUE,Table1[ExplanationType],"Fix")/$G$2</calculatedColumnFormula>
    </tableColumn>
    <tableColumn id="11" xr3:uid="{D2DAE1D6-888E-4F16-8080-3F6E62926ED0}" name="Total Participant" dataDxfId="1"/>
  </tableColumns>
  <tableStyleInfo name="TableStyleMedium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A14D75-3524-4D86-85F1-4C79754F07BF}" name="Table511" displayName="Table511" ref="A22:E23" totalsRowShown="0">
  <tableColumns count="5">
    <tableColumn id="1" xr3:uid="{1FACCD67-5689-40E7-A16F-659E4FAE5DFE}" name="T-Tests, one tailed, homoscedastic" dataDxfId="113"/>
    <tableColumn id="4" xr3:uid="{10C287C9-64D3-442B-98AC-28C7F2144A57}" name="Without &lt; With" dataDxfId="112">
      <calculatedColumnFormula>TTEST(Table27[Without Explanation],Table27[With explanation],1,2)</calculatedColumnFormula>
    </tableColumn>
    <tableColumn id="5" xr3:uid="{50FFBC82-AC2A-44B8-A200-332AA83EC328}" name="Without &lt; With RootCause" dataDxfId="111">
      <calculatedColumnFormula>TTEST(Table27[Without Explanation],Table27[With RootCause],1,2)</calculatedColumnFormula>
    </tableColumn>
    <tableColumn id="6" xr3:uid="{1F9CD9A1-F202-4940-86DF-F9525D6414FB}" name="Without &lt; With Fix" dataDxfId="110">
      <calculatedColumnFormula>TTEST(Table27[Without Explanation],Table27[With Fix],1,2)</calculatedColumnFormula>
    </tableColumn>
    <tableColumn id="7" xr3:uid="{991FF718-4F30-4B08-9087-7167E729CD96}" name="With RootCause &lt; With Fix" dataDxfId="109">
      <calculatedColumnFormula>TTEST(Table27[With Fix],Table27[With RootCause],1,2)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AE6E12-A2BA-4A63-957D-E70D8A938838}" name="Table3" displayName="Table3" ref="A1:E10" totalsRowCount="1">
  <tableColumns count="5">
    <tableColumn id="1" xr3:uid="{7B40D026-C55E-4E4E-BC88-610239A2D3D5}" name="Subject" totalsRowLabel="Mean" dataDxfId="139" totalsRowDxfId="137"/>
    <tableColumn id="2" xr3:uid="{F4E681D8-A293-495E-AE60-E95C07E6B1F5}" name="Without Explanations" totalsRowFunction="average">
      <calculatedColumnFormula>COUNTIFS(Table1[KIT],AcrossSubjectsCorrectness!A2,Table1[ExplanationType],"None",Table1[ValidFix],TRUE)</calculatedColumnFormula>
    </tableColumn>
    <tableColumn id="3" xr3:uid="{CFD666FB-5F95-4AEF-BAA0-5E5966954414}" name="With Explanations" totalsRowFunction="average" dataDxfId="138" totalsRowDxfId="135">
      <calculatedColumnFormula>(Table3[[#This Row],[With RootCause Explanations]]+Table3[[#This Row],[With Fix Explanations]])/2</calculatedColumnFormula>
    </tableColumn>
    <tableColumn id="4" xr3:uid="{4F676974-C0E6-41B3-B0B1-DF3FE42D8DF8}" name="With RootCause Explanations" totalsRowFunction="average">
      <calculatedColumnFormula>COUNTIFS(Table1[KIT],AcrossSubjectsCorrectness!A2,Table1[ExplanationType],"RootCause",Table1[ValidFix],TRUE)</calculatedColumnFormula>
    </tableColumn>
    <tableColumn id="5" xr3:uid="{791D4CC8-BC66-4120-AB68-05DE7DB7DCDE}" name="With Fix Explanations" totalsRowFunction="average">
      <calculatedColumnFormula>COUNTIFS(Table1[KIT],AcrossSubjectsCorrectness!A2,Table1[ExplanationType],"Fix",Table1[ValidFix],TRUE)</calculatedColumnFormula>
    </tableColumn>
  </tableColumns>
  <tableStyleInfo name="TableStyleMedium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3B153F-A382-4485-8455-653BD6D3A73C}" name="Table4" displayName="Table4" ref="A20:E24" totalsRowShown="0">
  <tableColumns count="5">
    <tableColumn id="1" xr3:uid="{5B586CCD-8B40-4BA2-93FA-1DD5485A99F0}" name="Power of the test" dataDxfId="136"/>
    <tableColumn id="2" xr3:uid="{D574ABBA-A050-4390-AF65-7F4A7BE3F18B}" name="Without &lt; With"/>
    <tableColumn id="3" xr3:uid="{CE741539-5FED-498A-B967-2F401B2DBE5F}" name="Without &lt; With RootCause"/>
    <tableColumn id="4" xr3:uid="{929C5213-5895-4B8D-AF12-99D5F7757C6C}" name="Without &lt; With Fix"/>
    <tableColumn id="5" xr3:uid="{530C79C6-E447-4845-9C64-10A4897EE902}" name="With RootCause &lt; With Fix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49DD4D-C479-4DAE-8F23-911F5E36946A}" name="Table5" displayName="Table5" ref="A16:E17" totalsRowShown="0">
  <tableColumns count="5">
    <tableColumn id="1" xr3:uid="{ADCA2816-0155-40F7-A5ED-ED7A3BB639B8}" name="T-Tests, one tailed, homoscedastic" dataDxfId="130"/>
    <tableColumn id="2" xr3:uid="{2757F2FD-658F-40AB-B809-AF0BA77143C8}" name="Without &lt; With" dataDxfId="131">
      <calculatedColumnFormula>TTEST(Table3[Without Explanations],Table3[With Explanations],1,2)</calculatedColumnFormula>
    </tableColumn>
    <tableColumn id="3" xr3:uid="{9E8D2741-56CF-43CE-BDED-4BE8BD56D36D}" name="Without &lt; With RootCause" dataDxfId="134">
      <calculatedColumnFormula>TTEST(Table3[Without Explanations],Table3[With RootCause Explanations],1,2)</calculatedColumnFormula>
    </tableColumn>
    <tableColumn id="4" xr3:uid="{48574672-A7D2-4FE1-B9E4-66FAE14900DF}" name="Without &lt; With Fix" dataDxfId="133">
      <calculatedColumnFormula>TTEST(Table3[Without Explanations],Table3[With Fix Explanations],1,2)</calculatedColumnFormula>
    </tableColumn>
    <tableColumn id="5" xr3:uid="{28BF4333-7FF8-4314-813B-79A59EBCB3A1}" name="With RootCause &lt; With Fix" dataDxfId="132">
      <calculatedColumnFormula>TTEST(Table3[With RootCause Explanations],Table3[With Fix Explanations],1,2)</calculatedColumnFormula>
    </tableColumn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5EA571-6EF2-4E22-BD40-FB1BBB6DD9B7}" name="Table8" displayName="Table8" ref="B13:E14" totalsRowShown="0" headerRowDxfId="117" dataDxfId="116" headerRowBorderDxfId="123" tableBorderDxfId="124" totalsRowBorderDxfId="122">
  <autoFilter ref="B13:E14" xr:uid="{9300E200-2B9D-4017-97EB-5C0F10A32E9C}"/>
  <tableColumns count="4">
    <tableColumn id="1" xr3:uid="{70C79739-E156-45D1-A2B1-91686A07C3C3}" name="Without &lt; With" dataDxfId="121">
      <calculatedColumnFormula>IF(Table3[[#Totals],[With Explanations]]&gt;Table3[[#Totals],[Without Explanations]],"YES","NO")</calculatedColumnFormula>
    </tableColumn>
    <tableColumn id="2" xr3:uid="{6F9C42D0-AE41-4CBC-9F70-FD0AE7951D89}" name="Without &lt; With RootCause" dataDxfId="120">
      <calculatedColumnFormula>IF(Table3[[#Totals],[With RootCause Explanations]]&gt;Table3[[#Totals],[Without Explanations]],"YES", "NO")</calculatedColumnFormula>
    </tableColumn>
    <tableColumn id="3" xr3:uid="{606B91D5-F008-4576-A03C-54AF2B92A2F4}" name="Without &lt; With Fix " dataDxfId="119">
      <calculatedColumnFormula>IF(Table3[[#Totals],[With Fix Explanations]]&gt;Table3[[#Totals],[Without Explanations]],"YES", "NO")</calculatedColumnFormula>
    </tableColumn>
    <tableColumn id="4" xr3:uid="{0332A724-6DB1-4555-86B6-855DE6273488}" name="With RootCause &lt; With Fix" dataDxfId="118">
      <calculatedColumnFormula>IF(Table3[[#Totals],[With Fix Explanations]]&gt;Table3[[#Totals],[With RootCause Explanations]],"YES","NO")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240651D-C16F-419F-BE5D-3813030EC435}" name="Table24" displayName="Table24" ref="A9:C10" totalsRowShown="0">
  <autoFilter ref="A9:C10" xr:uid="{D9F834B5-DAC2-43CA-A1A3-CFBC47FE2CEB}"/>
  <tableColumns count="3">
    <tableColumn id="1" xr3:uid="{34B346B8-CFB5-4100-8FB5-9583794C38DF}" name="SAME_AS_OTHERS">
      <calculatedColumnFormula>COUNTIFS(Table1[UnitTestPractice],A9,Table1[ExplanationType],"Fix")/$G$2</calculatedColumnFormula>
    </tableColumn>
    <tableColumn id="2" xr3:uid="{616DDA62-97EA-4DBA-9110-1A22F8D38591}" name="LESS_THAN_OTHERS">
      <calculatedColumnFormula>COUNTIFS(Table1[UnitTestPractice],B9,Table1[ExplanationType],"Fix")/$G$2</calculatedColumnFormula>
    </tableColumn>
    <tableColumn id="3" xr3:uid="{48E092E3-1F45-46D1-903B-C6A5D75A7C1A}" name="MORE_THAN_OTHERS">
      <calculatedColumnFormula>COUNTIFS(Table1[UnitTestPractice],C9,Table1[ExplanationType],"Fix")/$G$2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2A68171-5193-4148-94C4-AB253080AAEB}" name="Table51112141620" displayName="Table51112141620" ref="A17:E18" totalsRowShown="0">
  <tableColumns count="5">
    <tableColumn id="1" xr3:uid="{C7F45178-8122-41A9-A613-F659FBAE42A4}" name="T-Tests, one tailed, homoscedastic" dataDxfId="40"/>
    <tableColumn id="4" xr3:uid="{8F9D0443-5B32-40EE-86B5-FBD719D43EE5}" name="Without &lt; With" dataDxfId="39">
      <calculatedColumnFormula>TTEST(B3:B10,C3:C10,1,2)</calculatedColumnFormula>
    </tableColumn>
    <tableColumn id="5" xr3:uid="{58267849-D0D2-4C0F-92E4-9CBF01604D5A}" name="Without &lt; With RootCause" dataDxfId="38">
      <calculatedColumnFormula>TTEST(B3:B10,D3:D10,1,2)</calculatedColumnFormula>
    </tableColumn>
    <tableColumn id="6" xr3:uid="{0CBD49CE-528E-474C-A2E4-28D802ACEA11}" name="Without &lt; With Fix" dataDxfId="37">
      <calculatedColumnFormula>TTEST(B3:B10,E3:E10,1,2)</calculatedColumnFormula>
    </tableColumn>
    <tableColumn id="7" xr3:uid="{F3F0C4F9-A140-4674-B3D5-C7A0C96D2D86}" name="With RootCause &lt; With Fix" dataDxfId="36">
      <calculatedColumnFormula>TTEST(D3:D10,E3:E10,1,2)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7065D98-83B4-4ABA-9552-FE5E64E3D69A}" name="Table12151721" displayName="Table12151721" ref="A2:E11" totalsRowCount="1">
  <tableColumns count="5">
    <tableColumn id="1" xr3:uid="{319FFD77-802B-41A1-ABDE-2EAF8ADFEFEA}" name="Explanation" totalsRowLabel="Total" dataDxfId="35" totalsRowDxfId="22"/>
    <tableColumn id="2" xr3:uid="{458F5BD7-DD41-4008-88C2-5D722AC83935}" name="None" totalsRowFunction="average" dataDxfId="24" totalsRowDxfId="21">
      <calculatedColumnFormula>SUMIFS(Table1[FixRelatedExplanations],Table1[KIT],A3,Table1[ExplanationType],$B$2)</calculatedColumnFormula>
    </tableColumn>
    <tableColumn id="3" xr3:uid="{61F02D0A-3B09-41CD-9AE8-61297D731222}" name="With" totalsRowFunction="average" totalsRowDxfId="20">
      <calculatedColumnFormula>AVERAGE(D3:E3)</calculatedColumnFormula>
    </tableColumn>
    <tableColumn id="4" xr3:uid="{3264802D-BF8C-4A0E-80D3-2000E428E1EF}" name="RootCause" totalsRowFunction="average" dataDxfId="23" totalsRowDxfId="19">
      <calculatedColumnFormula>SUMIFS(Table1[FixRelatedExplanations],Table1[KIT],A3,Table1[ExplanationType],$D$2)</calculatedColumnFormula>
    </tableColumn>
    <tableColumn id="5" xr3:uid="{F4448EBE-6FDD-4744-A408-58D38CD2DBE0}" name="Fix" totalsRowFunction="average" dataDxfId="17" totalsRowDxfId="18">
      <calculatedColumnFormula>SUMIFS(Table1[FixRelatedExplanations],Table1[KIT],A3,Table1[ExplanationType],$E$2)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5BC1FE-DE8C-4A41-8296-EA3CC2037480}" name="Table4101822" displayName="Table4101822" ref="A21:E25" totalsRowShown="0">
  <tableColumns count="5">
    <tableColumn id="1" xr3:uid="{2D95E475-921A-4560-9FCA-3D2566809A1D}" name="Power of the test" dataDxfId="34"/>
    <tableColumn id="4" xr3:uid="{D1C3E45B-A27A-4412-977E-AA188D773533}" name="Without &lt; With"/>
    <tableColumn id="5" xr3:uid="{B10D98D3-74DB-4733-A47D-A9A04B8F530B}" name="Without &lt; With RootCause"/>
    <tableColumn id="6" xr3:uid="{D09D2618-1500-4FBB-A12E-11A648BE9EFE}" name="Without &lt; With Fix"/>
    <tableColumn id="7" xr3:uid="{5EC9BF2E-3BDB-4901-82EC-E93737517F9D}" name="With RootCause &lt; With Fix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A6093F1-215B-488E-B919-BE0B63D4823A}" name="Table81923" displayName="Table81923" ref="B14:E15" totalsRowShown="0" headerRowDxfId="33" dataDxfId="32" headerRowBorderDxfId="30" tableBorderDxfId="31" totalsRowBorderDxfId="29">
  <autoFilter ref="B14:E15" xr:uid="{C8A793A8-C6AA-4A15-B042-3D65A4512F4E}"/>
  <tableColumns count="4">
    <tableColumn id="1" xr3:uid="{0A95F502-5E9B-4176-9FED-BFD4DFE4AE8F}" name="Without &lt; With" dataDxfId="28">
      <calculatedColumnFormula>IF(Table12151721[[#Totals],[None]]&lt;Table12151721[[#Totals],[With]],"YES","NO")</calculatedColumnFormula>
    </tableColumn>
    <tableColumn id="2" xr3:uid="{C6168CA0-ED7D-4B89-90EF-939F6E17BA7B}" name="Without &lt; With RootCause" dataDxfId="27">
      <calculatedColumnFormula>IF(Table12151721[[#Totals],[None]]&lt;Table12151721[[#Totals],[RootCause]],"YES","NO")</calculatedColumnFormula>
    </tableColumn>
    <tableColumn id="3" xr3:uid="{D8BF2FE0-363F-4441-95BF-A78EC5F0BB28}" name="Without &lt; With Fix " dataDxfId="26">
      <calculatedColumnFormula>IF(Table12151721[[#Totals],[None]]&lt;Table12151721[[#Totals],[Fix]],"YES","NO")</calculatedColumnFormula>
    </tableColumn>
    <tableColumn id="4" xr3:uid="{00C32CD5-8C93-4C2A-96D9-38842CE272A2}" name="With RootCause &lt; With Fix" dataDxfId="25">
      <calculatedColumnFormula>IF(Table12151721[[#Totals],[RootCause]]&lt;Table12151721[[#Totals],[Fix]],"YES","NO")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24042ED-F972-4832-93EA-69498176809E}" name="Table5111214" displayName="Table5111214" ref="A15:E16" totalsRowShown="0">
  <tableColumns count="5">
    <tableColumn id="1" xr3:uid="{87BA9869-BE0E-4216-AA1D-97E1F646F46C}" name="T-Tests, one tailed, homoscedastic" dataDxfId="74"/>
    <tableColumn id="4" xr3:uid="{BA1C77C8-65B5-4D33-B6BB-8B48A5E24694}" name="Without &lt; With" dataDxfId="73">
      <calculatedColumnFormula>TTEST(B3:B10,C3:C10,1,2)</calculatedColumnFormula>
    </tableColumn>
    <tableColumn id="5" xr3:uid="{D98307DB-B99F-480E-9006-568EFBA9404B}" name="Without &lt; With RootCause" dataDxfId="72">
      <calculatedColumnFormula>TTEST(B3:B10,D3:D10,1,2)</calculatedColumnFormula>
    </tableColumn>
    <tableColumn id="6" xr3:uid="{AF642B67-C1A7-4B42-BB24-663616CC89AB}" name="Without &lt; With Fix" dataDxfId="71">
      <calculatedColumnFormula>TTEST(B3:B10,E3:E10,1,2)</calculatedColumnFormula>
    </tableColumn>
    <tableColumn id="7" xr3:uid="{76A9994F-F2A3-42DC-A995-C011E49874D2}" name="With RootCause &lt; With Fix" dataDxfId="70">
      <calculatedColumnFormula>TTEST(D3:D10,E3:E10,1,2)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54FDA0C-0148-4EE0-9621-B6D45C014291}" name="Table1215" displayName="Table1215" ref="A2:E11" totalsRowCount="1">
  <tableColumns count="5">
    <tableColumn id="1" xr3:uid="{E201EAA3-CCB9-4560-B9F7-64EB5603A7D5}" name="Explanation" totalsRowLabel="Total" dataDxfId="69" totalsRowDxfId="66"/>
    <tableColumn id="2" xr3:uid="{4512E9A4-F9D6-44A4-A7F7-73CC3D38FDC4}" name="None" totalsRowFunction="average" dataDxfId="68">
      <calculatedColumnFormula>SUMIFS(Table1[Confidence],Table1[KIT],A3,Table1[ExplanationType],$B$2)</calculatedColumnFormula>
    </tableColumn>
    <tableColumn id="3" xr3:uid="{6686D22B-131E-4620-B327-44F844C2B336}" name="With" totalsRowFunction="average">
      <calculatedColumnFormula>AVERAGE(D3:E3)</calculatedColumnFormula>
    </tableColumn>
    <tableColumn id="4" xr3:uid="{476F6380-2699-41D2-92B7-1A4C4C93D986}" name="RootCause" totalsRowFunction="average" dataDxfId="67">
      <calculatedColumnFormula>SUMIFS(Table1[Confidence],Table1[KIT],A3,Table1[ExplanationType],$D$2)</calculatedColumnFormula>
    </tableColumn>
    <tableColumn id="5" xr3:uid="{1A9A4173-9075-4BA2-B0F3-3B3CFA7835F3}" name="Fix" totalsRowFunction="average" dataDxfId="65">
      <calculatedColumnFormula>SUMIFS(Table1[Confidence],Table1[KIT],A3,Table1[ExplanationType],$E$2)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7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0ED6-2357-44C6-8C2C-7991A2FB2460}">
  <dimension ref="A1:AH28"/>
  <sheetViews>
    <sheetView tabSelected="1" workbookViewId="0">
      <selection activeCell="L15" sqref="L15"/>
    </sheetView>
  </sheetViews>
  <sheetFormatPr defaultRowHeight="14.25" x14ac:dyDescent="0.45"/>
  <cols>
    <col min="1" max="2" width="5.3984375" style="2" customWidth="1"/>
    <col min="3" max="3" width="12.06640625" style="2" customWidth="1"/>
    <col min="4" max="4" width="16.19921875" style="2" customWidth="1"/>
    <col min="5" max="5" width="10.53125" customWidth="1"/>
    <col min="6" max="6" width="11.73046875" customWidth="1"/>
    <col min="7" max="7" width="17.265625" customWidth="1"/>
    <col min="8" max="8" width="16.46484375" customWidth="1"/>
    <col min="9" max="9" width="9.06640625" style="2"/>
    <col min="11" max="11" width="15.796875" customWidth="1"/>
    <col min="12" max="12" width="17.3984375" customWidth="1"/>
    <col min="13" max="13" width="14.86328125" customWidth="1"/>
    <col min="14" max="14" width="18.3984375" customWidth="1"/>
    <col min="15" max="15" width="11.1328125" customWidth="1"/>
    <col min="16" max="16" width="14.73046875" customWidth="1"/>
    <col min="17" max="17" width="18.59765625" customWidth="1"/>
    <col min="18" max="18" width="9.3984375" customWidth="1"/>
    <col min="21" max="21" width="10.53125" customWidth="1"/>
    <col min="34" max="34" width="12.1328125" customWidth="1"/>
  </cols>
  <sheetData>
    <row r="1" spans="1:34" s="1" customFormat="1" x14ac:dyDescent="0.45">
      <c r="A1" s="2" t="s">
        <v>0</v>
      </c>
      <c r="B1" s="2" t="s">
        <v>46</v>
      </c>
      <c r="C1" s="2" t="s">
        <v>1</v>
      </c>
      <c r="D1" s="2" t="s">
        <v>2</v>
      </c>
      <c r="E1" s="1" t="s">
        <v>29</v>
      </c>
      <c r="F1" s="1" t="s">
        <v>8</v>
      </c>
      <c r="G1" s="1" t="s">
        <v>9</v>
      </c>
      <c r="H1" s="1" t="s">
        <v>30</v>
      </c>
      <c r="I1" s="2" t="s">
        <v>44</v>
      </c>
      <c r="J1" s="1" t="s">
        <v>3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6</v>
      </c>
      <c r="V1" s="1" t="s">
        <v>7</v>
      </c>
      <c r="W1" s="1" t="s">
        <v>31</v>
      </c>
      <c r="X1" s="1" t="s">
        <v>36</v>
      </c>
      <c r="Y1" s="1" t="s">
        <v>35</v>
      </c>
      <c r="Z1" s="1" t="s">
        <v>38</v>
      </c>
      <c r="AA1" s="1" t="s">
        <v>32</v>
      </c>
      <c r="AB1" s="1" t="s">
        <v>33</v>
      </c>
      <c r="AC1" s="1" t="s">
        <v>37</v>
      </c>
      <c r="AD1" s="1" t="s">
        <v>39</v>
      </c>
      <c r="AE1" s="1" t="s">
        <v>40</v>
      </c>
      <c r="AF1" s="1" t="s">
        <v>41</v>
      </c>
      <c r="AG1" s="1" t="s">
        <v>43</v>
      </c>
      <c r="AH1" s="1" t="s">
        <v>104</v>
      </c>
    </row>
    <row r="2" spans="1:34" x14ac:dyDescent="0.45">
      <c r="A2" s="2">
        <v>1</v>
      </c>
      <c r="B2" s="2">
        <v>1.8</v>
      </c>
      <c r="C2" s="2" t="s">
        <v>18</v>
      </c>
      <c r="D2" s="2" t="s">
        <v>27</v>
      </c>
      <c r="E2" t="b">
        <v>1</v>
      </c>
      <c r="F2">
        <v>5</v>
      </c>
      <c r="G2">
        <v>5</v>
      </c>
      <c r="H2">
        <v>9</v>
      </c>
      <c r="I2" s="2">
        <v>2</v>
      </c>
      <c r="J2">
        <v>22</v>
      </c>
      <c r="K2">
        <v>14</v>
      </c>
      <c r="L2" t="s">
        <v>34</v>
      </c>
      <c r="M2" t="b">
        <v>0</v>
      </c>
      <c r="N2" t="b">
        <v>0</v>
      </c>
      <c r="O2" t="b">
        <v>1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1</v>
      </c>
      <c r="V2" t="b">
        <v>1</v>
      </c>
      <c r="W2" t="b">
        <v>1</v>
      </c>
      <c r="X2" t="b">
        <v>1</v>
      </c>
      <c r="Y2" t="b">
        <v>1</v>
      </c>
      <c r="Z2" t="b">
        <v>0</v>
      </c>
      <c r="AA2" t="b">
        <v>1</v>
      </c>
      <c r="AB2" t="b">
        <v>1</v>
      </c>
      <c r="AC2" t="b">
        <v>0</v>
      </c>
      <c r="AD2" t="b">
        <v>0</v>
      </c>
      <c r="AE2" t="b">
        <v>0</v>
      </c>
      <c r="AF2" t="b">
        <v>0</v>
      </c>
      <c r="AG2" t="b">
        <v>0</v>
      </c>
      <c r="AH2">
        <f>COUNTIF(Table1[[#This Row],[Java]:[Scala]],TRUE)</f>
        <v>7</v>
      </c>
    </row>
    <row r="3" spans="1:34" x14ac:dyDescent="0.45">
      <c r="A3" s="2">
        <v>1</v>
      </c>
      <c r="B3" s="2">
        <v>2.2400000000000002</v>
      </c>
      <c r="C3" s="2" t="s">
        <v>19</v>
      </c>
      <c r="D3" s="2" t="s">
        <v>28</v>
      </c>
      <c r="E3" t="b">
        <v>1</v>
      </c>
      <c r="F3">
        <v>5</v>
      </c>
      <c r="G3">
        <v>5</v>
      </c>
      <c r="H3">
        <v>6</v>
      </c>
      <c r="I3" s="2">
        <v>3</v>
      </c>
      <c r="J3">
        <v>22</v>
      </c>
      <c r="K3">
        <v>14</v>
      </c>
      <c r="L3" t="s">
        <v>34</v>
      </c>
      <c r="M3" t="b">
        <v>0</v>
      </c>
      <c r="N3" t="b">
        <v>0</v>
      </c>
      <c r="O3" t="b">
        <v>1</v>
      </c>
      <c r="P3" t="b">
        <v>0</v>
      </c>
      <c r="Q3" t="b">
        <v>0</v>
      </c>
      <c r="R3" t="b">
        <v>1</v>
      </c>
      <c r="S3" t="b">
        <v>1</v>
      </c>
      <c r="T3" t="b">
        <v>0</v>
      </c>
      <c r="U3" t="b">
        <v>1</v>
      </c>
      <c r="V3" t="b">
        <v>1</v>
      </c>
      <c r="W3" t="b">
        <v>1</v>
      </c>
      <c r="X3" t="b">
        <v>1</v>
      </c>
      <c r="Y3" t="b">
        <v>1</v>
      </c>
      <c r="Z3" t="b">
        <v>0</v>
      </c>
      <c r="AA3" t="b">
        <v>1</v>
      </c>
      <c r="AB3" t="b">
        <v>1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>
        <f>COUNTIF(Table1[[#This Row],[Java]:[Scala]],TRUE)</f>
        <v>7</v>
      </c>
    </row>
    <row r="4" spans="1:34" x14ac:dyDescent="0.45">
      <c r="A4" s="2">
        <v>1</v>
      </c>
      <c r="B4" s="2">
        <v>7.33</v>
      </c>
      <c r="C4" s="2" t="s">
        <v>20</v>
      </c>
      <c r="D4" s="2" t="s">
        <v>17</v>
      </c>
      <c r="E4" t="b">
        <v>1</v>
      </c>
      <c r="F4">
        <v>5</v>
      </c>
      <c r="G4">
        <v>5</v>
      </c>
      <c r="H4">
        <v>5</v>
      </c>
      <c r="I4" s="2" t="s">
        <v>45</v>
      </c>
      <c r="J4">
        <v>22</v>
      </c>
      <c r="K4">
        <v>14</v>
      </c>
      <c r="L4" t="s">
        <v>34</v>
      </c>
      <c r="M4" t="b">
        <v>0</v>
      </c>
      <c r="N4" t="b">
        <v>0</v>
      </c>
      <c r="O4" t="b">
        <v>1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1</v>
      </c>
      <c r="V4" t="b">
        <v>1</v>
      </c>
      <c r="W4" t="b">
        <v>1</v>
      </c>
      <c r="X4" t="b">
        <v>1</v>
      </c>
      <c r="Y4" t="b">
        <v>1</v>
      </c>
      <c r="Z4" t="b">
        <v>0</v>
      </c>
      <c r="AA4" t="b">
        <v>1</v>
      </c>
      <c r="AB4" t="b">
        <v>1</v>
      </c>
      <c r="AC4" t="b">
        <v>0</v>
      </c>
      <c r="AD4" t="b">
        <v>0</v>
      </c>
      <c r="AE4" t="b">
        <v>0</v>
      </c>
      <c r="AF4" t="b">
        <v>0</v>
      </c>
      <c r="AG4" t="b">
        <v>0</v>
      </c>
      <c r="AH4">
        <f>COUNTIF(Table1[[#This Row],[Java]:[Scala]],TRUE)</f>
        <v>7</v>
      </c>
    </row>
    <row r="5" spans="1:34" x14ac:dyDescent="0.45">
      <c r="A5" s="2">
        <v>2</v>
      </c>
      <c r="C5" s="2" t="s">
        <v>18</v>
      </c>
      <c r="D5" s="2" t="s">
        <v>27</v>
      </c>
      <c r="AH5">
        <f>COUNTIF(Table1[[#This Row],[Java]:[Scala]],TRUE)</f>
        <v>0</v>
      </c>
    </row>
    <row r="6" spans="1:34" x14ac:dyDescent="0.45">
      <c r="A6" s="2">
        <v>2</v>
      </c>
      <c r="C6" s="2" t="s">
        <v>19</v>
      </c>
      <c r="D6" s="2" t="s">
        <v>28</v>
      </c>
      <c r="AH6">
        <f>COUNTIF(Table1[[#This Row],[Java]:[Scala]],TRUE)</f>
        <v>0</v>
      </c>
    </row>
    <row r="7" spans="1:34" x14ac:dyDescent="0.45">
      <c r="A7" s="2">
        <v>2</v>
      </c>
      <c r="C7" s="2" t="s">
        <v>20</v>
      </c>
      <c r="D7" s="2" t="s">
        <v>17</v>
      </c>
      <c r="AH7">
        <f>COUNTIF(Table1[[#This Row],[Java]:[Scala]],TRUE)</f>
        <v>0</v>
      </c>
    </row>
    <row r="8" spans="1:34" x14ac:dyDescent="0.45">
      <c r="A8" s="2">
        <v>3</v>
      </c>
      <c r="B8" s="2">
        <v>1.8</v>
      </c>
      <c r="C8" s="2" t="s">
        <v>18</v>
      </c>
      <c r="D8" s="2" t="s">
        <v>27</v>
      </c>
      <c r="E8" t="b">
        <v>1</v>
      </c>
      <c r="F8">
        <v>3</v>
      </c>
      <c r="G8">
        <v>5</v>
      </c>
      <c r="H8">
        <v>5</v>
      </c>
      <c r="I8" s="2">
        <v>3</v>
      </c>
      <c r="J8">
        <v>22</v>
      </c>
      <c r="K8">
        <v>8</v>
      </c>
      <c r="L8" t="s">
        <v>34</v>
      </c>
      <c r="M8" t="b">
        <v>1</v>
      </c>
      <c r="N8" t="b">
        <v>0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0</v>
      </c>
      <c r="U8" t="b">
        <v>1</v>
      </c>
      <c r="V8" t="b">
        <v>0</v>
      </c>
      <c r="W8" t="b">
        <v>1</v>
      </c>
      <c r="X8" t="b">
        <v>1</v>
      </c>
      <c r="Y8" t="b">
        <v>1</v>
      </c>
      <c r="Z8" t="b">
        <v>1</v>
      </c>
      <c r="AA8" t="b">
        <v>0</v>
      </c>
      <c r="AB8" t="b">
        <v>0</v>
      </c>
      <c r="AC8" t="b">
        <v>1</v>
      </c>
      <c r="AD8" t="b">
        <v>1</v>
      </c>
      <c r="AE8" t="b">
        <v>1</v>
      </c>
      <c r="AF8" t="b">
        <v>1</v>
      </c>
      <c r="AG8" t="b">
        <v>0</v>
      </c>
      <c r="AH8">
        <f>COUNTIF(Table1[[#This Row],[Java]:[Scala]],TRUE)</f>
        <v>9</v>
      </c>
    </row>
    <row r="9" spans="1:34" x14ac:dyDescent="0.45">
      <c r="A9" s="2">
        <v>3</v>
      </c>
      <c r="B9" s="2">
        <v>2.2400000000000002</v>
      </c>
      <c r="C9" s="2" t="s">
        <v>19</v>
      </c>
      <c r="D9" s="2" t="s">
        <v>28</v>
      </c>
      <c r="E9" t="b">
        <v>1</v>
      </c>
      <c r="F9">
        <v>5</v>
      </c>
      <c r="G9">
        <v>5</v>
      </c>
      <c r="H9">
        <v>5</v>
      </c>
      <c r="I9" s="2">
        <v>3</v>
      </c>
      <c r="J9">
        <v>22</v>
      </c>
      <c r="K9">
        <v>8</v>
      </c>
      <c r="L9" t="s">
        <v>34</v>
      </c>
      <c r="M9" t="b">
        <v>1</v>
      </c>
      <c r="N9" t="b">
        <v>0</v>
      </c>
      <c r="O9" t="b">
        <v>1</v>
      </c>
      <c r="P9" t="b">
        <v>1</v>
      </c>
      <c r="Q9" t="b">
        <v>1</v>
      </c>
      <c r="R9" t="b">
        <v>1</v>
      </c>
      <c r="S9" t="b">
        <v>1</v>
      </c>
      <c r="T9" t="b">
        <v>0</v>
      </c>
      <c r="U9" t="b">
        <v>1</v>
      </c>
      <c r="V9" t="b">
        <v>0</v>
      </c>
      <c r="W9" t="b">
        <v>1</v>
      </c>
      <c r="X9" t="b">
        <v>1</v>
      </c>
      <c r="Y9" t="b">
        <v>1</v>
      </c>
      <c r="Z9" t="b">
        <v>1</v>
      </c>
      <c r="AA9" t="b">
        <v>0</v>
      </c>
      <c r="AB9" t="b">
        <v>0</v>
      </c>
      <c r="AC9" t="b">
        <v>1</v>
      </c>
      <c r="AD9" t="b">
        <v>1</v>
      </c>
      <c r="AE9" t="b">
        <v>1</v>
      </c>
      <c r="AF9" t="b">
        <v>1</v>
      </c>
      <c r="AG9" t="b">
        <v>0</v>
      </c>
      <c r="AH9">
        <f>COUNTIF(Table1[[#This Row],[Java]:[Scala]],TRUE)</f>
        <v>9</v>
      </c>
    </row>
    <row r="10" spans="1:34" x14ac:dyDescent="0.45">
      <c r="A10" s="2">
        <v>3</v>
      </c>
      <c r="B10" s="2">
        <v>7.33</v>
      </c>
      <c r="C10" s="2" t="s">
        <v>20</v>
      </c>
      <c r="D10" s="2" t="s">
        <v>17</v>
      </c>
      <c r="E10" t="b">
        <v>1</v>
      </c>
      <c r="F10">
        <v>5</v>
      </c>
      <c r="G10">
        <v>4</v>
      </c>
      <c r="H10">
        <v>3</v>
      </c>
      <c r="I10" s="2" t="s">
        <v>45</v>
      </c>
      <c r="J10">
        <v>22</v>
      </c>
      <c r="K10">
        <v>8</v>
      </c>
      <c r="L10" t="s">
        <v>34</v>
      </c>
      <c r="M10" t="b">
        <v>1</v>
      </c>
      <c r="N10" t="b">
        <v>0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0</v>
      </c>
      <c r="U10" t="b">
        <v>1</v>
      </c>
      <c r="V10" t="b">
        <v>0</v>
      </c>
      <c r="W10" t="b">
        <v>1</v>
      </c>
      <c r="X10" t="b">
        <v>1</v>
      </c>
      <c r="Y10" t="b">
        <v>1</v>
      </c>
      <c r="Z10" t="b">
        <v>1</v>
      </c>
      <c r="AA10" t="b">
        <v>0</v>
      </c>
      <c r="AB10" t="b">
        <v>0</v>
      </c>
      <c r="AC10" t="b">
        <v>1</v>
      </c>
      <c r="AD10" t="b">
        <v>1</v>
      </c>
      <c r="AE10" t="b">
        <v>1</v>
      </c>
      <c r="AF10" t="b">
        <v>1</v>
      </c>
      <c r="AG10" t="b">
        <v>0</v>
      </c>
      <c r="AH10">
        <f>COUNTIF(Table1[[#This Row],[Java]:[Scala]],TRUE)</f>
        <v>9</v>
      </c>
    </row>
    <row r="11" spans="1:34" x14ac:dyDescent="0.45">
      <c r="A11" s="2">
        <v>4</v>
      </c>
      <c r="B11" s="2">
        <v>1.8</v>
      </c>
      <c r="C11" s="2" t="s">
        <v>21</v>
      </c>
      <c r="D11" s="2" t="s">
        <v>17</v>
      </c>
      <c r="E11" t="b">
        <v>0</v>
      </c>
      <c r="F11">
        <v>5</v>
      </c>
      <c r="G11">
        <v>5</v>
      </c>
      <c r="H11">
        <v>8</v>
      </c>
      <c r="I11" s="2" t="s">
        <v>45</v>
      </c>
      <c r="J11">
        <v>23</v>
      </c>
      <c r="K11">
        <v>4</v>
      </c>
      <c r="L11" t="s">
        <v>34</v>
      </c>
      <c r="M11" t="b">
        <v>0</v>
      </c>
      <c r="N11" t="b">
        <v>0</v>
      </c>
      <c r="O11" t="b">
        <v>1</v>
      </c>
      <c r="P11" t="b">
        <v>0</v>
      </c>
      <c r="Q11" t="b">
        <v>0</v>
      </c>
      <c r="R11" t="b">
        <v>0</v>
      </c>
      <c r="S11" t="b">
        <v>0</v>
      </c>
      <c r="T11" t="b">
        <v>1</v>
      </c>
      <c r="U11" t="b">
        <v>1</v>
      </c>
      <c r="V11" t="b">
        <v>0</v>
      </c>
      <c r="W11" t="b">
        <v>0</v>
      </c>
      <c r="X11" t="b">
        <v>0</v>
      </c>
      <c r="Y11" t="b">
        <v>1</v>
      </c>
      <c r="Z11" t="b">
        <v>1</v>
      </c>
      <c r="AA11" t="b">
        <v>0</v>
      </c>
      <c r="AB11" t="b">
        <v>1</v>
      </c>
      <c r="AC11" t="b">
        <v>0</v>
      </c>
      <c r="AD11" t="b">
        <v>0</v>
      </c>
      <c r="AE11" t="b">
        <v>0</v>
      </c>
      <c r="AF11" t="b">
        <v>0</v>
      </c>
      <c r="AG11" t="b">
        <v>0</v>
      </c>
      <c r="AH11">
        <f>COUNTIF(Table1[[#This Row],[Java]:[Scala]],TRUE)</f>
        <v>4</v>
      </c>
    </row>
    <row r="12" spans="1:34" x14ac:dyDescent="0.45">
      <c r="A12" s="2">
        <v>4</v>
      </c>
      <c r="B12" s="2">
        <v>2.2400000000000002</v>
      </c>
      <c r="C12" s="2" t="s">
        <v>22</v>
      </c>
      <c r="D12" s="2" t="s">
        <v>27</v>
      </c>
      <c r="E12" t="b">
        <v>1</v>
      </c>
      <c r="F12">
        <v>5</v>
      </c>
      <c r="G12">
        <v>5</v>
      </c>
      <c r="H12">
        <v>10</v>
      </c>
      <c r="I12" s="2">
        <v>3</v>
      </c>
      <c r="J12">
        <v>23</v>
      </c>
      <c r="K12">
        <v>4</v>
      </c>
      <c r="L12" t="s">
        <v>34</v>
      </c>
      <c r="M12" t="b">
        <v>0</v>
      </c>
      <c r="N12" t="b">
        <v>0</v>
      </c>
      <c r="O12" t="b">
        <v>1</v>
      </c>
      <c r="P12" t="b">
        <v>0</v>
      </c>
      <c r="Q12" t="b">
        <v>0</v>
      </c>
      <c r="R12" t="b">
        <v>0</v>
      </c>
      <c r="S12" t="b">
        <v>0</v>
      </c>
      <c r="T12" t="b">
        <v>1</v>
      </c>
      <c r="U12" t="b">
        <v>1</v>
      </c>
      <c r="V12" t="b">
        <v>0</v>
      </c>
      <c r="W12" t="b">
        <v>0</v>
      </c>
      <c r="X12" t="b">
        <v>0</v>
      </c>
      <c r="Y12" t="b">
        <v>1</v>
      </c>
      <c r="Z12" t="b">
        <v>1</v>
      </c>
      <c r="AA12" t="b">
        <v>0</v>
      </c>
      <c r="AB12" t="b">
        <v>1</v>
      </c>
      <c r="AC12" t="b">
        <v>0</v>
      </c>
      <c r="AD12" t="b">
        <v>0</v>
      </c>
      <c r="AE12" t="b">
        <v>0</v>
      </c>
      <c r="AF12" t="b">
        <v>0</v>
      </c>
      <c r="AG12" t="b">
        <v>0</v>
      </c>
      <c r="AH12">
        <f>COUNTIF(Table1[[#This Row],[Java]:[Scala]],TRUE)</f>
        <v>4</v>
      </c>
    </row>
    <row r="13" spans="1:34" x14ac:dyDescent="0.45">
      <c r="A13" s="2">
        <v>4</v>
      </c>
      <c r="B13" s="2">
        <v>7.33</v>
      </c>
      <c r="C13" s="2" t="s">
        <v>23</v>
      </c>
      <c r="D13" s="2" t="s">
        <v>28</v>
      </c>
      <c r="E13" t="b">
        <v>1</v>
      </c>
      <c r="F13">
        <v>5</v>
      </c>
      <c r="G13">
        <v>5</v>
      </c>
      <c r="H13">
        <v>4</v>
      </c>
      <c r="I13" s="2">
        <v>3</v>
      </c>
      <c r="J13">
        <v>23</v>
      </c>
      <c r="K13">
        <v>4</v>
      </c>
      <c r="L13" t="s">
        <v>34</v>
      </c>
      <c r="M13" t="b">
        <v>0</v>
      </c>
      <c r="N13" t="b">
        <v>0</v>
      </c>
      <c r="O13" t="b">
        <v>1</v>
      </c>
      <c r="P13" t="b">
        <v>0</v>
      </c>
      <c r="Q13" t="b">
        <v>0</v>
      </c>
      <c r="R13" t="b">
        <v>0</v>
      </c>
      <c r="S13" t="b">
        <v>0</v>
      </c>
      <c r="T13" t="b">
        <v>1</v>
      </c>
      <c r="U13" t="b">
        <v>1</v>
      </c>
      <c r="V13" t="b">
        <v>0</v>
      </c>
      <c r="W13" t="b">
        <v>0</v>
      </c>
      <c r="X13" t="b">
        <v>0</v>
      </c>
      <c r="Y13" t="b">
        <v>1</v>
      </c>
      <c r="Z13" t="b">
        <v>1</v>
      </c>
      <c r="AA13" t="b">
        <v>0</v>
      </c>
      <c r="AB13" t="b">
        <v>1</v>
      </c>
      <c r="AC13" t="b">
        <v>0</v>
      </c>
      <c r="AD13" t="b">
        <v>0</v>
      </c>
      <c r="AE13" t="b">
        <v>0</v>
      </c>
      <c r="AF13" t="b">
        <v>0</v>
      </c>
      <c r="AG13" t="b">
        <v>0</v>
      </c>
      <c r="AH13">
        <f>COUNTIF(Table1[[#This Row],[Java]:[Scala]],TRUE)</f>
        <v>4</v>
      </c>
    </row>
    <row r="14" spans="1:34" x14ac:dyDescent="0.45">
      <c r="A14" s="2">
        <v>5</v>
      </c>
      <c r="B14" s="2">
        <v>1.8</v>
      </c>
      <c r="C14" s="2" t="s">
        <v>21</v>
      </c>
      <c r="D14" s="2" t="s">
        <v>17</v>
      </c>
      <c r="E14" t="b">
        <v>0</v>
      </c>
      <c r="F14">
        <v>3</v>
      </c>
      <c r="G14">
        <v>4</v>
      </c>
      <c r="H14">
        <v>10</v>
      </c>
      <c r="I14" s="2" t="s">
        <v>45</v>
      </c>
      <c r="J14">
        <v>23</v>
      </c>
      <c r="K14">
        <v>5</v>
      </c>
      <c r="L14" t="s">
        <v>42</v>
      </c>
      <c r="M14" t="b">
        <v>1</v>
      </c>
      <c r="N14" t="b">
        <v>0</v>
      </c>
      <c r="O14" t="b">
        <v>1</v>
      </c>
      <c r="P14" t="b">
        <v>1</v>
      </c>
      <c r="Q14" t="b">
        <v>1</v>
      </c>
      <c r="R14" t="b">
        <v>1</v>
      </c>
      <c r="S14" t="b">
        <v>1</v>
      </c>
      <c r="T14" t="b">
        <v>0</v>
      </c>
      <c r="U14" t="b">
        <v>1</v>
      </c>
      <c r="V14" t="b">
        <v>1</v>
      </c>
      <c r="W14" t="b">
        <v>1</v>
      </c>
      <c r="X14" t="b">
        <v>0</v>
      </c>
      <c r="Y14" t="b">
        <v>1</v>
      </c>
      <c r="Z14" t="b">
        <v>0</v>
      </c>
      <c r="AA14" t="b">
        <v>0</v>
      </c>
      <c r="AB14" t="b">
        <v>0</v>
      </c>
      <c r="AC14" t="b">
        <v>0</v>
      </c>
      <c r="AD14" t="b">
        <v>0</v>
      </c>
      <c r="AE14" t="b">
        <v>0</v>
      </c>
      <c r="AF14" t="b">
        <v>0</v>
      </c>
      <c r="AG14" t="b">
        <v>0</v>
      </c>
      <c r="AH14">
        <f>COUNTIF(Table1[[#This Row],[Java]:[Scala]],TRUE)</f>
        <v>4</v>
      </c>
    </row>
    <row r="15" spans="1:34" x14ac:dyDescent="0.45">
      <c r="A15" s="2">
        <v>5</v>
      </c>
      <c r="B15" s="2">
        <v>2.2400000000000002</v>
      </c>
      <c r="C15" s="2" t="s">
        <v>22</v>
      </c>
      <c r="D15" s="2" t="s">
        <v>27</v>
      </c>
      <c r="E15" t="b">
        <v>1</v>
      </c>
      <c r="F15">
        <v>4</v>
      </c>
      <c r="G15">
        <v>5</v>
      </c>
      <c r="H15">
        <v>6</v>
      </c>
      <c r="I15" s="2">
        <v>3</v>
      </c>
      <c r="J15">
        <v>23</v>
      </c>
      <c r="K15">
        <v>5</v>
      </c>
      <c r="L15" t="s">
        <v>42</v>
      </c>
      <c r="M15" t="b">
        <v>1</v>
      </c>
      <c r="N15" t="b">
        <v>0</v>
      </c>
      <c r="O15" t="b">
        <v>1</v>
      </c>
      <c r="P15" t="b">
        <v>1</v>
      </c>
      <c r="Q15" t="b">
        <v>1</v>
      </c>
      <c r="R15" t="b">
        <v>1</v>
      </c>
      <c r="S15" t="b">
        <v>1</v>
      </c>
      <c r="T15" t="b">
        <v>0</v>
      </c>
      <c r="U15" t="b">
        <v>1</v>
      </c>
      <c r="V15" t="b">
        <v>1</v>
      </c>
      <c r="W15" t="b">
        <v>1</v>
      </c>
      <c r="X15" t="b">
        <v>0</v>
      </c>
      <c r="Y15" t="b">
        <v>1</v>
      </c>
      <c r="Z15" t="b">
        <v>0</v>
      </c>
      <c r="AA15" t="b">
        <v>0</v>
      </c>
      <c r="AB15" t="b">
        <v>0</v>
      </c>
      <c r="AC15" t="b">
        <v>0</v>
      </c>
      <c r="AD15" t="b">
        <v>0</v>
      </c>
      <c r="AE15" t="b">
        <v>0</v>
      </c>
      <c r="AF15" t="b">
        <v>0</v>
      </c>
      <c r="AG15" t="b">
        <v>0</v>
      </c>
      <c r="AH15">
        <f>COUNTIF(Table1[[#This Row],[Java]:[Scala]],TRUE)</f>
        <v>4</v>
      </c>
    </row>
    <row r="16" spans="1:34" x14ac:dyDescent="0.45">
      <c r="A16" s="2">
        <v>5</v>
      </c>
      <c r="B16" s="2">
        <v>7.33</v>
      </c>
      <c r="C16" s="2" t="s">
        <v>23</v>
      </c>
      <c r="D16" s="2" t="s">
        <v>28</v>
      </c>
      <c r="E16" t="b">
        <v>1</v>
      </c>
      <c r="F16">
        <v>5</v>
      </c>
      <c r="G16">
        <v>5</v>
      </c>
      <c r="H16">
        <v>6</v>
      </c>
      <c r="I16" s="2">
        <v>3</v>
      </c>
      <c r="J16">
        <v>23</v>
      </c>
      <c r="K16">
        <v>5</v>
      </c>
      <c r="L16" t="s">
        <v>42</v>
      </c>
      <c r="M16" t="b">
        <v>1</v>
      </c>
      <c r="N16" t="b">
        <v>0</v>
      </c>
      <c r="O16" t="b">
        <v>1</v>
      </c>
      <c r="P16" t="b">
        <v>1</v>
      </c>
      <c r="Q16" t="b">
        <v>1</v>
      </c>
      <c r="R16" t="b">
        <v>1</v>
      </c>
      <c r="S16" t="b">
        <v>1</v>
      </c>
      <c r="T16" t="b">
        <v>0</v>
      </c>
      <c r="U16" t="b">
        <v>1</v>
      </c>
      <c r="V16" t="b">
        <v>1</v>
      </c>
      <c r="W16" t="b">
        <v>1</v>
      </c>
      <c r="X16" t="b">
        <v>0</v>
      </c>
      <c r="Y16" t="b">
        <v>1</v>
      </c>
      <c r="Z16" t="b">
        <v>0</v>
      </c>
      <c r="AA16" t="b">
        <v>0</v>
      </c>
      <c r="AB16" t="b">
        <v>0</v>
      </c>
      <c r="AC16" t="b">
        <v>0</v>
      </c>
      <c r="AD16" t="b">
        <v>0</v>
      </c>
      <c r="AE16" t="b">
        <v>0</v>
      </c>
      <c r="AF16" t="b">
        <v>0</v>
      </c>
      <c r="AG16" t="b">
        <v>0</v>
      </c>
      <c r="AH16">
        <f>COUNTIF(Table1[[#This Row],[Java]:[Scala]],TRUE)</f>
        <v>4</v>
      </c>
    </row>
    <row r="17" spans="1:34" x14ac:dyDescent="0.45">
      <c r="A17" s="2">
        <v>6</v>
      </c>
      <c r="B17" s="2">
        <v>1.8</v>
      </c>
      <c r="C17" s="2" t="s">
        <v>21</v>
      </c>
      <c r="D17" s="2" t="s">
        <v>17</v>
      </c>
      <c r="E17" t="b">
        <v>0</v>
      </c>
      <c r="F17">
        <v>5</v>
      </c>
      <c r="G17">
        <v>4</v>
      </c>
      <c r="H17">
        <v>6</v>
      </c>
      <c r="I17" s="2" t="s">
        <v>45</v>
      </c>
      <c r="J17">
        <v>24</v>
      </c>
      <c r="K17">
        <v>11</v>
      </c>
      <c r="L17" t="s">
        <v>42</v>
      </c>
      <c r="M17" t="b">
        <v>1</v>
      </c>
      <c r="N17" t="b">
        <v>1</v>
      </c>
      <c r="O17" t="b">
        <v>1</v>
      </c>
      <c r="P17" t="b">
        <v>1</v>
      </c>
      <c r="Q17" t="b">
        <v>1</v>
      </c>
      <c r="R17" t="b">
        <v>1</v>
      </c>
      <c r="S17" t="b">
        <v>1</v>
      </c>
      <c r="T17" t="b">
        <v>0</v>
      </c>
      <c r="U17" t="b">
        <v>1</v>
      </c>
      <c r="V17" t="b">
        <v>1</v>
      </c>
      <c r="W17" t="b">
        <v>1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D17" t="b">
        <v>0</v>
      </c>
      <c r="AE17" t="b">
        <v>0</v>
      </c>
      <c r="AF17" t="b">
        <v>0</v>
      </c>
      <c r="AG17" t="b">
        <v>0</v>
      </c>
      <c r="AH17">
        <f>COUNTIF(Table1[[#This Row],[Java]:[Scala]],TRUE)</f>
        <v>3</v>
      </c>
    </row>
    <row r="18" spans="1:34" x14ac:dyDescent="0.45">
      <c r="A18" s="2">
        <v>6</v>
      </c>
      <c r="B18" s="2">
        <v>2.2400000000000002</v>
      </c>
      <c r="C18" s="2" t="s">
        <v>22</v>
      </c>
      <c r="D18" s="2" t="s">
        <v>27</v>
      </c>
      <c r="E18" t="b">
        <v>1</v>
      </c>
      <c r="F18">
        <v>5</v>
      </c>
      <c r="G18">
        <v>5</v>
      </c>
      <c r="H18">
        <v>5</v>
      </c>
      <c r="I18" s="2">
        <v>3</v>
      </c>
      <c r="J18">
        <v>24</v>
      </c>
      <c r="K18">
        <v>11</v>
      </c>
      <c r="L18" t="s">
        <v>42</v>
      </c>
      <c r="M18" t="b">
        <v>1</v>
      </c>
      <c r="N18" t="b">
        <v>1</v>
      </c>
      <c r="O18" t="b">
        <v>1</v>
      </c>
      <c r="P18" t="b">
        <v>1</v>
      </c>
      <c r="Q18" t="b">
        <v>1</v>
      </c>
      <c r="R18" t="b">
        <v>1</v>
      </c>
      <c r="S18" t="b">
        <v>1</v>
      </c>
      <c r="T18" t="b">
        <v>0</v>
      </c>
      <c r="U18" t="b">
        <v>1</v>
      </c>
      <c r="V18" t="b">
        <v>1</v>
      </c>
      <c r="W18" t="b">
        <v>1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b">
        <v>0</v>
      </c>
      <c r="AE18" t="b">
        <v>0</v>
      </c>
      <c r="AF18" t="b">
        <v>0</v>
      </c>
      <c r="AG18" t="b">
        <v>0</v>
      </c>
      <c r="AH18">
        <f>COUNTIF(Table1[[#This Row],[Java]:[Scala]],TRUE)</f>
        <v>3</v>
      </c>
    </row>
    <row r="19" spans="1:34" x14ac:dyDescent="0.45">
      <c r="A19" s="2">
        <v>6</v>
      </c>
      <c r="B19" s="2">
        <v>7.33</v>
      </c>
      <c r="C19" s="2" t="s">
        <v>23</v>
      </c>
      <c r="D19" s="2" t="s">
        <v>28</v>
      </c>
      <c r="E19" t="b">
        <v>0</v>
      </c>
      <c r="F19">
        <v>5</v>
      </c>
      <c r="G19">
        <v>4</v>
      </c>
      <c r="H19">
        <v>4</v>
      </c>
      <c r="I19" s="2">
        <v>0</v>
      </c>
      <c r="J19">
        <v>24</v>
      </c>
      <c r="K19">
        <v>11</v>
      </c>
      <c r="L19" t="s">
        <v>42</v>
      </c>
      <c r="M19" t="b">
        <v>1</v>
      </c>
      <c r="N19" t="b">
        <v>1</v>
      </c>
      <c r="O19" t="b">
        <v>1</v>
      </c>
      <c r="P19" t="b">
        <v>1</v>
      </c>
      <c r="Q19" t="b">
        <v>1</v>
      </c>
      <c r="R19" t="b">
        <v>1</v>
      </c>
      <c r="S19" t="b">
        <v>1</v>
      </c>
      <c r="T19" t="b">
        <v>0</v>
      </c>
      <c r="U19" t="b">
        <v>1</v>
      </c>
      <c r="V19" t="b">
        <v>1</v>
      </c>
      <c r="W19" t="b">
        <v>1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  <c r="AD19" t="b">
        <v>0</v>
      </c>
      <c r="AE19" t="b">
        <v>0</v>
      </c>
      <c r="AF19" t="b">
        <v>0</v>
      </c>
      <c r="AG19" t="b">
        <v>0</v>
      </c>
      <c r="AH19">
        <f>COUNTIF(Table1[[#This Row],[Java]:[Scala]],TRUE)</f>
        <v>3</v>
      </c>
    </row>
    <row r="20" spans="1:34" x14ac:dyDescent="0.45">
      <c r="A20" s="2">
        <v>7</v>
      </c>
      <c r="B20" s="2">
        <v>1.8</v>
      </c>
      <c r="C20" s="2" t="s">
        <v>24</v>
      </c>
      <c r="D20" s="2" t="s">
        <v>28</v>
      </c>
      <c r="E20" t="b">
        <v>0</v>
      </c>
      <c r="F20">
        <v>4</v>
      </c>
      <c r="G20">
        <v>5</v>
      </c>
      <c r="H20">
        <v>8</v>
      </c>
      <c r="I20" s="2">
        <v>2</v>
      </c>
      <c r="J20">
        <v>22</v>
      </c>
      <c r="K20">
        <v>7</v>
      </c>
      <c r="L20" t="s">
        <v>42</v>
      </c>
      <c r="M20" t="b">
        <v>1</v>
      </c>
      <c r="N20" t="b">
        <v>0</v>
      </c>
      <c r="O20" t="b">
        <v>1</v>
      </c>
      <c r="P20" t="b">
        <v>0</v>
      </c>
      <c r="Q20" t="b">
        <v>1</v>
      </c>
      <c r="R20" t="b">
        <v>0</v>
      </c>
      <c r="S20" t="b">
        <v>0</v>
      </c>
      <c r="T20" t="b">
        <v>0</v>
      </c>
      <c r="U20" t="b">
        <v>1</v>
      </c>
      <c r="V20" t="b">
        <v>1</v>
      </c>
      <c r="W20" t="b">
        <v>1</v>
      </c>
      <c r="X20" t="b">
        <v>0</v>
      </c>
      <c r="Y20" t="b">
        <v>1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 t="b">
        <v>0</v>
      </c>
      <c r="AF20" t="b">
        <v>0</v>
      </c>
      <c r="AG20" t="b">
        <v>0</v>
      </c>
      <c r="AH20">
        <f>COUNTIF(Table1[[#This Row],[Java]:[Scala]],TRUE)</f>
        <v>4</v>
      </c>
    </row>
    <row r="21" spans="1:34" x14ac:dyDescent="0.45">
      <c r="A21" s="2">
        <v>7</v>
      </c>
      <c r="B21" s="2">
        <v>2.2400000000000002</v>
      </c>
      <c r="C21" s="2" t="s">
        <v>25</v>
      </c>
      <c r="D21" s="2" t="s">
        <v>17</v>
      </c>
      <c r="E21" t="b">
        <v>0</v>
      </c>
      <c r="F21">
        <v>1</v>
      </c>
      <c r="G21">
        <v>3</v>
      </c>
      <c r="H21">
        <v>5</v>
      </c>
      <c r="I21" s="2" t="s">
        <v>45</v>
      </c>
      <c r="J21">
        <v>22</v>
      </c>
      <c r="K21">
        <v>7</v>
      </c>
      <c r="L21" t="s">
        <v>42</v>
      </c>
      <c r="M21" t="b">
        <v>1</v>
      </c>
      <c r="N21" t="b">
        <v>0</v>
      </c>
      <c r="O21" t="b">
        <v>1</v>
      </c>
      <c r="P21" t="b">
        <v>0</v>
      </c>
      <c r="Q21" t="b">
        <v>1</v>
      </c>
      <c r="R21" t="b">
        <v>0</v>
      </c>
      <c r="S21" t="b">
        <v>0</v>
      </c>
      <c r="T21" t="b">
        <v>0</v>
      </c>
      <c r="U21" t="b">
        <v>1</v>
      </c>
      <c r="V21" t="b">
        <v>1</v>
      </c>
      <c r="W21" t="b">
        <v>1</v>
      </c>
      <c r="X21" t="b">
        <v>0</v>
      </c>
      <c r="Y21" t="b">
        <v>1</v>
      </c>
      <c r="Z21" t="b">
        <v>0</v>
      </c>
      <c r="AA21" t="b">
        <v>0</v>
      </c>
      <c r="AB21" t="b">
        <v>0</v>
      </c>
      <c r="AC21" t="b">
        <v>0</v>
      </c>
      <c r="AD21" t="b">
        <v>0</v>
      </c>
      <c r="AE21" t="b">
        <v>0</v>
      </c>
      <c r="AF21" t="b">
        <v>0</v>
      </c>
      <c r="AG21" t="b">
        <v>0</v>
      </c>
      <c r="AH21">
        <f>COUNTIF(Table1[[#This Row],[Java]:[Scala]],TRUE)</f>
        <v>4</v>
      </c>
    </row>
    <row r="22" spans="1:34" x14ac:dyDescent="0.45">
      <c r="A22" s="2">
        <v>7</v>
      </c>
      <c r="B22" s="2">
        <v>7.33</v>
      </c>
      <c r="C22" s="2" t="s">
        <v>26</v>
      </c>
      <c r="D22" s="2" t="s">
        <v>27</v>
      </c>
      <c r="E22" t="b">
        <v>1</v>
      </c>
      <c r="F22">
        <v>5</v>
      </c>
      <c r="G22">
        <v>5</v>
      </c>
      <c r="H22">
        <v>5</v>
      </c>
      <c r="I22" s="2">
        <v>3</v>
      </c>
      <c r="J22">
        <v>22</v>
      </c>
      <c r="K22">
        <v>7</v>
      </c>
      <c r="L22" t="s">
        <v>42</v>
      </c>
      <c r="M22" t="b">
        <v>1</v>
      </c>
      <c r="N22" t="b">
        <v>0</v>
      </c>
      <c r="O22" t="b">
        <v>1</v>
      </c>
      <c r="P22" t="b">
        <v>0</v>
      </c>
      <c r="Q22" t="b">
        <v>1</v>
      </c>
      <c r="R22" t="b">
        <v>0</v>
      </c>
      <c r="S22" t="b">
        <v>0</v>
      </c>
      <c r="T22" t="b">
        <v>0</v>
      </c>
      <c r="U22" t="b">
        <v>1</v>
      </c>
      <c r="V22" t="b">
        <v>1</v>
      </c>
      <c r="W22" t="b">
        <v>1</v>
      </c>
      <c r="X22" t="b">
        <v>0</v>
      </c>
      <c r="Y22" t="b">
        <v>1</v>
      </c>
      <c r="Z22" t="b">
        <v>0</v>
      </c>
      <c r="AA22" t="b">
        <v>0</v>
      </c>
      <c r="AB22" t="b">
        <v>0</v>
      </c>
      <c r="AC22" t="b">
        <v>0</v>
      </c>
      <c r="AD22" t="b">
        <v>0</v>
      </c>
      <c r="AE22" t="b">
        <v>0</v>
      </c>
      <c r="AF22" t="b">
        <v>0</v>
      </c>
      <c r="AG22" t="b">
        <v>0</v>
      </c>
      <c r="AH22">
        <f>COUNTIF(Table1[[#This Row],[Java]:[Scala]],TRUE)</f>
        <v>4</v>
      </c>
    </row>
    <row r="23" spans="1:34" x14ac:dyDescent="0.45">
      <c r="A23" s="2">
        <v>8</v>
      </c>
      <c r="B23" s="2">
        <v>1.8</v>
      </c>
      <c r="C23" s="2" t="s">
        <v>24</v>
      </c>
      <c r="D23" s="2" t="s">
        <v>28</v>
      </c>
      <c r="E23" t="b">
        <v>0</v>
      </c>
      <c r="F23">
        <v>4</v>
      </c>
      <c r="G23">
        <v>5</v>
      </c>
      <c r="H23">
        <v>8</v>
      </c>
      <c r="I23" s="2">
        <v>3</v>
      </c>
      <c r="J23">
        <v>22</v>
      </c>
      <c r="K23">
        <v>8</v>
      </c>
      <c r="L23" t="s">
        <v>42</v>
      </c>
      <c r="M23" t="b">
        <v>1</v>
      </c>
      <c r="N23" t="b">
        <v>0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 t="b">
        <v>0</v>
      </c>
      <c r="U23" t="b">
        <v>1</v>
      </c>
      <c r="V23" t="b">
        <v>0</v>
      </c>
      <c r="W23" t="b">
        <v>1</v>
      </c>
      <c r="X23" t="b">
        <v>1</v>
      </c>
      <c r="Y23" t="b">
        <v>1</v>
      </c>
      <c r="Z23" t="b">
        <v>1</v>
      </c>
      <c r="AA23" t="b">
        <v>0</v>
      </c>
      <c r="AB23" t="b">
        <v>0</v>
      </c>
      <c r="AC23" t="b">
        <v>0</v>
      </c>
      <c r="AD23" t="b">
        <v>0</v>
      </c>
      <c r="AE23" t="b">
        <v>0</v>
      </c>
      <c r="AF23" t="b">
        <v>0</v>
      </c>
      <c r="AG23" t="b">
        <v>0</v>
      </c>
      <c r="AH23">
        <f>COUNTIF(Table1[[#This Row],[Java]:[Scala]],TRUE)</f>
        <v>5</v>
      </c>
    </row>
    <row r="24" spans="1:34" x14ac:dyDescent="0.45">
      <c r="A24" s="2">
        <v>8</v>
      </c>
      <c r="B24" s="2">
        <v>2.2400000000000002</v>
      </c>
      <c r="C24" s="2" t="s">
        <v>25</v>
      </c>
      <c r="D24" s="2" t="s">
        <v>17</v>
      </c>
      <c r="E24" t="b">
        <v>1</v>
      </c>
      <c r="F24">
        <v>5</v>
      </c>
      <c r="G24">
        <v>5</v>
      </c>
      <c r="H24">
        <v>4</v>
      </c>
      <c r="I24" s="2" t="s">
        <v>45</v>
      </c>
      <c r="J24">
        <v>22</v>
      </c>
      <c r="K24">
        <v>8</v>
      </c>
      <c r="L24" t="s">
        <v>42</v>
      </c>
      <c r="M24" t="b">
        <v>1</v>
      </c>
      <c r="N24" t="b">
        <v>0</v>
      </c>
      <c r="O24" t="b">
        <v>1</v>
      </c>
      <c r="P24" t="b">
        <v>1</v>
      </c>
      <c r="Q24" t="b">
        <v>1</v>
      </c>
      <c r="R24" t="b">
        <v>1</v>
      </c>
      <c r="S24" t="b">
        <v>1</v>
      </c>
      <c r="T24" t="b">
        <v>0</v>
      </c>
      <c r="U24" t="b">
        <v>1</v>
      </c>
      <c r="V24" t="b">
        <v>0</v>
      </c>
      <c r="W24" t="b">
        <v>1</v>
      </c>
      <c r="X24" t="b">
        <v>1</v>
      </c>
      <c r="Y24" t="b">
        <v>1</v>
      </c>
      <c r="Z24" t="b">
        <v>1</v>
      </c>
      <c r="AA24" t="b">
        <v>0</v>
      </c>
      <c r="AB24" t="b">
        <v>0</v>
      </c>
      <c r="AC24" t="b">
        <v>0</v>
      </c>
      <c r="AD24" t="b">
        <v>0</v>
      </c>
      <c r="AE24" t="b">
        <v>0</v>
      </c>
      <c r="AF24" t="b">
        <v>0</v>
      </c>
      <c r="AG24" t="b">
        <v>0</v>
      </c>
      <c r="AH24">
        <f>COUNTIF(Table1[[#This Row],[Java]:[Scala]],TRUE)</f>
        <v>5</v>
      </c>
    </row>
    <row r="25" spans="1:34" x14ac:dyDescent="0.45">
      <c r="A25" s="2">
        <v>8</v>
      </c>
      <c r="B25" s="2">
        <v>7.33</v>
      </c>
      <c r="C25" s="2" t="s">
        <v>26</v>
      </c>
      <c r="D25" s="2" t="s">
        <v>27</v>
      </c>
      <c r="E25" t="b">
        <v>1</v>
      </c>
      <c r="F25">
        <v>5</v>
      </c>
      <c r="G25">
        <v>5</v>
      </c>
      <c r="H25">
        <v>6</v>
      </c>
      <c r="I25" s="2">
        <v>3</v>
      </c>
      <c r="J25">
        <v>22</v>
      </c>
      <c r="K25">
        <v>8</v>
      </c>
      <c r="L25" t="s">
        <v>42</v>
      </c>
      <c r="M25" t="b">
        <v>1</v>
      </c>
      <c r="N25" t="b">
        <v>0</v>
      </c>
      <c r="O25" t="b">
        <v>1</v>
      </c>
      <c r="P25" t="b">
        <v>1</v>
      </c>
      <c r="Q25" t="b">
        <v>1</v>
      </c>
      <c r="R25" t="b">
        <v>1</v>
      </c>
      <c r="S25" t="b">
        <v>1</v>
      </c>
      <c r="T25" t="b">
        <v>0</v>
      </c>
      <c r="U25" t="b">
        <v>1</v>
      </c>
      <c r="V25" t="b">
        <v>0</v>
      </c>
      <c r="W25" t="b">
        <v>1</v>
      </c>
      <c r="X25" t="b">
        <v>1</v>
      </c>
      <c r="Y25" t="b">
        <v>1</v>
      </c>
      <c r="Z25" t="b">
        <v>1</v>
      </c>
      <c r="AA25" t="b">
        <v>0</v>
      </c>
      <c r="AB25" t="b">
        <v>0</v>
      </c>
      <c r="AC25" t="b">
        <v>0</v>
      </c>
      <c r="AD25" t="b">
        <v>0</v>
      </c>
      <c r="AE25" t="b">
        <v>0</v>
      </c>
      <c r="AF25" t="b">
        <v>0</v>
      </c>
      <c r="AG25" t="b">
        <v>0</v>
      </c>
      <c r="AH25">
        <f>COUNTIF(Table1[[#This Row],[Java]:[Scala]],TRUE)</f>
        <v>5</v>
      </c>
    </row>
    <row r="26" spans="1:34" x14ac:dyDescent="0.45">
      <c r="A26" s="2">
        <v>9</v>
      </c>
      <c r="B26" s="2">
        <v>1.8</v>
      </c>
      <c r="C26" s="2" t="s">
        <v>24</v>
      </c>
      <c r="D26" s="2" t="s">
        <v>28</v>
      </c>
      <c r="E26" t="b">
        <v>1</v>
      </c>
      <c r="F26">
        <v>5</v>
      </c>
      <c r="G26">
        <v>5</v>
      </c>
      <c r="H26">
        <v>7</v>
      </c>
      <c r="I26" s="2">
        <v>2</v>
      </c>
      <c r="J26">
        <v>23</v>
      </c>
      <c r="K26">
        <v>5</v>
      </c>
      <c r="L26" t="s">
        <v>34</v>
      </c>
      <c r="M26" t="b">
        <v>1</v>
      </c>
      <c r="N26" t="b">
        <v>1</v>
      </c>
      <c r="O26" t="b">
        <v>1</v>
      </c>
      <c r="P26" t="b">
        <v>1</v>
      </c>
      <c r="Q26" t="b">
        <v>1</v>
      </c>
      <c r="R26" t="b">
        <v>1</v>
      </c>
      <c r="S26" t="b">
        <v>1</v>
      </c>
      <c r="T26" t="b">
        <v>0</v>
      </c>
      <c r="U26" t="b">
        <v>1</v>
      </c>
      <c r="V26" t="b">
        <v>1</v>
      </c>
      <c r="W26" t="b">
        <v>1</v>
      </c>
      <c r="X26" t="b">
        <v>1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D26" t="b">
        <v>0</v>
      </c>
      <c r="AE26" t="b">
        <v>0</v>
      </c>
      <c r="AF26" t="b">
        <v>0</v>
      </c>
      <c r="AG26" t="b">
        <v>1</v>
      </c>
      <c r="AH26">
        <f>COUNTIF(Table1[[#This Row],[Java]:[Scala]],TRUE)</f>
        <v>5</v>
      </c>
    </row>
    <row r="27" spans="1:34" x14ac:dyDescent="0.45">
      <c r="A27" s="2">
        <v>9</v>
      </c>
      <c r="B27" s="2">
        <v>2.2400000000000002</v>
      </c>
      <c r="C27" s="2" t="s">
        <v>25</v>
      </c>
      <c r="D27" s="2" t="s">
        <v>17</v>
      </c>
      <c r="E27" t="b">
        <v>0</v>
      </c>
      <c r="F27">
        <v>5</v>
      </c>
      <c r="G27">
        <v>4</v>
      </c>
      <c r="H27">
        <v>9</v>
      </c>
      <c r="I27" s="2" t="s">
        <v>45</v>
      </c>
      <c r="J27">
        <v>23</v>
      </c>
      <c r="K27">
        <v>5</v>
      </c>
      <c r="L27" t="s">
        <v>34</v>
      </c>
      <c r="M27" t="b">
        <v>1</v>
      </c>
      <c r="N27" t="b">
        <v>1</v>
      </c>
      <c r="O27" t="b">
        <v>1</v>
      </c>
      <c r="P27" t="b">
        <v>1</v>
      </c>
      <c r="Q27" t="b">
        <v>1</v>
      </c>
      <c r="R27" t="b">
        <v>1</v>
      </c>
      <c r="S27" t="b">
        <v>1</v>
      </c>
      <c r="T27" t="b">
        <v>0</v>
      </c>
      <c r="U27" t="b">
        <v>1</v>
      </c>
      <c r="V27" t="b">
        <v>1</v>
      </c>
      <c r="W27" t="b">
        <v>1</v>
      </c>
      <c r="X27" t="b">
        <v>1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  <c r="AF27" t="b">
        <v>0</v>
      </c>
      <c r="AG27" t="b">
        <v>1</v>
      </c>
      <c r="AH27">
        <f>COUNTIF(Table1[[#This Row],[Java]:[Scala]],TRUE)</f>
        <v>5</v>
      </c>
    </row>
    <row r="28" spans="1:34" x14ac:dyDescent="0.45">
      <c r="A28" s="2">
        <v>9</v>
      </c>
      <c r="B28" s="2">
        <v>7.33</v>
      </c>
      <c r="C28" s="2" t="s">
        <v>26</v>
      </c>
      <c r="D28" s="2" t="s">
        <v>27</v>
      </c>
      <c r="E28" t="b">
        <v>1</v>
      </c>
      <c r="F28">
        <v>5</v>
      </c>
      <c r="G28">
        <v>5</v>
      </c>
      <c r="H28">
        <v>6</v>
      </c>
      <c r="I28" s="2">
        <v>3</v>
      </c>
      <c r="J28">
        <v>23</v>
      </c>
      <c r="K28">
        <v>5</v>
      </c>
      <c r="L28" t="s">
        <v>34</v>
      </c>
      <c r="M28" t="b">
        <v>1</v>
      </c>
      <c r="N28" t="b">
        <v>1</v>
      </c>
      <c r="O28" t="b">
        <v>1</v>
      </c>
      <c r="P28" t="b">
        <v>1</v>
      </c>
      <c r="Q28" t="b">
        <v>1</v>
      </c>
      <c r="R28" t="b">
        <v>1</v>
      </c>
      <c r="S28" t="b">
        <v>1</v>
      </c>
      <c r="T28" t="b">
        <v>0</v>
      </c>
      <c r="U28" t="b">
        <v>1</v>
      </c>
      <c r="V28" t="b">
        <v>1</v>
      </c>
      <c r="W28" t="b">
        <v>1</v>
      </c>
      <c r="X28" t="b">
        <v>1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  <c r="AD28" t="b">
        <v>0</v>
      </c>
      <c r="AE28" t="b">
        <v>0</v>
      </c>
      <c r="AF28" t="b">
        <v>0</v>
      </c>
      <c r="AG28" t="b">
        <v>1</v>
      </c>
      <c r="AH28">
        <f>COUNTIF(Table1[[#This Row],[Java]:[Scala]],TRUE)</f>
        <v>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CDE35-D19C-4275-9C62-20F21509E312}">
  <dimension ref="B3:B5"/>
  <sheetViews>
    <sheetView workbookViewId="0">
      <selection activeCell="I23" sqref="I23"/>
    </sheetView>
  </sheetViews>
  <sheetFormatPr defaultRowHeight="14.25" x14ac:dyDescent="0.45"/>
  <sheetData>
    <row r="3" spans="2:2" x14ac:dyDescent="0.45">
      <c r="B3" t="s">
        <v>53</v>
      </c>
    </row>
    <row r="5" spans="2:2" x14ac:dyDescent="0.45">
      <c r="B5" t="s">
        <v>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E6CB-0F02-4147-83FA-B7C030247D1D}">
  <dimension ref="B3:B5"/>
  <sheetViews>
    <sheetView workbookViewId="0">
      <selection activeCell="I23" sqref="I23"/>
    </sheetView>
  </sheetViews>
  <sheetFormatPr defaultRowHeight="14.25" x14ac:dyDescent="0.45"/>
  <sheetData>
    <row r="3" spans="2:2" x14ac:dyDescent="0.45">
      <c r="B3" t="s">
        <v>55</v>
      </c>
    </row>
    <row r="4" spans="2:2" x14ac:dyDescent="0.45">
      <c r="B4" t="s">
        <v>56</v>
      </c>
    </row>
    <row r="5" spans="2:2" x14ac:dyDescent="0.45">
      <c r="B5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AC67D-B8B6-4FD4-B3D7-661C6A5D7ADF}">
  <dimension ref="A1:G10"/>
  <sheetViews>
    <sheetView workbookViewId="0">
      <selection activeCell="F2" sqref="F2"/>
    </sheetView>
  </sheetViews>
  <sheetFormatPr defaultRowHeight="14.25" x14ac:dyDescent="0.45"/>
  <cols>
    <col min="1" max="1" width="17.73046875" customWidth="1"/>
    <col min="2" max="2" width="19.06640625" customWidth="1"/>
    <col min="3" max="3" width="20.46484375" customWidth="1"/>
    <col min="4" max="4" width="17.3984375" customWidth="1"/>
    <col min="5" max="5" width="13.33203125" customWidth="1"/>
    <col min="6" max="6" width="18.3984375" customWidth="1"/>
    <col min="7" max="7" width="15.86328125" customWidth="1"/>
  </cols>
  <sheetData>
    <row r="1" spans="1:7" x14ac:dyDescent="0.45">
      <c r="A1" s="2" t="s">
        <v>3</v>
      </c>
      <c r="B1" s="2" t="s">
        <v>4</v>
      </c>
      <c r="C1" s="2" t="s">
        <v>103</v>
      </c>
      <c r="D1" s="2" t="s">
        <v>106</v>
      </c>
      <c r="E1" s="2" t="s">
        <v>107</v>
      </c>
      <c r="F1" s="2" t="s">
        <v>108</v>
      </c>
      <c r="G1" s="2" t="s">
        <v>105</v>
      </c>
    </row>
    <row r="2" spans="1:7" x14ac:dyDescent="0.45">
      <c r="A2" s="25">
        <f>AVERAGEIFS(Table1[Age],Table1[ExplanationType],"Fix")</f>
        <v>22.625</v>
      </c>
      <c r="B2" s="2">
        <f>AVERAGEIFS(Table1[YoE],Table1[ExplanationType],"Fix")</f>
        <v>7.75</v>
      </c>
      <c r="C2" s="25">
        <f>AVERAGEIFS(Table1[Total Languages],Table1[ExplanationType],"Fix")</f>
        <v>4.5555555555555554</v>
      </c>
      <c r="D2" s="2">
        <f>COUNTIFS(Table1[LearnedUniversity],TRUE,Table1[ExplanationType],"Fix")/$G$2</f>
        <v>0.75</v>
      </c>
      <c r="E2" s="2">
        <f>COUNTIFS(Table1[LearnedOnLine],TRUE,Table1[ExplanationType],"Fix")/$G$2</f>
        <v>0.25</v>
      </c>
      <c r="F2" s="2">
        <f>COUNTIFS(Table1[LearnedSelftTaught],TRUE,Table1[ExplanationType],"Fix")/$G$2</f>
        <v>1</v>
      </c>
      <c r="G2" s="2">
        <v>8</v>
      </c>
    </row>
    <row r="4" spans="1:7" x14ac:dyDescent="0.45">
      <c r="A4" t="s">
        <v>112</v>
      </c>
    </row>
    <row r="5" spans="1:7" x14ac:dyDescent="0.45">
      <c r="A5" s="22" t="s">
        <v>109</v>
      </c>
      <c r="B5" s="22" t="s">
        <v>110</v>
      </c>
      <c r="C5" s="23" t="s">
        <v>111</v>
      </c>
      <c r="D5" s="26" t="s">
        <v>16</v>
      </c>
    </row>
    <row r="6" spans="1:7" x14ac:dyDescent="0.45">
      <c r="A6" s="17">
        <f>COUNTIFS(Table1[SuggestFix],TRUE,Table1[ExplanationType],"Fix")/$G$2</f>
        <v>0.625</v>
      </c>
      <c r="B6" s="17">
        <f>COUNTIFS(Table1[CreateUnitTest],TRUE,Table1[ExplanationType],"Fix")/$G$2</f>
        <v>0.75</v>
      </c>
      <c r="C6" s="24">
        <f>COUNTIFS(Table1[AddDocumentation],TRUE,Table1[ExplanationType],"Fix")/$G$2</f>
        <v>0.625</v>
      </c>
      <c r="D6" s="24">
        <f>COUNTIFS(Table1[Refactor],TRUE,Table1[ExplanationType],"Fix")/$G$2</f>
        <v>0.625</v>
      </c>
    </row>
    <row r="8" spans="1:7" x14ac:dyDescent="0.45">
      <c r="A8" t="s">
        <v>114</v>
      </c>
    </row>
    <row r="9" spans="1:7" x14ac:dyDescent="0.45">
      <c r="A9" t="s">
        <v>34</v>
      </c>
      <c r="B9" s="9" t="s">
        <v>42</v>
      </c>
      <c r="C9" t="s">
        <v>113</v>
      </c>
    </row>
    <row r="10" spans="1:7" x14ac:dyDescent="0.45">
      <c r="A10">
        <f>COUNTIFS(Table1[UnitTestPractice],A9,Table1[ExplanationType],"Fix")/$G$2</f>
        <v>0.5</v>
      </c>
      <c r="B10">
        <f>COUNTIFS(Table1[UnitTestPractice],B9,Table1[ExplanationType],"Fix")/$G$2</f>
        <v>0.5</v>
      </c>
      <c r="C10">
        <f>COUNTIFS(Table1[UnitTestPractice],C9,Table1[ExplanationType],"Fix")/$G$2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49E6-3B43-4AAF-86BB-98035B08AB17}">
  <dimension ref="B2:D15"/>
  <sheetViews>
    <sheetView workbookViewId="0">
      <selection activeCell="I23" sqref="I23"/>
    </sheetView>
  </sheetViews>
  <sheetFormatPr defaultRowHeight="14.25" x14ac:dyDescent="0.45"/>
  <sheetData>
    <row r="2" spans="2:4" x14ac:dyDescent="0.45">
      <c r="B2" t="s">
        <v>47</v>
      </c>
    </row>
    <row r="3" spans="2:4" x14ac:dyDescent="0.45">
      <c r="B3" t="s">
        <v>51</v>
      </c>
    </row>
    <row r="4" spans="2:4" x14ac:dyDescent="0.45">
      <c r="B4" t="s">
        <v>48</v>
      </c>
    </row>
    <row r="5" spans="2:4" x14ac:dyDescent="0.45">
      <c r="B5" t="s">
        <v>49</v>
      </c>
    </row>
    <row r="6" spans="2:4" x14ac:dyDescent="0.45">
      <c r="B6" t="s">
        <v>50</v>
      </c>
    </row>
    <row r="8" spans="2:4" x14ac:dyDescent="0.45">
      <c r="B8" t="s">
        <v>52</v>
      </c>
    </row>
    <row r="15" spans="2:4" x14ac:dyDescent="0.45">
      <c r="D15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7116-CC48-4D5A-9A81-2552F039EDA5}">
  <dimension ref="A1:E25"/>
  <sheetViews>
    <sheetView workbookViewId="0">
      <selection activeCell="I23" sqref="I23"/>
    </sheetView>
  </sheetViews>
  <sheetFormatPr defaultRowHeight="14.25" x14ac:dyDescent="0.45"/>
  <cols>
    <col min="1" max="1" width="23.86328125" customWidth="1"/>
    <col min="2" max="2" width="12.06640625" customWidth="1"/>
    <col min="3" max="3" width="11.46484375" customWidth="1"/>
    <col min="4" max="4" width="13.265625" customWidth="1"/>
    <col min="5" max="5" width="13.796875" customWidth="1"/>
  </cols>
  <sheetData>
    <row r="1" spans="1:5" x14ac:dyDescent="0.45">
      <c r="B1" s="3" t="s">
        <v>102</v>
      </c>
      <c r="C1" s="4"/>
      <c r="D1" s="4"/>
      <c r="E1" s="4"/>
    </row>
    <row r="2" spans="1:5" x14ac:dyDescent="0.45">
      <c r="A2" s="7" t="s">
        <v>98</v>
      </c>
      <c r="B2" s="2" t="s">
        <v>17</v>
      </c>
      <c r="C2" s="2" t="s">
        <v>99</v>
      </c>
      <c r="D2" s="2" t="s">
        <v>28</v>
      </c>
      <c r="E2" s="2" t="s">
        <v>27</v>
      </c>
    </row>
    <row r="3" spans="1:5" x14ac:dyDescent="0.45">
      <c r="A3" s="7">
        <v>1</v>
      </c>
      <c r="B3">
        <f>SUMIFS(Table1[FixRelatedExplanations],Table1[KIT],A3,Table1[ExplanationType],$B$2)</f>
        <v>0</v>
      </c>
      <c r="C3">
        <f>AVERAGE(D3:E3)</f>
        <v>2.5</v>
      </c>
      <c r="D3">
        <f>SUMIFS(Table1[FixRelatedExplanations],Table1[KIT],A3,Table1[ExplanationType],$D$2)</f>
        <v>3</v>
      </c>
      <c r="E3">
        <f>SUMIFS(Table1[FixRelatedExplanations],Table1[KIT],A3,Table1[ExplanationType],$E$2)</f>
        <v>2</v>
      </c>
    </row>
    <row r="4" spans="1:5" x14ac:dyDescent="0.45">
      <c r="A4" s="7">
        <v>3</v>
      </c>
      <c r="B4">
        <f>SUMIFS(Table1[FixRelatedExplanations],Table1[KIT],A4,Table1[ExplanationType],$B$2)</f>
        <v>0</v>
      </c>
      <c r="C4">
        <f t="shared" ref="C4:C10" si="0">AVERAGE(D4:E4)</f>
        <v>3</v>
      </c>
      <c r="D4">
        <f>SUMIFS(Table1[FixRelatedExplanations],Table1[KIT],A4,Table1[ExplanationType],$D$2)</f>
        <v>3</v>
      </c>
      <c r="E4">
        <f>SUMIFS(Table1[FixRelatedExplanations],Table1[KIT],A4,Table1[ExplanationType],$E$2)</f>
        <v>3</v>
      </c>
    </row>
    <row r="5" spans="1:5" x14ac:dyDescent="0.45">
      <c r="A5" s="7">
        <v>4</v>
      </c>
      <c r="B5">
        <f>SUMIFS(Table1[FixRelatedExplanations],Table1[KIT],A5,Table1[ExplanationType],$B$2)</f>
        <v>0</v>
      </c>
      <c r="C5">
        <f t="shared" si="0"/>
        <v>3</v>
      </c>
      <c r="D5">
        <f>SUMIFS(Table1[FixRelatedExplanations],Table1[KIT],A5,Table1[ExplanationType],$D$2)</f>
        <v>3</v>
      </c>
      <c r="E5">
        <f>SUMIFS(Table1[FixRelatedExplanations],Table1[KIT],A5,Table1[ExplanationType],$E$2)</f>
        <v>3</v>
      </c>
    </row>
    <row r="6" spans="1:5" x14ac:dyDescent="0.45">
      <c r="A6" s="7">
        <v>5</v>
      </c>
      <c r="B6">
        <f>SUMIFS(Table1[FixRelatedExplanations],Table1[KIT],A6,Table1[ExplanationType],$B$2)</f>
        <v>0</v>
      </c>
      <c r="C6">
        <f t="shared" si="0"/>
        <v>3</v>
      </c>
      <c r="D6">
        <f>SUMIFS(Table1[FixRelatedExplanations],Table1[KIT],A6,Table1[ExplanationType],$D$2)</f>
        <v>3</v>
      </c>
      <c r="E6">
        <f>SUMIFS(Table1[FixRelatedExplanations],Table1[KIT],A6,Table1[ExplanationType],$E$2)</f>
        <v>3</v>
      </c>
    </row>
    <row r="7" spans="1:5" x14ac:dyDescent="0.45">
      <c r="A7" s="7">
        <v>6</v>
      </c>
      <c r="B7">
        <f>SUMIFS(Table1[FixRelatedExplanations],Table1[KIT],A7,Table1[ExplanationType],$B$2)</f>
        <v>0</v>
      </c>
      <c r="C7">
        <f t="shared" si="0"/>
        <v>1.5</v>
      </c>
      <c r="D7">
        <f>SUMIFS(Table1[FixRelatedExplanations],Table1[KIT],A7,Table1[ExplanationType],$D$2)</f>
        <v>0</v>
      </c>
      <c r="E7">
        <f>SUMIFS(Table1[FixRelatedExplanations],Table1[KIT],A7,Table1[ExplanationType],$E$2)</f>
        <v>3</v>
      </c>
    </row>
    <row r="8" spans="1:5" x14ac:dyDescent="0.45">
      <c r="A8" s="7">
        <v>7</v>
      </c>
      <c r="B8">
        <f>SUMIFS(Table1[FixRelatedExplanations],Table1[KIT],A8,Table1[ExplanationType],$B$2)</f>
        <v>0</v>
      </c>
      <c r="C8">
        <f t="shared" si="0"/>
        <v>2.5</v>
      </c>
      <c r="D8">
        <f>SUMIFS(Table1[FixRelatedExplanations],Table1[KIT],A8,Table1[ExplanationType],$D$2)</f>
        <v>2</v>
      </c>
      <c r="E8">
        <f>SUMIFS(Table1[FixRelatedExplanations],Table1[KIT],A8,Table1[ExplanationType],$E$2)</f>
        <v>3</v>
      </c>
    </row>
    <row r="9" spans="1:5" x14ac:dyDescent="0.45">
      <c r="A9" s="7">
        <v>8</v>
      </c>
      <c r="B9">
        <f>SUMIFS(Table1[FixRelatedExplanations],Table1[KIT],A9,Table1[ExplanationType],$B$2)</f>
        <v>0</v>
      </c>
      <c r="C9">
        <f t="shared" si="0"/>
        <v>3</v>
      </c>
      <c r="D9">
        <f>SUMIFS(Table1[FixRelatedExplanations],Table1[KIT],A9,Table1[ExplanationType],$D$2)</f>
        <v>3</v>
      </c>
      <c r="E9">
        <f>SUMIFS(Table1[FixRelatedExplanations],Table1[KIT],A9,Table1[ExplanationType],$E$2)</f>
        <v>3</v>
      </c>
    </row>
    <row r="10" spans="1:5" x14ac:dyDescent="0.45">
      <c r="A10" s="7">
        <v>9</v>
      </c>
      <c r="B10">
        <f>SUMIFS(Table1[FixRelatedExplanations],Table1[KIT],A10,Table1[ExplanationType],$B$2)</f>
        <v>0</v>
      </c>
      <c r="C10">
        <f t="shared" si="0"/>
        <v>2.5</v>
      </c>
      <c r="D10">
        <f>SUMIFS(Table1[FixRelatedExplanations],Table1[KIT],A10,Table1[ExplanationType],$D$2)</f>
        <v>2</v>
      </c>
      <c r="E10">
        <f>SUMIFS(Table1[FixRelatedExplanations],Table1[KIT],A10,Table1[ExplanationType],$E$2)</f>
        <v>3</v>
      </c>
    </row>
    <row r="11" spans="1:5" x14ac:dyDescent="0.45">
      <c r="A11" s="7" t="s">
        <v>58</v>
      </c>
      <c r="B11" s="12">
        <f>SUBTOTAL(101,Table12151721[None])</f>
        <v>0</v>
      </c>
      <c r="C11" s="12">
        <f>SUBTOTAL(101,Table12151721[With])</f>
        <v>2.625</v>
      </c>
      <c r="D11" s="12">
        <f>SUBTOTAL(101,Table12151721[RootCause])</f>
        <v>2.375</v>
      </c>
      <c r="E11" s="12">
        <f>SUBTOTAL(101,Table12151721[Fix])</f>
        <v>2.875</v>
      </c>
    </row>
    <row r="12" spans="1:5" x14ac:dyDescent="0.45">
      <c r="A12" s="10" t="s">
        <v>75</v>
      </c>
      <c r="B12" s="13">
        <f>_xlfn.STDEV.S(Table12151721[None])</f>
        <v>0</v>
      </c>
      <c r="C12" s="13">
        <f>_xlfn.STDEV.S(Table12151721[With])</f>
        <v>0.51754916950676566</v>
      </c>
      <c r="D12" s="13">
        <f>_xlfn.STDEV.S(Table12151721[RootCause])</f>
        <v>1.0606601717798212</v>
      </c>
      <c r="E12" s="13">
        <f>_xlfn.STDEV.S(Table12151721[Fix])</f>
        <v>0.35355339059327379</v>
      </c>
    </row>
    <row r="14" spans="1:5" ht="57" x14ac:dyDescent="0.45">
      <c r="B14" s="18" t="s">
        <v>90</v>
      </c>
      <c r="C14" s="18" t="s">
        <v>91</v>
      </c>
      <c r="D14" s="18" t="s">
        <v>92</v>
      </c>
      <c r="E14" s="18" t="s">
        <v>93</v>
      </c>
    </row>
    <row r="15" spans="1:5" x14ac:dyDescent="0.45">
      <c r="B15" s="19" t="str">
        <f>IF(Table12151721[[#Totals],[None]]&lt;Table12151721[[#Totals],[With]],"YES","NO")</f>
        <v>YES</v>
      </c>
      <c r="C15" s="19" t="str">
        <f>IF(Table12151721[[#Totals],[None]]&lt;Table12151721[[#Totals],[RootCause]],"YES","NO")</f>
        <v>YES</v>
      </c>
      <c r="D15" s="19" t="str">
        <f>IF(Table12151721[[#Totals],[None]]&lt;Table12151721[[#Totals],[Fix]],"YES","NO")</f>
        <v>YES</v>
      </c>
      <c r="E15" s="19" t="str">
        <f>IF(Table12151721[[#Totals],[RootCause]]&lt;Table12151721[[#Totals],[Fix]],"YES","NO")</f>
        <v>YES</v>
      </c>
    </row>
    <row r="17" spans="1:5" ht="42.75" x14ac:dyDescent="0.45">
      <c r="A17" t="s">
        <v>77</v>
      </c>
      <c r="B17" s="16" t="s">
        <v>90</v>
      </c>
      <c r="C17" s="16" t="s">
        <v>91</v>
      </c>
      <c r="D17" s="16" t="s">
        <v>94</v>
      </c>
      <c r="E17" s="16" t="s">
        <v>93</v>
      </c>
    </row>
    <row r="18" spans="1:5" x14ac:dyDescent="0.45">
      <c r="A18" s="10" t="s">
        <v>76</v>
      </c>
      <c r="B18" s="11">
        <f>TTEST(B3:B10,C3:C10,1,2)</f>
        <v>4.5841749501477149E-10</v>
      </c>
      <c r="C18" s="11">
        <f>TTEST(B3:B10,D3:D10,1,2)</f>
        <v>9.2456902903320602E-6</v>
      </c>
      <c r="D18" s="11">
        <f>TTEST(B3:B10,E3:E10,1,2)</f>
        <v>8.0232638193770819E-13</v>
      </c>
      <c r="E18" s="11">
        <f>TTEST(D3:D10,E3:E10,1,2)</f>
        <v>0.11327679710032146</v>
      </c>
    </row>
    <row r="20" spans="1:5" x14ac:dyDescent="0.45">
      <c r="A20" t="s">
        <v>70</v>
      </c>
    </row>
    <row r="21" spans="1:5" ht="42.75" x14ac:dyDescent="0.45">
      <c r="A21" t="s">
        <v>60</v>
      </c>
      <c r="B21" s="16" t="s">
        <v>90</v>
      </c>
      <c r="C21" s="16" t="s">
        <v>91</v>
      </c>
      <c r="D21" s="16" t="s">
        <v>94</v>
      </c>
      <c r="E21" s="16" t="s">
        <v>93</v>
      </c>
    </row>
    <row r="22" spans="1:5" x14ac:dyDescent="0.45">
      <c r="A22" s="10" t="s">
        <v>69</v>
      </c>
      <c r="B22">
        <v>0.05</v>
      </c>
      <c r="C22">
        <v>0.05</v>
      </c>
      <c r="D22">
        <v>0.05</v>
      </c>
      <c r="E22">
        <v>0.05</v>
      </c>
    </row>
    <row r="23" spans="1:5" x14ac:dyDescent="0.45">
      <c r="A23" s="10" t="s">
        <v>68</v>
      </c>
      <c r="B23">
        <v>1.43</v>
      </c>
      <c r="C23">
        <v>1.2</v>
      </c>
      <c r="D23">
        <v>1.6</v>
      </c>
      <c r="E23">
        <v>0.53</v>
      </c>
    </row>
    <row r="24" spans="1:5" x14ac:dyDescent="0.45">
      <c r="A24" s="10" t="s">
        <v>71</v>
      </c>
      <c r="B24" s="1" t="s">
        <v>72</v>
      </c>
      <c r="C24" s="1" t="s">
        <v>73</v>
      </c>
      <c r="D24" s="1" t="s">
        <v>74</v>
      </c>
      <c r="E24" s="1" t="s">
        <v>73</v>
      </c>
    </row>
    <row r="25" spans="1:5" x14ac:dyDescent="0.45">
      <c r="A25" s="10" t="s">
        <v>83</v>
      </c>
      <c r="B25" s="5">
        <v>0.56517866999999999</v>
      </c>
      <c r="C25" s="5">
        <v>0.44953345</v>
      </c>
      <c r="D25" s="5">
        <v>0.64771707000000001</v>
      </c>
      <c r="E25" s="5">
        <v>0.16492956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703A-3368-434F-B7C8-00B6CFDA0701}">
  <dimension ref="A1:E16"/>
  <sheetViews>
    <sheetView workbookViewId="0">
      <selection activeCell="I23" sqref="I23"/>
    </sheetView>
  </sheetViews>
  <sheetFormatPr defaultRowHeight="14.25" x14ac:dyDescent="0.45"/>
  <cols>
    <col min="1" max="1" width="12.1328125" customWidth="1"/>
    <col min="4" max="4" width="11.265625" customWidth="1"/>
  </cols>
  <sheetData>
    <row r="1" spans="1:5" x14ac:dyDescent="0.45">
      <c r="B1" s="3" t="s">
        <v>8</v>
      </c>
      <c r="C1" s="4"/>
      <c r="D1" s="4"/>
      <c r="E1" s="4"/>
    </row>
    <row r="2" spans="1:5" x14ac:dyDescent="0.45">
      <c r="A2" s="7" t="s">
        <v>98</v>
      </c>
      <c r="B2" s="2" t="s">
        <v>17</v>
      </c>
      <c r="C2" s="2" t="s">
        <v>99</v>
      </c>
      <c r="D2" s="2" t="s">
        <v>28</v>
      </c>
      <c r="E2" s="2" t="s">
        <v>27</v>
      </c>
    </row>
    <row r="3" spans="1:5" x14ac:dyDescent="0.45">
      <c r="A3" s="7">
        <v>1</v>
      </c>
      <c r="B3">
        <f>SUMIFS(Table1[Confidence],Table1[KIT],A3,Table1[ExplanationType],$B$2)</f>
        <v>5</v>
      </c>
      <c r="C3">
        <f>AVERAGE(D3:E3)</f>
        <v>5</v>
      </c>
      <c r="D3">
        <f>SUMIFS(Table1[Confidence],Table1[KIT],A3,Table1[ExplanationType],$D$2)</f>
        <v>5</v>
      </c>
      <c r="E3">
        <f>SUMIFS(Table1[Confidence],Table1[KIT],A3,Table1[ExplanationType],$E$2)</f>
        <v>5</v>
      </c>
    </row>
    <row r="4" spans="1:5" x14ac:dyDescent="0.45">
      <c r="A4" s="7">
        <v>3</v>
      </c>
      <c r="B4">
        <f>SUMIFS(Table1[Confidence],Table1[KIT],A4,Table1[ExplanationType],$B$2)</f>
        <v>5</v>
      </c>
      <c r="C4">
        <f t="shared" ref="C4:C10" si="0">AVERAGE(D4:E4)</f>
        <v>4</v>
      </c>
      <c r="D4">
        <f>SUMIFS(Table1[Confidence],Table1[KIT],A4,Table1[ExplanationType],$D$2)</f>
        <v>5</v>
      </c>
      <c r="E4">
        <f>SUMIFS(Table1[Confidence],Table1[KIT],A4,Table1[ExplanationType],$E$2)</f>
        <v>3</v>
      </c>
    </row>
    <row r="5" spans="1:5" x14ac:dyDescent="0.45">
      <c r="A5" s="7">
        <v>4</v>
      </c>
      <c r="B5">
        <f>SUMIFS(Table1[Confidence],Table1[KIT],A5,Table1[ExplanationType],$B$2)</f>
        <v>5</v>
      </c>
      <c r="C5">
        <f t="shared" si="0"/>
        <v>5</v>
      </c>
      <c r="D5">
        <f>SUMIFS(Table1[Confidence],Table1[KIT],A5,Table1[ExplanationType],$D$2)</f>
        <v>5</v>
      </c>
      <c r="E5">
        <f>SUMIFS(Table1[Confidence],Table1[KIT],A5,Table1[ExplanationType],$E$2)</f>
        <v>5</v>
      </c>
    </row>
    <row r="6" spans="1:5" x14ac:dyDescent="0.45">
      <c r="A6" s="7">
        <v>5</v>
      </c>
      <c r="B6">
        <f>SUMIFS(Table1[Confidence],Table1[KIT],A6,Table1[ExplanationType],$B$2)</f>
        <v>3</v>
      </c>
      <c r="C6">
        <f t="shared" si="0"/>
        <v>4.5</v>
      </c>
      <c r="D6">
        <f>SUMIFS(Table1[Confidence],Table1[KIT],A6,Table1[ExplanationType],$D$2)</f>
        <v>5</v>
      </c>
      <c r="E6">
        <f>SUMIFS(Table1[Confidence],Table1[KIT],A6,Table1[ExplanationType],$E$2)</f>
        <v>4</v>
      </c>
    </row>
    <row r="7" spans="1:5" x14ac:dyDescent="0.45">
      <c r="A7" s="7">
        <v>6</v>
      </c>
      <c r="B7">
        <f>SUMIFS(Table1[Confidence],Table1[KIT],A7,Table1[ExplanationType],$B$2)</f>
        <v>5</v>
      </c>
      <c r="C7">
        <f t="shared" si="0"/>
        <v>5</v>
      </c>
      <c r="D7">
        <f>SUMIFS(Table1[Confidence],Table1[KIT],A7,Table1[ExplanationType],$D$2)</f>
        <v>5</v>
      </c>
      <c r="E7">
        <f>SUMIFS(Table1[Confidence],Table1[KIT],A7,Table1[ExplanationType],$E$2)</f>
        <v>5</v>
      </c>
    </row>
    <row r="8" spans="1:5" x14ac:dyDescent="0.45">
      <c r="A8" s="7">
        <v>7</v>
      </c>
      <c r="B8">
        <f>SUMIFS(Table1[Confidence],Table1[KIT],A8,Table1[ExplanationType],$B$2)</f>
        <v>1</v>
      </c>
      <c r="C8">
        <f t="shared" si="0"/>
        <v>4.5</v>
      </c>
      <c r="D8">
        <f>SUMIFS(Table1[Confidence],Table1[KIT],A8,Table1[ExplanationType],$D$2)</f>
        <v>4</v>
      </c>
      <c r="E8">
        <f>SUMIFS(Table1[Confidence],Table1[KIT],A8,Table1[ExplanationType],$E$2)</f>
        <v>5</v>
      </c>
    </row>
    <row r="9" spans="1:5" x14ac:dyDescent="0.45">
      <c r="A9" s="7">
        <v>8</v>
      </c>
      <c r="B9">
        <f>SUMIFS(Table1[Confidence],Table1[KIT],A9,Table1[ExplanationType],$B$2)</f>
        <v>5</v>
      </c>
      <c r="C9">
        <f t="shared" si="0"/>
        <v>4.5</v>
      </c>
      <c r="D9">
        <f>SUMIFS(Table1[Confidence],Table1[KIT],A9,Table1[ExplanationType],$D$2)</f>
        <v>4</v>
      </c>
      <c r="E9">
        <f>SUMIFS(Table1[Confidence],Table1[KIT],A9,Table1[ExplanationType],$E$2)</f>
        <v>5</v>
      </c>
    </row>
    <row r="10" spans="1:5" x14ac:dyDescent="0.45">
      <c r="A10" s="7">
        <v>9</v>
      </c>
      <c r="B10">
        <f>SUMIFS(Table1[Confidence],Table1[KIT],A10,Table1[ExplanationType],$B$2)</f>
        <v>5</v>
      </c>
      <c r="C10">
        <f t="shared" si="0"/>
        <v>5</v>
      </c>
      <c r="D10">
        <f>SUMIFS(Table1[Confidence],Table1[KIT],A10,Table1[ExplanationType],$D$2)</f>
        <v>5</v>
      </c>
      <c r="E10">
        <f>SUMIFS(Table1[Confidence],Table1[KIT],A10,Table1[ExplanationType],$E$2)</f>
        <v>5</v>
      </c>
    </row>
    <row r="11" spans="1:5" x14ac:dyDescent="0.45">
      <c r="A11" s="7" t="s">
        <v>58</v>
      </c>
      <c r="B11">
        <f>SUBTOTAL(101,Table1215[None])</f>
        <v>4.25</v>
      </c>
      <c r="C11">
        <f>SUBTOTAL(101,Table1215[With])</f>
        <v>4.6875</v>
      </c>
      <c r="D11">
        <f>SUBTOTAL(101,Table1215[RootCause])</f>
        <v>4.75</v>
      </c>
      <c r="E11">
        <f>SUBTOTAL(101,Table1215[Fix])</f>
        <v>4.625</v>
      </c>
    </row>
    <row r="15" spans="1:5" ht="42.75" x14ac:dyDescent="0.45">
      <c r="A15" t="s">
        <v>77</v>
      </c>
      <c r="B15" s="16" t="s">
        <v>90</v>
      </c>
      <c r="C15" s="16" t="s">
        <v>91</v>
      </c>
      <c r="D15" s="16" t="s">
        <v>94</v>
      </c>
      <c r="E15" s="16" t="s">
        <v>93</v>
      </c>
    </row>
    <row r="16" spans="1:5" x14ac:dyDescent="0.45">
      <c r="A16" s="10" t="s">
        <v>76</v>
      </c>
      <c r="B16" s="11">
        <f>TTEST(B3:B10,C3:C10,1,2)</f>
        <v>0.2166498361074774</v>
      </c>
      <c r="C16" s="11">
        <f>TTEST(B3:B10,D3:D10,1,2)</f>
        <v>0.18975292769202456</v>
      </c>
      <c r="D16" s="11">
        <f>TTEST(B3:B10,E3:E10,1,2)</f>
        <v>0.26703223711876856</v>
      </c>
      <c r="E16" s="11">
        <f>TTEST(D3:D10,E3:E10,1,2)</f>
        <v>0.34634748957002892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7BF7-C802-467D-ADC9-581943ED3F9E}">
  <dimension ref="A1:E25"/>
  <sheetViews>
    <sheetView workbookViewId="0">
      <selection activeCell="F23" sqref="F23"/>
    </sheetView>
  </sheetViews>
  <sheetFormatPr defaultRowHeight="14.25" x14ac:dyDescent="0.45"/>
  <cols>
    <col min="1" max="1" width="23.86328125" customWidth="1"/>
    <col min="2" max="2" width="12.06640625" customWidth="1"/>
    <col min="3" max="3" width="11.46484375" customWidth="1"/>
    <col min="4" max="4" width="13.265625" customWidth="1"/>
    <col min="5" max="5" width="13.796875" customWidth="1"/>
  </cols>
  <sheetData>
    <row r="1" spans="1:5" x14ac:dyDescent="0.45">
      <c r="B1" s="3" t="s">
        <v>101</v>
      </c>
      <c r="C1" s="4"/>
      <c r="D1" s="4"/>
      <c r="E1" s="4"/>
    </row>
    <row r="2" spans="1:5" x14ac:dyDescent="0.45">
      <c r="A2" s="7" t="s">
        <v>98</v>
      </c>
      <c r="B2" s="2" t="s">
        <v>17</v>
      </c>
      <c r="C2" s="2" t="s">
        <v>99</v>
      </c>
      <c r="D2" s="2" t="s">
        <v>28</v>
      </c>
      <c r="E2" s="2" t="s">
        <v>27</v>
      </c>
    </row>
    <row r="3" spans="1:5" x14ac:dyDescent="0.45">
      <c r="A3" s="7">
        <v>1</v>
      </c>
      <c r="B3">
        <f>SUMIFS(Table1[ConfidenceOthers],Table1[KIT],A3,Table1[ExplanationType],$B$2)</f>
        <v>5</v>
      </c>
      <c r="C3">
        <f>AVERAGE(D3:E3)</f>
        <v>5</v>
      </c>
      <c r="D3">
        <f>SUMIFS(Table1[ConfidenceOthers],Table1[KIT],A3,Table1[ExplanationType],$D$2)</f>
        <v>5</v>
      </c>
      <c r="E3">
        <f>SUMIFS(Table1[ConfidenceOthers],Table1[KIT],A3,Table1[ExplanationType],$E$2)</f>
        <v>5</v>
      </c>
    </row>
    <row r="4" spans="1:5" x14ac:dyDescent="0.45">
      <c r="A4" s="7">
        <v>3</v>
      </c>
      <c r="B4">
        <f>SUMIFS(Table1[ConfidenceOthers],Table1[KIT],A4,Table1[ExplanationType],$B$2)</f>
        <v>4</v>
      </c>
      <c r="C4">
        <f t="shared" ref="C4:C10" si="0">AVERAGE(D4:E4)</f>
        <v>5</v>
      </c>
      <c r="D4">
        <f>SUMIFS(Table1[ConfidenceOthers],Table1[KIT],A4,Table1[ExplanationType],$D$2)</f>
        <v>5</v>
      </c>
      <c r="E4">
        <f>SUMIFS(Table1[ConfidenceOthers],Table1[KIT],A4,Table1[ExplanationType],$E$2)</f>
        <v>5</v>
      </c>
    </row>
    <row r="5" spans="1:5" x14ac:dyDescent="0.45">
      <c r="A5" s="7">
        <v>4</v>
      </c>
      <c r="B5">
        <f>SUMIFS(Table1[ConfidenceOthers],Table1[KIT],A5,Table1[ExplanationType],$B$2)</f>
        <v>5</v>
      </c>
      <c r="C5">
        <f t="shared" si="0"/>
        <v>5</v>
      </c>
      <c r="D5">
        <f>SUMIFS(Table1[ConfidenceOthers],Table1[KIT],A5,Table1[ExplanationType],$D$2)</f>
        <v>5</v>
      </c>
      <c r="E5">
        <f>SUMIFS(Table1[ConfidenceOthers],Table1[KIT],A5,Table1[ExplanationType],$E$2)</f>
        <v>5</v>
      </c>
    </row>
    <row r="6" spans="1:5" x14ac:dyDescent="0.45">
      <c r="A6" s="7">
        <v>5</v>
      </c>
      <c r="B6">
        <f>SUMIFS(Table1[ConfidenceOthers],Table1[KIT],A6,Table1[ExplanationType],$B$2)</f>
        <v>4</v>
      </c>
      <c r="C6">
        <f t="shared" si="0"/>
        <v>5</v>
      </c>
      <c r="D6">
        <f>SUMIFS(Table1[ConfidenceOthers],Table1[KIT],A6,Table1[ExplanationType],$D$2)</f>
        <v>5</v>
      </c>
      <c r="E6">
        <f>SUMIFS(Table1[ConfidenceOthers],Table1[KIT],A6,Table1[ExplanationType],$E$2)</f>
        <v>5</v>
      </c>
    </row>
    <row r="7" spans="1:5" x14ac:dyDescent="0.45">
      <c r="A7" s="7">
        <v>6</v>
      </c>
      <c r="B7">
        <f>SUMIFS(Table1[ConfidenceOthers],Table1[KIT],A7,Table1[ExplanationType],$B$2)</f>
        <v>4</v>
      </c>
      <c r="C7">
        <f t="shared" si="0"/>
        <v>4.5</v>
      </c>
      <c r="D7">
        <f>SUMIFS(Table1[ConfidenceOthers],Table1[KIT],A7,Table1[ExplanationType],$D$2)</f>
        <v>4</v>
      </c>
      <c r="E7">
        <f>SUMIFS(Table1[ConfidenceOthers],Table1[KIT],A7,Table1[ExplanationType],$E$2)</f>
        <v>5</v>
      </c>
    </row>
    <row r="8" spans="1:5" x14ac:dyDescent="0.45">
      <c r="A8" s="7">
        <v>7</v>
      </c>
      <c r="B8">
        <f>SUMIFS(Table1[ConfidenceOthers],Table1[KIT],A8,Table1[ExplanationType],$B$2)</f>
        <v>3</v>
      </c>
      <c r="C8">
        <f t="shared" si="0"/>
        <v>5</v>
      </c>
      <c r="D8">
        <f>SUMIFS(Table1[ConfidenceOthers],Table1[KIT],A8,Table1[ExplanationType],$D$2)</f>
        <v>5</v>
      </c>
      <c r="E8">
        <f>SUMIFS(Table1[ConfidenceOthers],Table1[KIT],A8,Table1[ExplanationType],$E$2)</f>
        <v>5</v>
      </c>
    </row>
    <row r="9" spans="1:5" x14ac:dyDescent="0.45">
      <c r="A9" s="7">
        <v>8</v>
      </c>
      <c r="B9">
        <f>SUMIFS(Table1[ConfidenceOthers],Table1[KIT],A9,Table1[ExplanationType],$B$2)</f>
        <v>5</v>
      </c>
      <c r="C9">
        <f t="shared" si="0"/>
        <v>5</v>
      </c>
      <c r="D9">
        <f>SUMIFS(Table1[ConfidenceOthers],Table1[KIT],A9,Table1[ExplanationType],$D$2)</f>
        <v>5</v>
      </c>
      <c r="E9">
        <f>SUMIFS(Table1[ConfidenceOthers],Table1[KIT],A9,Table1[ExplanationType],$E$2)</f>
        <v>5</v>
      </c>
    </row>
    <row r="10" spans="1:5" x14ac:dyDescent="0.45">
      <c r="A10" s="7">
        <v>9</v>
      </c>
      <c r="B10">
        <f>SUMIFS(Table1[ConfidenceOthers],Table1[KIT],A10,Table1[ExplanationType],$B$2)</f>
        <v>4</v>
      </c>
      <c r="C10">
        <f t="shared" si="0"/>
        <v>5</v>
      </c>
      <c r="D10">
        <f>SUMIFS(Table1[ConfidenceOthers],Table1[KIT],A10,Table1[ExplanationType],$D$2)</f>
        <v>5</v>
      </c>
      <c r="E10">
        <f>SUMIFS(Table1[ConfidenceOthers],Table1[KIT],A10,Table1[ExplanationType],$E$2)</f>
        <v>5</v>
      </c>
    </row>
    <row r="11" spans="1:5" x14ac:dyDescent="0.45">
      <c r="A11" s="7" t="s">
        <v>58</v>
      </c>
      <c r="B11" s="12">
        <f>SUBTOTAL(101,Table121517[None])</f>
        <v>4.25</v>
      </c>
      <c r="C11" s="12">
        <f>SUBTOTAL(101,Table121517[With])</f>
        <v>4.9375</v>
      </c>
      <c r="D11" s="12">
        <f>SUBTOTAL(101,Table121517[RootCause])</f>
        <v>4.875</v>
      </c>
      <c r="E11" s="12">
        <f>SUBTOTAL(101,Table121517[Fix])</f>
        <v>5</v>
      </c>
    </row>
    <row r="12" spans="1:5" x14ac:dyDescent="0.45">
      <c r="A12" s="10" t="s">
        <v>75</v>
      </c>
      <c r="B12" s="13">
        <f>_xlfn.STDEV.S(Table121517[None])</f>
        <v>0.70710678118654757</v>
      </c>
      <c r="C12" s="13">
        <f>_xlfn.STDEV.S(Table121517[With])</f>
        <v>0.17677669529663689</v>
      </c>
      <c r="D12" s="13">
        <f>_xlfn.STDEV.S(Table121517[RootCause])</f>
        <v>0.35355339059327379</v>
      </c>
      <c r="E12" s="13">
        <f>_xlfn.STDEV.S(Table121517[Fix])</f>
        <v>0</v>
      </c>
    </row>
    <row r="14" spans="1:5" ht="57" x14ac:dyDescent="0.45">
      <c r="B14" s="18" t="s">
        <v>90</v>
      </c>
      <c r="C14" s="18" t="s">
        <v>91</v>
      </c>
      <c r="D14" s="18" t="s">
        <v>92</v>
      </c>
      <c r="E14" s="18" t="s">
        <v>93</v>
      </c>
    </row>
    <row r="15" spans="1:5" x14ac:dyDescent="0.45">
      <c r="B15" s="19" t="str">
        <f>IF(Table121517[[#Totals],[None]]&lt;Table121517[[#Totals],[With]],"YES","NO")</f>
        <v>YES</v>
      </c>
      <c r="C15" s="19" t="str">
        <f>IF(Table121517[[#Totals],[None]]&lt;Table121517[[#Totals],[RootCause]],"YES","NO")</f>
        <v>YES</v>
      </c>
      <c r="D15" s="19" t="str">
        <f>IF(Table121517[[#Totals],[None]]&lt;Table121517[[#Totals],[Fix]],"YES","NO")</f>
        <v>YES</v>
      </c>
      <c r="E15" s="19" t="str">
        <f>IF(Table121517[[#Totals],[RootCause]]&lt;Table121517[[#Totals],[Fix]],"YES","NO")</f>
        <v>YES</v>
      </c>
    </row>
    <row r="17" spans="1:5" ht="42.75" x14ac:dyDescent="0.45">
      <c r="A17" t="s">
        <v>77</v>
      </c>
      <c r="B17" s="16" t="s">
        <v>90</v>
      </c>
      <c r="C17" s="16" t="s">
        <v>91</v>
      </c>
      <c r="D17" s="16" t="s">
        <v>94</v>
      </c>
      <c r="E17" s="16" t="s">
        <v>93</v>
      </c>
    </row>
    <row r="18" spans="1:5" x14ac:dyDescent="0.45">
      <c r="A18" s="10" t="s">
        <v>76</v>
      </c>
      <c r="B18" s="11">
        <f>TTEST(B3:B10,C3:C10,1,2)</f>
        <v>9.1877385856477412E-3</v>
      </c>
      <c r="C18" s="11">
        <f>TTEST(B3:B10,D3:D10,1,2)</f>
        <v>2.1072895341135611E-2</v>
      </c>
      <c r="D18" s="11">
        <f>TTEST(B3:B10,E3:E10,1,2)</f>
        <v>4.7757563767696926E-3</v>
      </c>
      <c r="E18" s="11">
        <f>TTEST(D3:D10,E3:E10,1,2)</f>
        <v>0.16714097169732878</v>
      </c>
    </row>
    <row r="20" spans="1:5" x14ac:dyDescent="0.45">
      <c r="A20" t="s">
        <v>70</v>
      </c>
    </row>
    <row r="21" spans="1:5" ht="42.75" x14ac:dyDescent="0.45">
      <c r="A21" t="s">
        <v>60</v>
      </c>
      <c r="B21" s="16" t="s">
        <v>90</v>
      </c>
      <c r="C21" s="16" t="s">
        <v>91</v>
      </c>
      <c r="D21" s="16" t="s">
        <v>94</v>
      </c>
      <c r="E21" s="16" t="s">
        <v>93</v>
      </c>
    </row>
    <row r="22" spans="1:5" x14ac:dyDescent="0.45">
      <c r="A22" s="10" t="s">
        <v>69</v>
      </c>
      <c r="B22">
        <v>0.05</v>
      </c>
      <c r="C22">
        <v>0.05</v>
      </c>
      <c r="D22">
        <v>0.05</v>
      </c>
      <c r="E22">
        <v>0.05</v>
      </c>
    </row>
    <row r="23" spans="1:5" x14ac:dyDescent="0.45">
      <c r="A23" s="10" t="s">
        <v>68</v>
      </c>
      <c r="B23">
        <v>1.43</v>
      </c>
      <c r="C23">
        <v>1.2</v>
      </c>
      <c r="D23">
        <v>1.6</v>
      </c>
      <c r="E23">
        <v>0.53</v>
      </c>
    </row>
    <row r="24" spans="1:5" x14ac:dyDescent="0.45">
      <c r="A24" s="10" t="s">
        <v>71</v>
      </c>
      <c r="B24" s="1" t="s">
        <v>72</v>
      </c>
      <c r="C24" s="1" t="s">
        <v>73</v>
      </c>
      <c r="D24" s="1" t="s">
        <v>74</v>
      </c>
      <c r="E24" s="1" t="s">
        <v>73</v>
      </c>
    </row>
    <row r="25" spans="1:5" x14ac:dyDescent="0.45">
      <c r="A25" s="10" t="s">
        <v>83</v>
      </c>
      <c r="B25" s="5">
        <v>0.56517866999999999</v>
      </c>
      <c r="C25" s="5">
        <v>0.44953345</v>
      </c>
      <c r="D25" s="5">
        <v>0.64771707000000001</v>
      </c>
      <c r="E25" s="5">
        <v>0.16492956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BBA8-9E75-4BB3-BABF-A735E05A5FF7}">
  <dimension ref="A1:E16"/>
  <sheetViews>
    <sheetView workbookViewId="0">
      <selection activeCell="I23" sqref="I23"/>
    </sheetView>
  </sheetViews>
  <sheetFormatPr defaultRowHeight="14.25" x14ac:dyDescent="0.45"/>
  <cols>
    <col min="1" max="1" width="12.1328125" customWidth="1"/>
    <col min="4" max="4" width="11.265625" customWidth="1"/>
  </cols>
  <sheetData>
    <row r="1" spans="1:5" x14ac:dyDescent="0.45">
      <c r="B1" s="3" t="s">
        <v>100</v>
      </c>
      <c r="C1" s="4"/>
      <c r="D1" s="4"/>
      <c r="E1" s="4"/>
    </row>
    <row r="2" spans="1:5" x14ac:dyDescent="0.45">
      <c r="A2" s="7" t="s">
        <v>98</v>
      </c>
      <c r="B2" s="2" t="s">
        <v>17</v>
      </c>
      <c r="C2" s="2" t="s">
        <v>99</v>
      </c>
      <c r="D2" s="2" t="s">
        <v>28</v>
      </c>
      <c r="E2" s="2" t="s">
        <v>27</v>
      </c>
    </row>
    <row r="3" spans="1:5" x14ac:dyDescent="0.45">
      <c r="A3" s="7">
        <v>1</v>
      </c>
      <c r="B3">
        <f>SUMIFS(Table1[DurationMinutes],Table1[KIT],A3,Table1[ExplanationType],$B$2)</f>
        <v>5</v>
      </c>
      <c r="C3">
        <f>AVERAGE(D3:E3)</f>
        <v>7.5</v>
      </c>
      <c r="D3">
        <f>SUMIFS(Table1[DurationMinutes],Table1[KIT],A3,Table1[ExplanationType],$D$2)</f>
        <v>6</v>
      </c>
      <c r="E3">
        <f>SUMIFS(Table1[DurationMinutes],Table1[KIT],A3,Table1[ExplanationType],$E$2)</f>
        <v>9</v>
      </c>
    </row>
    <row r="4" spans="1:5" x14ac:dyDescent="0.45">
      <c r="A4" s="7">
        <v>3</v>
      </c>
      <c r="B4">
        <f>SUMIFS(Table1[DurationMinutes],Table1[KIT],A4,Table1[ExplanationType],$B$2)</f>
        <v>3</v>
      </c>
      <c r="C4">
        <f t="shared" ref="C4:C10" si="0">AVERAGE(D4:E4)</f>
        <v>5</v>
      </c>
      <c r="D4">
        <f>SUMIFS(Table1[DurationMinutes],Table1[KIT],A4,Table1[ExplanationType],$D$2)</f>
        <v>5</v>
      </c>
      <c r="E4">
        <f>SUMIFS(Table1[DurationMinutes],Table1[KIT],A4,Table1[ExplanationType],$E$2)</f>
        <v>5</v>
      </c>
    </row>
    <row r="5" spans="1:5" x14ac:dyDescent="0.45">
      <c r="A5" s="7">
        <v>4</v>
      </c>
      <c r="B5">
        <f>SUMIFS(Table1[DurationMinutes],Table1[KIT],A5,Table1[ExplanationType],$B$2)</f>
        <v>8</v>
      </c>
      <c r="C5">
        <f t="shared" si="0"/>
        <v>7</v>
      </c>
      <c r="D5">
        <f>SUMIFS(Table1[DurationMinutes],Table1[KIT],A5,Table1[ExplanationType],$D$2)</f>
        <v>4</v>
      </c>
      <c r="E5">
        <f>SUMIFS(Table1[DurationMinutes],Table1[KIT],A5,Table1[ExplanationType],$E$2)</f>
        <v>10</v>
      </c>
    </row>
    <row r="6" spans="1:5" x14ac:dyDescent="0.45">
      <c r="A6" s="7">
        <v>5</v>
      </c>
      <c r="B6">
        <f>SUMIFS(Table1[DurationMinutes],Table1[KIT],A6,Table1[ExplanationType],$B$2)</f>
        <v>10</v>
      </c>
      <c r="C6">
        <f t="shared" si="0"/>
        <v>6</v>
      </c>
      <c r="D6">
        <f>SUMIFS(Table1[DurationMinutes],Table1[KIT],A6,Table1[ExplanationType],$D$2)</f>
        <v>6</v>
      </c>
      <c r="E6">
        <f>SUMIFS(Table1[DurationMinutes],Table1[KIT],A6,Table1[ExplanationType],$E$2)</f>
        <v>6</v>
      </c>
    </row>
    <row r="7" spans="1:5" x14ac:dyDescent="0.45">
      <c r="A7" s="7">
        <v>6</v>
      </c>
      <c r="B7">
        <f>SUMIFS(Table1[DurationMinutes],Table1[KIT],A7,Table1[ExplanationType],$B$2)</f>
        <v>6</v>
      </c>
      <c r="C7">
        <f t="shared" si="0"/>
        <v>4.5</v>
      </c>
      <c r="D7">
        <f>SUMIFS(Table1[DurationMinutes],Table1[KIT],A7,Table1[ExplanationType],$D$2)</f>
        <v>4</v>
      </c>
      <c r="E7">
        <f>SUMIFS(Table1[DurationMinutes],Table1[KIT],A7,Table1[ExplanationType],$E$2)</f>
        <v>5</v>
      </c>
    </row>
    <row r="8" spans="1:5" x14ac:dyDescent="0.45">
      <c r="A8" s="7">
        <v>7</v>
      </c>
      <c r="B8">
        <f>SUMIFS(Table1[DurationMinutes],Table1[KIT],A8,Table1[ExplanationType],$B$2)</f>
        <v>5</v>
      </c>
      <c r="C8">
        <f t="shared" si="0"/>
        <v>6.5</v>
      </c>
      <c r="D8">
        <f>SUMIFS(Table1[DurationMinutes],Table1[KIT],A8,Table1[ExplanationType],$D$2)</f>
        <v>8</v>
      </c>
      <c r="E8">
        <f>SUMIFS(Table1[DurationMinutes],Table1[KIT],A8,Table1[ExplanationType],$E$2)</f>
        <v>5</v>
      </c>
    </row>
    <row r="9" spans="1:5" x14ac:dyDescent="0.45">
      <c r="A9" s="7">
        <v>8</v>
      </c>
      <c r="B9">
        <f>SUMIFS(Table1[DurationMinutes],Table1[KIT],A9,Table1[ExplanationType],$B$2)</f>
        <v>4</v>
      </c>
      <c r="C9">
        <f t="shared" si="0"/>
        <v>7</v>
      </c>
      <c r="D9">
        <f>SUMIFS(Table1[DurationMinutes],Table1[KIT],A9,Table1[ExplanationType],$D$2)</f>
        <v>8</v>
      </c>
      <c r="E9">
        <f>SUMIFS(Table1[DurationMinutes],Table1[KIT],A9,Table1[ExplanationType],$E$2)</f>
        <v>6</v>
      </c>
    </row>
    <row r="10" spans="1:5" x14ac:dyDescent="0.45">
      <c r="A10" s="7">
        <v>9</v>
      </c>
      <c r="B10">
        <f>SUMIFS(Table1[DurationMinutes],Table1[KIT],A10,Table1[ExplanationType],$B$2)</f>
        <v>9</v>
      </c>
      <c r="C10">
        <f t="shared" si="0"/>
        <v>6.5</v>
      </c>
      <c r="D10">
        <f>SUMIFS(Table1[DurationMinutes],Table1[KIT],A10,Table1[ExplanationType],$D$2)</f>
        <v>7</v>
      </c>
      <c r="E10">
        <f>SUMIFS(Table1[DurationMinutes],Table1[KIT],A10,Table1[ExplanationType],$E$2)</f>
        <v>6</v>
      </c>
    </row>
    <row r="11" spans="1:5" x14ac:dyDescent="0.45">
      <c r="A11" s="7" t="s">
        <v>58</v>
      </c>
      <c r="B11">
        <f>SUBTOTAL(101,Table12[None])</f>
        <v>6.25</v>
      </c>
      <c r="C11">
        <f>SUBTOTAL(101,Table12[With])</f>
        <v>6.25</v>
      </c>
      <c r="D11">
        <f>SUBTOTAL(101,Table12[RootCause])</f>
        <v>6</v>
      </c>
      <c r="E11">
        <f>SUBTOTAL(101,Table12[Fix])</f>
        <v>6.5</v>
      </c>
    </row>
    <row r="15" spans="1:5" ht="42.75" x14ac:dyDescent="0.45">
      <c r="A15" t="s">
        <v>77</v>
      </c>
      <c r="B15" s="16" t="s">
        <v>90</v>
      </c>
      <c r="C15" s="16" t="s">
        <v>91</v>
      </c>
      <c r="D15" s="16" t="s">
        <v>94</v>
      </c>
      <c r="E15" s="16" t="s">
        <v>93</v>
      </c>
    </row>
    <row r="16" spans="1:5" x14ac:dyDescent="0.45">
      <c r="A16" s="10" t="s">
        <v>76</v>
      </c>
      <c r="B16" s="11">
        <f>TTEST(B3:B10,C3:C10,1,2)</f>
        <v>0.5</v>
      </c>
      <c r="C16" s="11">
        <f>TTEST(B3:B10,D3:D10,1,2)</f>
        <v>0.40745190558881494</v>
      </c>
      <c r="D16" s="11">
        <f>TTEST(B3:B10,E3:E10,1,2)</f>
        <v>0.41284031642738028</v>
      </c>
      <c r="E16" s="11">
        <f>TTEST(D3:D10,E3:E10,1,2)</f>
        <v>0.29081341847695036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A4C4-CD0C-4E3C-8090-E2C2D8531F69}">
  <dimension ref="A1:K30"/>
  <sheetViews>
    <sheetView workbookViewId="0">
      <selection activeCell="I23" sqref="I23"/>
    </sheetView>
  </sheetViews>
  <sheetFormatPr defaultRowHeight="14.25" x14ac:dyDescent="0.45"/>
  <cols>
    <col min="1" max="1" width="21.59765625" customWidth="1"/>
    <col min="3" max="3" width="9.73046875" customWidth="1"/>
    <col min="4" max="4" width="10.73046875" customWidth="1"/>
    <col min="5" max="5" width="14.265625" customWidth="1"/>
    <col min="6" max="6" width="9.73046875" customWidth="1"/>
    <col min="7" max="7" width="10.33203125" customWidth="1"/>
    <col min="8" max="8" width="12.6640625" customWidth="1"/>
    <col min="9" max="9" width="9.46484375" customWidth="1"/>
    <col min="10" max="10" width="12.19921875" customWidth="1"/>
    <col min="11" max="11" width="11.265625" customWidth="1"/>
    <col min="12" max="12" width="13.9296875" customWidth="1"/>
  </cols>
  <sheetData>
    <row r="1" spans="1:11" x14ac:dyDescent="0.45">
      <c r="A1" s="10" t="s">
        <v>95</v>
      </c>
    </row>
    <row r="2" spans="1:11" ht="42.75" x14ac:dyDescent="0.45">
      <c r="A2" s="16" t="s">
        <v>46</v>
      </c>
      <c r="B2" s="16" t="s">
        <v>78</v>
      </c>
      <c r="C2" s="16" t="s">
        <v>59</v>
      </c>
      <c r="D2" s="16" t="s">
        <v>80</v>
      </c>
      <c r="E2" s="16" t="s">
        <v>79</v>
      </c>
      <c r="F2" s="16" t="s">
        <v>81</v>
      </c>
      <c r="G2" s="16" t="s">
        <v>84</v>
      </c>
      <c r="H2" s="16"/>
      <c r="I2" s="16"/>
    </row>
    <row r="3" spans="1:11" x14ac:dyDescent="0.45">
      <c r="A3" s="7">
        <v>1.8</v>
      </c>
      <c r="B3" s="5">
        <f>COUNTIFS(Table1[WorkingSet],"1.8N",Table1[ValidFix],TRUE)</f>
        <v>0</v>
      </c>
      <c r="C3" s="5">
        <f>(Table2[[#This Row],[With RootCause]]+Table2[[#This Row],[With Fix]])</f>
        <v>3</v>
      </c>
      <c r="D3" s="5">
        <f>COUNTIFS(Table1[WorkingSet],"1.8R",Table1[ValidFix],TRUE)</f>
        <v>1</v>
      </c>
      <c r="E3" s="5">
        <f>COUNTIFS(Table1[WorkingSet],"1.8F",Table1[ValidFix],TRUE)</f>
        <v>2</v>
      </c>
      <c r="F3" s="7">
        <f>COUNTIF(Table1[Bug],Table2[[#This Row],[Bug]])</f>
        <v>8</v>
      </c>
      <c r="G3" s="5">
        <f>COUNTIFS(Table1[Bug],Table2[[#This Row],[Bug]],Table1[ValidFix],TRUE)</f>
        <v>3</v>
      </c>
      <c r="H3" s="7"/>
      <c r="I3" s="5"/>
    </row>
    <row r="4" spans="1:11" x14ac:dyDescent="0.45">
      <c r="A4" s="7">
        <v>2.2400000000000002</v>
      </c>
      <c r="B4" s="5">
        <f>COUNTIFS(Table1[WorkingSet],"2.24N",Table1[ValidFix],TRUE)</f>
        <v>1</v>
      </c>
      <c r="C4" s="5">
        <f>(Table2[[#This Row],[With RootCause]]+Table2[[#This Row],[With Fix]])</f>
        <v>5</v>
      </c>
      <c r="D4" s="5">
        <f>COUNTIFS(Table1[WorkingSet],"2.24R",Table1[ValidFix],TRUE)</f>
        <v>2</v>
      </c>
      <c r="E4" s="5">
        <f>COUNTIFS(Table1[WorkingSet],"2.24F",Table1[ValidFix],TRUE)</f>
        <v>3</v>
      </c>
      <c r="F4" s="7">
        <f>COUNTIF(Table1[Bug],Table2[[#This Row],[Bug]])</f>
        <v>8</v>
      </c>
      <c r="G4" s="5">
        <f>COUNTIFS(Table1[Bug],Table2[[#This Row],[Bug]],Table1[ValidFix],TRUE)</f>
        <v>6</v>
      </c>
      <c r="H4" s="7"/>
      <c r="I4" s="5"/>
    </row>
    <row r="5" spans="1:11" x14ac:dyDescent="0.45">
      <c r="A5" s="7">
        <v>7.33</v>
      </c>
      <c r="B5" s="5">
        <f>COUNTIFS(Table1[WorkingSet],"7.33N",Table1[ValidFix],TRUE)</f>
        <v>2</v>
      </c>
      <c r="C5" s="5">
        <f>(Table2[[#This Row],[With RootCause]]+Table2[[#This Row],[With Fix]])</f>
        <v>5</v>
      </c>
      <c r="D5" s="5">
        <f>COUNTIFS(Table1[WorkingSet],"7.33R",Table1[ValidFix],TRUE)</f>
        <v>2</v>
      </c>
      <c r="E5" s="5">
        <f>COUNTIFS(Table1[WorkingSet],"7.33F",Table1[ValidFix],TRUE)</f>
        <v>3</v>
      </c>
      <c r="F5" s="7">
        <f>COUNTIF(Table1[Bug],Table2[[#This Row],[Bug]])</f>
        <v>8</v>
      </c>
      <c r="G5" s="5">
        <f>COUNTIFS(Table1[Bug],Table2[[#This Row],[Bug]],Table1[ValidFix],TRUE)</f>
        <v>7</v>
      </c>
      <c r="H5" s="7"/>
      <c r="I5" s="5"/>
    </row>
    <row r="6" spans="1:11" x14ac:dyDescent="0.45">
      <c r="A6" s="7" t="s">
        <v>62</v>
      </c>
      <c r="B6" s="5">
        <f>SUBTOTAL(101,Table2[Without Explanation])</f>
        <v>1</v>
      </c>
      <c r="C6" s="5">
        <f>SUBTOTAL(101,Table2[With explanation])</f>
        <v>4.333333333333333</v>
      </c>
      <c r="D6" s="5">
        <f>SUBTOTAL(101,Table2[With RootCause])</f>
        <v>1.6666666666666667</v>
      </c>
      <c r="E6" s="5">
        <f>SUBTOTAL(101,Table2[With Fix])</f>
        <v>2.6666666666666665</v>
      </c>
      <c r="F6" s="5">
        <f>SUBTOTAL(101,Table2[Total answers])</f>
        <v>8</v>
      </c>
      <c r="G6" s="5">
        <f>SUBTOTAL(101,Table2[Total correct])</f>
        <v>5.333333333333333</v>
      </c>
      <c r="H6" s="7"/>
      <c r="I6" s="5"/>
    </row>
    <row r="7" spans="1:11" x14ac:dyDescent="0.45">
      <c r="A7" s="8" t="s">
        <v>61</v>
      </c>
      <c r="B7" s="6">
        <f>_xlfn.STDEV.S(Table2[Without Explanation])</f>
        <v>1</v>
      </c>
      <c r="C7" s="6">
        <f>_xlfn.STDEV.S(Table2[With explanation])</f>
        <v>1.154700538379251</v>
      </c>
      <c r="D7" s="6">
        <f>_xlfn.STDEV.S(Table2[With RootCause])</f>
        <v>0.57735026918962551</v>
      </c>
      <c r="E7" s="6">
        <f>_xlfn.STDEV.S(Table2[With Fix])</f>
        <v>0.57735026918962629</v>
      </c>
      <c r="F7" s="6">
        <f>_xlfn.STDEV.S(Table2[Total answers])</f>
        <v>0</v>
      </c>
      <c r="G7" s="6">
        <f>_xlfn.STDEV.S(Table2[Total correct])</f>
        <v>2.0816659994661335</v>
      </c>
      <c r="H7" s="6"/>
      <c r="I7" s="6"/>
    </row>
    <row r="9" spans="1:11" x14ac:dyDescent="0.45">
      <c r="A9" s="10" t="s">
        <v>96</v>
      </c>
    </row>
    <row r="10" spans="1:11" ht="42.75" x14ac:dyDescent="0.45">
      <c r="A10" s="16" t="s">
        <v>46</v>
      </c>
      <c r="B10" s="16" t="s">
        <v>78</v>
      </c>
      <c r="C10" s="16" t="s">
        <v>59</v>
      </c>
      <c r="D10" s="16" t="s">
        <v>80</v>
      </c>
      <c r="E10" s="16" t="s">
        <v>79</v>
      </c>
      <c r="F10" s="16" t="s">
        <v>81</v>
      </c>
      <c r="G10" s="16" t="s">
        <v>89</v>
      </c>
      <c r="K10" s="16"/>
    </row>
    <row r="11" spans="1:11" x14ac:dyDescent="0.45">
      <c r="A11" s="7">
        <v>1.8</v>
      </c>
      <c r="B11" s="15">
        <f>COUNTIFS(Table1[WorkingSet],"1.8N",Table1[ValidFix],TRUE)/(COUNTIF(Table1[WorkingSet],"1.8N"))</f>
        <v>0</v>
      </c>
      <c r="C11" s="15">
        <f>(D3+E3)/(COUNTIF(Table1[WorkingSet],"1.8R")+COUNTIF(Table1[WorkingSet],"1.8F"))</f>
        <v>0.5</v>
      </c>
      <c r="D11" s="15">
        <f>COUNTIFS(Table1[WorkingSet],"1.8R",Table1[ValidFix],TRUE)/(COUNTIF(Table1[WorkingSet],"1.8R"))</f>
        <v>0.33333333333333331</v>
      </c>
      <c r="E11" s="15">
        <f>COUNTIFS(Table1[WorkingSet],"1.8F",Table1[ValidFix],TRUE)/(COUNTIF(Table1[WorkingSet],"1.8F"))</f>
        <v>0.66666666666666663</v>
      </c>
      <c r="F11" s="20">
        <f>COUNTIF(Table1[Bug],Table27[[#This Row],[Bug]])</f>
        <v>8</v>
      </c>
      <c r="G11" s="15">
        <f t="shared" ref="G11:G13" si="0">G3/F3</f>
        <v>0.375</v>
      </c>
      <c r="K11" s="16"/>
    </row>
    <row r="12" spans="1:11" x14ac:dyDescent="0.45">
      <c r="A12" s="7">
        <v>2.2400000000000002</v>
      </c>
      <c r="B12" s="15">
        <f>COUNTIFS(Table1[WorkingSet],"2.24N",Table1[ValidFix],TRUE)/(COUNTIF(Table1[WorkingSet],"2.24N"))</f>
        <v>0.33333333333333331</v>
      </c>
      <c r="C12" s="15">
        <f>(D4+E4)/(COUNTIF(Table1[WorkingSet],"1.8R")+COUNTIF(Table1[WorkingSet],"1.8F"))</f>
        <v>0.83333333333333337</v>
      </c>
      <c r="D12" s="15">
        <f>COUNTIFS(Table1[WorkingSet],"2.24R",Table1[ValidFix],TRUE)/(COUNTIF(Table1[WorkingSet],"2.24R"))</f>
        <v>0.66666666666666663</v>
      </c>
      <c r="E12" s="15">
        <f>COUNTIFS(Table1[WorkingSet],"2.24F",Table1[ValidFix],TRUE)/(COUNTIF(Table1[WorkingSet],"2.24F"))</f>
        <v>1</v>
      </c>
      <c r="F12" s="20">
        <f>COUNTIF(Table1[Bug],Table27[[#This Row],[Bug]])</f>
        <v>8</v>
      </c>
      <c r="G12" s="15">
        <f t="shared" si="0"/>
        <v>0.75</v>
      </c>
    </row>
    <row r="13" spans="1:11" x14ac:dyDescent="0.45">
      <c r="A13" s="7">
        <v>7.33</v>
      </c>
      <c r="B13" s="15">
        <f>COUNTIFS(Table1[WorkingSet],"7.33N",Table1[ValidFix],TRUE)/(COUNTIF(Table1[WorkingSet],"7.33N"))</f>
        <v>0.66666666666666663</v>
      </c>
      <c r="C13" s="15">
        <f>(D5+E5)/(COUNTIF(Table1[WorkingSet],"1.8R")+COUNTIF(Table1[WorkingSet],"1.8F"))</f>
        <v>0.83333333333333337</v>
      </c>
      <c r="D13" s="15">
        <f>COUNTIFS(Table1[WorkingSet],"7.33R",Table1[ValidFix],TRUE)/(COUNTIF(Table1[WorkingSet],"7.33R"))</f>
        <v>0.66666666666666663</v>
      </c>
      <c r="E13" s="15">
        <f>COUNTIFS(Table1[WorkingSet],"7.33F",Table1[ValidFix],TRUE)/(COUNTIF(Table1[WorkingSet],"7.33F"))</f>
        <v>1</v>
      </c>
      <c r="F13" s="20">
        <f>COUNTIF(Table1[Bug],Table27[[#This Row],[Bug]])</f>
        <v>8</v>
      </c>
      <c r="G13" s="15">
        <f t="shared" si="0"/>
        <v>0.875</v>
      </c>
    </row>
    <row r="14" spans="1:11" x14ac:dyDescent="0.45">
      <c r="A14" s="7" t="s">
        <v>62</v>
      </c>
      <c r="B14" s="12">
        <f>SUBTOTAL(101,Table27[Without Explanation])</f>
        <v>0.33333333333333331</v>
      </c>
      <c r="C14" s="12">
        <f>SUBTOTAL(101,Table27[With explanation])</f>
        <v>0.72222222222222232</v>
      </c>
      <c r="D14" s="12">
        <f>SUBTOTAL(101,Table27[With RootCause])</f>
        <v>0.55555555555555547</v>
      </c>
      <c r="E14" s="12">
        <f>SUBTOTAL(101,Table27[With Fix])</f>
        <v>0.88888888888888884</v>
      </c>
      <c r="F14" s="12">
        <f>SUBTOTAL(101,Table27[Total answers])</f>
        <v>8</v>
      </c>
      <c r="G14" s="12">
        <f>SUBTOTAL(101,Table27[total correct])</f>
        <v>0.66666666666666663</v>
      </c>
    </row>
    <row r="15" spans="1:11" x14ac:dyDescent="0.45">
      <c r="A15" s="8" t="s">
        <v>61</v>
      </c>
      <c r="B15" s="21">
        <f>_xlfn.STDEV.S(Table27[Without Explanation])</f>
        <v>0.33333333333333337</v>
      </c>
      <c r="C15" s="21">
        <f>_xlfn.STDEV.S(Table27[With explanation])</f>
        <v>0.1924500897298751</v>
      </c>
      <c r="D15" s="21">
        <f>_xlfn.STDEV.S(Table27[With RootCause])</f>
        <v>0.19245008972987554</v>
      </c>
      <c r="E15" s="21">
        <f>_xlfn.STDEV.S(Table27[With Fix])</f>
        <v>0.19245008972987568</v>
      </c>
      <c r="F15" s="21">
        <f>_xlfn.STDEV.S(Table27[Total answers])</f>
        <v>0</v>
      </c>
      <c r="G15" s="21">
        <f>_xlfn.STDEV.S(Table27[total correct])</f>
        <v>0.26020824993326669</v>
      </c>
    </row>
    <row r="17" spans="1:5" ht="42.75" x14ac:dyDescent="0.45">
      <c r="A17" s="16" t="s">
        <v>46</v>
      </c>
      <c r="B17" s="16" t="s">
        <v>86</v>
      </c>
      <c r="C17" s="16" t="s">
        <v>85</v>
      </c>
      <c r="D17" s="16" t="s">
        <v>87</v>
      </c>
      <c r="E17" s="16" t="s">
        <v>88</v>
      </c>
    </row>
    <row r="18" spans="1:5" x14ac:dyDescent="0.45">
      <c r="A18" s="7">
        <v>1.8</v>
      </c>
      <c r="B18" s="16" t="str">
        <f t="shared" ref="B18:B20" si="1">IF(B11&lt;C11,"YES", "NO")</f>
        <v>YES</v>
      </c>
      <c r="C18" s="16" t="str">
        <f t="shared" ref="C18:C20" si="2">IF(B11&lt;D11,"YES","NO")</f>
        <v>YES</v>
      </c>
      <c r="D18" s="16" t="str">
        <f t="shared" ref="D18:D20" si="3">IF(B11&lt;E11,"YES","NO")</f>
        <v>YES</v>
      </c>
      <c r="E18" s="16" t="str">
        <f t="shared" ref="E18:E20" si="4">IF(D11&lt;E11,"YES","NO")</f>
        <v>YES</v>
      </c>
    </row>
    <row r="19" spans="1:5" x14ac:dyDescent="0.45">
      <c r="A19" s="7">
        <v>2.2400000000000002</v>
      </c>
      <c r="B19" s="2" t="str">
        <f t="shared" si="1"/>
        <v>YES</v>
      </c>
      <c r="C19" s="2" t="str">
        <f t="shared" si="2"/>
        <v>YES</v>
      </c>
      <c r="D19" s="16" t="str">
        <f t="shared" si="3"/>
        <v>YES</v>
      </c>
      <c r="E19" s="16" t="str">
        <f t="shared" si="4"/>
        <v>YES</v>
      </c>
    </row>
    <row r="20" spans="1:5" x14ac:dyDescent="0.45">
      <c r="A20" s="7">
        <v>7.33</v>
      </c>
      <c r="B20" s="2" t="str">
        <f t="shared" si="1"/>
        <v>YES</v>
      </c>
      <c r="C20" s="2" t="str">
        <f t="shared" si="2"/>
        <v>NO</v>
      </c>
      <c r="D20" s="16" t="str">
        <f t="shared" si="3"/>
        <v>YES</v>
      </c>
      <c r="E20" s="16" t="str">
        <f t="shared" si="4"/>
        <v>YES</v>
      </c>
    </row>
    <row r="22" spans="1:5" ht="42.75" x14ac:dyDescent="0.45">
      <c r="A22" t="s">
        <v>77</v>
      </c>
      <c r="B22" s="16" t="s">
        <v>90</v>
      </c>
      <c r="C22" s="16" t="s">
        <v>91</v>
      </c>
      <c r="D22" s="16" t="s">
        <v>94</v>
      </c>
      <c r="E22" s="16" t="s">
        <v>93</v>
      </c>
    </row>
    <row r="23" spans="1:5" x14ac:dyDescent="0.45">
      <c r="A23" s="10" t="s">
        <v>76</v>
      </c>
      <c r="B23" s="11">
        <f>TTEST(Table27[Without Explanation],Table27[With explanation],1,2)</f>
        <v>7.7508105571083438E-2</v>
      </c>
      <c r="C23" s="11">
        <f>TTEST(Table27[Without Explanation],Table27[With RootCause],1,2)</f>
        <v>0.18695048315002952</v>
      </c>
      <c r="D23" s="11">
        <f>TTEST(Table27[Without Explanation],Table27[With Fix],1,2)</f>
        <v>3.3383272405994042E-2</v>
      </c>
      <c r="E23" s="11">
        <f>TTEST(Table27[With Fix],Table27[With RootCause],1,2)</f>
        <v>5.0595753609147691E-2</v>
      </c>
    </row>
    <row r="25" spans="1:5" x14ac:dyDescent="0.45">
      <c r="A25" t="s">
        <v>70</v>
      </c>
    </row>
    <row r="26" spans="1:5" ht="42.75" x14ac:dyDescent="0.45">
      <c r="A26" t="s">
        <v>60</v>
      </c>
      <c r="B26" s="16" t="s">
        <v>90</v>
      </c>
      <c r="C26" s="16" t="s">
        <v>91</v>
      </c>
      <c r="D26" s="16" t="s">
        <v>94</v>
      </c>
      <c r="E26" s="16" t="s">
        <v>93</v>
      </c>
    </row>
    <row r="27" spans="1:5" x14ac:dyDescent="0.45">
      <c r="A27" s="10" t="s">
        <v>69</v>
      </c>
      <c r="B27">
        <v>0.05</v>
      </c>
      <c r="C27">
        <v>0.05</v>
      </c>
      <c r="D27">
        <v>0.05</v>
      </c>
      <c r="E27">
        <v>0.05</v>
      </c>
    </row>
    <row r="28" spans="1:5" x14ac:dyDescent="0.45">
      <c r="A28" s="10" t="s">
        <v>68</v>
      </c>
      <c r="B28">
        <v>1.75</v>
      </c>
      <c r="C28">
        <v>1.05</v>
      </c>
      <c r="D28">
        <v>2.12</v>
      </c>
      <c r="E28">
        <v>2.5099999999999998</v>
      </c>
    </row>
    <row r="29" spans="1:5" x14ac:dyDescent="0.45">
      <c r="A29" s="10" t="s">
        <v>71</v>
      </c>
      <c r="B29" s="1" t="s">
        <v>72</v>
      </c>
      <c r="C29" s="1" t="s">
        <v>73</v>
      </c>
      <c r="D29" s="1" t="s">
        <v>74</v>
      </c>
      <c r="E29" s="1" t="s">
        <v>74</v>
      </c>
    </row>
    <row r="30" spans="1:5" x14ac:dyDescent="0.45">
      <c r="A30" s="10" t="s">
        <v>83</v>
      </c>
      <c r="B30" s="5">
        <v>0.05</v>
      </c>
      <c r="C30" s="5">
        <v>0.05</v>
      </c>
      <c r="D30" s="5">
        <v>0.05</v>
      </c>
      <c r="E30" s="5">
        <v>0.05</v>
      </c>
    </row>
  </sheetData>
  <conditionalFormatting sqref="B18:E20">
    <cfRule type="cellIs" dxfId="0" priority="1" operator="equal">
      <formula>"NO"</formula>
    </cfRule>
  </conditionalFormatting>
  <pageMargins left="0.7" right="0.7" top="0.75" bottom="0.75" header="0.3" footer="0.3"/>
  <pageSetup orientation="portrait" r:id="rId1"/>
  <legacyDrawing r:id="rId2"/>
  <tableParts count="5">
    <tablePart r:id="rId3"/>
    <tablePart r:id="rId4"/>
    <tablePart r:id="rId5"/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8E1C6-9207-4A43-A0B0-4E4AB93E05A0}">
  <dimension ref="A1:E26"/>
  <sheetViews>
    <sheetView workbookViewId="0">
      <selection activeCell="B5" sqref="B5"/>
    </sheetView>
  </sheetViews>
  <sheetFormatPr defaultRowHeight="14.25" x14ac:dyDescent="0.45"/>
  <cols>
    <col min="1" max="1" width="29.06640625" customWidth="1"/>
    <col min="2" max="2" width="20.1328125" customWidth="1"/>
    <col min="3" max="3" width="24.265625" customWidth="1"/>
    <col min="4" max="4" width="26.46484375" customWidth="1"/>
    <col min="5" max="5" width="24.1328125" customWidth="1"/>
  </cols>
  <sheetData>
    <row r="1" spans="1:5" x14ac:dyDescent="0.45">
      <c r="A1" s="1" t="s">
        <v>63</v>
      </c>
      <c r="B1" t="s">
        <v>65</v>
      </c>
      <c r="C1" t="s">
        <v>64</v>
      </c>
      <c r="D1" t="s">
        <v>66</v>
      </c>
      <c r="E1" t="s">
        <v>67</v>
      </c>
    </row>
    <row r="2" spans="1:5" x14ac:dyDescent="0.45">
      <c r="A2" s="14">
        <v>1</v>
      </c>
      <c r="B2">
        <f>COUNTIFS(Table1[KIT],AcrossSubjectsCorrectness!A2,Table1[ExplanationType],"None",Table1[ValidFix],TRUE)</f>
        <v>1</v>
      </c>
      <c r="C2">
        <f>(Table3[[#This Row],[With RootCause Explanations]]+Table3[[#This Row],[With Fix Explanations]])/2</f>
        <v>1</v>
      </c>
      <c r="D2">
        <f>COUNTIFS(Table1[KIT],AcrossSubjectsCorrectness!A2,Table1[ExplanationType],"RootCause",Table1[ValidFix],TRUE)</f>
        <v>1</v>
      </c>
      <c r="E2">
        <f>COUNTIFS(Table1[KIT],AcrossSubjectsCorrectness!A2,Table1[ExplanationType],"Fix",Table1[ValidFix],TRUE)</f>
        <v>1</v>
      </c>
    </row>
    <row r="3" spans="1:5" x14ac:dyDescent="0.45">
      <c r="A3" s="14">
        <v>3</v>
      </c>
      <c r="B3">
        <f>COUNTIFS(Table1[KIT],AcrossSubjectsCorrectness!A3,Table1[ExplanationType],"None",Table1[ValidFix],TRUE)</f>
        <v>1</v>
      </c>
      <c r="C3">
        <f>(Table3[[#This Row],[With RootCause Explanations]]+Table3[[#This Row],[With Fix Explanations]])/2</f>
        <v>1</v>
      </c>
      <c r="D3">
        <f>COUNTIFS(Table1[KIT],AcrossSubjectsCorrectness!A3,Table1[ExplanationType],"RootCause",Table1[ValidFix],TRUE)</f>
        <v>1</v>
      </c>
      <c r="E3">
        <f>COUNTIFS(Table1[KIT],AcrossSubjectsCorrectness!A3,Table1[ExplanationType],"Fix",Table1[ValidFix],TRUE)</f>
        <v>1</v>
      </c>
    </row>
    <row r="4" spans="1:5" x14ac:dyDescent="0.45">
      <c r="A4" s="14">
        <v>4</v>
      </c>
      <c r="B4">
        <f>COUNTIFS(Table1[KIT],AcrossSubjectsCorrectness!A4,Table1[ExplanationType],"None",Table1[ValidFix],TRUE)</f>
        <v>0</v>
      </c>
      <c r="C4">
        <f>(Table3[[#This Row],[With RootCause Explanations]]+Table3[[#This Row],[With Fix Explanations]])/2</f>
        <v>1</v>
      </c>
      <c r="D4">
        <f>COUNTIFS(Table1[KIT],AcrossSubjectsCorrectness!A4,Table1[ExplanationType],"RootCause",Table1[ValidFix],TRUE)</f>
        <v>1</v>
      </c>
      <c r="E4">
        <f>COUNTIFS(Table1[KIT],AcrossSubjectsCorrectness!A4,Table1[ExplanationType],"Fix",Table1[ValidFix],TRUE)</f>
        <v>1</v>
      </c>
    </row>
    <row r="5" spans="1:5" x14ac:dyDescent="0.45">
      <c r="A5" s="14">
        <v>5</v>
      </c>
      <c r="B5">
        <f>COUNTIFS(Table1[KIT],AcrossSubjectsCorrectness!A5,Table1[ExplanationType],"None",Table1[ValidFix],TRUE)</f>
        <v>0</v>
      </c>
      <c r="C5">
        <f>(Table3[[#This Row],[With RootCause Explanations]]+Table3[[#This Row],[With Fix Explanations]])/2</f>
        <v>1</v>
      </c>
      <c r="D5">
        <f>COUNTIFS(Table1[KIT],AcrossSubjectsCorrectness!A5,Table1[ExplanationType],"RootCause",Table1[ValidFix],TRUE)</f>
        <v>1</v>
      </c>
      <c r="E5">
        <f>COUNTIFS(Table1[KIT],AcrossSubjectsCorrectness!A5,Table1[ExplanationType],"Fix",Table1[ValidFix],TRUE)</f>
        <v>1</v>
      </c>
    </row>
    <row r="6" spans="1:5" x14ac:dyDescent="0.45">
      <c r="A6" s="14">
        <v>6</v>
      </c>
      <c r="B6">
        <f>COUNTIFS(Table1[KIT],AcrossSubjectsCorrectness!A6,Table1[ExplanationType],"None",Table1[ValidFix],TRUE)</f>
        <v>0</v>
      </c>
      <c r="C6">
        <f>(Table3[[#This Row],[With RootCause Explanations]]+Table3[[#This Row],[With Fix Explanations]])/2</f>
        <v>0.5</v>
      </c>
      <c r="D6">
        <f>COUNTIFS(Table1[KIT],AcrossSubjectsCorrectness!A6,Table1[ExplanationType],"RootCause",Table1[ValidFix],TRUE)</f>
        <v>0</v>
      </c>
      <c r="E6">
        <f>COUNTIFS(Table1[KIT],AcrossSubjectsCorrectness!A6,Table1[ExplanationType],"Fix",Table1[ValidFix],TRUE)</f>
        <v>1</v>
      </c>
    </row>
    <row r="7" spans="1:5" x14ac:dyDescent="0.45">
      <c r="A7" s="14">
        <v>7</v>
      </c>
      <c r="B7">
        <f>COUNTIFS(Table1[KIT],AcrossSubjectsCorrectness!A7,Table1[ExplanationType],"None",Table1[ValidFix],TRUE)</f>
        <v>0</v>
      </c>
      <c r="C7">
        <f>(Table3[[#This Row],[With RootCause Explanations]]+Table3[[#This Row],[With Fix Explanations]])/2</f>
        <v>0.5</v>
      </c>
      <c r="D7">
        <f>COUNTIFS(Table1[KIT],AcrossSubjectsCorrectness!A7,Table1[ExplanationType],"RootCause",Table1[ValidFix],TRUE)</f>
        <v>0</v>
      </c>
      <c r="E7">
        <f>COUNTIFS(Table1[KIT],AcrossSubjectsCorrectness!A7,Table1[ExplanationType],"Fix",Table1[ValidFix],TRUE)</f>
        <v>1</v>
      </c>
    </row>
    <row r="8" spans="1:5" x14ac:dyDescent="0.45">
      <c r="A8" s="14">
        <v>8</v>
      </c>
      <c r="B8">
        <f>COUNTIFS(Table1[KIT],AcrossSubjectsCorrectness!A8,Table1[ExplanationType],"None",Table1[ValidFix],TRUE)</f>
        <v>1</v>
      </c>
      <c r="C8">
        <f>(Table3[[#This Row],[With RootCause Explanations]]+Table3[[#This Row],[With Fix Explanations]])/2</f>
        <v>0.5</v>
      </c>
      <c r="D8">
        <f>COUNTIFS(Table1[KIT],AcrossSubjectsCorrectness!A8,Table1[ExplanationType],"RootCause",Table1[ValidFix],TRUE)</f>
        <v>0</v>
      </c>
      <c r="E8">
        <f>COUNTIFS(Table1[KIT],AcrossSubjectsCorrectness!A8,Table1[ExplanationType],"Fix",Table1[ValidFix],TRUE)</f>
        <v>1</v>
      </c>
    </row>
    <row r="9" spans="1:5" x14ac:dyDescent="0.45">
      <c r="A9" s="14">
        <v>9</v>
      </c>
      <c r="B9">
        <f>COUNTIFS(Table1[KIT],AcrossSubjectsCorrectness!A9,Table1[ExplanationType],"None",Table1[ValidFix],TRUE)</f>
        <v>0</v>
      </c>
      <c r="C9">
        <f>(Table3[[#This Row],[With RootCause Explanations]]+Table3[[#This Row],[With Fix Explanations]])/2</f>
        <v>1</v>
      </c>
      <c r="D9">
        <f>COUNTIFS(Table1[KIT],AcrossSubjectsCorrectness!A9,Table1[ExplanationType],"RootCause",Table1[ValidFix],TRUE)</f>
        <v>1</v>
      </c>
      <c r="E9">
        <f>COUNTIFS(Table1[KIT],AcrossSubjectsCorrectness!A9,Table1[ExplanationType],"Fix",Table1[ValidFix],TRUE)</f>
        <v>1</v>
      </c>
    </row>
    <row r="10" spans="1:5" x14ac:dyDescent="0.45">
      <c r="A10" s="1" t="s">
        <v>62</v>
      </c>
      <c r="B10">
        <f>SUBTOTAL(101,Table3[Without Explanations])</f>
        <v>0.375</v>
      </c>
      <c r="C10" s="12">
        <f>SUBTOTAL(101,Table3[With Explanations])</f>
        <v>0.8125</v>
      </c>
      <c r="D10">
        <f>SUBTOTAL(101,Table3[With RootCause Explanations])</f>
        <v>0.625</v>
      </c>
      <c r="E10">
        <f>SUBTOTAL(101,Table3[With Fix Explanations])</f>
        <v>1</v>
      </c>
    </row>
    <row r="11" spans="1:5" x14ac:dyDescent="0.45">
      <c r="A11" s="14" t="s">
        <v>75</v>
      </c>
      <c r="B11" s="13">
        <f>_xlfn.STDEV.S(Table3[Without Explanations])</f>
        <v>0.51754916950676566</v>
      </c>
      <c r="C11" s="13">
        <f>_xlfn.STDEV.S(Table3[With Explanations])</f>
        <v>0.25877458475338283</v>
      </c>
      <c r="D11" s="13">
        <f>_xlfn.STDEV.S(Table3[With RootCause Explanations])</f>
        <v>0.51754916950676566</v>
      </c>
      <c r="E11" s="13">
        <f>_xlfn.STDEV.S(Table3[With Fix Explanations])</f>
        <v>0</v>
      </c>
    </row>
    <row r="13" spans="1:5" x14ac:dyDescent="0.45">
      <c r="B13" s="18" t="s">
        <v>90</v>
      </c>
      <c r="C13" s="18" t="s">
        <v>91</v>
      </c>
      <c r="D13" s="18" t="s">
        <v>92</v>
      </c>
      <c r="E13" s="18" t="s">
        <v>93</v>
      </c>
    </row>
    <row r="14" spans="1:5" x14ac:dyDescent="0.45">
      <c r="B14" s="19" t="str">
        <f>IF(Table3[[#Totals],[With Explanations]]&gt;Table3[[#Totals],[Without Explanations]],"YES","NO")</f>
        <v>YES</v>
      </c>
      <c r="C14" s="19" t="str">
        <f>IF(Table3[[#Totals],[With RootCause Explanations]]&gt;Table3[[#Totals],[Without Explanations]],"YES", "NO")</f>
        <v>YES</v>
      </c>
      <c r="D14" s="19" t="str">
        <f>IF(Table3[[#Totals],[With Fix Explanations]]&gt;Table3[[#Totals],[Without Explanations]],"YES", "NO")</f>
        <v>YES</v>
      </c>
      <c r="E14" s="19" t="str">
        <f>IF(Table3[[#Totals],[With Fix Explanations]]&gt;Table3[[#Totals],[With RootCause Explanations]],"YES","NO")</f>
        <v>YES</v>
      </c>
    </row>
    <row r="16" spans="1:5" x14ac:dyDescent="0.45">
      <c r="A16" t="s">
        <v>77</v>
      </c>
      <c r="B16" t="s">
        <v>90</v>
      </c>
      <c r="C16" t="s">
        <v>91</v>
      </c>
      <c r="D16" t="s">
        <v>94</v>
      </c>
      <c r="E16" t="s">
        <v>93</v>
      </c>
    </row>
    <row r="17" spans="1:5" x14ac:dyDescent="0.45">
      <c r="A17" s="10" t="s">
        <v>76</v>
      </c>
      <c r="B17" s="11">
        <f>TTEST(Table3[Without Explanations],Table3[With Explanations],1,2)</f>
        <v>2.5292468410336659E-2</v>
      </c>
      <c r="C17" s="11">
        <f>TTEST(Table3[Without Explanations],Table3[With RootCause Explanations],1,2)</f>
        <v>0.1751957395536009</v>
      </c>
      <c r="D17" s="11">
        <f>TTEST(Table3[Without Explanations],Table3[With Fix Explanations],1,2)</f>
        <v>2.0903498877568728E-3</v>
      </c>
      <c r="E17" s="11">
        <f>TTEST(Table3[With RootCause Explanations],Table3[With Fix Explanations],1,2)</f>
        <v>2.9823082880011322E-2</v>
      </c>
    </row>
    <row r="19" spans="1:5" x14ac:dyDescent="0.45">
      <c r="A19" t="s">
        <v>70</v>
      </c>
    </row>
    <row r="20" spans="1:5" x14ac:dyDescent="0.45">
      <c r="A20" t="s">
        <v>60</v>
      </c>
      <c r="B20" t="s">
        <v>90</v>
      </c>
      <c r="C20" t="s">
        <v>91</v>
      </c>
      <c r="D20" t="s">
        <v>94</v>
      </c>
      <c r="E20" t="s">
        <v>93</v>
      </c>
    </row>
    <row r="21" spans="1:5" x14ac:dyDescent="0.45">
      <c r="A21" s="10" t="s">
        <v>69</v>
      </c>
      <c r="B21">
        <v>0.05</v>
      </c>
      <c r="C21">
        <v>0.05</v>
      </c>
      <c r="D21">
        <v>0.05</v>
      </c>
      <c r="E21">
        <v>0.05</v>
      </c>
    </row>
    <row r="22" spans="1:5" x14ac:dyDescent="0.45">
      <c r="A22" s="10" t="s">
        <v>68</v>
      </c>
      <c r="B22">
        <v>1.1399999999999999</v>
      </c>
      <c r="C22">
        <v>0.52</v>
      </c>
      <c r="D22">
        <v>1.82</v>
      </c>
      <c r="E22">
        <v>1.0900000000000001</v>
      </c>
    </row>
    <row r="23" spans="1:5" x14ac:dyDescent="0.45">
      <c r="A23" s="10" t="s">
        <v>71</v>
      </c>
      <c r="B23" s="1" t="s">
        <v>72</v>
      </c>
      <c r="C23" s="1" t="s">
        <v>73</v>
      </c>
      <c r="D23" s="1" t="s">
        <v>74</v>
      </c>
      <c r="E23" s="1" t="s">
        <v>74</v>
      </c>
    </row>
    <row r="24" spans="1:5" x14ac:dyDescent="0.45">
      <c r="A24" s="10" t="s">
        <v>83</v>
      </c>
      <c r="B24" s="5">
        <v>0.41966880000000001</v>
      </c>
      <c r="C24" s="5">
        <v>0.1618096</v>
      </c>
      <c r="D24" s="5">
        <v>0.74455958</v>
      </c>
      <c r="E24" s="5">
        <v>0.39512290999999999</v>
      </c>
    </row>
    <row r="26" spans="1:5" x14ac:dyDescent="0.45">
      <c r="A26" t="s">
        <v>82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Demographics</vt:lpstr>
      <vt:lpstr>Analysis</vt:lpstr>
      <vt:lpstr>ExplanationsRelated</vt:lpstr>
      <vt:lpstr>Confidence</vt:lpstr>
      <vt:lpstr>Confidence Others</vt:lpstr>
      <vt:lpstr>DurationAnalysis</vt:lpstr>
      <vt:lpstr>AcrossBugs</vt:lpstr>
      <vt:lpstr>AcrossSubjectsCorrectness</vt:lpstr>
      <vt:lpstr>Takeaway</vt:lpstr>
      <vt:lpstr>ExperimentalSetup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2018-02-08T15:29:58Z</dcterms:created>
  <dcterms:modified xsi:type="dcterms:W3CDTF">2018-02-11T20:56:10Z</dcterms:modified>
</cp:coreProperties>
</file>