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2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omments3.xml" ContentType="application/vnd.openxmlformats-officedocument.spreadsheetml.comments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1.SVN\crowdsourcing-fault-understanding\data\"/>
    </mc:Choice>
  </mc:AlternateContent>
  <bookViews>
    <workbookView xWindow="0" yWindow="0" windowWidth="18248" windowHeight="6608" activeTab="2" xr2:uid="{A1CEA698-9783-4770-9967-DE9B4C8392C3}"/>
  </bookViews>
  <sheets>
    <sheet name="Data" sheetId="1" r:id="rId1"/>
    <sheet name="AcrossSubjectsCorrectness" sheetId="8" r:id="rId2"/>
    <sheet name="Demographics" sheetId="15" r:id="rId3"/>
    <sheet name="Subjects" sheetId="16" r:id="rId4"/>
    <sheet name="Analysis" sheetId="3" r:id="rId5"/>
    <sheet name="ExplanationsRelated" sheetId="14" r:id="rId6"/>
    <sheet name="Confidence" sheetId="11" r:id="rId7"/>
    <sheet name="Confidence Others" sheetId="12" r:id="rId8"/>
    <sheet name="DurationAnalysis" sheetId="10" r:id="rId9"/>
    <sheet name="AcrossBugs" sheetId="6" r:id="rId10"/>
    <sheet name="Takeaway" sheetId="4" r:id="rId11"/>
    <sheet name="ExperimentalSetup" sheetId="5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5" l="1"/>
  <c r="E3" i="15"/>
  <c r="D2" i="15"/>
  <c r="D3" i="15"/>
  <c r="C2" i="15"/>
  <c r="C3" i="15"/>
  <c r="H2" i="15"/>
  <c r="G2" i="15"/>
  <c r="F2" i="15"/>
  <c r="B13" i="12" l="1"/>
  <c r="B12" i="12"/>
  <c r="B11" i="12"/>
  <c r="B10" i="12"/>
  <c r="B9" i="12"/>
  <c r="B8" i="12"/>
  <c r="B7" i="12"/>
  <c r="B6" i="12"/>
  <c r="B5" i="12"/>
  <c r="B4" i="12"/>
  <c r="B3" i="12"/>
  <c r="E3" i="12"/>
  <c r="D3" i="12"/>
  <c r="D4" i="12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D4" i="10"/>
  <c r="C4" i="10" s="1"/>
  <c r="D5" i="10"/>
  <c r="C5" i="10" s="1"/>
  <c r="D6" i="10"/>
  <c r="C6" i="10" s="1"/>
  <c r="D7" i="10"/>
  <c r="C7" i="10" s="1"/>
  <c r="D8" i="10"/>
  <c r="C8" i="10" s="1"/>
  <c r="D9" i="10"/>
  <c r="C9" i="10" s="1"/>
  <c r="D10" i="10"/>
  <c r="C10" i="10" s="1"/>
  <c r="D11" i="10"/>
  <c r="C11" i="10" s="1"/>
  <c r="D12" i="10"/>
  <c r="C12" i="10" s="1"/>
  <c r="D13" i="10"/>
  <c r="C13" i="10" s="1"/>
  <c r="D14" i="10"/>
  <c r="C14" i="10" s="1"/>
  <c r="D15" i="10"/>
  <c r="C15" i="10" s="1"/>
  <c r="D16" i="10"/>
  <c r="C16" i="10" s="1"/>
  <c r="D17" i="10"/>
  <c r="C17" i="10" s="1"/>
  <c r="D18" i="10"/>
  <c r="C18" i="10" s="1"/>
  <c r="D19" i="10"/>
  <c r="C19" i="10" s="1"/>
  <c r="D20" i="10"/>
  <c r="C20" i="10" s="1"/>
  <c r="D21" i="10"/>
  <c r="C21" i="10" s="1"/>
  <c r="D22" i="10"/>
  <c r="C22" i="10" s="1"/>
  <c r="D23" i="10"/>
  <c r="C23" i="10" s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1" i="12"/>
  <c r="D21" i="12"/>
  <c r="E21" i="12"/>
  <c r="B23" i="12"/>
  <c r="D23" i="12"/>
  <c r="E23" i="12"/>
  <c r="C21" i="12" l="1"/>
  <c r="C23" i="12"/>
  <c r="B23" i="11" l="1"/>
  <c r="D23" i="11"/>
  <c r="C23" i="11" s="1"/>
  <c r="E23" i="11"/>
  <c r="B22" i="11"/>
  <c r="D22" i="11"/>
  <c r="E22" i="11"/>
  <c r="B17" i="14"/>
  <c r="C17" i="14"/>
  <c r="B18" i="14"/>
  <c r="C18" i="14"/>
  <c r="C22" i="11" l="1"/>
  <c r="B6" i="8" l="1"/>
  <c r="D6" i="8"/>
  <c r="C6" i="8" s="1"/>
  <c r="E6" i="8"/>
  <c r="B20" i="8"/>
  <c r="D20" i="8"/>
  <c r="E20" i="8"/>
  <c r="C20" i="8" l="1"/>
  <c r="B16" i="14" l="1"/>
  <c r="C16" i="14"/>
  <c r="B19" i="14"/>
  <c r="C19" i="14"/>
  <c r="B11" i="14"/>
  <c r="B12" i="14"/>
  <c r="C11" i="14"/>
  <c r="C12" i="14"/>
  <c r="B13" i="14"/>
  <c r="B14" i="14"/>
  <c r="C13" i="14"/>
  <c r="C14" i="14"/>
  <c r="B15" i="14"/>
  <c r="B20" i="14"/>
  <c r="C15" i="14"/>
  <c r="C20" i="14"/>
  <c r="B21" i="14"/>
  <c r="C21" i="14"/>
  <c r="B23" i="14"/>
  <c r="C23" i="14"/>
  <c r="B22" i="14"/>
  <c r="C22" i="14"/>
  <c r="B10" i="11"/>
  <c r="D10" i="11"/>
  <c r="E10" i="11"/>
  <c r="B17" i="11"/>
  <c r="D17" i="11"/>
  <c r="E17" i="11"/>
  <c r="B11" i="11"/>
  <c r="B12" i="11"/>
  <c r="B13" i="11"/>
  <c r="B14" i="11"/>
  <c r="D11" i="11"/>
  <c r="D12" i="11"/>
  <c r="D13" i="11"/>
  <c r="D14" i="11"/>
  <c r="E11" i="11"/>
  <c r="E12" i="11"/>
  <c r="E13" i="11"/>
  <c r="E14" i="11"/>
  <c r="B15" i="11"/>
  <c r="D15" i="11"/>
  <c r="E15" i="11"/>
  <c r="B16" i="11"/>
  <c r="D16" i="11"/>
  <c r="E16" i="11"/>
  <c r="B18" i="11"/>
  <c r="D18" i="11"/>
  <c r="E18" i="11"/>
  <c r="B19" i="11"/>
  <c r="D19" i="11"/>
  <c r="E19" i="11"/>
  <c r="B21" i="11"/>
  <c r="D21" i="11"/>
  <c r="E21" i="11"/>
  <c r="B22" i="12"/>
  <c r="D22" i="12"/>
  <c r="E22" i="12"/>
  <c r="D11" i="12"/>
  <c r="E11" i="12"/>
  <c r="D12" i="12"/>
  <c r="E12" i="12"/>
  <c r="D13" i="12"/>
  <c r="E13" i="12"/>
  <c r="B14" i="12"/>
  <c r="D14" i="12"/>
  <c r="E14" i="12"/>
  <c r="B15" i="12"/>
  <c r="D15" i="12"/>
  <c r="E15" i="12"/>
  <c r="B16" i="12"/>
  <c r="D16" i="12"/>
  <c r="E16" i="12"/>
  <c r="B17" i="12"/>
  <c r="D17" i="12"/>
  <c r="E17" i="12"/>
  <c r="B18" i="12"/>
  <c r="D18" i="12"/>
  <c r="E18" i="12"/>
  <c r="B20" i="12"/>
  <c r="D20" i="12"/>
  <c r="E20" i="12"/>
  <c r="B19" i="12"/>
  <c r="D19" i="12"/>
  <c r="E19" i="12"/>
  <c r="B22" i="8"/>
  <c r="D22" i="8"/>
  <c r="E22" i="8"/>
  <c r="B18" i="8"/>
  <c r="D18" i="8"/>
  <c r="E18" i="8"/>
  <c r="B17" i="8"/>
  <c r="D17" i="8"/>
  <c r="E17" i="8"/>
  <c r="B13" i="8"/>
  <c r="D13" i="8"/>
  <c r="E13" i="8"/>
  <c r="B15" i="8"/>
  <c r="D15" i="8"/>
  <c r="E15" i="8"/>
  <c r="B11" i="8"/>
  <c r="D11" i="8"/>
  <c r="E11" i="8"/>
  <c r="B10" i="8"/>
  <c r="D10" i="8"/>
  <c r="E10" i="8"/>
  <c r="B5" i="8"/>
  <c r="D5" i="8"/>
  <c r="E5" i="8"/>
  <c r="B8" i="8"/>
  <c r="D8" i="8"/>
  <c r="E8" i="8"/>
  <c r="B3" i="8"/>
  <c r="D3" i="8"/>
  <c r="E3" i="8"/>
  <c r="B4" i="8"/>
  <c r="D4" i="8"/>
  <c r="E4" i="8"/>
  <c r="AM56" i="1"/>
  <c r="AM57" i="1"/>
  <c r="AM58" i="1"/>
  <c r="AM49" i="1"/>
  <c r="AM48" i="1"/>
  <c r="AM47" i="1"/>
  <c r="AM35" i="1"/>
  <c r="AM36" i="1"/>
  <c r="AM37" i="1"/>
  <c r="AM41" i="1"/>
  <c r="AM42" i="1"/>
  <c r="AM43" i="1"/>
  <c r="AM8" i="1"/>
  <c r="AM9" i="1"/>
  <c r="AM10" i="1"/>
  <c r="AM5" i="1"/>
  <c r="AM6" i="1"/>
  <c r="AM7" i="1"/>
  <c r="AM16" i="1"/>
  <c r="AM15" i="1"/>
  <c r="AM14" i="1"/>
  <c r="AM13" i="1"/>
  <c r="AM12" i="1"/>
  <c r="AM11" i="1"/>
  <c r="C10" i="11" l="1"/>
  <c r="C17" i="11"/>
  <c r="C14" i="11"/>
  <c r="C13" i="11"/>
  <c r="C12" i="11"/>
  <c r="C11" i="11"/>
  <c r="C15" i="11"/>
  <c r="C16" i="11"/>
  <c r="C18" i="11"/>
  <c r="C19" i="11"/>
  <c r="C21" i="11"/>
  <c r="C22" i="12"/>
  <c r="C11" i="12"/>
  <c r="C12" i="12"/>
  <c r="C13" i="12"/>
  <c r="C14" i="12"/>
  <c r="C15" i="12"/>
  <c r="C16" i="12"/>
  <c r="C17" i="12"/>
  <c r="C18" i="12"/>
  <c r="C20" i="12"/>
  <c r="C19" i="12"/>
  <c r="C22" i="8"/>
  <c r="C18" i="8"/>
  <c r="C17" i="8"/>
  <c r="C13" i="8"/>
  <c r="C15" i="8"/>
  <c r="C11" i="8"/>
  <c r="C10" i="8"/>
  <c r="C5" i="8"/>
  <c r="C8" i="8"/>
  <c r="C3" i="8"/>
  <c r="C4" i="8"/>
  <c r="AM50" i="1"/>
  <c r="AM51" i="1"/>
  <c r="AM52" i="1"/>
  <c r="AM29" i="1" l="1"/>
  <c r="AM30" i="1"/>
  <c r="AM31" i="1"/>
  <c r="AM62" i="1"/>
  <c r="AM63" i="1"/>
  <c r="AM64" i="1"/>
  <c r="AM61" i="1"/>
  <c r="AM26" i="1"/>
  <c r="AM27" i="1"/>
  <c r="AM28" i="1"/>
  <c r="AM21" i="1"/>
  <c r="AM20" i="1"/>
  <c r="AM22" i="1"/>
  <c r="D12" i="15" l="1"/>
  <c r="C12" i="15"/>
  <c r="B12" i="15"/>
  <c r="B8" i="15"/>
  <c r="E8" i="15"/>
  <c r="D8" i="15"/>
  <c r="C8" i="15"/>
  <c r="AM2" i="1"/>
  <c r="AM3" i="1"/>
  <c r="AM4" i="1"/>
  <c r="AM17" i="1"/>
  <c r="AM18" i="1"/>
  <c r="AM19" i="1"/>
  <c r="AM23" i="1"/>
  <c r="AM24" i="1"/>
  <c r="AM25" i="1"/>
  <c r="AM32" i="1"/>
  <c r="AM33" i="1"/>
  <c r="AM34" i="1"/>
  <c r="AM38" i="1"/>
  <c r="AM39" i="1"/>
  <c r="AM40" i="1"/>
  <c r="AM44" i="1"/>
  <c r="AM45" i="1"/>
  <c r="AM46" i="1"/>
  <c r="AM53" i="1"/>
  <c r="AM54" i="1"/>
  <c r="AM55" i="1"/>
  <c r="AM59" i="1"/>
  <c r="AM60" i="1"/>
  <c r="C3" i="14"/>
  <c r="C4" i="14"/>
  <c r="C5" i="14"/>
  <c r="C6" i="14"/>
  <c r="C7" i="14"/>
  <c r="C8" i="14"/>
  <c r="C9" i="14"/>
  <c r="C10" i="14"/>
  <c r="B3" i="14"/>
  <c r="B4" i="14"/>
  <c r="B5" i="14"/>
  <c r="B6" i="14"/>
  <c r="B7" i="14"/>
  <c r="B8" i="14"/>
  <c r="B9" i="14"/>
  <c r="B10" i="14"/>
  <c r="E4" i="12"/>
  <c r="E5" i="12"/>
  <c r="E6" i="12"/>
  <c r="E7" i="12"/>
  <c r="E8" i="12"/>
  <c r="E9" i="12"/>
  <c r="E10" i="12"/>
  <c r="D5" i="12"/>
  <c r="D6" i="12"/>
  <c r="D7" i="12"/>
  <c r="D8" i="12"/>
  <c r="C8" i="12" s="1"/>
  <c r="D9" i="12"/>
  <c r="C9" i="12" s="1"/>
  <c r="D10" i="12"/>
  <c r="E3" i="11"/>
  <c r="E4" i="11"/>
  <c r="E5" i="11"/>
  <c r="E6" i="11"/>
  <c r="E7" i="11"/>
  <c r="E8" i="11"/>
  <c r="E9" i="11"/>
  <c r="E20" i="11"/>
  <c r="D3" i="11"/>
  <c r="D4" i="11"/>
  <c r="C4" i="11" s="1"/>
  <c r="D5" i="11"/>
  <c r="D6" i="11"/>
  <c r="D7" i="11"/>
  <c r="D8" i="11"/>
  <c r="C8" i="11" s="1"/>
  <c r="D9" i="11"/>
  <c r="D20" i="11"/>
  <c r="B3" i="11"/>
  <c r="B4" i="11"/>
  <c r="B5" i="11"/>
  <c r="B6" i="11"/>
  <c r="B7" i="11"/>
  <c r="B8" i="11"/>
  <c r="B9" i="11"/>
  <c r="B20" i="11"/>
  <c r="D3" i="10"/>
  <c r="E3" i="10"/>
  <c r="B3" i="10"/>
  <c r="F11" i="6"/>
  <c r="G4" i="6"/>
  <c r="G3" i="6"/>
  <c r="G5" i="6"/>
  <c r="F5" i="6"/>
  <c r="F4" i="6"/>
  <c r="F3" i="6"/>
  <c r="B13" i="6"/>
  <c r="B12" i="6"/>
  <c r="B11" i="6"/>
  <c r="E13" i="6"/>
  <c r="E12" i="6"/>
  <c r="E11" i="6"/>
  <c r="D13" i="6"/>
  <c r="D12" i="6"/>
  <c r="D11" i="6"/>
  <c r="F13" i="6"/>
  <c r="F12" i="6"/>
  <c r="C28" i="10" l="1"/>
  <c r="D28" i="10"/>
  <c r="E28" i="10"/>
  <c r="E31" i="12"/>
  <c r="C31" i="12"/>
  <c r="D31" i="12"/>
  <c r="E29" i="11"/>
  <c r="D29" i="11"/>
  <c r="C29" i="11"/>
  <c r="B31" i="14"/>
  <c r="B25" i="14"/>
  <c r="C25" i="14"/>
  <c r="C5" i="12"/>
  <c r="C6" i="12"/>
  <c r="C6" i="11"/>
  <c r="C7" i="12"/>
  <c r="C10" i="12"/>
  <c r="C5" i="11"/>
  <c r="B24" i="14"/>
  <c r="C24" i="14"/>
  <c r="C20" i="11"/>
  <c r="E24" i="11"/>
  <c r="B24" i="10"/>
  <c r="E24" i="10"/>
  <c r="E25" i="12"/>
  <c r="D25" i="12"/>
  <c r="B25" i="12"/>
  <c r="E20" i="6"/>
  <c r="D24" i="10"/>
  <c r="C4" i="12"/>
  <c r="D24" i="11"/>
  <c r="E24" i="12"/>
  <c r="B24" i="12"/>
  <c r="C3" i="12"/>
  <c r="D24" i="12"/>
  <c r="C9" i="11"/>
  <c r="C7" i="11"/>
  <c r="B24" i="11"/>
  <c r="C3" i="11"/>
  <c r="C3" i="10"/>
  <c r="E19" i="6"/>
  <c r="F7" i="6"/>
  <c r="G7" i="6"/>
  <c r="E23" i="6"/>
  <c r="D19" i="6"/>
  <c r="F15" i="6"/>
  <c r="E18" i="6"/>
  <c r="C20" i="6"/>
  <c r="G13" i="6"/>
  <c r="C19" i="6"/>
  <c r="D23" i="6"/>
  <c r="D18" i="6"/>
  <c r="D15" i="6"/>
  <c r="C18" i="6"/>
  <c r="C23" i="6"/>
  <c r="D20" i="6"/>
  <c r="B15" i="6"/>
  <c r="E15" i="6"/>
  <c r="F6" i="6"/>
  <c r="B14" i="6"/>
  <c r="G12" i="6"/>
  <c r="G6" i="6"/>
  <c r="F14" i="6"/>
  <c r="G11" i="6"/>
  <c r="E14" i="6"/>
  <c r="D14" i="6"/>
  <c r="B28" i="10" l="1"/>
  <c r="B31" i="12"/>
  <c r="B29" i="11"/>
  <c r="B28" i="14"/>
  <c r="C24" i="10"/>
  <c r="C24" i="11"/>
  <c r="D28" i="12"/>
  <c r="C28" i="12"/>
  <c r="C24" i="12"/>
  <c r="B28" i="12" s="1"/>
  <c r="C25" i="12"/>
  <c r="E28" i="12"/>
  <c r="G15" i="6"/>
  <c r="G14" i="6"/>
  <c r="E7" i="8" l="1"/>
  <c r="E9" i="8"/>
  <c r="E12" i="8"/>
  <c r="E14" i="8"/>
  <c r="E16" i="8"/>
  <c r="E19" i="8"/>
  <c r="E21" i="8"/>
  <c r="E2" i="8"/>
  <c r="D7" i="8"/>
  <c r="D9" i="8"/>
  <c r="D12" i="8"/>
  <c r="D14" i="8"/>
  <c r="D16" i="8"/>
  <c r="D19" i="8"/>
  <c r="C19" i="8" s="1"/>
  <c r="D21" i="8"/>
  <c r="D2" i="8"/>
  <c r="B2" i="8"/>
  <c r="B7" i="8"/>
  <c r="B9" i="8"/>
  <c r="B12" i="8"/>
  <c r="B14" i="8"/>
  <c r="B16" i="8"/>
  <c r="B19" i="8"/>
  <c r="B21" i="8"/>
  <c r="E34" i="8" l="1"/>
  <c r="D34" i="8"/>
  <c r="C34" i="8"/>
  <c r="C12" i="8"/>
  <c r="C21" i="8"/>
  <c r="C14" i="8"/>
  <c r="C7" i="8"/>
  <c r="C9" i="8"/>
  <c r="C16" i="8"/>
  <c r="E30" i="8"/>
  <c r="C2" i="8"/>
  <c r="B34" i="8" s="1"/>
  <c r="C30" i="8"/>
  <c r="D30" i="8"/>
  <c r="B24" i="8"/>
  <c r="D24" i="8"/>
  <c r="E24" i="8"/>
  <c r="B23" i="8"/>
  <c r="E23" i="8"/>
  <c r="D23" i="8"/>
  <c r="B5" i="6"/>
  <c r="B4" i="6"/>
  <c r="E5" i="6"/>
  <c r="E4" i="6"/>
  <c r="D5" i="6"/>
  <c r="D4" i="6"/>
  <c r="B3" i="6"/>
  <c r="E3" i="6"/>
  <c r="D3" i="6"/>
  <c r="C24" i="8" l="1"/>
  <c r="B30" i="8"/>
  <c r="C23" i="8"/>
  <c r="B27" i="8" s="1"/>
  <c r="B7" i="6"/>
  <c r="D7" i="6"/>
  <c r="E7" i="6"/>
  <c r="B6" i="6"/>
  <c r="D6" i="6"/>
  <c r="E6" i="6"/>
  <c r="C13" i="6"/>
  <c r="B20" i="6" s="1"/>
  <c r="C4" i="6"/>
  <c r="C12" i="6"/>
  <c r="B19" i="6" s="1"/>
  <c r="C3" i="6"/>
  <c r="C11" i="6"/>
  <c r="E27" i="8"/>
  <c r="D27" i="8"/>
  <c r="C27" i="8"/>
  <c r="C5" i="6"/>
  <c r="C7" i="6" l="1"/>
  <c r="C15" i="6"/>
  <c r="B23" i="6"/>
  <c r="B18" i="6"/>
  <c r="C6" i="6"/>
  <c r="C1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A38" authorId="0" shapeId="0" xr:uid="{552826C2-2EDB-4822-A20C-B583DB280F94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Probability of detecting the effect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A38" authorId="0" shapeId="0" xr:uid="{86586FF7-5669-489B-96A9-5C696002B6D5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Probability of detecting the effect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A38" authorId="0" shapeId="0" xr:uid="{738C5F34-0512-4C2E-B3AB-2D128443E28E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Probability of detecting the effect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Adriano</author>
    <author>Chris</author>
  </authors>
  <commentList>
    <comment ref="I2" authorId="0" shapeId="0" xr:uid="{1B44B76F-A278-4528-9C6B-C9A1918773B6}">
      <text>
        <r>
          <rPr>
            <b/>
            <sz val="9"/>
            <color indexed="81"/>
            <rFont val="Tahoma"/>
            <family val="2"/>
          </rPr>
          <t>Christian Adriano:</t>
        </r>
        <r>
          <rPr>
            <sz val="9"/>
            <color indexed="81"/>
            <rFont val="Tahoma"/>
            <family val="2"/>
          </rPr>
          <t xml:space="preserve">
Counts the number of the following in the code snippet:
if, for, while, case, catch, &amp;&amp;, ||, ?</t>
        </r>
      </text>
    </comment>
    <comment ref="A30" authorId="1" shapeId="0" xr:uid="{E2EC0BDD-B121-4B3B-B72F-AEB8A12CA3D6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Probability of detecting the effect</t>
        </r>
      </text>
    </comment>
  </commentList>
</comments>
</file>

<file path=xl/sharedStrings.xml><?xml version="1.0" encoding="utf-8"?>
<sst xmlns="http://schemas.openxmlformats.org/spreadsheetml/2006/main" count="599" uniqueCount="136">
  <si>
    <t>KIT</t>
  </si>
  <si>
    <t>WorkingSet</t>
  </si>
  <si>
    <t>ExplanationType</t>
  </si>
  <si>
    <t>Age</t>
  </si>
  <si>
    <t>YoE</t>
  </si>
  <si>
    <t>UnitTestPractice</t>
  </si>
  <si>
    <t>Java</t>
  </si>
  <si>
    <t>Javascript</t>
  </si>
  <si>
    <t>Confidence</t>
  </si>
  <si>
    <t>ConfidenceOthers</t>
  </si>
  <si>
    <t>LearnedUniversity</t>
  </si>
  <si>
    <t>LearnedOnLine</t>
  </si>
  <si>
    <t>LearnedSelftTaught</t>
  </si>
  <si>
    <t>SuggestFix</t>
  </si>
  <si>
    <t>CreateUnitTest</t>
  </si>
  <si>
    <t>AddDocumentation</t>
  </si>
  <si>
    <t>Refactor</t>
  </si>
  <si>
    <t>None</t>
  </si>
  <si>
    <t>1.8F</t>
  </si>
  <si>
    <t>2.24R</t>
  </si>
  <si>
    <t>7.33N</t>
  </si>
  <si>
    <t>1.8N</t>
  </si>
  <si>
    <t>2.24F</t>
  </si>
  <si>
    <t>7.33R</t>
  </si>
  <si>
    <t>1.8R</t>
  </si>
  <si>
    <t>2.24N</t>
  </si>
  <si>
    <t>7.33F</t>
  </si>
  <si>
    <t>Fix</t>
  </si>
  <si>
    <t>RootCause</t>
  </si>
  <si>
    <t>ValidFix</t>
  </si>
  <si>
    <t>DurationMinutes</t>
  </si>
  <si>
    <t>Python</t>
  </si>
  <si>
    <t>PHP</t>
  </si>
  <si>
    <t>VB</t>
  </si>
  <si>
    <t>SAME_AS_OTHERS</t>
  </si>
  <si>
    <t>C++</t>
  </si>
  <si>
    <t>C</t>
  </si>
  <si>
    <t>Pascal</t>
  </si>
  <si>
    <t>C#</t>
  </si>
  <si>
    <t>SQL</t>
  </si>
  <si>
    <t>SmallTalk</t>
  </si>
  <si>
    <t>Prolog</t>
  </si>
  <si>
    <t>LESS_THAN_OTHERS</t>
  </si>
  <si>
    <t>Scala</t>
  </si>
  <si>
    <t>FixRelatedExplanations</t>
  </si>
  <si>
    <t>NA</t>
  </si>
  <si>
    <t>Bug</t>
  </si>
  <si>
    <t>Does explanations seem to help during bug fixing?</t>
  </si>
  <si>
    <t xml:space="preserve">Confidence was self-declare and measured in two aspects: confidence in the programmer's own fix and confidence that other programmers would also be able </t>
  </si>
  <si>
    <t>to provide a valid fix. The confidence in one's own fixes was provided in a scale of 1 (low) to 5 (high confidence). The confidence about</t>
  </si>
  <si>
    <t>other programmers was also in a scale of 1 to 5.</t>
  </si>
  <si>
    <t>We answered this by looking at (1) the correctness of fixes, (2) the time to produce fixes, and (2) the confidence of programmers on the fixes.</t>
  </si>
  <si>
    <t>We also look at the number of explanations that the each programmer considered related to their suggestions of bug fix.</t>
  </si>
  <si>
    <t>Explanations seem to positively relate with more effective (correctness) and efficient (cost) bug fixing of crowdsourced software failures.</t>
  </si>
  <si>
    <t>However, explanations are still expensive to categorize and could still be expensive to collect.</t>
  </si>
  <si>
    <t xml:space="preserve">We gave participants pen and paper so we could control for them not relying on more resources that could add more confounding factors, </t>
  </si>
  <si>
    <t>for instance, a step trace debugger would tell exactly which statements were executed and the state of the variables.</t>
  </si>
  <si>
    <t>Not relying on a debugger also prevented programmers from executing the code with fixes until finding one that would make the unit test pass.</t>
  </si>
  <si>
    <t>Total</t>
  </si>
  <si>
    <t>With explanation</t>
  </si>
  <si>
    <t>Power of the test</t>
  </si>
  <si>
    <t>Std</t>
  </si>
  <si>
    <t>Mean</t>
  </si>
  <si>
    <t>Subject</t>
  </si>
  <si>
    <t>With Explanations</t>
  </si>
  <si>
    <t>Without Explanations</t>
  </si>
  <si>
    <t>With RootCause Explanations</t>
  </si>
  <si>
    <t>With Fix Explanations</t>
  </si>
  <si>
    <t>Cohen's d (observed effect)</t>
  </si>
  <si>
    <t>Probability level (alpha)</t>
  </si>
  <si>
    <t>Post-hoc Statistical Power for a Student t-Test</t>
  </si>
  <si>
    <t>Strength of effect</t>
  </si>
  <si>
    <t>Strong</t>
  </si>
  <si>
    <t>Moderate</t>
  </si>
  <si>
    <t>Large</t>
  </si>
  <si>
    <t>Standard Deviation</t>
  </si>
  <si>
    <t>p-value</t>
  </si>
  <si>
    <t>T-Tests, one tailed, homoscedastic</t>
  </si>
  <si>
    <t>Without Explanation</t>
  </si>
  <si>
    <t>With Fix</t>
  </si>
  <si>
    <t>With RootCause</t>
  </si>
  <si>
    <t>Total answers</t>
  </si>
  <si>
    <t>https://www.danielsoper.com/statcalc/calculator.aspx?id=49</t>
  </si>
  <si>
    <t>Observed power. One-tailed test</t>
  </si>
  <si>
    <t>Total correct</t>
  </si>
  <si>
    <t>With RootCause &gt; Without</t>
  </si>
  <si>
    <t>With &gt; Without</t>
  </si>
  <si>
    <t>With Fix &gt; Without</t>
  </si>
  <si>
    <t>With Fix &gt; With Root Cause</t>
  </si>
  <si>
    <t>total correct</t>
  </si>
  <si>
    <t>Without &lt; With</t>
  </si>
  <si>
    <t>Without &lt; With RootCause</t>
  </si>
  <si>
    <t xml:space="preserve">Without &lt; With Fix </t>
  </si>
  <si>
    <t>With RootCause &lt; With Fix</t>
  </si>
  <si>
    <t>Without &lt; With Fix</t>
  </si>
  <si>
    <t>ANSWER COUNT</t>
  </si>
  <si>
    <t>PROPORTIONALLY CORRECT</t>
  </si>
  <si>
    <t>U</t>
  </si>
  <si>
    <t>Explanation</t>
  </si>
  <si>
    <t>With</t>
  </si>
  <si>
    <t>Duration in minutes</t>
  </si>
  <si>
    <t>Confidence Others</t>
  </si>
  <si>
    <t>Explanations considered related to the fix</t>
  </si>
  <si>
    <t>Languages</t>
  </si>
  <si>
    <t>Total Languages</t>
  </si>
  <si>
    <t>Total Participant</t>
  </si>
  <si>
    <t>Learned University</t>
  </si>
  <si>
    <t>Learned OnLine</t>
  </si>
  <si>
    <t>Learned SelftTaught</t>
  </si>
  <si>
    <t>Suggest Fix</t>
  </si>
  <si>
    <t>Create Unit Test</t>
  </si>
  <si>
    <t>Add Documentation</t>
  </si>
  <si>
    <t>Which activies would you feel comfortable performing for the same Java methods?</t>
  </si>
  <si>
    <t>MORE_THAN_OTHERS</t>
  </si>
  <si>
    <t>How much Unit Test do you code in your programs?</t>
  </si>
  <si>
    <t>3b</t>
  </si>
  <si>
    <t>4b</t>
  </si>
  <si>
    <t>Haskell</t>
  </si>
  <si>
    <t>9b</t>
  </si>
  <si>
    <t>4c</t>
  </si>
  <si>
    <t>7c</t>
  </si>
  <si>
    <t>Type</t>
  </si>
  <si>
    <t>2b</t>
  </si>
  <si>
    <t>1b</t>
  </si>
  <si>
    <t>LISP</t>
  </si>
  <si>
    <t>Ruby</t>
  </si>
  <si>
    <t>Swift</t>
  </si>
  <si>
    <t>1c</t>
  </si>
  <si>
    <t>6b</t>
  </si>
  <si>
    <t>5b</t>
  </si>
  <si>
    <t>7b</t>
  </si>
  <si>
    <t>8b</t>
  </si>
  <si>
    <t>Cyclomatic complexity</t>
  </si>
  <si>
    <t>LOCs</t>
  </si>
  <si>
    <t>Average</t>
  </si>
  <si>
    <t>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</si>
</sst>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70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2" fontId="0" fillId="0" borderId="0" xfId="0" applyNumberForma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1" xfId="0" applyFont="1" applyBorder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1" fillId="0" borderId="0" xfId="0" applyFont="1" applyAlignment="1">
      <alignment horizontal="center"/>
    </xf>
    <xf numFmtId="9" fontId="0" fillId="0" borderId="0" xfId="2" applyFont="1"/>
    <xf numFmtId="0" fontId="0" fillId="0" borderId="0" xfId="0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43" fontId="1" fillId="0" borderId="0" xfId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1" fillId="0" borderId="0" xfId="0" applyFont="1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8" fillId="0" borderId="0" xfId="3"/>
    <xf numFmtId="165" fontId="0" fillId="0" borderId="0" xfId="0" applyNumberFormat="1" applyBorder="1"/>
    <xf numFmtId="0" fontId="0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0" borderId="1" xfId="0" applyNumberFormat="1" applyFont="1" applyBorder="1"/>
    <xf numFmtId="0" fontId="0" fillId="5" borderId="1" xfId="0" applyNumberFormat="1" applyFont="1" applyFill="1" applyBorder="1"/>
    <xf numFmtId="0" fontId="3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 vertical="center"/>
    </xf>
    <xf numFmtId="0" fontId="0" fillId="5" borderId="7" xfId="0" applyFont="1" applyFill="1" applyBorder="1"/>
    <xf numFmtId="0" fontId="0" fillId="5" borderId="7" xfId="0" applyNumberFormat="1" applyFont="1" applyFill="1" applyBorder="1"/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7" borderId="0" xfId="2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85">
    <dxf>
      <font>
        <color auto="1"/>
      </font>
      <fill>
        <patternFill>
          <bgColor theme="5" tint="0.7999816888943144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"/>
    </dxf>
    <dxf>
      <numFmt numFmtId="165" formatCode="0.000"/>
    </dxf>
    <dxf>
      <numFmt numFmtId="164" formatCode="0.0000"/>
    </dxf>
    <dxf>
      <numFmt numFmtId="164" formatCode="0.0000"/>
    </dxf>
    <dxf>
      <font>
        <b/>
      </font>
    </dxf>
    <dxf>
      <font>
        <b/>
      </font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0.000"/>
    </dxf>
    <dxf>
      <numFmt numFmtId="13" formatCode="0%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3" formatCode="0%"/>
    </dxf>
    <dxf>
      <numFmt numFmtId="165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</font>
    </dxf>
    <dxf>
      <numFmt numFmtId="165" formatCode="0.000"/>
    </dxf>
    <dxf>
      <numFmt numFmtId="0" formatCode="General"/>
    </dxf>
    <dxf>
      <numFmt numFmtId="165" formatCode="0.000"/>
    </dxf>
    <dxf>
      <numFmt numFmtId="0" formatCode="General"/>
    </dxf>
    <dxf>
      <numFmt numFmtId="165" formatCode="0.000"/>
    </dxf>
    <dxf>
      <numFmt numFmtId="165" formatCode="0.0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"/>
    </dxf>
    <dxf>
      <numFmt numFmtId="0" formatCode="General"/>
    </dxf>
    <dxf>
      <numFmt numFmtId="165" formatCode="0.0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65" formatCode="0.000"/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/>
      </font>
    </dxf>
    <dxf>
      <font>
        <b/>
      </font>
    </dxf>
    <dxf>
      <numFmt numFmtId="165" formatCode="0.000"/>
    </dxf>
    <dxf>
      <numFmt numFmtId="165" formatCode="0.000"/>
    </dxf>
    <dxf>
      <numFmt numFmtId="165" formatCode="0.000"/>
    </dxf>
    <dxf>
      <numFmt numFmtId="0" formatCode="General"/>
    </dxf>
    <dxf>
      <numFmt numFmtId="165" formatCode="0.00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 of Experience,</a:t>
            </a:r>
            <a:r>
              <a:rPr lang="en-US" baseline="0"/>
              <a:t> bi-modal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Subjects!$G$2:$G$22</c:f>
              <c:numCache>
                <c:formatCode>General</c:formatCode>
                <c:ptCount val="21"/>
                <c:pt idx="0">
                  <c:v>14</c:v>
                </c:pt>
                <c:pt idx="1">
                  <c:v>28</c:v>
                </c:pt>
                <c:pt idx="2">
                  <c:v>7.5</c:v>
                </c:pt>
                <c:pt idx="3">
                  <c:v>13</c:v>
                </c:pt>
                <c:pt idx="4">
                  <c:v>10</c:v>
                </c:pt>
                <c:pt idx="5">
                  <c:v>8</c:v>
                </c:pt>
                <c:pt idx="6">
                  <c:v>28</c:v>
                </c:pt>
                <c:pt idx="7">
                  <c:v>4</c:v>
                </c:pt>
                <c:pt idx="8">
                  <c:v>14</c:v>
                </c:pt>
                <c:pt idx="9">
                  <c:v>7</c:v>
                </c:pt>
                <c:pt idx="10">
                  <c:v>5</c:v>
                </c:pt>
                <c:pt idx="11">
                  <c:v>8</c:v>
                </c:pt>
                <c:pt idx="12">
                  <c:v>11</c:v>
                </c:pt>
                <c:pt idx="13">
                  <c:v>15</c:v>
                </c:pt>
                <c:pt idx="14">
                  <c:v>7</c:v>
                </c:pt>
                <c:pt idx="15">
                  <c:v>12</c:v>
                </c:pt>
                <c:pt idx="16">
                  <c:v>7</c:v>
                </c:pt>
                <c:pt idx="17">
                  <c:v>8</c:v>
                </c:pt>
                <c:pt idx="18">
                  <c:v>20</c:v>
                </c:pt>
                <c:pt idx="19">
                  <c:v>5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1-4025-8851-BC7EE24E6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891872"/>
        <c:axId val="457893512"/>
      </c:barChart>
      <c:catAx>
        <c:axId val="4578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93512"/>
        <c:crosses val="autoZero"/>
        <c:auto val="1"/>
        <c:lblAlgn val="ctr"/>
        <c:lblOffset val="100"/>
        <c:noMultiLvlLbl val="0"/>
      </c:catAx>
      <c:valAx>
        <c:axId val="45789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Subjects!$F$1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Subjects!$F$2:$F$22</c:f>
              <c:numCache>
                <c:formatCode>General</c:formatCode>
                <c:ptCount val="21"/>
                <c:pt idx="0">
                  <c:v>22</c:v>
                </c:pt>
                <c:pt idx="1">
                  <c:v>42</c:v>
                </c:pt>
                <c:pt idx="2">
                  <c:v>22</c:v>
                </c:pt>
                <c:pt idx="3">
                  <c:v>28</c:v>
                </c:pt>
                <c:pt idx="4">
                  <c:v>30</c:v>
                </c:pt>
                <c:pt idx="5">
                  <c:v>22</c:v>
                </c:pt>
                <c:pt idx="6">
                  <c:v>38</c:v>
                </c:pt>
                <c:pt idx="7">
                  <c:v>23</c:v>
                </c:pt>
                <c:pt idx="8">
                  <c:v>30</c:v>
                </c:pt>
                <c:pt idx="9">
                  <c:v>21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32</c:v>
                </c:pt>
                <c:pt idx="14">
                  <c:v>22</c:v>
                </c:pt>
                <c:pt idx="15">
                  <c:v>32</c:v>
                </c:pt>
                <c:pt idx="16">
                  <c:v>25</c:v>
                </c:pt>
                <c:pt idx="17">
                  <c:v>22</c:v>
                </c:pt>
                <c:pt idx="18">
                  <c:v>34</c:v>
                </c:pt>
                <c:pt idx="19">
                  <c:v>23</c:v>
                </c:pt>
                <c:pt idx="2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C-4844-9E84-C2CA548B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870496"/>
        <c:axId val="459871480"/>
      </c:barChart>
      <c:catAx>
        <c:axId val="4598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71480"/>
        <c:crosses val="autoZero"/>
        <c:auto val="1"/>
        <c:lblAlgn val="ctr"/>
        <c:lblOffset val="100"/>
        <c:noMultiLvlLbl val="0"/>
      </c:catAx>
      <c:valAx>
        <c:axId val="45987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7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</xdr:colOff>
      <xdr:row>22</xdr:row>
      <xdr:rowOff>104775</xdr:rowOff>
    </xdr:from>
    <xdr:to>
      <xdr:col>10</xdr:col>
      <xdr:colOff>1002505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EAD99-DB9C-434B-9A62-1C5D8E625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431005</xdr:colOff>
      <xdr:row>3</xdr:row>
      <xdr:rowOff>85725</xdr:rowOff>
    </xdr:from>
    <xdr:to>
      <xdr:col>8</xdr:col>
      <xdr:colOff>107155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5F250-AAE2-4F44-A7BE-36BD42E34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B67CDD-02FF-4FB6-902A-E2E7EA91A8E1}" name="Table1" displayName="Table1" ref="A1:AM64" totalsRowShown="0" headerRowDxfId="184">
  <autoFilter ref="A1:AM64" xr:uid="{ECB7930C-BB63-4B0A-8F71-6C2288E212AC}">
    <filterColumn colId="4">
      <filters>
        <filter val="Fix"/>
      </filters>
    </filterColumn>
  </autoFilter>
  <tableColumns count="39">
    <tableColumn id="1" xr3:uid="{18AD0FD6-AFD0-4DF8-903E-3C62B643DAA3}" name="KIT" dataDxfId="183"/>
    <tableColumn id="36" xr3:uid="{F125C3EC-6ED7-4052-9C4C-6EB38FA9DC38}" name="Type" dataDxfId="182"/>
    <tableColumn id="33" xr3:uid="{36FFF865-7F52-4A6D-A6E4-2BFF5B57A719}" name="Bug" dataDxfId="181"/>
    <tableColumn id="2" xr3:uid="{00DEAD63-8FC1-471B-A099-911FF857957C}" name="WorkingSet" dataDxfId="180"/>
    <tableColumn id="3" xr3:uid="{78CD43AC-6C2D-429B-AF10-2BD78D5E6166}" name="ExplanationType" dataDxfId="179"/>
    <tableColumn id="4" xr3:uid="{600956AD-43F5-4CDB-ACD1-75E8C7CCF98E}" name="ValidFix"/>
    <tableColumn id="5" xr3:uid="{AE1C51A6-7362-43C1-A3C9-C6A4C700EFDC}" name="Confidence"/>
    <tableColumn id="6" xr3:uid="{7A73BC91-E207-483E-8E63-26EDF613DE85}" name="ConfidenceOthers"/>
    <tableColumn id="7" xr3:uid="{2A554F88-17B1-4396-9F79-BC9879D4E733}" name="DurationMinutes"/>
    <tableColumn id="32" xr3:uid="{7A2BD519-1233-4A70-87EE-B9A8280A7EE6}" name="FixRelatedExplanations" dataDxfId="178"/>
    <tableColumn id="8" xr3:uid="{CCAD2136-6710-459A-9E6F-9652997963A5}" name="Age"/>
    <tableColumn id="9" xr3:uid="{EEFCDC51-7DF7-4144-8EC9-2403A22A5E16}" name="YoE"/>
    <tableColumn id="10" xr3:uid="{392F950F-DF2C-4B0F-AB59-87170117FE25}" name="UnitTestPractice"/>
    <tableColumn id="11" xr3:uid="{94723AE3-1D4E-4CEC-8848-51501F1A8F39}" name="LearnedUniversity"/>
    <tableColumn id="12" xr3:uid="{9A2585F5-A30A-4658-AE19-47ABF3E73B8B}" name="LearnedOnLine"/>
    <tableColumn id="13" xr3:uid="{BC798B06-BDE9-423C-BAF6-7646B0538F70}" name="LearnedSelftTaught"/>
    <tableColumn id="14" xr3:uid="{B3B16044-C0C3-4289-BB59-3E6928CB042F}" name="SuggestFix"/>
    <tableColumn id="15" xr3:uid="{E73D663E-0811-4241-BD00-52B68E6EECC2}" name="CreateUnitTest"/>
    <tableColumn id="16" xr3:uid="{12A27280-A5EB-42FC-AD15-435326A9C19A}" name="AddDocumentation"/>
    <tableColumn id="17" xr3:uid="{8EF5A68F-20F7-44DD-8C29-2009372F5461}" name="Refactor"/>
    <tableColumn id="18" xr3:uid="{CFB6A7BC-EDB1-4AC2-8F62-7B41876B83B7}" name="None"/>
    <tableColumn id="19" xr3:uid="{1F42DAA8-7B09-45D5-907B-44FC7B432827}" name="Java"/>
    <tableColumn id="20" xr3:uid="{6321A484-C8EB-4E7D-8EF0-AAED368646C5}" name="Javascript"/>
    <tableColumn id="21" xr3:uid="{A0CF2797-9DCD-427B-A82B-E9D348182DA7}" name="Python"/>
    <tableColumn id="22" xr3:uid="{64FC0D5F-F922-4D84-8CBA-5ED6865233BC}" name="C"/>
    <tableColumn id="25" xr3:uid="{927D66B7-ACA3-4B57-97EE-506E75AA575A}" name="C++"/>
    <tableColumn id="27" xr3:uid="{8B2FF689-0612-436E-9511-739BBDD79D1B}" name="C#"/>
    <tableColumn id="23" xr3:uid="{356532F0-00F1-48B6-89DB-8A9CC25758DD}" name="PHP"/>
    <tableColumn id="24" xr3:uid="{7CFFD73B-6D39-4DBD-B7F2-BFB18CE55094}" name="VB"/>
    <tableColumn id="26" xr3:uid="{60934223-C637-4B20-8D28-EF4D1383AAA6}" name="Pascal"/>
    <tableColumn id="28" xr3:uid="{CBBCFE69-2BDB-4472-80DA-DDE58B8EF3BA}" name="SQL"/>
    <tableColumn id="29" xr3:uid="{E71CFD24-BE8F-4372-8625-30E0802F0895}" name="SmallTalk"/>
    <tableColumn id="30" xr3:uid="{255068CC-95E7-4C6A-9E57-9D39CB2EF877}" name="Prolog"/>
    <tableColumn id="31" xr3:uid="{FAE6C626-346C-443A-A882-E0C80CEF706D}" name="Scala"/>
    <tableColumn id="35" xr3:uid="{8D607254-D823-4E97-821D-001607E4F0B7}" name="Haskell"/>
    <tableColumn id="38" xr3:uid="{140F07EA-9F6B-446B-8923-4BF6C45B3AB9}" name="LISP"/>
    <tableColumn id="37" xr3:uid="{0A456098-1090-4E4B-8E87-583544492FFC}" name="Ruby"/>
    <tableColumn id="39" xr3:uid="{E4ADCD31-C7FE-4E00-97F7-A230B6F04941}" name="Swift"/>
    <tableColumn id="34" xr3:uid="{60C416CD-2E8F-4245-B501-7954141D6A12}" name="Total Languages" dataDxfId="177">
      <calculatedColumnFormula>COUNTIF(Table1[[#This Row],[Java]:[Scala]],TRUE)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7065D98-83B4-4ABA-9552-FE5E64E3D69A}" name="Table12151721" displayName="Table12151721" ref="A2:C24" totalsRowCount="1">
  <tableColumns count="3">
    <tableColumn id="1" xr3:uid="{319FFD77-802B-41A1-ABDE-2EAF8ADFEFEA}" name="Explanation" totalsRowLabel="Total" dataDxfId="149" totalsRowDxfId="148"/>
    <tableColumn id="4" xr3:uid="{3264802D-BF8C-4A0E-80D3-2000E428E1EF}" name="RootCause" totalsRowFunction="average" dataDxfId="147" totalsRowDxfId="146">
      <calculatedColumnFormula>SUMIFS(Table1[FixRelatedExplanations],Table1[KIT],A3,Table1[ExplanationType],$B$2)</calculatedColumnFormula>
    </tableColumn>
    <tableColumn id="5" xr3:uid="{F4448EBE-6FDD-4744-A408-58D38CD2DBE0}" name="Fix" totalsRowFunction="average" dataDxfId="145" totalsRowDxfId="144">
      <calculatedColumnFormula>SUMIFS(Table1[FixRelatedExplanations],Table1[KIT],A3,Table1[ExplanationType],$C$2)</calculatedColumnFormula>
    </tableColumn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5BC1FE-DE8C-4A41-8296-EA3CC2037480}" name="Table4101822" displayName="Table4101822" ref="A34:B38" totalsRowShown="0" tableBorderDxfId="143">
  <tableColumns count="2">
    <tableColumn id="1" xr3:uid="{2D95E475-921A-4560-9FCA-3D2566809A1D}" name="Power of the test" dataDxfId="142"/>
    <tableColumn id="7" xr3:uid="{5EC9BF2E-3BDB-4901-82EC-E93737517F9D}" name="With RootCause &lt; With Fix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A6093F1-215B-488E-B919-BE0B63D4823A}" name="Table81923" displayName="Table81923" ref="B27:B28" totalsRowShown="0" headerRowDxfId="141" dataDxfId="139" headerRowBorderDxfId="140" tableBorderDxfId="138" totalsRowBorderDxfId="137">
  <autoFilter ref="B27:B28" xr:uid="{C8A793A8-C6AA-4A15-B042-3D65A4512F4E}"/>
  <tableColumns count="1">
    <tableColumn id="4" xr3:uid="{00C32CD5-8C93-4C2A-96D9-38842CE272A2}" name="With RootCause &lt; With Fix" dataDxfId="136">
      <calculatedColumnFormula>IF(Table12151721[[#Totals],[RootCause]]&lt;Table12151721[[#Totals],[Fix]],"YES","NO")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24042ED-F972-4832-93EA-69498176809E}" name="Table5111214" displayName="Table5111214" ref="A28:E29" totalsRowShown="0" tableBorderDxfId="135">
  <tableColumns count="5">
    <tableColumn id="1" xr3:uid="{87BA9869-BE0E-4216-AA1D-97E1F646F46C}" name="T-Tests, one tailed, homoscedastic" dataDxfId="134"/>
    <tableColumn id="4" xr3:uid="{BA1C77C8-65B5-4D33-B6BB-8B48A5E24694}" name="Without &lt; With" dataDxfId="133">
      <calculatedColumnFormula>TTEST(B3:B23,C3:C23,1,2)</calculatedColumnFormula>
    </tableColumn>
    <tableColumn id="5" xr3:uid="{D98307DB-B99F-480E-9006-568EFBA9404B}" name="Without &lt; With RootCause" dataDxfId="132">
      <calculatedColumnFormula>TTEST(B3:B23,D3:D23,1,2)</calculatedColumnFormula>
    </tableColumn>
    <tableColumn id="6" xr3:uid="{AF642B67-C1A7-4B42-BB24-663616CC89AB}" name="Without &lt; With Fix" dataDxfId="131">
      <calculatedColumnFormula>TTEST(B3:B23,E3:E23,1,2)</calculatedColumnFormula>
    </tableColumn>
    <tableColumn id="7" xr3:uid="{76A9994F-F2A3-42DC-A995-C011E49874D2}" name="With RootCause &lt; With Fix" dataDxfId="130">
      <calculatedColumnFormula>TTEST(D3:D23,E3:E23,1,2)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4FDA0C-0148-4EE0-9621-B6D45C014291}" name="Table1215" displayName="Table1215" ref="A2:E24" totalsRowCount="1">
  <tableColumns count="5">
    <tableColumn id="1" xr3:uid="{E201EAA3-CCB9-4560-B9F7-64EB5603A7D5}" name="Explanation" totalsRowLabel="Total" dataDxfId="129" totalsRowDxfId="128"/>
    <tableColumn id="2" xr3:uid="{4512E9A4-F9D6-44A4-A7F7-73CC3D38FDC4}" name="None" totalsRowFunction="average" dataDxfId="127">
      <calculatedColumnFormula>SUMIFS(Table1[Confidence],Table1[KIT],A3,Table1[ExplanationType],$B$2)</calculatedColumnFormula>
    </tableColumn>
    <tableColumn id="3" xr3:uid="{6686D22B-131E-4620-B327-44F844C2B336}" name="With" totalsRowFunction="average">
      <calculatedColumnFormula>AVERAGE(D3:E3)</calculatedColumnFormula>
    </tableColumn>
    <tableColumn id="4" xr3:uid="{476F6380-2699-41D2-92B7-1A4C4C93D986}" name="RootCause" totalsRowFunction="average" dataDxfId="126">
      <calculatedColumnFormula>SUMIFS(Table1[Confidence],Table1[KIT],A3,Table1[ExplanationType],$D$2)</calculatedColumnFormula>
    </tableColumn>
    <tableColumn id="5" xr3:uid="{1A9A4173-9075-4BA2-B0F3-3B3CFA7835F3}" name="Fix" totalsRowFunction="average" dataDxfId="125">
      <calculatedColumnFormula>SUMIFS(Table1[Confidence],Table1[KIT],A3,Table1[ExplanationType],$E$2)</calculatedColumnFormula>
    </tableColumn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F3642F9-A3FE-4865-8E4B-7A83513B4092}" name="Table511121416" displayName="Table511121416" ref="A30:E31" totalsRowShown="0">
  <tableColumns count="5">
    <tableColumn id="1" xr3:uid="{4EE1A7F8-9822-4532-9161-C886BE1C8A5C}" name="T-Tests, one tailed, homoscedastic" dataDxfId="124"/>
    <tableColumn id="4" xr3:uid="{00C79275-E12D-4B1F-92C9-FB2578E4B85C}" name="Without &lt; With" dataDxfId="123">
      <calculatedColumnFormula>TTEST(B3:B23,C3:C23,1,2)</calculatedColumnFormula>
    </tableColumn>
    <tableColumn id="5" xr3:uid="{2600408E-9FF5-4EB8-A32B-7CE65003F22D}" name="Without &lt; With RootCause" dataDxfId="122">
      <calculatedColumnFormula>TTEST(B3:B23,D3:D23,1,2)</calculatedColumnFormula>
    </tableColumn>
    <tableColumn id="6" xr3:uid="{EDEDAD2A-3502-434C-A840-C2EA6E92A6B6}" name="Without &lt; With Fix" dataDxfId="121">
      <calculatedColumnFormula>TTEST(B3:B23,E3:E23,1,2)</calculatedColumnFormula>
    </tableColumn>
    <tableColumn id="7" xr3:uid="{5A647E53-4375-4FE5-B34D-B0B1F35D4B24}" name="With RootCause &lt; With Fix" dataDxfId="120">
      <calculatedColumnFormula>TTEST(D3:D23,E3:E23,1,2)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FB3C93-EC95-492F-8464-BF8D780B1A71}" name="Table121517" displayName="Table121517" ref="A2:E24" totalsRowCount="1">
  <tableColumns count="5">
    <tableColumn id="1" xr3:uid="{9B871DDF-D8CA-47DE-A8E6-ECA9633FB1BE}" name="Explanation" totalsRowLabel="Total" dataDxfId="119" totalsRowDxfId="118"/>
    <tableColumn id="2" xr3:uid="{1743CF06-66AD-4CB7-A7EC-5633CB942A45}" name="None" totalsRowFunction="average" dataDxfId="117" totalsRowDxfId="116">
      <calculatedColumnFormula>SUMIFS(Table1[ConfidenceOthers],Table1[KIT],A3,Table1[ExplanationType],$B$2)</calculatedColumnFormula>
    </tableColumn>
    <tableColumn id="3" xr3:uid="{6EC7AC27-026E-4F65-8B61-D22A2D718A6C}" name="With" totalsRowFunction="average" totalsRowDxfId="115">
      <calculatedColumnFormula>AVERAGE(D3:E3)</calculatedColumnFormula>
    </tableColumn>
    <tableColumn id="4" xr3:uid="{4E806A63-652C-4B94-A2F9-B44201327F7D}" name="RootCause" totalsRowFunction="average" dataDxfId="114" totalsRowDxfId="113">
      <calculatedColumnFormula>SUMIFS(Table1[ConfidenceOthers],Table1[KIT],A3,Table1[ExplanationType],$D$2)</calculatedColumnFormula>
    </tableColumn>
    <tableColumn id="5" xr3:uid="{13133616-B2F9-44DB-9509-722F3596E5C2}" name="Fix" totalsRowFunction="average" dataDxfId="112" totalsRowDxfId="111">
      <calculatedColumnFormula>SUMIFS(Table1[ConfidenceOthers],Table1[KIT],A3,Table1[ExplanationType],$E$2)</calculatedColumnFormula>
    </tableColumn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8FCCF0D-973C-42A2-AA56-EE4D55034964}" name="Table41018" displayName="Table41018" ref="A34:E38" totalsRowShown="0">
  <tableColumns count="5">
    <tableColumn id="1" xr3:uid="{D6512207-2278-4526-8D29-8A35432BE5B6}" name="Power of the test" dataDxfId="110"/>
    <tableColumn id="4" xr3:uid="{7138A421-C421-460C-85A3-1489AE820C88}" name="Without &lt; With"/>
    <tableColumn id="5" xr3:uid="{6CE17F96-CFFC-4DA3-A909-490BDD31C5A8}" name="Without &lt; With RootCause"/>
    <tableColumn id="6" xr3:uid="{CFF380C3-7720-4C82-88EA-40F5E850B1B1}" name="Without &lt; With Fix"/>
    <tableColumn id="7" xr3:uid="{E57E136C-4482-479B-8974-C885C4CD39AE}" name="With RootCause &lt; With Fix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4688A6E-5823-411F-88BC-8D24EDB3CADF}" name="Table819" displayName="Table819" ref="B27:E28" totalsRowShown="0" headerRowDxfId="109" dataDxfId="107" headerRowBorderDxfId="108" tableBorderDxfId="106" totalsRowBorderDxfId="105">
  <autoFilter ref="B27:E28" xr:uid="{C8A793A8-C6AA-4A15-B042-3D65A4512F4E}"/>
  <tableColumns count="4">
    <tableColumn id="1" xr3:uid="{8A45B160-ED3F-44BB-BA28-33E6A7DEB1BF}" name="Without &lt; With" dataDxfId="104">
      <calculatedColumnFormula>IF(Table121517[[#Totals],[None]]&lt;Table121517[[#Totals],[With]],"YES","NO")</calculatedColumnFormula>
    </tableColumn>
    <tableColumn id="2" xr3:uid="{D70ADC6E-91C6-4F9C-90AA-9CEB32C31EB4}" name="Without &lt; With RootCause" dataDxfId="103">
      <calculatedColumnFormula>IF(Table121517[[#Totals],[None]]&lt;Table121517[[#Totals],[RootCause]],"YES","NO")</calculatedColumnFormula>
    </tableColumn>
    <tableColumn id="3" xr3:uid="{1729FD9D-8DAF-4A40-84F8-7878568E2EB9}" name="Without &lt; With Fix " dataDxfId="102">
      <calculatedColumnFormula>IF(Table121517[[#Totals],[None]]&lt;Table121517[[#Totals],[Fix]],"YES","NO")</calculatedColumnFormula>
    </tableColumn>
    <tableColumn id="4" xr3:uid="{8CF918AB-8972-42CA-82B1-AA0F322C20E2}" name="With RootCause &lt; With Fix" dataDxfId="101">
      <calculatedColumnFormula>IF(Table121517[[#Totals],[RootCause]]&lt;Table121517[[#Totals],[Fix]],"YES","NO")</calculatedColumn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8EA5C51-6F05-4AAF-BCFC-85D01F3FB462}" name="Table51112" displayName="Table51112" ref="A27:E28" totalsRowShown="0">
  <tableColumns count="5">
    <tableColumn id="1" xr3:uid="{10479685-A818-4C88-B443-D6693A9625DC}" name="T-Tests, one tailed, homoscedastic" dataDxfId="100"/>
    <tableColumn id="4" xr3:uid="{4DDF8CC0-2CE2-4215-A2BC-6D32FF91EE7C}" name="Without &lt; With" dataDxfId="99">
      <calculatedColumnFormula>TTEST(B3:B23,C3:C23,1,2)</calculatedColumnFormula>
    </tableColumn>
    <tableColumn id="5" xr3:uid="{7100612C-0598-4D1B-91B1-3A13A0146B25}" name="Without &lt; With RootCause" dataDxfId="98">
      <calculatedColumnFormula>TTEST(B3:B23,D3:D23,1,2)</calculatedColumnFormula>
    </tableColumn>
    <tableColumn id="6" xr3:uid="{C77B6C1B-9ADB-45EA-A0A6-F8925E33661F}" name="Without &lt; With Fix" dataDxfId="97">
      <calculatedColumnFormula>TTEST(B3:B23,E3:E23,1,2)</calculatedColumnFormula>
    </tableColumn>
    <tableColumn id="7" xr3:uid="{98E793FB-9ECE-4904-A1E2-E472D70FBFC3}" name="With RootCause &lt; With Fix" dataDxfId="96">
      <calculatedColumnFormula>TTEST(D3:D23,E3:E23,1,2)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AE6E12-A2BA-4A63-957D-E70D8A938838}" name="Table3" displayName="Table3" ref="A1:E23" totalsRowCount="1">
  <tableColumns count="5">
    <tableColumn id="1" xr3:uid="{7B40D026-C55E-4E4E-BC88-610239A2D3D5}" name="Subject" totalsRowLabel="Mean" dataDxfId="176" totalsRowDxfId="175"/>
    <tableColumn id="2" xr3:uid="{F4E681D8-A293-495E-AE60-E95C07E6B1F5}" name="Without Explanations" totalsRowFunction="average" totalsRowDxfId="174">
      <calculatedColumnFormula>COUNTIFS(Table1[KIT],AcrossSubjectsCorrectness!A2,Table1[ExplanationType],"None",Table1[ValidFix],TRUE)</calculatedColumnFormula>
    </tableColumn>
    <tableColumn id="3" xr3:uid="{CFD666FB-5F95-4AEF-BAA0-5E5966954414}" name="With Explanations" totalsRowFunction="average" dataDxfId="173" totalsRowDxfId="172">
      <calculatedColumnFormula>(Table3[[#This Row],[With RootCause Explanations]]+Table3[[#This Row],[With Fix Explanations]])/2</calculatedColumnFormula>
    </tableColumn>
    <tableColumn id="4" xr3:uid="{4F676974-C0E6-41B3-B0B1-DF3FE42D8DF8}" name="With RootCause Explanations" totalsRowFunction="average" totalsRowDxfId="171">
      <calculatedColumnFormula>COUNTIFS(Table1[KIT],AcrossSubjectsCorrectness!A2,Table1[ExplanationType],"RootCause",Table1[ValidFix],TRUE)</calculatedColumnFormula>
    </tableColumn>
    <tableColumn id="5" xr3:uid="{791D4CC8-BC66-4120-AB68-05DE7DB7DCDE}" name="With Fix Explanations" totalsRowFunction="average" totalsRowDxfId="170">
      <calculatedColumnFormula>COUNTIFS(Table1[KIT],AcrossSubjectsCorrectness!A2,Table1[ExplanationType],"Fix",Table1[ValidFix],TRUE)</calculatedColumnFormula>
    </tableColumn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C079299-9F34-4547-A48D-DE4EA8301CF4}" name="Table12" displayName="Table12" ref="A2:E24" totalsRowCount="1">
  <tableColumns count="5">
    <tableColumn id="1" xr3:uid="{B31B7B26-69FC-4F1F-B690-B072EE0A94C7}" name="Explanation" totalsRowLabel="Total" dataDxfId="95" totalsRowDxfId="94"/>
    <tableColumn id="2" xr3:uid="{66BF09AB-3F9A-4979-8FF8-AFD1F0456BDC}" name="None" totalsRowFunction="average">
      <calculatedColumnFormula>SUMIFS(Table1[DurationMinutes],Table1[KIT],A3,Table1[ExplanationType],$B$2)</calculatedColumnFormula>
    </tableColumn>
    <tableColumn id="3" xr3:uid="{E73C4573-D2BC-4D7E-8077-E5CCC3D4C5BD}" name="With" totalsRowFunction="average">
      <calculatedColumnFormula>AVERAGE(D3:E3)</calculatedColumnFormula>
    </tableColumn>
    <tableColumn id="4" xr3:uid="{2A7A28B9-98B1-42B3-AD2F-8AE7BA0FAD50}" name="RootCause" totalsRowFunction="average">
      <calculatedColumnFormula>SUMIFS(Table1[DurationMinutes],Table1[KIT],A3,Table1[ExplanationType],$D$2)</calculatedColumnFormula>
    </tableColumn>
    <tableColumn id="5" xr3:uid="{F4E63398-E744-4430-B42D-60108AE1B246}" name="Fix" totalsRowFunction="average">
      <calculatedColumnFormula>SUMIFS(Table1[DurationMinutes],Table1[KIT],A3,Table1[ExplanationType],$E$2)</calculatedColumnFormula>
    </tableColumn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63DEF9-3E03-4C95-B95E-3D4C3BE65594}" name="Table2" displayName="Table2" ref="A2:I6" totalsRowCount="1" headerRowDxfId="93">
  <tableColumns count="9">
    <tableColumn id="1" xr3:uid="{07E39BB7-674A-4150-9F70-B8548BF70440}" name="Bug" totalsRowLabel="Mean" dataDxfId="92" totalsRowDxfId="91"/>
    <tableColumn id="5" xr3:uid="{26106DA8-8833-404F-9DDF-52757745C09D}" name="Without Explanation" totalsRowFunction="average" dataDxfId="90" totalsRowDxfId="89"/>
    <tableColumn id="6" xr3:uid="{D3A29D48-2BC9-4D6B-A4CA-4DDCC2FFBBA6}" name="With explanation" totalsRowFunction="average" dataDxfId="88" totalsRowDxfId="87">
      <calculatedColumnFormula>(Table2[[#This Row],[With RootCause]]+Table2[[#This Row],[With Fix]])</calculatedColumnFormula>
    </tableColumn>
    <tableColumn id="3" xr3:uid="{F5FA073C-B27F-416E-8673-C55FBDB759B8}" name="With RootCause" totalsRowFunction="average" dataDxfId="86" totalsRowDxfId="85"/>
    <tableColumn id="4" xr3:uid="{5608BB9A-46B5-4AC9-937F-4CD812A78A6F}" name="With Fix" totalsRowFunction="average" dataDxfId="84" totalsRowDxfId="83"/>
    <tableColumn id="9" xr3:uid="{D2D4D141-3986-4F3E-BF80-E75B6B0FC38A}" name="Total answers" totalsRowFunction="average" dataDxfId="82" totalsRowDxfId="81">
      <calculatedColumnFormula>COUNTIF(Table1[Bug],Table2[[#This Row],[Bug]])</calculatedColumnFormula>
    </tableColumn>
    <tableColumn id="10" xr3:uid="{993A6246-4559-4A06-82E2-473BA10766C7}" name="Total correct" totalsRowFunction="average" dataDxfId="80" totalsRowDxfId="79">
      <calculatedColumnFormula>COUNTIFS(Table1[Bug],Table2[[#This Row],[Bug]],Table1[ValidFix],TRUE)</calculatedColumnFormula>
    </tableColumn>
    <tableColumn id="2" xr3:uid="{E414E193-30F2-4E9E-B1E7-9A1419BC313D}" name="LOCs" dataDxfId="78"/>
    <tableColumn id="7" xr3:uid="{A6EBDF76-2E3B-41B6-B9DA-7949671DB4EC}" name="Cyclomatic complexity" dataDxfId="77"/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38F56F-B917-40D7-9811-695CC53EDDDE}" name="Table27" displayName="Table27" ref="A10:G14" totalsRowCount="1" headerRowDxfId="76">
  <tableColumns count="7">
    <tableColumn id="1" xr3:uid="{4FBD88C2-5D9E-4912-8885-D289F9F75DE0}" name="Bug" totalsRowLabel="Mean" dataDxfId="75" totalsRowDxfId="74"/>
    <tableColumn id="5" xr3:uid="{B4865278-8F87-4B91-847D-C2B361AF5E82}" name="Without Explanation" totalsRowFunction="average" dataDxfId="73" totalsRowDxfId="72" dataCellStyle="Percent"/>
    <tableColumn id="6" xr3:uid="{D9845AD0-BA1E-41FE-9EA5-6D45F295B8D8}" name="With explanation" totalsRowFunction="average" dataDxfId="71" totalsRowDxfId="70" dataCellStyle="Percent">
      <calculatedColumnFormula>(D3+E3)/(COUNTIF(Table1[WorkingSet],"1.8R")+COUNTIF(Table1[WorkingSet],"1.8F"))</calculatedColumnFormula>
    </tableColumn>
    <tableColumn id="3" xr3:uid="{BD063B27-5B16-4F82-9E1A-66E8139AA70D}" name="With RootCause" totalsRowFunction="average" totalsRowDxfId="69" dataCellStyle="Percent"/>
    <tableColumn id="4" xr3:uid="{9F550DE7-B247-4755-93AD-46644101B081}" name="With Fix" totalsRowFunction="average" totalsRowDxfId="68" dataCellStyle="Percent"/>
    <tableColumn id="9" xr3:uid="{573731E0-A50B-4B62-8D18-BC9C5E648AA6}" name="Total answers" totalsRowFunction="average" totalsRowDxfId="67" dataCellStyle="Comma">
      <calculatedColumnFormula>COUNTIF(Table1[Bug],Table27[[#This Row],[Bug]])</calculatedColumnFormula>
    </tableColumn>
    <tableColumn id="10" xr3:uid="{40998789-7566-49C4-9EA9-030FD25CFA75}" name="total correct" totalsRowFunction="average" dataDxfId="66" totalsRowDxfId="65" dataCellStyle="Percent">
      <calculatedColumnFormula>G3/F3</calculatedColumnFormula>
    </tableColumn>
  </tableColumns>
  <tableStyleInfo name="TableStyleMedium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938F48-56A6-4E8B-AB26-F0D2A558F6B3}" name="Table7" displayName="Table7" ref="A17:E20" totalsRowShown="0" headerRowDxfId="64">
  <tableColumns count="5">
    <tableColumn id="5" xr3:uid="{B6A98FD2-5BFE-4A27-97AD-BDEC8E080CDB}" name="Bug" dataDxfId="63"/>
    <tableColumn id="1" xr3:uid="{CF8237C5-00FF-491F-BECF-F79AF235CA06}" name="With &gt; Without" dataDxfId="62">
      <calculatedColumnFormula>IF(B11&lt;C11,"YES", "NO")</calculatedColumnFormula>
    </tableColumn>
    <tableColumn id="2" xr3:uid="{49DC9241-54CD-4732-839C-D0CEE58CDECD}" name="With RootCause &gt; Without" dataDxfId="61">
      <calculatedColumnFormula>IF(B11&lt;D11,"YES","NO")</calculatedColumnFormula>
    </tableColumn>
    <tableColumn id="3" xr3:uid="{B3791A4A-2CEE-4F0E-84D8-AC09E18E13F9}" name="With Fix &gt; Without" dataDxfId="60">
      <calculatedColumnFormula>IF(B11&lt;E11,"YES","NO")</calculatedColumnFormula>
    </tableColumn>
    <tableColumn id="4" xr3:uid="{C95ED31B-636C-4C9B-9E11-8EA312D2D310}" name="With Fix &gt; With Root Cause" dataDxfId="59">
      <calculatedColumnFormula>IF(D11&lt;E11,"YES","NO")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A4533FC-F29C-4B54-A20F-28EB6E712E3A}" name="Table410" displayName="Table410" ref="A26:E30" totalsRowShown="0">
  <tableColumns count="5">
    <tableColumn id="1" xr3:uid="{9BB73B7C-CFCA-43E9-A248-FBC9FBB12779}" name="Power of the test" dataDxfId="58"/>
    <tableColumn id="4" xr3:uid="{6A4D8597-BCFD-41D6-B5AC-05615398FED7}" name="Without &lt; With"/>
    <tableColumn id="5" xr3:uid="{6E76D4F2-0926-4CA1-9F1E-C9574B94DC67}" name="Without &lt; With RootCause"/>
    <tableColumn id="6" xr3:uid="{DC351FBB-A118-441B-962A-B70726ABB0BA}" name="Without &lt; With Fix"/>
    <tableColumn id="7" xr3:uid="{01AD4504-2D8B-409A-84EE-4231335BC78E}" name="With RootCause &lt; With Fix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A14D75-3524-4D86-85F1-4C79754F07BF}" name="Table511" displayName="Table511" ref="A22:E23" totalsRowShown="0">
  <tableColumns count="5">
    <tableColumn id="1" xr3:uid="{1FACCD67-5689-40E7-A16F-659E4FAE5DFE}" name="T-Tests, one tailed, homoscedastic" dataDxfId="57"/>
    <tableColumn id="4" xr3:uid="{10C287C9-64D3-442B-98AC-28C7F2144A57}" name="Without &lt; With" dataDxfId="56">
      <calculatedColumnFormula>TTEST(Table27[Without Explanation],Table27[With explanation],1,2)</calculatedColumnFormula>
    </tableColumn>
    <tableColumn id="5" xr3:uid="{50FFBC82-AC2A-44B8-A200-332AA83EC328}" name="Without &lt; With RootCause" dataDxfId="55">
      <calculatedColumnFormula>TTEST(Table27[Without Explanation],Table27[With RootCause],1,2)</calculatedColumnFormula>
    </tableColumn>
    <tableColumn id="6" xr3:uid="{1F9CD9A1-F202-4940-86DF-F9525D6414FB}" name="Without &lt; With Fix" dataDxfId="54">
      <calculatedColumnFormula>TTEST(Table27[Without Explanation],Table27[With Fix],1,2)</calculatedColumnFormula>
    </tableColumn>
    <tableColumn id="7" xr3:uid="{991FF718-4F30-4B08-9087-7167E729CD96}" name="With RootCause &lt; With Fix" dataDxfId="53">
      <calculatedColumnFormula>TTEST(Table27[With Fix],Table27[With RootCause],1,2)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3B153F-A382-4485-8455-653BD6D3A73C}" name="Table4" displayName="Table4" ref="A33:E38" totalsRowShown="0">
  <tableColumns count="5">
    <tableColumn id="1" xr3:uid="{5B586CCD-8B40-4BA2-93FA-1DD5485A99F0}" name="Power of the test" dataDxfId="169"/>
    <tableColumn id="2" xr3:uid="{D574ABBA-A050-4390-AF65-7F4A7BE3F18B}" name="Without &lt; With"/>
    <tableColumn id="3" xr3:uid="{CE741539-5FED-498A-B967-2F401B2DBE5F}" name="Without &lt; With RootCause"/>
    <tableColumn id="4" xr3:uid="{929C5213-5895-4B8D-AF12-99D5F7757C6C}" name="Without &lt; With Fix"/>
    <tableColumn id="5" xr3:uid="{530C79C6-E447-4845-9C64-10A4897EE902}" name="With RootCause &lt; With Fix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49DD4D-C479-4DAE-8F23-911F5E36946A}" name="Table5" displayName="Table5" ref="A29:E30" totalsRowShown="0">
  <tableColumns count="5">
    <tableColumn id="1" xr3:uid="{ADCA2816-0155-40F7-A5ED-ED7A3BB639B8}" name="T-Tests, one tailed, homoscedastic" dataDxfId="168"/>
    <tableColumn id="2" xr3:uid="{2757F2FD-658F-40AB-B809-AF0BA77143C8}" name="Without &lt; With" dataDxfId="167">
      <calculatedColumnFormula>TTEST(Table3[Without Explanations],Table3[With Explanations],1,2)</calculatedColumnFormula>
    </tableColumn>
    <tableColumn id="3" xr3:uid="{9E8D2741-56CF-43CE-BDED-4BE8BD56D36D}" name="Without &lt; With RootCause" dataDxfId="166">
      <calculatedColumnFormula>TTEST(Table3[Without Explanations],Table3[With RootCause Explanations],1,2)</calculatedColumnFormula>
    </tableColumn>
    <tableColumn id="4" xr3:uid="{48574672-A7D2-4FE1-B9E4-66FAE14900DF}" name="Without &lt; With Fix" dataDxfId="165">
      <calculatedColumnFormula>TTEST(Table3[Without Explanations],Table3[With Fix Explanations],1,2)</calculatedColumnFormula>
    </tableColumn>
    <tableColumn id="5" xr3:uid="{28BF4333-7FF8-4314-813B-79A59EBCB3A1}" name="With RootCause &lt; With Fix" dataDxfId="164">
      <calculatedColumnFormula>TTEST(Table3[With RootCause Explanations],Table3[With Fix Explanations],1,2)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5EA571-6EF2-4E22-BD40-FB1BBB6DD9B7}" name="Table8" displayName="Table8" ref="B26:E27" totalsRowShown="0" headerRowDxfId="163" dataDxfId="161" headerRowBorderDxfId="162" tableBorderDxfId="160" totalsRowBorderDxfId="159">
  <autoFilter ref="B26:E27" xr:uid="{9300E200-2B9D-4017-97EB-5C0F10A32E9C}"/>
  <tableColumns count="4">
    <tableColumn id="1" xr3:uid="{70C79739-E156-45D1-A2B1-91686A07C3C3}" name="Without &lt; With" dataDxfId="158">
      <calculatedColumnFormula>IF(Table3[[#Totals],[With Explanations]]&gt;Table3[[#Totals],[Without Explanations]],"YES","NO")</calculatedColumnFormula>
    </tableColumn>
    <tableColumn id="2" xr3:uid="{6F9C42D0-AE41-4CBC-9F70-FD0AE7951D89}" name="Without &lt; With RootCause" dataDxfId="157">
      <calculatedColumnFormula>IF(Table3[[#Totals],[With RootCause Explanations]]&gt;Table3[[#Totals],[Without Explanations]],"YES", "NO")</calculatedColumnFormula>
    </tableColumn>
    <tableColumn id="3" xr3:uid="{606B91D5-F008-4576-A03C-54AF2B92A2F4}" name="Without &lt; With Fix " dataDxfId="156">
      <calculatedColumnFormula>IF(Table3[[#Totals],[With Fix Explanations]]&gt;Table3[[#Totals],[Without Explanations]],"YES", "NO")</calculatedColumnFormula>
    </tableColumn>
    <tableColumn id="4" xr3:uid="{0332A724-6DB1-4555-86B6-855DE6273488}" name="With RootCause &lt; With Fix" dataDxfId="155">
      <calculatedColumnFormula>IF(Table3[[#Totals],[With Fix Explanations]]&gt;Table3[[#Totals],[With RootCause Explanations]],"YES","NO")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56717B-A744-4CA9-A6D6-05CE97F9517E}" name="Table23" displayName="Table23" ref="B1:I3" totalsRowShown="0" headerRowDxfId="154" dataDxfId="153">
  <tableColumns count="8">
    <tableColumn id="7" xr3:uid="{C3E82FA5-F4DF-4ACC-A8E6-954E8C93E7BE}" name="Statistic" dataDxfId="2" totalsRowDxfId="1" dataCellStyle="Percent"/>
    <tableColumn id="1" xr3:uid="{89C6EB2A-60D8-4D8A-A035-AFF975C26BFD}" name="Age" dataDxfId="5">
      <calculatedColumnFormula>AVERAGE(Table25[Age])</calculatedColumnFormula>
    </tableColumn>
    <tableColumn id="2" xr3:uid="{E47CA96E-F97E-441C-B111-D1988B6DA55D}" name="YoE" dataDxfId="4">
      <calculatedColumnFormula>AVERAGE(Table25[YoE])</calculatedColumnFormula>
    </tableColumn>
    <tableColumn id="3" xr3:uid="{1617CECA-EF5E-446E-A522-32C1E25175DF}" name="Languages" dataDxfId="3">
      <calculatedColumnFormula>AVERAGE(Table25[Total Languages])</calculatedColumnFormula>
    </tableColumn>
    <tableColumn id="4" xr3:uid="{4CA6F546-5681-4FEE-BEEC-82C343DC6ADC}" name="Learned University" dataDxfId="13" totalsRowDxfId="9" dataCellStyle="Percent">
      <calculatedColumnFormula>COUNTIF(Table25[LearnedUniversity],TRUE)/$I$2</calculatedColumnFormula>
    </tableColumn>
    <tableColumn id="5" xr3:uid="{8BF8CAC6-556B-4144-B851-EA0F1B0ADBB6}" name="Learned OnLine" dataDxfId="12" totalsRowDxfId="8" dataCellStyle="Percent">
      <calculatedColumnFormula>COUNTIF(Table25[LearnedOnLine],TRUE)/$I$2</calculatedColumnFormula>
    </tableColumn>
    <tableColumn id="6" xr3:uid="{F9E2727D-DF04-4605-8564-601A4D5A36FC}" name="Learned SelftTaught" dataDxfId="10" totalsRowDxfId="7" dataCellStyle="Percent">
      <calculatedColumnFormula>COUNTIF(Table25[LearnedSelftTaught],TRUE)/$I$2</calculatedColumnFormula>
    </tableColumn>
    <tableColumn id="11" xr3:uid="{D2DAE1D6-888E-4F16-8080-3F6E62926ED0}" name="Total Participant" dataDxfId="11" totalsRowDxfId="6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240651D-C16F-419F-BE5D-3813030EC435}" name="Table24" displayName="Table24" ref="B11:D12" totalsRowShown="0">
  <autoFilter ref="B11:D12" xr:uid="{D9F834B5-DAC2-43CA-A1A3-CFBC47FE2CEB}"/>
  <tableColumns count="3">
    <tableColumn id="1" xr3:uid="{34B346B8-CFB5-4100-8FB5-9583794C38DF}" name="SAME_AS_OTHERS">
      <calculatedColumnFormula>COUNTIFS(Table1[UnitTestPractice],B11,Table1[ExplanationType],"Fix")/$I$2</calculatedColumnFormula>
    </tableColumn>
    <tableColumn id="2" xr3:uid="{616DDA62-97EA-4DBA-9110-1A22F8D38591}" name="LESS_THAN_OTHERS">
      <calculatedColumnFormula>COUNTIFS(Table1[UnitTestPractice],C11,Table1[ExplanationType],"Fix")/$I$2</calculatedColumnFormula>
    </tableColumn>
    <tableColumn id="3" xr3:uid="{48E092E3-1F45-46D1-903B-C6A5D75A7C1A}" name="MORE_THAN_OTHERS">
      <calculatedColumnFormula>COUNTIFS(Table1[UnitTestPractice],D11,Table1[ExplanationType],"Fix")/$I$2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D0CD1BC-9B07-4738-BD2F-65E248547D05}" name="Table25" displayName="Table25" ref="A1:AH22" totalsRowShown="0" headerRowDxfId="23" dataDxfId="24" headerRowBorderDxfId="51" tableBorderDxfId="52" totalsRowBorderDxfId="50">
  <tableColumns count="34">
    <tableColumn id="1" xr3:uid="{AF1FEDCF-4A75-483E-AC31-0FD6CC762D1E}" name="Subject" dataDxfId="22"/>
    <tableColumn id="2" xr3:uid="{B9992929-EC37-414E-90E1-A9EA7B46570C}" name="Confidence" dataDxfId="21"/>
    <tableColumn id="3" xr3:uid="{0D0A6B96-D5D2-4DEB-BEE7-DBF171334152}" name="ConfidenceOthers" dataDxfId="20"/>
    <tableColumn id="4" xr3:uid="{E3E48DA3-C4AD-4BFB-86D5-B1785D5A6E83}" name="DurationMinutes" dataDxfId="19"/>
    <tableColumn id="5" xr3:uid="{C7C00C87-D31C-45BC-8C47-4FD9AAF1BC55}" name="FixRelatedExplanations" dataDxfId="18"/>
    <tableColumn id="6" xr3:uid="{DD520A4E-943A-4712-8ABE-5A95C1A3D1A3}" name="Age" dataDxfId="17"/>
    <tableColumn id="7" xr3:uid="{93BBDB94-CF46-4787-AF65-E629E62C7BCA}" name="YoE" dataDxfId="16"/>
    <tableColumn id="8" xr3:uid="{E768C242-119F-49F2-9E5D-E20F0D052082}" name="UnitTestPractice" dataDxfId="14"/>
    <tableColumn id="9" xr3:uid="{93CAB156-DABA-482E-9009-B9BDD1C63CBE}" name="LearnedUniversity" dataDxfId="15"/>
    <tableColumn id="10" xr3:uid="{502781E3-FEEE-4829-AEE9-A2ABF1FBC1D3}" name="LearnedOnLine" dataDxfId="49"/>
    <tableColumn id="11" xr3:uid="{E000B070-51D5-4601-8CAA-402330C79B59}" name="LearnedSelftTaught" dataDxfId="48"/>
    <tableColumn id="12" xr3:uid="{226AA11A-C2D2-4685-89C0-19E760696589}" name="SuggestFix" dataDxfId="47"/>
    <tableColumn id="13" xr3:uid="{053BF59D-021E-4DD3-96E1-F795242FCA7C}" name="CreateUnitTest" dataDxfId="46"/>
    <tableColumn id="14" xr3:uid="{3A2E7D1C-277C-4812-B7AF-8012FD38F5C2}" name="AddDocumentation" dataDxfId="45"/>
    <tableColumn id="15" xr3:uid="{85245F44-7BA0-47E2-9554-5F7A549190AE}" name="Refactor" dataDxfId="44"/>
    <tableColumn id="16" xr3:uid="{20B6374E-0C68-4AF3-9250-9931E46E492A}" name="None" dataDxfId="43"/>
    <tableColumn id="17" xr3:uid="{1BCAD11B-ED54-4DFD-A394-3D13A502B97B}" name="Java" dataDxfId="42"/>
    <tableColumn id="18" xr3:uid="{B3DDD4A9-8F0B-4322-BFE1-FAA2398EFD3D}" name="Javascript" dataDxfId="41"/>
    <tableColumn id="19" xr3:uid="{B4F4502F-8C84-4624-8E9F-C98B5AB40E03}" name="Python" dataDxfId="40"/>
    <tableColumn id="20" xr3:uid="{84CDF436-D45A-4FCA-A13C-738A26C0AB92}" name="C" dataDxfId="39"/>
    <tableColumn id="21" xr3:uid="{A68D4785-3FE0-4D3A-A596-BE5B295575D6}" name="C++" dataDxfId="38"/>
    <tableColumn id="22" xr3:uid="{94234FED-E52E-4119-BC5E-B457578AB49E}" name="C#" dataDxfId="37"/>
    <tableColumn id="23" xr3:uid="{D79046DD-276C-4ABE-AE03-4970FB0BEA3F}" name="PHP" dataDxfId="36"/>
    <tableColumn id="24" xr3:uid="{67D304C4-8BBA-4EAF-950C-7A6FC30E2D68}" name="VB" dataDxfId="35"/>
    <tableColumn id="25" xr3:uid="{627BBA38-A4FF-44B9-82A2-C42565E8B233}" name="Pascal" dataDxfId="34"/>
    <tableColumn id="26" xr3:uid="{69128B20-4271-454B-B110-8C54FEF119D0}" name="SQL" dataDxfId="33"/>
    <tableColumn id="27" xr3:uid="{5D830E57-C284-4D56-9180-E25CB4A6E547}" name="SmallTalk" dataDxfId="32"/>
    <tableColumn id="28" xr3:uid="{A825E10E-284B-4D11-8A2A-7F9F3A476930}" name="Prolog" dataDxfId="31"/>
    <tableColumn id="29" xr3:uid="{D51E9BDE-C2E4-4E43-A7C7-D51045545727}" name="Scala" dataDxfId="30"/>
    <tableColumn id="30" xr3:uid="{80306BFD-1872-49D8-84D7-E098DFA65596}" name="Haskell" dataDxfId="29"/>
    <tableColumn id="31" xr3:uid="{F46765DA-0E40-40EE-AD36-3F99F10BE39C}" name="LISP" dataDxfId="28"/>
    <tableColumn id="32" xr3:uid="{4D549DCA-23B6-4900-87E9-A64DD12A49B3}" name="Ruby" dataDxfId="27"/>
    <tableColumn id="33" xr3:uid="{1B0D22B3-560F-4560-94E1-6180B752CE2B}" name="Swift" dataDxfId="26"/>
    <tableColumn id="34" xr3:uid="{932DCD68-3B8F-4A83-BEBF-C687917FF6F8}" name="Total Languages" dataDxf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2A68171-5193-4148-94C4-AB253080AAEB}" name="Table51112141620" displayName="Table51112141620" ref="A30:B31" totalsRowShown="0" tableBorderDxfId="152">
  <tableColumns count="2">
    <tableColumn id="1" xr3:uid="{C7F45178-8122-41A9-A613-F659FBAE42A4}" name="T-Tests, one tailed, homoscedastic" dataDxfId="151"/>
    <tableColumn id="7" xr3:uid="{F3F0C4F9-A140-4674-B3D5-C7A0C96D2D86}" name="With RootCause &lt; With Fix" dataDxfId="150">
      <calculatedColumnFormula>TTEST(B3:B23,C3:C23,1,2)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5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anielsoper.com/statcalc/calculator.aspx?id=49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0ED6-2357-44C6-8C2C-7991A2FB2460}">
  <dimension ref="A1:AM64"/>
  <sheetViews>
    <sheetView topLeftCell="B1" workbookViewId="0">
      <selection sqref="A1:AM1"/>
    </sheetView>
  </sheetViews>
  <sheetFormatPr defaultRowHeight="14.25" x14ac:dyDescent="0.45"/>
  <cols>
    <col min="1" max="2" width="5.3984375" style="2" customWidth="1"/>
    <col min="3" max="3" width="6.59765625" style="2" customWidth="1"/>
    <col min="4" max="4" width="11.06640625" style="2" customWidth="1"/>
    <col min="5" max="5" width="15.19921875" customWidth="1"/>
    <col min="6" max="6" width="9.73046875" customWidth="1"/>
    <col min="7" max="7" width="10.86328125" style="28" customWidth="1"/>
    <col min="8" max="8" width="16.19921875" style="28" customWidth="1"/>
    <col min="9" max="9" width="15.59765625" style="29" customWidth="1"/>
    <col min="11" max="11" width="6.46484375" customWidth="1"/>
    <col min="12" max="12" width="7.1328125" customWidth="1"/>
    <col min="13" max="13" width="14.86328125" customWidth="1"/>
    <col min="14" max="14" width="18.3984375" customWidth="1"/>
    <col min="15" max="15" width="11.1328125" customWidth="1"/>
    <col min="16" max="16" width="14.73046875" customWidth="1"/>
    <col min="17" max="17" width="11.46484375" customWidth="1"/>
    <col min="18" max="18" width="9.3984375" customWidth="1"/>
    <col min="21" max="21" width="8.59765625" customWidth="1"/>
    <col min="22" max="22" width="6.53125" customWidth="1"/>
    <col min="25" max="25" width="6.6640625" customWidth="1"/>
    <col min="26" max="26" width="6.19921875" customWidth="1"/>
    <col min="27" max="27" width="6.3984375" customWidth="1"/>
    <col min="28" max="28" width="7.265625" customWidth="1"/>
    <col min="29" max="29" width="6.73046875" customWidth="1"/>
    <col min="31" max="31" width="7" customWidth="1"/>
    <col min="33" max="33" width="7.9296875" customWidth="1"/>
    <col min="34" max="34" width="7.265625" customWidth="1"/>
    <col min="35" max="35" width="7.796875" customWidth="1"/>
    <col min="36" max="36" width="6.46484375" customWidth="1"/>
    <col min="37" max="37" width="7.46484375" customWidth="1"/>
    <col min="38" max="38" width="8.46484375" customWidth="1"/>
  </cols>
  <sheetData>
    <row r="1" spans="1:39" s="1" customFormat="1" x14ac:dyDescent="0.45">
      <c r="A1" s="2" t="s">
        <v>0</v>
      </c>
      <c r="B1" s="2" t="s">
        <v>121</v>
      </c>
      <c r="C1" s="2" t="s">
        <v>46</v>
      </c>
      <c r="D1" s="2" t="s">
        <v>1</v>
      </c>
      <c r="E1" s="2" t="s">
        <v>2</v>
      </c>
      <c r="F1" s="1" t="s">
        <v>29</v>
      </c>
      <c r="G1" s="28" t="s">
        <v>8</v>
      </c>
      <c r="H1" s="28" t="s">
        <v>9</v>
      </c>
      <c r="I1" s="28" t="s">
        <v>30</v>
      </c>
      <c r="J1" s="2" t="s">
        <v>44</v>
      </c>
      <c r="K1" s="1" t="s">
        <v>3</v>
      </c>
      <c r="L1" s="1" t="s">
        <v>4</v>
      </c>
      <c r="M1" s="1" t="s">
        <v>5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6</v>
      </c>
      <c r="W1" s="1" t="s">
        <v>7</v>
      </c>
      <c r="X1" s="1" t="s">
        <v>31</v>
      </c>
      <c r="Y1" s="1" t="s">
        <v>36</v>
      </c>
      <c r="Z1" s="1" t="s">
        <v>35</v>
      </c>
      <c r="AA1" s="1" t="s">
        <v>38</v>
      </c>
      <c r="AB1" s="1" t="s">
        <v>32</v>
      </c>
      <c r="AC1" s="1" t="s">
        <v>33</v>
      </c>
      <c r="AD1" s="1" t="s">
        <v>37</v>
      </c>
      <c r="AE1" s="1" t="s">
        <v>39</v>
      </c>
      <c r="AF1" s="1" t="s">
        <v>40</v>
      </c>
      <c r="AG1" s="1" t="s">
        <v>41</v>
      </c>
      <c r="AH1" s="1" t="s">
        <v>43</v>
      </c>
      <c r="AI1" s="1" t="s">
        <v>117</v>
      </c>
      <c r="AJ1" s="1" t="s">
        <v>124</v>
      </c>
      <c r="AK1" s="1" t="s">
        <v>125</v>
      </c>
      <c r="AL1" s="1" t="s">
        <v>126</v>
      </c>
      <c r="AM1" s="1" t="s">
        <v>104</v>
      </c>
    </row>
    <row r="2" spans="1:39" x14ac:dyDescent="0.45">
      <c r="A2" s="2">
        <v>1</v>
      </c>
      <c r="B2" s="2">
        <v>1</v>
      </c>
      <c r="C2" s="2">
        <v>1.8</v>
      </c>
      <c r="D2" s="2" t="s">
        <v>18</v>
      </c>
      <c r="E2" s="2" t="s">
        <v>27</v>
      </c>
      <c r="F2" t="b">
        <v>1</v>
      </c>
      <c r="G2">
        <v>5</v>
      </c>
      <c r="H2">
        <v>5</v>
      </c>
      <c r="I2">
        <v>9</v>
      </c>
      <c r="J2" s="2">
        <v>2</v>
      </c>
      <c r="K2">
        <v>22</v>
      </c>
      <c r="L2">
        <v>14</v>
      </c>
      <c r="M2" t="s">
        <v>34</v>
      </c>
      <c r="N2" t="b">
        <v>0</v>
      </c>
      <c r="O2" t="b">
        <v>0</v>
      </c>
      <c r="P2" t="b">
        <v>1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1</v>
      </c>
      <c r="W2" t="b">
        <v>1</v>
      </c>
      <c r="X2" t="b">
        <v>1</v>
      </c>
      <c r="Y2" t="b">
        <v>1</v>
      </c>
      <c r="Z2" t="b">
        <v>1</v>
      </c>
      <c r="AA2" t="b">
        <v>0</v>
      </c>
      <c r="AB2" t="b">
        <v>1</v>
      </c>
      <c r="AC2" t="b">
        <v>1</v>
      </c>
      <c r="AD2" t="b">
        <v>0</v>
      </c>
      <c r="AE2" t="b">
        <v>0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>
        <f>COUNTIF(Table1[[#This Row],[Java]:[Scala]],TRUE)</f>
        <v>7</v>
      </c>
    </row>
    <row r="3" spans="1:39" hidden="1" x14ac:dyDescent="0.45">
      <c r="A3" s="2">
        <v>1</v>
      </c>
      <c r="B3" s="2">
        <v>1</v>
      </c>
      <c r="C3" s="2">
        <v>2.2400000000000002</v>
      </c>
      <c r="D3" s="2" t="s">
        <v>19</v>
      </c>
      <c r="E3" s="2" t="s">
        <v>28</v>
      </c>
      <c r="F3" t="b">
        <v>1</v>
      </c>
      <c r="G3">
        <v>5</v>
      </c>
      <c r="H3">
        <v>5</v>
      </c>
      <c r="I3">
        <v>6</v>
      </c>
      <c r="J3" s="2">
        <v>3</v>
      </c>
      <c r="K3">
        <v>22</v>
      </c>
      <c r="L3">
        <v>14</v>
      </c>
      <c r="M3" t="s">
        <v>34</v>
      </c>
      <c r="N3" t="b">
        <v>0</v>
      </c>
      <c r="O3" t="b">
        <v>0</v>
      </c>
      <c r="P3" t="b">
        <v>1</v>
      </c>
      <c r="Q3" t="b">
        <v>0</v>
      </c>
      <c r="R3" t="b">
        <v>0</v>
      </c>
      <c r="S3" t="b">
        <v>1</v>
      </c>
      <c r="T3" t="b">
        <v>1</v>
      </c>
      <c r="U3" t="b">
        <v>0</v>
      </c>
      <c r="V3" t="b">
        <v>1</v>
      </c>
      <c r="W3" t="b">
        <v>1</v>
      </c>
      <c r="X3" t="b">
        <v>1</v>
      </c>
      <c r="Y3" t="b">
        <v>1</v>
      </c>
      <c r="Z3" t="b">
        <v>1</v>
      </c>
      <c r="AA3" t="b">
        <v>0</v>
      </c>
      <c r="AB3" t="b">
        <v>1</v>
      </c>
      <c r="AC3" t="b">
        <v>1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>
        <f>COUNTIF(Table1[[#This Row],[Java]:[Scala]],TRUE)</f>
        <v>7</v>
      </c>
    </row>
    <row r="4" spans="1:39" hidden="1" x14ac:dyDescent="0.45">
      <c r="A4" s="2">
        <v>1</v>
      </c>
      <c r="B4" s="2">
        <v>1</v>
      </c>
      <c r="C4" s="2">
        <v>7.33</v>
      </c>
      <c r="D4" s="2" t="s">
        <v>20</v>
      </c>
      <c r="E4" s="2" t="s">
        <v>17</v>
      </c>
      <c r="F4" t="b">
        <v>1</v>
      </c>
      <c r="G4">
        <v>5</v>
      </c>
      <c r="H4">
        <v>5</v>
      </c>
      <c r="I4">
        <v>5</v>
      </c>
      <c r="J4" s="2" t="s">
        <v>45</v>
      </c>
      <c r="K4">
        <v>22</v>
      </c>
      <c r="L4">
        <v>14</v>
      </c>
      <c r="M4" t="s">
        <v>34</v>
      </c>
      <c r="N4" t="b">
        <v>0</v>
      </c>
      <c r="O4" t="b">
        <v>0</v>
      </c>
      <c r="P4" t="b">
        <v>1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1</v>
      </c>
      <c r="W4" t="b">
        <v>1</v>
      </c>
      <c r="X4" t="b">
        <v>1</v>
      </c>
      <c r="Y4" t="b">
        <v>1</v>
      </c>
      <c r="Z4" t="b">
        <v>1</v>
      </c>
      <c r="AA4" t="b">
        <v>0</v>
      </c>
      <c r="AB4" t="b">
        <v>1</v>
      </c>
      <c r="AC4" t="b">
        <v>1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>
        <f>COUNTIF(Table1[[#This Row],[Java]:[Scala]],TRUE)</f>
        <v>7</v>
      </c>
    </row>
    <row r="5" spans="1:39" x14ac:dyDescent="0.45">
      <c r="A5" s="2" t="s">
        <v>123</v>
      </c>
      <c r="B5" s="2">
        <v>1</v>
      </c>
      <c r="C5" s="2">
        <v>1.8</v>
      </c>
      <c r="D5" s="2" t="s">
        <v>18</v>
      </c>
      <c r="E5" s="2" t="s">
        <v>27</v>
      </c>
      <c r="F5" t="b">
        <v>1</v>
      </c>
      <c r="G5">
        <v>5</v>
      </c>
      <c r="H5">
        <v>4</v>
      </c>
      <c r="I5">
        <v>24</v>
      </c>
      <c r="J5" s="2">
        <v>2</v>
      </c>
      <c r="K5">
        <v>42</v>
      </c>
      <c r="L5">
        <v>28</v>
      </c>
      <c r="M5" t="s">
        <v>34</v>
      </c>
      <c r="N5" t="b">
        <v>0</v>
      </c>
      <c r="O5" t="b">
        <v>0</v>
      </c>
      <c r="P5" t="b">
        <v>1</v>
      </c>
      <c r="Q5" t="b">
        <v>1</v>
      </c>
      <c r="R5" t="b">
        <v>0</v>
      </c>
      <c r="S5" t="b">
        <v>1</v>
      </c>
      <c r="T5" t="b">
        <v>1</v>
      </c>
      <c r="U5" t="b">
        <v>0</v>
      </c>
      <c r="V5" t="b">
        <v>1</v>
      </c>
      <c r="W5" t="b">
        <v>0</v>
      </c>
      <c r="X5" t="b">
        <v>1</v>
      </c>
      <c r="Y5" t="b">
        <v>1</v>
      </c>
      <c r="Z5" t="b">
        <v>0</v>
      </c>
      <c r="AA5" t="b">
        <v>0</v>
      </c>
      <c r="AB5" t="b">
        <v>0</v>
      </c>
      <c r="AC5" t="b">
        <v>1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s="27">
        <f>COUNTIF(Table1[[#This Row],[Java]:[Scala]],TRUE)</f>
        <v>4</v>
      </c>
    </row>
    <row r="6" spans="1:39" hidden="1" x14ac:dyDescent="0.45">
      <c r="A6" s="2" t="s">
        <v>123</v>
      </c>
      <c r="B6" s="2">
        <v>1</v>
      </c>
      <c r="C6" s="2">
        <v>2.2400000000000002</v>
      </c>
      <c r="D6" s="2" t="s">
        <v>19</v>
      </c>
      <c r="E6" s="2" t="s">
        <v>28</v>
      </c>
      <c r="F6" t="b">
        <v>1</v>
      </c>
      <c r="G6">
        <v>5</v>
      </c>
      <c r="H6">
        <v>5</v>
      </c>
      <c r="I6">
        <v>9</v>
      </c>
      <c r="J6" s="2">
        <v>2</v>
      </c>
      <c r="K6">
        <v>42</v>
      </c>
      <c r="L6">
        <v>28</v>
      </c>
      <c r="M6" t="s">
        <v>34</v>
      </c>
      <c r="N6" t="b">
        <v>0</v>
      </c>
      <c r="O6" t="b">
        <v>0</v>
      </c>
      <c r="P6" t="b">
        <v>1</v>
      </c>
      <c r="Q6" t="b">
        <v>1</v>
      </c>
      <c r="R6" t="b">
        <v>0</v>
      </c>
      <c r="S6" t="b">
        <v>1</v>
      </c>
      <c r="T6" t="b">
        <v>1</v>
      </c>
      <c r="U6" t="b">
        <v>0</v>
      </c>
      <c r="V6" t="b">
        <v>1</v>
      </c>
      <c r="W6" t="b">
        <v>0</v>
      </c>
      <c r="X6" t="b">
        <v>1</v>
      </c>
      <c r="Y6" t="b">
        <v>1</v>
      </c>
      <c r="Z6" t="b">
        <v>0</v>
      </c>
      <c r="AA6" t="b">
        <v>0</v>
      </c>
      <c r="AB6" t="b">
        <v>0</v>
      </c>
      <c r="AC6" t="b">
        <v>1</v>
      </c>
      <c r="AD6" t="b">
        <v>0</v>
      </c>
      <c r="AE6" t="b">
        <v>0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 s="27">
        <f>COUNTIF(Table1[[#This Row],[Java]:[Scala]],TRUE)</f>
        <v>4</v>
      </c>
    </row>
    <row r="7" spans="1:39" hidden="1" x14ac:dyDescent="0.45">
      <c r="A7" s="2" t="s">
        <v>123</v>
      </c>
      <c r="B7" s="2">
        <v>1</v>
      </c>
      <c r="C7" s="2">
        <v>7.33</v>
      </c>
      <c r="D7" s="2" t="s">
        <v>20</v>
      </c>
      <c r="E7" s="2" t="s">
        <v>17</v>
      </c>
      <c r="F7" t="b">
        <v>1</v>
      </c>
      <c r="G7">
        <v>5</v>
      </c>
      <c r="H7">
        <v>5</v>
      </c>
      <c r="I7">
        <v>2</v>
      </c>
      <c r="J7" s="2" t="s">
        <v>45</v>
      </c>
      <c r="K7">
        <v>42</v>
      </c>
      <c r="L7">
        <v>28</v>
      </c>
      <c r="M7" t="s">
        <v>34</v>
      </c>
      <c r="N7" t="b">
        <v>0</v>
      </c>
      <c r="O7" t="b">
        <v>0</v>
      </c>
      <c r="P7" t="b">
        <v>1</v>
      </c>
      <c r="Q7" t="b">
        <v>1</v>
      </c>
      <c r="R7" t="b">
        <v>0</v>
      </c>
      <c r="S7" t="b">
        <v>1</v>
      </c>
      <c r="T7" t="b">
        <v>1</v>
      </c>
      <c r="U7" t="b">
        <v>0</v>
      </c>
      <c r="V7" t="b">
        <v>1</v>
      </c>
      <c r="W7" t="b">
        <v>0</v>
      </c>
      <c r="X7" t="b">
        <v>1</v>
      </c>
      <c r="Y7" t="b">
        <v>1</v>
      </c>
      <c r="Z7" t="b">
        <v>0</v>
      </c>
      <c r="AA7" t="b">
        <v>0</v>
      </c>
      <c r="AB7" t="b">
        <v>0</v>
      </c>
      <c r="AC7" t="b">
        <v>1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s="27">
        <f>COUNTIF(Table1[[#This Row],[Java]:[Scala]],TRUE)</f>
        <v>4</v>
      </c>
    </row>
    <row r="8" spans="1:39" x14ac:dyDescent="0.45">
      <c r="A8" s="2" t="s">
        <v>127</v>
      </c>
      <c r="B8" s="2">
        <v>1</v>
      </c>
      <c r="C8" s="2">
        <v>1.8</v>
      </c>
      <c r="D8" s="2" t="s">
        <v>18</v>
      </c>
      <c r="E8" s="2" t="s">
        <v>27</v>
      </c>
      <c r="F8" t="b">
        <v>1</v>
      </c>
      <c r="G8">
        <v>2</v>
      </c>
      <c r="H8">
        <v>2</v>
      </c>
      <c r="I8">
        <v>5</v>
      </c>
      <c r="J8" s="2">
        <v>3</v>
      </c>
      <c r="K8">
        <v>22</v>
      </c>
      <c r="L8">
        <v>7.5</v>
      </c>
      <c r="M8" t="s">
        <v>42</v>
      </c>
      <c r="N8" t="b">
        <v>1</v>
      </c>
      <c r="O8" t="b">
        <v>0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0</v>
      </c>
      <c r="V8" t="b">
        <v>1</v>
      </c>
      <c r="W8" t="b">
        <v>0</v>
      </c>
      <c r="X8" t="b">
        <v>1</v>
      </c>
      <c r="Y8" t="b">
        <v>1</v>
      </c>
      <c r="Z8" t="b">
        <v>1</v>
      </c>
      <c r="AA8" t="b">
        <v>1</v>
      </c>
      <c r="AB8" t="b">
        <v>0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1</v>
      </c>
      <c r="AK8" t="b">
        <v>1</v>
      </c>
      <c r="AL8" t="b">
        <v>1</v>
      </c>
      <c r="AM8" s="27">
        <f>COUNTIF(Table1[[#This Row],[Java]:[Scala]],TRUE)</f>
        <v>5</v>
      </c>
    </row>
    <row r="9" spans="1:39" hidden="1" x14ac:dyDescent="0.45">
      <c r="A9" s="2" t="s">
        <v>127</v>
      </c>
      <c r="B9" s="2">
        <v>1</v>
      </c>
      <c r="C9" s="2">
        <v>2.2400000000000002</v>
      </c>
      <c r="D9" s="2" t="s">
        <v>19</v>
      </c>
      <c r="E9" s="2" t="s">
        <v>28</v>
      </c>
      <c r="F9" t="b">
        <v>1</v>
      </c>
      <c r="G9">
        <v>3</v>
      </c>
      <c r="H9">
        <v>3</v>
      </c>
      <c r="I9">
        <v>3</v>
      </c>
      <c r="J9" s="2">
        <v>2</v>
      </c>
      <c r="K9">
        <v>22</v>
      </c>
      <c r="L9">
        <v>7.5</v>
      </c>
      <c r="M9" t="s">
        <v>42</v>
      </c>
      <c r="N9" t="b">
        <v>1</v>
      </c>
      <c r="O9" t="b">
        <v>0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U9" t="b">
        <v>0</v>
      </c>
      <c r="V9" t="b">
        <v>1</v>
      </c>
      <c r="W9" t="b">
        <v>0</v>
      </c>
      <c r="X9" t="b">
        <v>1</v>
      </c>
      <c r="Y9" t="b">
        <v>1</v>
      </c>
      <c r="Z9" t="b">
        <v>1</v>
      </c>
      <c r="AA9" t="b">
        <v>1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1</v>
      </c>
      <c r="AK9" t="b">
        <v>1</v>
      </c>
      <c r="AL9" t="b">
        <v>1</v>
      </c>
      <c r="AM9" s="27">
        <f>COUNTIF(Table1[[#This Row],[Java]:[Scala]],TRUE)</f>
        <v>5</v>
      </c>
    </row>
    <row r="10" spans="1:39" hidden="1" x14ac:dyDescent="0.45">
      <c r="A10" s="2" t="s">
        <v>127</v>
      </c>
      <c r="B10" s="2">
        <v>1</v>
      </c>
      <c r="C10" s="2">
        <v>7.33</v>
      </c>
      <c r="D10" s="2" t="s">
        <v>20</v>
      </c>
      <c r="E10" s="2" t="s">
        <v>17</v>
      </c>
      <c r="F10" t="b">
        <v>1</v>
      </c>
      <c r="G10">
        <v>3</v>
      </c>
      <c r="H10">
        <v>3</v>
      </c>
      <c r="I10">
        <v>5</v>
      </c>
      <c r="J10" s="2" t="s">
        <v>45</v>
      </c>
      <c r="K10">
        <v>22</v>
      </c>
      <c r="L10">
        <v>7.5</v>
      </c>
      <c r="M10" t="s">
        <v>42</v>
      </c>
      <c r="N10" t="b">
        <v>1</v>
      </c>
      <c r="O10" t="b">
        <v>0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0</v>
      </c>
      <c r="V10" t="b">
        <v>1</v>
      </c>
      <c r="W10" t="b">
        <v>0</v>
      </c>
      <c r="X10" t="b">
        <v>1</v>
      </c>
      <c r="Y10" t="b">
        <v>1</v>
      </c>
      <c r="Z10" t="b">
        <v>1</v>
      </c>
      <c r="AA10" t="b">
        <v>1</v>
      </c>
      <c r="AB10" t="b">
        <v>0</v>
      </c>
      <c r="AC10" t="b">
        <v>0</v>
      </c>
      <c r="AD10" t="b">
        <v>0</v>
      </c>
      <c r="AE10" t="b">
        <v>0</v>
      </c>
      <c r="AF10" t="b">
        <v>0</v>
      </c>
      <c r="AG10" t="b">
        <v>0</v>
      </c>
      <c r="AH10" t="b">
        <v>0</v>
      </c>
      <c r="AI10" t="b">
        <v>0</v>
      </c>
      <c r="AJ10" t="b">
        <v>1</v>
      </c>
      <c r="AK10" t="b">
        <v>1</v>
      </c>
      <c r="AL10" t="b">
        <v>1</v>
      </c>
      <c r="AM10" s="27">
        <f>COUNTIF(Table1[[#This Row],[Java]:[Scala]],TRUE)</f>
        <v>5</v>
      </c>
    </row>
    <row r="11" spans="1:39" x14ac:dyDescent="0.45">
      <c r="A11" s="2">
        <v>2</v>
      </c>
      <c r="B11" s="2">
        <v>1</v>
      </c>
      <c r="C11" s="2">
        <v>1.8</v>
      </c>
      <c r="D11" s="2" t="s">
        <v>18</v>
      </c>
      <c r="E11" s="2" t="s">
        <v>27</v>
      </c>
      <c r="F11" t="b">
        <v>1</v>
      </c>
      <c r="G11">
        <v>5</v>
      </c>
      <c r="H11">
        <v>5</v>
      </c>
      <c r="I11">
        <v>5</v>
      </c>
      <c r="J11" s="2">
        <v>3</v>
      </c>
      <c r="K11">
        <v>28</v>
      </c>
      <c r="L11">
        <v>13</v>
      </c>
      <c r="M11" t="s">
        <v>34</v>
      </c>
      <c r="N11" t="b">
        <v>1</v>
      </c>
      <c r="O11" t="b">
        <v>0</v>
      </c>
      <c r="P11" t="b">
        <v>1</v>
      </c>
      <c r="Q11" t="b">
        <v>1</v>
      </c>
      <c r="R11" t="b">
        <v>1</v>
      </c>
      <c r="S11" t="b">
        <v>1</v>
      </c>
      <c r="T11" t="b">
        <v>0</v>
      </c>
      <c r="U11" t="b">
        <v>0</v>
      </c>
      <c r="V11" t="b">
        <v>1</v>
      </c>
      <c r="W11" t="b">
        <v>0</v>
      </c>
      <c r="X11" t="b">
        <v>1</v>
      </c>
      <c r="Y11" t="b">
        <v>1</v>
      </c>
      <c r="Z11" t="b">
        <v>0</v>
      </c>
      <c r="AA11" t="b">
        <v>0</v>
      </c>
      <c r="AB11" t="b">
        <v>0</v>
      </c>
      <c r="AC11" t="b">
        <v>0</v>
      </c>
      <c r="AD11" t="b">
        <v>0</v>
      </c>
      <c r="AE11" t="b">
        <v>0</v>
      </c>
      <c r="AF11" t="b">
        <v>0</v>
      </c>
      <c r="AG11" t="b">
        <v>0</v>
      </c>
      <c r="AH11" t="b">
        <v>0</v>
      </c>
      <c r="AI11" t="b">
        <v>0</v>
      </c>
      <c r="AJ11" t="b">
        <v>0</v>
      </c>
      <c r="AK11" t="b">
        <v>0</v>
      </c>
      <c r="AL11" t="b">
        <v>0</v>
      </c>
      <c r="AM11">
        <f>COUNTIF(Table1[[#This Row],[Java]:[Scala]],TRUE)</f>
        <v>3</v>
      </c>
    </row>
    <row r="12" spans="1:39" hidden="1" x14ac:dyDescent="0.45">
      <c r="A12" s="2">
        <v>2</v>
      </c>
      <c r="B12" s="2">
        <v>1</v>
      </c>
      <c r="C12" s="2">
        <v>2.2400000000000002</v>
      </c>
      <c r="D12" s="2" t="s">
        <v>19</v>
      </c>
      <c r="E12" s="2" t="s">
        <v>28</v>
      </c>
      <c r="F12" t="b">
        <v>1</v>
      </c>
      <c r="G12">
        <v>5</v>
      </c>
      <c r="H12">
        <v>5</v>
      </c>
      <c r="I12">
        <v>4</v>
      </c>
      <c r="J12" s="2">
        <v>3</v>
      </c>
      <c r="K12">
        <v>28</v>
      </c>
      <c r="L12">
        <v>13</v>
      </c>
      <c r="M12" t="s">
        <v>34</v>
      </c>
      <c r="N12" t="b">
        <v>1</v>
      </c>
      <c r="O12" t="b">
        <v>0</v>
      </c>
      <c r="P12" t="b">
        <v>1</v>
      </c>
      <c r="Q12" t="b">
        <v>1</v>
      </c>
      <c r="R12" t="b">
        <v>1</v>
      </c>
      <c r="S12" t="b">
        <v>1</v>
      </c>
      <c r="T12" t="b">
        <v>0</v>
      </c>
      <c r="U12" t="b">
        <v>0</v>
      </c>
      <c r="V12" t="b">
        <v>1</v>
      </c>
      <c r="W12" t="b">
        <v>0</v>
      </c>
      <c r="X12" t="b">
        <v>1</v>
      </c>
      <c r="Y12" t="b">
        <v>1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 t="b">
        <v>0</v>
      </c>
      <c r="AM12">
        <f>COUNTIF(Table1[[#This Row],[Java]:[Scala]],TRUE)</f>
        <v>3</v>
      </c>
    </row>
    <row r="13" spans="1:39" hidden="1" x14ac:dyDescent="0.45">
      <c r="A13" s="2">
        <v>2</v>
      </c>
      <c r="B13" s="2">
        <v>1</v>
      </c>
      <c r="C13" s="2">
        <v>7.33</v>
      </c>
      <c r="D13" s="2" t="s">
        <v>20</v>
      </c>
      <c r="E13" s="2" t="s">
        <v>17</v>
      </c>
      <c r="F13" t="b">
        <v>1</v>
      </c>
      <c r="G13">
        <v>5</v>
      </c>
      <c r="H13">
        <v>4</v>
      </c>
      <c r="I13">
        <v>4</v>
      </c>
      <c r="J13" s="2" t="s">
        <v>45</v>
      </c>
      <c r="K13">
        <v>28</v>
      </c>
      <c r="L13">
        <v>13</v>
      </c>
      <c r="M13" t="s">
        <v>34</v>
      </c>
      <c r="N13" t="b">
        <v>1</v>
      </c>
      <c r="O13" t="b">
        <v>0</v>
      </c>
      <c r="P13" t="b">
        <v>1</v>
      </c>
      <c r="Q13" t="b">
        <v>1</v>
      </c>
      <c r="R13" t="b">
        <v>1</v>
      </c>
      <c r="S13" t="b">
        <v>1</v>
      </c>
      <c r="T13" t="b">
        <v>0</v>
      </c>
      <c r="U13" t="b">
        <v>0</v>
      </c>
      <c r="V13" t="b">
        <v>1</v>
      </c>
      <c r="W13" t="b">
        <v>0</v>
      </c>
      <c r="X13" t="b">
        <v>1</v>
      </c>
      <c r="Y13" t="b">
        <v>1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  <c r="AJ13" t="b">
        <v>0</v>
      </c>
      <c r="AK13" t="b">
        <v>0</v>
      </c>
      <c r="AL13" t="b">
        <v>0</v>
      </c>
      <c r="AM13">
        <f>COUNTIF(Table1[[#This Row],[Java]:[Scala]],TRUE)</f>
        <v>3</v>
      </c>
    </row>
    <row r="14" spans="1:39" x14ac:dyDescent="0.45">
      <c r="A14" s="2" t="s">
        <v>122</v>
      </c>
      <c r="B14" s="2">
        <v>1</v>
      </c>
      <c r="C14" s="2">
        <v>1.8</v>
      </c>
      <c r="D14" s="2" t="s">
        <v>18</v>
      </c>
      <c r="E14" s="2" t="s">
        <v>27</v>
      </c>
      <c r="F14" t="b">
        <v>1</v>
      </c>
      <c r="G14">
        <v>4</v>
      </c>
      <c r="H14">
        <v>5</v>
      </c>
      <c r="I14">
        <v>12</v>
      </c>
      <c r="J14" s="2">
        <v>3</v>
      </c>
      <c r="K14">
        <v>30</v>
      </c>
      <c r="L14">
        <v>10</v>
      </c>
      <c r="M14" t="s">
        <v>34</v>
      </c>
      <c r="N14" t="b">
        <v>1</v>
      </c>
      <c r="O14" t="b">
        <v>0</v>
      </c>
      <c r="P14" t="b">
        <v>1</v>
      </c>
      <c r="Q14" t="b">
        <v>1</v>
      </c>
      <c r="R14" t="b">
        <v>1</v>
      </c>
      <c r="S14" t="b">
        <v>1</v>
      </c>
      <c r="T14" t="b">
        <v>0</v>
      </c>
      <c r="U14" t="b">
        <v>0</v>
      </c>
      <c r="V14" t="b">
        <v>1</v>
      </c>
      <c r="W14" t="b">
        <v>1</v>
      </c>
      <c r="X14" t="b">
        <v>1</v>
      </c>
      <c r="Y14" t="b">
        <v>1</v>
      </c>
      <c r="Z14" t="b">
        <v>1</v>
      </c>
      <c r="AA14" t="b">
        <v>0</v>
      </c>
      <c r="AB14" t="b">
        <v>0</v>
      </c>
      <c r="AC14" t="b">
        <v>0</v>
      </c>
      <c r="AD14" t="b">
        <v>0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0</v>
      </c>
      <c r="AK14" t="b">
        <v>0</v>
      </c>
      <c r="AL14" t="b">
        <v>0</v>
      </c>
      <c r="AM14" s="27">
        <f>COUNTIF(Table1[[#This Row],[Java]:[Scala]],TRUE)</f>
        <v>5</v>
      </c>
    </row>
    <row r="15" spans="1:39" hidden="1" x14ac:dyDescent="0.45">
      <c r="A15" s="2" t="s">
        <v>122</v>
      </c>
      <c r="B15" s="2">
        <v>1</v>
      </c>
      <c r="C15" s="2">
        <v>2.2400000000000002</v>
      </c>
      <c r="D15" s="2" t="s">
        <v>19</v>
      </c>
      <c r="E15" s="2" t="s">
        <v>28</v>
      </c>
      <c r="F15" t="b">
        <v>1</v>
      </c>
      <c r="G15">
        <v>5</v>
      </c>
      <c r="H15">
        <v>5</v>
      </c>
      <c r="I15">
        <v>5</v>
      </c>
      <c r="J15" s="2">
        <v>2</v>
      </c>
      <c r="K15">
        <v>30</v>
      </c>
      <c r="L15">
        <v>10</v>
      </c>
      <c r="M15" t="s">
        <v>34</v>
      </c>
      <c r="N15" t="b">
        <v>1</v>
      </c>
      <c r="O15" t="b">
        <v>0</v>
      </c>
      <c r="P15" t="b">
        <v>1</v>
      </c>
      <c r="Q15" t="b">
        <v>1</v>
      </c>
      <c r="R15" t="b">
        <v>1</v>
      </c>
      <c r="S15" t="b">
        <v>1</v>
      </c>
      <c r="T15" t="b">
        <v>0</v>
      </c>
      <c r="U15" t="b">
        <v>0</v>
      </c>
      <c r="V15" t="b">
        <v>1</v>
      </c>
      <c r="W15" t="b">
        <v>1</v>
      </c>
      <c r="X15" t="b">
        <v>1</v>
      </c>
      <c r="Y15" t="b">
        <v>1</v>
      </c>
      <c r="Z15" t="b">
        <v>1</v>
      </c>
      <c r="AA15" t="b">
        <v>0</v>
      </c>
      <c r="AB15" t="b">
        <v>0</v>
      </c>
      <c r="AC15" t="b">
        <v>0</v>
      </c>
      <c r="AD15" t="b">
        <v>0</v>
      </c>
      <c r="AE15" t="b">
        <v>0</v>
      </c>
      <c r="AF15" t="b">
        <v>0</v>
      </c>
      <c r="AG15" t="b">
        <v>0</v>
      </c>
      <c r="AH15" t="b">
        <v>0</v>
      </c>
      <c r="AI15" t="b">
        <v>0</v>
      </c>
      <c r="AJ15" t="b">
        <v>0</v>
      </c>
      <c r="AK15" t="b">
        <v>0</v>
      </c>
      <c r="AL15" t="b">
        <v>0</v>
      </c>
      <c r="AM15" s="27">
        <f>COUNTIF(Table1[[#This Row],[Java]:[Scala]],TRUE)</f>
        <v>5</v>
      </c>
    </row>
    <row r="16" spans="1:39" hidden="1" x14ac:dyDescent="0.45">
      <c r="A16" s="2" t="s">
        <v>122</v>
      </c>
      <c r="B16" s="2">
        <v>1</v>
      </c>
      <c r="C16" s="2">
        <v>7.33</v>
      </c>
      <c r="D16" s="2" t="s">
        <v>20</v>
      </c>
      <c r="E16" s="2" t="s">
        <v>17</v>
      </c>
      <c r="F16" t="b">
        <v>1</v>
      </c>
      <c r="G16">
        <v>4</v>
      </c>
      <c r="H16">
        <v>5</v>
      </c>
      <c r="I16">
        <v>13</v>
      </c>
      <c r="J16" s="2" t="s">
        <v>45</v>
      </c>
      <c r="K16">
        <v>30</v>
      </c>
      <c r="L16">
        <v>10</v>
      </c>
      <c r="M16" t="s">
        <v>34</v>
      </c>
      <c r="N16" t="b">
        <v>1</v>
      </c>
      <c r="O16" t="b">
        <v>0</v>
      </c>
      <c r="P16" t="b">
        <v>1</v>
      </c>
      <c r="Q16" t="b">
        <v>1</v>
      </c>
      <c r="R16" t="b">
        <v>1</v>
      </c>
      <c r="S16" t="b">
        <v>1</v>
      </c>
      <c r="T16" t="b">
        <v>0</v>
      </c>
      <c r="U16" t="b">
        <v>0</v>
      </c>
      <c r="V16" t="b">
        <v>1</v>
      </c>
      <c r="W16" t="b">
        <v>1</v>
      </c>
      <c r="X16" t="b">
        <v>1</v>
      </c>
      <c r="Y16" t="b">
        <v>1</v>
      </c>
      <c r="Z16" t="b">
        <v>1</v>
      </c>
      <c r="AA16" t="b">
        <v>0</v>
      </c>
      <c r="AB16" t="b">
        <v>0</v>
      </c>
      <c r="AC16" t="b">
        <v>0</v>
      </c>
      <c r="AD16" t="b">
        <v>0</v>
      </c>
      <c r="AE16" t="b">
        <v>0</v>
      </c>
      <c r="AF16" t="b">
        <v>0</v>
      </c>
      <c r="AG16" t="b">
        <v>0</v>
      </c>
      <c r="AH16" t="b">
        <v>0</v>
      </c>
      <c r="AI16" t="b">
        <v>0</v>
      </c>
      <c r="AJ16" t="b">
        <v>0</v>
      </c>
      <c r="AK16" t="b">
        <v>0</v>
      </c>
      <c r="AL16" t="b">
        <v>0</v>
      </c>
      <c r="AM16" s="27">
        <f>COUNTIF(Table1[[#This Row],[Java]:[Scala]],TRUE)</f>
        <v>5</v>
      </c>
    </row>
    <row r="17" spans="1:39" x14ac:dyDescent="0.45">
      <c r="A17" s="2">
        <v>3</v>
      </c>
      <c r="B17" s="2">
        <v>1</v>
      </c>
      <c r="C17" s="2">
        <v>1.8</v>
      </c>
      <c r="D17" s="2" t="s">
        <v>18</v>
      </c>
      <c r="E17" s="2" t="s">
        <v>27</v>
      </c>
      <c r="F17" t="b">
        <v>1</v>
      </c>
      <c r="G17">
        <v>3</v>
      </c>
      <c r="H17">
        <v>5</v>
      </c>
      <c r="I17">
        <v>5</v>
      </c>
      <c r="J17" s="2">
        <v>3</v>
      </c>
      <c r="K17">
        <v>22</v>
      </c>
      <c r="L17">
        <v>8</v>
      </c>
      <c r="M17" t="s">
        <v>34</v>
      </c>
      <c r="N17" t="b">
        <v>1</v>
      </c>
      <c r="O17" t="b">
        <v>0</v>
      </c>
      <c r="P17" t="b">
        <v>1</v>
      </c>
      <c r="Q17" t="b">
        <v>1</v>
      </c>
      <c r="R17" t="b">
        <v>1</v>
      </c>
      <c r="S17" t="b">
        <v>1</v>
      </c>
      <c r="T17" t="b">
        <v>1</v>
      </c>
      <c r="U17" t="b">
        <v>0</v>
      </c>
      <c r="V17" t="b">
        <v>1</v>
      </c>
      <c r="W17" t="b">
        <v>0</v>
      </c>
      <c r="X17" t="b">
        <v>1</v>
      </c>
      <c r="Y17" t="b">
        <v>1</v>
      </c>
      <c r="Z17" t="b">
        <v>1</v>
      </c>
      <c r="AA17" t="b">
        <v>1</v>
      </c>
      <c r="AB17" t="b">
        <v>0</v>
      </c>
      <c r="AC17" t="b">
        <v>0</v>
      </c>
      <c r="AD17" t="b">
        <v>1</v>
      </c>
      <c r="AE17" t="b">
        <v>1</v>
      </c>
      <c r="AF17" t="b">
        <v>1</v>
      </c>
      <c r="AG17" t="b">
        <v>1</v>
      </c>
      <c r="AH17" t="b">
        <v>0</v>
      </c>
      <c r="AI17" t="b">
        <v>0</v>
      </c>
      <c r="AJ17" t="b">
        <v>0</v>
      </c>
      <c r="AK17" t="b">
        <v>0</v>
      </c>
      <c r="AL17" t="b">
        <v>0</v>
      </c>
      <c r="AM17">
        <f>COUNTIF(Table1[[#This Row],[Java]:[Scala]],TRUE)</f>
        <v>9</v>
      </c>
    </row>
    <row r="18" spans="1:39" hidden="1" x14ac:dyDescent="0.45">
      <c r="A18" s="2">
        <v>3</v>
      </c>
      <c r="B18" s="2">
        <v>1</v>
      </c>
      <c r="C18" s="2">
        <v>2.2400000000000002</v>
      </c>
      <c r="D18" s="2" t="s">
        <v>19</v>
      </c>
      <c r="E18" s="2" t="s">
        <v>28</v>
      </c>
      <c r="F18" t="b">
        <v>1</v>
      </c>
      <c r="G18">
        <v>5</v>
      </c>
      <c r="H18">
        <v>5</v>
      </c>
      <c r="I18">
        <v>5</v>
      </c>
      <c r="J18" s="2">
        <v>3</v>
      </c>
      <c r="K18">
        <v>22</v>
      </c>
      <c r="L18">
        <v>8</v>
      </c>
      <c r="M18" t="s">
        <v>34</v>
      </c>
      <c r="N18" t="b">
        <v>1</v>
      </c>
      <c r="O18" t="b">
        <v>0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0</v>
      </c>
      <c r="V18" t="b">
        <v>1</v>
      </c>
      <c r="W18" t="b">
        <v>0</v>
      </c>
      <c r="X18" t="b">
        <v>1</v>
      </c>
      <c r="Y18" t="b">
        <v>1</v>
      </c>
      <c r="Z18" t="b">
        <v>1</v>
      </c>
      <c r="AA18" t="b">
        <v>1</v>
      </c>
      <c r="AB18" t="b">
        <v>0</v>
      </c>
      <c r="AC18" t="b">
        <v>0</v>
      </c>
      <c r="AD18" t="b">
        <v>1</v>
      </c>
      <c r="AE18" t="b">
        <v>1</v>
      </c>
      <c r="AF18" t="b">
        <v>1</v>
      </c>
      <c r="AG18" t="b">
        <v>1</v>
      </c>
      <c r="AH18" t="b">
        <v>0</v>
      </c>
      <c r="AI18" t="b">
        <v>0</v>
      </c>
      <c r="AJ18" t="b">
        <v>0</v>
      </c>
      <c r="AK18" t="b">
        <v>0</v>
      </c>
      <c r="AL18" t="b">
        <v>0</v>
      </c>
      <c r="AM18">
        <f>COUNTIF(Table1[[#This Row],[Java]:[Scala]],TRUE)</f>
        <v>9</v>
      </c>
    </row>
    <row r="19" spans="1:39" hidden="1" x14ac:dyDescent="0.45">
      <c r="A19" s="2">
        <v>3</v>
      </c>
      <c r="B19" s="2">
        <v>1</v>
      </c>
      <c r="C19" s="2">
        <v>7.33</v>
      </c>
      <c r="D19" s="2" t="s">
        <v>20</v>
      </c>
      <c r="E19" s="2" t="s">
        <v>17</v>
      </c>
      <c r="F19" t="b">
        <v>1</v>
      </c>
      <c r="G19">
        <v>5</v>
      </c>
      <c r="H19">
        <v>4</v>
      </c>
      <c r="I19">
        <v>3</v>
      </c>
      <c r="J19" s="2" t="s">
        <v>45</v>
      </c>
      <c r="K19">
        <v>22</v>
      </c>
      <c r="L19">
        <v>8</v>
      </c>
      <c r="M19" t="s">
        <v>34</v>
      </c>
      <c r="N19" t="b">
        <v>1</v>
      </c>
      <c r="O19" t="b">
        <v>0</v>
      </c>
      <c r="P19" t="b">
        <v>1</v>
      </c>
      <c r="Q19" t="b">
        <v>1</v>
      </c>
      <c r="R19" t="b">
        <v>1</v>
      </c>
      <c r="S19" t="b">
        <v>1</v>
      </c>
      <c r="T19" t="b">
        <v>1</v>
      </c>
      <c r="U19" t="b">
        <v>0</v>
      </c>
      <c r="V19" t="b">
        <v>1</v>
      </c>
      <c r="W19" t="b">
        <v>0</v>
      </c>
      <c r="X19" t="b">
        <v>1</v>
      </c>
      <c r="Y19" t="b">
        <v>1</v>
      </c>
      <c r="Z19" t="b">
        <v>1</v>
      </c>
      <c r="AA19" t="b">
        <v>1</v>
      </c>
      <c r="AB19" t="b">
        <v>0</v>
      </c>
      <c r="AC19" t="b">
        <v>0</v>
      </c>
      <c r="AD19" t="b">
        <v>1</v>
      </c>
      <c r="AE19" t="b">
        <v>1</v>
      </c>
      <c r="AF19" t="b">
        <v>1</v>
      </c>
      <c r="AG19" t="b">
        <v>1</v>
      </c>
      <c r="AH19" t="b">
        <v>0</v>
      </c>
      <c r="AI19" t="b">
        <v>0</v>
      </c>
      <c r="AJ19" t="b">
        <v>0</v>
      </c>
      <c r="AK19" t="b">
        <v>0</v>
      </c>
      <c r="AL19" t="b">
        <v>0</v>
      </c>
      <c r="AM19">
        <f>COUNTIF(Table1[[#This Row],[Java]:[Scala]],TRUE)</f>
        <v>9</v>
      </c>
    </row>
    <row r="20" spans="1:39" x14ac:dyDescent="0.45">
      <c r="A20" s="2" t="s">
        <v>115</v>
      </c>
      <c r="B20" s="2">
        <v>1</v>
      </c>
      <c r="C20" s="2">
        <v>1.8</v>
      </c>
      <c r="D20" s="2" t="s">
        <v>18</v>
      </c>
      <c r="E20" s="2" t="s">
        <v>27</v>
      </c>
      <c r="F20" t="b">
        <v>1</v>
      </c>
      <c r="G20">
        <v>4</v>
      </c>
      <c r="H20">
        <v>5</v>
      </c>
      <c r="I20">
        <v>14</v>
      </c>
      <c r="J20" s="2">
        <v>1</v>
      </c>
      <c r="K20">
        <v>38</v>
      </c>
      <c r="L20">
        <v>28</v>
      </c>
      <c r="M20" t="s">
        <v>42</v>
      </c>
      <c r="N20" t="b">
        <v>1</v>
      </c>
      <c r="O20" t="b">
        <v>0</v>
      </c>
      <c r="P20" t="b">
        <v>1</v>
      </c>
      <c r="Q20" t="b">
        <v>0</v>
      </c>
      <c r="R20" t="b">
        <v>1</v>
      </c>
      <c r="S20" t="b">
        <v>0</v>
      </c>
      <c r="T20" t="b">
        <v>0</v>
      </c>
      <c r="U20" t="b">
        <v>0</v>
      </c>
      <c r="V20" t="b">
        <v>1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1</v>
      </c>
      <c r="AD20" t="b">
        <v>0</v>
      </c>
      <c r="AE20" t="b">
        <v>0</v>
      </c>
      <c r="AF20" t="b">
        <v>0</v>
      </c>
      <c r="AG20" t="b">
        <v>0</v>
      </c>
      <c r="AH20" t="b">
        <v>0</v>
      </c>
      <c r="AI20" t="b">
        <v>0</v>
      </c>
      <c r="AJ20" t="b">
        <v>0</v>
      </c>
      <c r="AK20" t="b">
        <v>0</v>
      </c>
      <c r="AL20" t="b">
        <v>0</v>
      </c>
      <c r="AM20" s="27">
        <f>COUNTIF(Table1[[#This Row],[Java]:[Scala]],TRUE)</f>
        <v>2</v>
      </c>
    </row>
    <row r="21" spans="1:39" hidden="1" x14ac:dyDescent="0.45">
      <c r="A21" s="2" t="s">
        <v>115</v>
      </c>
      <c r="B21" s="2">
        <v>1</v>
      </c>
      <c r="C21" s="2">
        <v>2.2400000000000002</v>
      </c>
      <c r="D21" s="2" t="s">
        <v>19</v>
      </c>
      <c r="E21" s="2" t="s">
        <v>28</v>
      </c>
      <c r="F21" t="b">
        <v>1</v>
      </c>
      <c r="G21">
        <v>4</v>
      </c>
      <c r="H21">
        <v>5</v>
      </c>
      <c r="I21">
        <v>14</v>
      </c>
      <c r="J21" s="2">
        <v>2</v>
      </c>
      <c r="K21">
        <v>38</v>
      </c>
      <c r="L21">
        <v>28</v>
      </c>
      <c r="M21" t="s">
        <v>42</v>
      </c>
      <c r="N21" t="b">
        <v>1</v>
      </c>
      <c r="O21" t="b">
        <v>0</v>
      </c>
      <c r="P21" t="b">
        <v>1</v>
      </c>
      <c r="Q21" t="b">
        <v>0</v>
      </c>
      <c r="R21" t="b">
        <v>1</v>
      </c>
      <c r="S21" t="b">
        <v>0</v>
      </c>
      <c r="T21" t="b">
        <v>0</v>
      </c>
      <c r="U21" t="b">
        <v>0</v>
      </c>
      <c r="V21" t="b">
        <v>1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1</v>
      </c>
      <c r="AD21" t="b">
        <v>0</v>
      </c>
      <c r="AE21" t="b">
        <v>0</v>
      </c>
      <c r="AF21" t="b">
        <v>0</v>
      </c>
      <c r="AG21" t="b">
        <v>0</v>
      </c>
      <c r="AH21" t="b">
        <v>0</v>
      </c>
      <c r="AI21" t="b">
        <v>0</v>
      </c>
      <c r="AJ21" t="b">
        <v>0</v>
      </c>
      <c r="AK21" t="b">
        <v>0</v>
      </c>
      <c r="AL21" t="b">
        <v>0</v>
      </c>
      <c r="AM21" s="27">
        <f>COUNTIF(Table1[[#This Row],[Java]:[Scala]],TRUE)</f>
        <v>2</v>
      </c>
    </row>
    <row r="22" spans="1:39" hidden="1" x14ac:dyDescent="0.45">
      <c r="A22" s="2" t="s">
        <v>115</v>
      </c>
      <c r="B22" s="2">
        <v>1</v>
      </c>
      <c r="C22" s="2">
        <v>7.33</v>
      </c>
      <c r="D22" s="2" t="s">
        <v>20</v>
      </c>
      <c r="E22" s="2" t="s">
        <v>17</v>
      </c>
      <c r="F22" t="b">
        <v>1</v>
      </c>
      <c r="G22">
        <v>4</v>
      </c>
      <c r="H22">
        <v>5</v>
      </c>
      <c r="I22">
        <v>5</v>
      </c>
      <c r="J22" s="2" t="s">
        <v>45</v>
      </c>
      <c r="K22">
        <v>38</v>
      </c>
      <c r="L22">
        <v>28</v>
      </c>
      <c r="M22" t="s">
        <v>42</v>
      </c>
      <c r="N22" t="b">
        <v>1</v>
      </c>
      <c r="O22" t="b">
        <v>0</v>
      </c>
      <c r="P22" t="b">
        <v>1</v>
      </c>
      <c r="Q22" t="b">
        <v>0</v>
      </c>
      <c r="R22" t="b">
        <v>1</v>
      </c>
      <c r="S22" t="b">
        <v>0</v>
      </c>
      <c r="T22" t="b">
        <v>0</v>
      </c>
      <c r="U22" t="b">
        <v>0</v>
      </c>
      <c r="V22" t="b">
        <v>1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1</v>
      </c>
      <c r="AD22" t="b">
        <v>0</v>
      </c>
      <c r="AE22" t="b">
        <v>0</v>
      </c>
      <c r="AF22" t="b">
        <v>0</v>
      </c>
      <c r="AG22" t="b">
        <v>0</v>
      </c>
      <c r="AH22" t="b">
        <v>0</v>
      </c>
      <c r="AI22" t="b">
        <v>0</v>
      </c>
      <c r="AJ22" t="b">
        <v>0</v>
      </c>
      <c r="AK22" t="b">
        <v>0</v>
      </c>
      <c r="AL22" t="b">
        <v>0</v>
      </c>
      <c r="AM22" s="27">
        <f>COUNTIF(Table1[[#This Row],[Java]:[Scala]],TRUE)</f>
        <v>2</v>
      </c>
    </row>
    <row r="23" spans="1:39" hidden="1" x14ac:dyDescent="0.45">
      <c r="A23" s="2">
        <v>4</v>
      </c>
      <c r="B23" s="2">
        <v>2</v>
      </c>
      <c r="C23" s="2">
        <v>1.8</v>
      </c>
      <c r="D23" s="2" t="s">
        <v>21</v>
      </c>
      <c r="E23" s="2" t="s">
        <v>17</v>
      </c>
      <c r="F23" t="b">
        <v>1</v>
      </c>
      <c r="G23">
        <v>5</v>
      </c>
      <c r="H23">
        <v>5</v>
      </c>
      <c r="I23">
        <v>8</v>
      </c>
      <c r="J23" s="2" t="s">
        <v>45</v>
      </c>
      <c r="K23">
        <v>23</v>
      </c>
      <c r="L23">
        <v>4</v>
      </c>
      <c r="M23" t="s">
        <v>34</v>
      </c>
      <c r="N23" t="b">
        <v>0</v>
      </c>
      <c r="O23" t="b">
        <v>0</v>
      </c>
      <c r="P23" t="b">
        <v>1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1</v>
      </c>
      <c r="W23" t="b">
        <v>0</v>
      </c>
      <c r="X23" t="b">
        <v>0</v>
      </c>
      <c r="Y23" t="b">
        <v>0</v>
      </c>
      <c r="Z23" t="b">
        <v>1</v>
      </c>
      <c r="AA23" t="b">
        <v>1</v>
      </c>
      <c r="AB23" t="b">
        <v>0</v>
      </c>
      <c r="AC23" t="b">
        <v>1</v>
      </c>
      <c r="AD23" t="b">
        <v>0</v>
      </c>
      <c r="AE23" t="b">
        <v>0</v>
      </c>
      <c r="AF23" t="b">
        <v>0</v>
      </c>
      <c r="AG23" t="b">
        <v>0</v>
      </c>
      <c r="AH23" t="b">
        <v>0</v>
      </c>
      <c r="AI23" t="b">
        <v>0</v>
      </c>
      <c r="AJ23" t="b">
        <v>0</v>
      </c>
      <c r="AK23" t="b">
        <v>0</v>
      </c>
      <c r="AL23" t="b">
        <v>0</v>
      </c>
      <c r="AM23">
        <f>COUNTIF(Table1[[#This Row],[Java]:[Scala]],TRUE)</f>
        <v>4</v>
      </c>
    </row>
    <row r="24" spans="1:39" x14ac:dyDescent="0.45">
      <c r="A24" s="2">
        <v>4</v>
      </c>
      <c r="B24" s="2">
        <v>2</v>
      </c>
      <c r="C24" s="2">
        <v>2.2400000000000002</v>
      </c>
      <c r="D24" s="2" t="s">
        <v>22</v>
      </c>
      <c r="E24" s="2" t="s">
        <v>27</v>
      </c>
      <c r="F24" t="b">
        <v>1</v>
      </c>
      <c r="G24">
        <v>5</v>
      </c>
      <c r="H24">
        <v>5</v>
      </c>
      <c r="I24">
        <v>10</v>
      </c>
      <c r="J24" s="2">
        <v>3</v>
      </c>
      <c r="K24">
        <v>23</v>
      </c>
      <c r="L24">
        <v>4</v>
      </c>
      <c r="M24" t="s">
        <v>34</v>
      </c>
      <c r="N24" t="b">
        <v>0</v>
      </c>
      <c r="O24" t="b">
        <v>0</v>
      </c>
      <c r="P24" t="b">
        <v>1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1</v>
      </c>
      <c r="W24" t="b">
        <v>0</v>
      </c>
      <c r="X24" t="b">
        <v>0</v>
      </c>
      <c r="Y24" t="b">
        <v>0</v>
      </c>
      <c r="Z24" t="b">
        <v>1</v>
      </c>
      <c r="AA24" t="b">
        <v>1</v>
      </c>
      <c r="AB24" t="b">
        <v>0</v>
      </c>
      <c r="AC24" t="b">
        <v>1</v>
      </c>
      <c r="AD24" t="b">
        <v>0</v>
      </c>
      <c r="AE24" t="b">
        <v>0</v>
      </c>
      <c r="AF24" t="b">
        <v>0</v>
      </c>
      <c r="AG24" t="b">
        <v>0</v>
      </c>
      <c r="AH24" t="b">
        <v>0</v>
      </c>
      <c r="AI24" t="b">
        <v>0</v>
      </c>
      <c r="AJ24" t="b">
        <v>0</v>
      </c>
      <c r="AK24" t="b">
        <v>0</v>
      </c>
      <c r="AL24" t="b">
        <v>0</v>
      </c>
      <c r="AM24">
        <f>COUNTIF(Table1[[#This Row],[Java]:[Scala]],TRUE)</f>
        <v>4</v>
      </c>
    </row>
    <row r="25" spans="1:39" hidden="1" x14ac:dyDescent="0.45">
      <c r="A25" s="2">
        <v>4</v>
      </c>
      <c r="B25" s="2">
        <v>2</v>
      </c>
      <c r="C25" s="2">
        <v>7.33</v>
      </c>
      <c r="D25" s="2" t="s">
        <v>23</v>
      </c>
      <c r="E25" s="2" t="s">
        <v>28</v>
      </c>
      <c r="F25" t="b">
        <v>1</v>
      </c>
      <c r="G25">
        <v>5</v>
      </c>
      <c r="H25">
        <v>5</v>
      </c>
      <c r="I25">
        <v>4</v>
      </c>
      <c r="J25" s="2">
        <v>3</v>
      </c>
      <c r="K25">
        <v>23</v>
      </c>
      <c r="L25">
        <v>4</v>
      </c>
      <c r="M25" t="s">
        <v>34</v>
      </c>
      <c r="N25" t="b">
        <v>0</v>
      </c>
      <c r="O25" t="b">
        <v>0</v>
      </c>
      <c r="P25" t="b">
        <v>1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1</v>
      </c>
      <c r="W25" t="b">
        <v>0</v>
      </c>
      <c r="X25" t="b">
        <v>0</v>
      </c>
      <c r="Y25" t="b">
        <v>0</v>
      </c>
      <c r="Z25" t="b">
        <v>1</v>
      </c>
      <c r="AA25" t="b">
        <v>1</v>
      </c>
      <c r="AB25" t="b">
        <v>0</v>
      </c>
      <c r="AC25" t="b">
        <v>1</v>
      </c>
      <c r="AD25" t="b">
        <v>0</v>
      </c>
      <c r="AE25" t="b">
        <v>0</v>
      </c>
      <c r="AF25" t="b">
        <v>0</v>
      </c>
      <c r="AG25" t="b">
        <v>0</v>
      </c>
      <c r="AH25" t="b">
        <v>0</v>
      </c>
      <c r="AI25" t="b">
        <v>0</v>
      </c>
      <c r="AJ25" t="b">
        <v>0</v>
      </c>
      <c r="AK25" t="b">
        <v>0</v>
      </c>
      <c r="AL25" t="b">
        <v>0</v>
      </c>
      <c r="AM25">
        <f>COUNTIF(Table1[[#This Row],[Java]:[Scala]],TRUE)</f>
        <v>4</v>
      </c>
    </row>
    <row r="26" spans="1:39" hidden="1" x14ac:dyDescent="0.45">
      <c r="A26" s="2" t="s">
        <v>116</v>
      </c>
      <c r="B26" s="2">
        <v>2</v>
      </c>
      <c r="C26" s="2">
        <v>1.8</v>
      </c>
      <c r="D26" s="2" t="s">
        <v>21</v>
      </c>
      <c r="E26" s="2" t="s">
        <v>17</v>
      </c>
      <c r="F26" t="b">
        <v>0</v>
      </c>
      <c r="G26">
        <v>4</v>
      </c>
      <c r="H26">
        <v>5</v>
      </c>
      <c r="I26">
        <v>9</v>
      </c>
      <c r="J26" s="2" t="s">
        <v>45</v>
      </c>
      <c r="K26">
        <v>30</v>
      </c>
      <c r="L26">
        <v>14</v>
      </c>
      <c r="M26" t="s">
        <v>42</v>
      </c>
      <c r="N26" t="b">
        <v>1</v>
      </c>
      <c r="O26" t="b">
        <v>0</v>
      </c>
      <c r="P26" t="b">
        <v>0</v>
      </c>
      <c r="Q26" t="b">
        <v>1</v>
      </c>
      <c r="R26" t="b">
        <v>0</v>
      </c>
      <c r="S26" t="b">
        <v>1</v>
      </c>
      <c r="T26" t="b">
        <v>0</v>
      </c>
      <c r="U26" t="b">
        <v>0</v>
      </c>
      <c r="V26" t="b">
        <v>1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  <c r="AE26" t="b">
        <v>0</v>
      </c>
      <c r="AF26" t="b">
        <v>0</v>
      </c>
      <c r="AG26" t="b">
        <v>0</v>
      </c>
      <c r="AH26" t="b">
        <v>0</v>
      </c>
      <c r="AI26" t="b">
        <v>1</v>
      </c>
      <c r="AJ26" t="b">
        <v>0</v>
      </c>
      <c r="AK26" t="b">
        <v>0</v>
      </c>
      <c r="AL26" t="b">
        <v>0</v>
      </c>
      <c r="AM26" s="27">
        <f>COUNTIF(Table1[[#This Row],[Java]:[Scala]],TRUE)</f>
        <v>2</v>
      </c>
    </row>
    <row r="27" spans="1:39" x14ac:dyDescent="0.45">
      <c r="A27" s="2" t="s">
        <v>116</v>
      </c>
      <c r="B27" s="2">
        <v>2</v>
      </c>
      <c r="C27" s="2">
        <v>2.2400000000000002</v>
      </c>
      <c r="D27" s="2" t="s">
        <v>22</v>
      </c>
      <c r="E27" s="2" t="s">
        <v>27</v>
      </c>
      <c r="F27" t="b">
        <v>1</v>
      </c>
      <c r="G27">
        <v>2</v>
      </c>
      <c r="H27">
        <v>4</v>
      </c>
      <c r="I27">
        <v>16</v>
      </c>
      <c r="J27" s="2">
        <v>3</v>
      </c>
      <c r="K27">
        <v>30</v>
      </c>
      <c r="L27">
        <v>14</v>
      </c>
      <c r="M27" t="s">
        <v>42</v>
      </c>
      <c r="N27" t="b">
        <v>1</v>
      </c>
      <c r="O27" t="b">
        <v>0</v>
      </c>
      <c r="P27" t="b">
        <v>0</v>
      </c>
      <c r="Q27" t="b">
        <v>1</v>
      </c>
      <c r="R27" t="b">
        <v>0</v>
      </c>
      <c r="S27" t="b">
        <v>1</v>
      </c>
      <c r="T27" t="b">
        <v>0</v>
      </c>
      <c r="U27" t="b">
        <v>0</v>
      </c>
      <c r="V27" t="b">
        <v>1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 t="b">
        <v>0</v>
      </c>
      <c r="AI27" t="b">
        <v>1</v>
      </c>
      <c r="AJ27" t="b">
        <v>0</v>
      </c>
      <c r="AK27" t="b">
        <v>0</v>
      </c>
      <c r="AL27" t="b">
        <v>0</v>
      </c>
      <c r="AM27" s="27">
        <f>COUNTIF(Table1[[#This Row],[Java]:[Scala]],TRUE)</f>
        <v>2</v>
      </c>
    </row>
    <row r="28" spans="1:39" hidden="1" x14ac:dyDescent="0.45">
      <c r="A28" s="2" t="s">
        <v>116</v>
      </c>
      <c r="B28" s="2">
        <v>2</v>
      </c>
      <c r="C28" s="2">
        <v>7.33</v>
      </c>
      <c r="D28" s="2" t="s">
        <v>23</v>
      </c>
      <c r="E28" s="2" t="s">
        <v>28</v>
      </c>
      <c r="F28" t="b">
        <v>1</v>
      </c>
      <c r="G28">
        <v>4</v>
      </c>
      <c r="H28">
        <v>5</v>
      </c>
      <c r="I28">
        <v>10</v>
      </c>
      <c r="J28" s="2">
        <v>1</v>
      </c>
      <c r="K28">
        <v>30</v>
      </c>
      <c r="L28">
        <v>14</v>
      </c>
      <c r="M28" t="s">
        <v>42</v>
      </c>
      <c r="N28" t="b">
        <v>1</v>
      </c>
      <c r="O28" t="b">
        <v>0</v>
      </c>
      <c r="P28" t="b">
        <v>0</v>
      </c>
      <c r="Q28" t="b">
        <v>1</v>
      </c>
      <c r="R28" t="b">
        <v>0</v>
      </c>
      <c r="S28" t="b">
        <v>1</v>
      </c>
      <c r="T28" t="b">
        <v>0</v>
      </c>
      <c r="U28" t="b">
        <v>0</v>
      </c>
      <c r="V28" t="b">
        <v>1</v>
      </c>
      <c r="W28" t="b">
        <v>0</v>
      </c>
      <c r="X28" t="b">
        <v>0</v>
      </c>
      <c r="Y28" t="b">
        <v>1</v>
      </c>
      <c r="Z28" t="b">
        <v>0</v>
      </c>
      <c r="AA28" t="b">
        <v>0</v>
      </c>
      <c r="AB28" t="b">
        <v>0</v>
      </c>
      <c r="AC28" t="b">
        <v>0</v>
      </c>
      <c r="AD28" t="b">
        <v>0</v>
      </c>
      <c r="AE28" t="b">
        <v>0</v>
      </c>
      <c r="AF28" t="b">
        <v>0</v>
      </c>
      <c r="AG28" t="b">
        <v>0</v>
      </c>
      <c r="AH28" t="b">
        <v>0</v>
      </c>
      <c r="AI28" t="b">
        <v>1</v>
      </c>
      <c r="AJ28" t="b">
        <v>0</v>
      </c>
      <c r="AK28" t="b">
        <v>0</v>
      </c>
      <c r="AL28" t="b">
        <v>0</v>
      </c>
      <c r="AM28" s="27">
        <f>COUNTIF(Table1[[#This Row],[Java]:[Scala]],TRUE)</f>
        <v>2</v>
      </c>
    </row>
    <row r="29" spans="1:39" hidden="1" x14ac:dyDescent="0.45">
      <c r="A29" s="2" t="s">
        <v>119</v>
      </c>
      <c r="B29" s="2">
        <v>2</v>
      </c>
      <c r="C29" s="2">
        <v>1.8</v>
      </c>
      <c r="D29" s="2" t="s">
        <v>21</v>
      </c>
      <c r="E29" s="2" t="s">
        <v>17</v>
      </c>
      <c r="F29" t="b">
        <v>0</v>
      </c>
      <c r="G29">
        <v>3</v>
      </c>
      <c r="H29">
        <v>4</v>
      </c>
      <c r="I29">
        <v>7</v>
      </c>
      <c r="J29" s="2" t="s">
        <v>45</v>
      </c>
      <c r="K29">
        <v>21</v>
      </c>
      <c r="L29">
        <v>7</v>
      </c>
      <c r="M29" t="s">
        <v>34</v>
      </c>
      <c r="N29" t="b">
        <v>1</v>
      </c>
      <c r="O29" t="b">
        <v>0</v>
      </c>
      <c r="P29" t="b">
        <v>1</v>
      </c>
      <c r="Q29" t="b">
        <v>1</v>
      </c>
      <c r="R29" t="b">
        <v>1</v>
      </c>
      <c r="S29" t="b">
        <v>0</v>
      </c>
      <c r="T29" t="b">
        <v>0</v>
      </c>
      <c r="U29" t="b">
        <v>0</v>
      </c>
      <c r="V29" t="b">
        <v>1</v>
      </c>
      <c r="W29" t="b">
        <v>0</v>
      </c>
      <c r="X29" t="b">
        <v>1</v>
      </c>
      <c r="Y29" t="b">
        <v>1</v>
      </c>
      <c r="Z29" t="b">
        <v>1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  <c r="AF29" t="b">
        <v>0</v>
      </c>
      <c r="AG29" t="b">
        <v>0</v>
      </c>
      <c r="AH29" t="b">
        <v>0</v>
      </c>
      <c r="AI29" t="b">
        <v>0</v>
      </c>
      <c r="AJ29" t="b">
        <v>0</v>
      </c>
      <c r="AK29" t="b">
        <v>0</v>
      </c>
      <c r="AL29" t="b">
        <v>0</v>
      </c>
      <c r="AM29" s="27">
        <f>COUNTIF(Table1[[#This Row],[Java]:[Scala]],TRUE)</f>
        <v>4</v>
      </c>
    </row>
    <row r="30" spans="1:39" x14ac:dyDescent="0.45">
      <c r="A30" s="2" t="s">
        <v>119</v>
      </c>
      <c r="B30" s="2">
        <v>2</v>
      </c>
      <c r="C30" s="2">
        <v>2.2400000000000002</v>
      </c>
      <c r="D30" s="2" t="s">
        <v>22</v>
      </c>
      <c r="E30" s="2" t="s">
        <v>27</v>
      </c>
      <c r="F30" t="b">
        <v>1</v>
      </c>
      <c r="G30">
        <v>4</v>
      </c>
      <c r="H30">
        <v>4</v>
      </c>
      <c r="I30">
        <v>7</v>
      </c>
      <c r="J30" s="2">
        <v>3</v>
      </c>
      <c r="K30">
        <v>21</v>
      </c>
      <c r="L30">
        <v>7</v>
      </c>
      <c r="M30" t="s">
        <v>34</v>
      </c>
      <c r="N30" t="b">
        <v>1</v>
      </c>
      <c r="O30" t="b">
        <v>0</v>
      </c>
      <c r="P30" t="b">
        <v>1</v>
      </c>
      <c r="Q30" t="b">
        <v>1</v>
      </c>
      <c r="R30" t="b">
        <v>1</v>
      </c>
      <c r="S30" t="b">
        <v>0</v>
      </c>
      <c r="T30" t="b">
        <v>0</v>
      </c>
      <c r="U30" t="b">
        <v>0</v>
      </c>
      <c r="V30" t="b">
        <v>1</v>
      </c>
      <c r="W30" t="b">
        <v>0</v>
      </c>
      <c r="X30" t="b">
        <v>1</v>
      </c>
      <c r="Y30" t="b">
        <v>1</v>
      </c>
      <c r="Z30" t="b">
        <v>1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  <c r="AF30" t="b">
        <v>0</v>
      </c>
      <c r="AG30" t="b">
        <v>0</v>
      </c>
      <c r="AH30" t="b">
        <v>0</v>
      </c>
      <c r="AI30" t="b">
        <v>0</v>
      </c>
      <c r="AJ30" t="b">
        <v>0</v>
      </c>
      <c r="AK30" t="b">
        <v>0</v>
      </c>
      <c r="AL30" t="b">
        <v>0</v>
      </c>
      <c r="AM30" s="27">
        <f>COUNTIF(Table1[[#This Row],[Java]:[Scala]],TRUE)</f>
        <v>4</v>
      </c>
    </row>
    <row r="31" spans="1:39" hidden="1" x14ac:dyDescent="0.45">
      <c r="A31" s="2" t="s">
        <v>119</v>
      </c>
      <c r="B31" s="2">
        <v>2</v>
      </c>
      <c r="C31" s="2">
        <v>7.33</v>
      </c>
      <c r="D31" s="2" t="s">
        <v>23</v>
      </c>
      <c r="E31" s="2" t="s">
        <v>28</v>
      </c>
      <c r="F31" t="b">
        <v>1</v>
      </c>
      <c r="G31">
        <v>4</v>
      </c>
      <c r="H31">
        <v>4</v>
      </c>
      <c r="I31">
        <v>7</v>
      </c>
      <c r="J31" s="2">
        <v>1</v>
      </c>
      <c r="K31">
        <v>21</v>
      </c>
      <c r="L31">
        <v>7</v>
      </c>
      <c r="M31" t="s">
        <v>34</v>
      </c>
      <c r="N31" t="b">
        <v>1</v>
      </c>
      <c r="O31" t="b">
        <v>0</v>
      </c>
      <c r="P31" t="b">
        <v>1</v>
      </c>
      <c r="Q31" t="b">
        <v>1</v>
      </c>
      <c r="R31" t="b">
        <v>1</v>
      </c>
      <c r="S31" t="b">
        <v>0</v>
      </c>
      <c r="T31" t="b">
        <v>0</v>
      </c>
      <c r="U31" t="b">
        <v>0</v>
      </c>
      <c r="V31" t="b">
        <v>1</v>
      </c>
      <c r="W31" t="b">
        <v>0</v>
      </c>
      <c r="X31" t="b">
        <v>1</v>
      </c>
      <c r="Y31" t="b">
        <v>1</v>
      </c>
      <c r="Z31" t="b">
        <v>1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  <c r="AF31" t="b">
        <v>0</v>
      </c>
      <c r="AG31" t="b">
        <v>0</v>
      </c>
      <c r="AH31" t="b">
        <v>0</v>
      </c>
      <c r="AI31" t="b">
        <v>0</v>
      </c>
      <c r="AJ31" t="b">
        <v>0</v>
      </c>
      <c r="AK31" t="b">
        <v>0</v>
      </c>
      <c r="AL31" t="b">
        <v>0</v>
      </c>
      <c r="AM31" s="27">
        <f>COUNTIF(Table1[[#This Row],[Java]:[Scala]],TRUE)</f>
        <v>4</v>
      </c>
    </row>
    <row r="32" spans="1:39" hidden="1" x14ac:dyDescent="0.45">
      <c r="A32" s="2">
        <v>5</v>
      </c>
      <c r="B32" s="2">
        <v>2</v>
      </c>
      <c r="C32" s="2">
        <v>1.8</v>
      </c>
      <c r="D32" s="2" t="s">
        <v>21</v>
      </c>
      <c r="E32" s="2" t="s">
        <v>17</v>
      </c>
      <c r="F32" t="b">
        <v>0</v>
      </c>
      <c r="G32">
        <v>3</v>
      </c>
      <c r="H32">
        <v>4</v>
      </c>
      <c r="I32">
        <v>10</v>
      </c>
      <c r="J32" s="2" t="s">
        <v>45</v>
      </c>
      <c r="K32">
        <v>23</v>
      </c>
      <c r="L32">
        <v>5</v>
      </c>
      <c r="M32" t="s">
        <v>42</v>
      </c>
      <c r="N32" t="b">
        <v>1</v>
      </c>
      <c r="O32" t="b">
        <v>0</v>
      </c>
      <c r="P32" t="b">
        <v>1</v>
      </c>
      <c r="Q32" t="b">
        <v>1</v>
      </c>
      <c r="R32" t="b">
        <v>1</v>
      </c>
      <c r="S32" t="b">
        <v>1</v>
      </c>
      <c r="T32" t="b">
        <v>1</v>
      </c>
      <c r="U32" t="b">
        <v>0</v>
      </c>
      <c r="V32" t="b">
        <v>1</v>
      </c>
      <c r="W32" t="b">
        <v>1</v>
      </c>
      <c r="X32" t="b">
        <v>1</v>
      </c>
      <c r="Y32" t="b">
        <v>0</v>
      </c>
      <c r="Z32" t="b">
        <v>1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  <c r="AF32" t="b">
        <v>0</v>
      </c>
      <c r="AG32" t="b">
        <v>0</v>
      </c>
      <c r="AH32" t="b">
        <v>0</v>
      </c>
      <c r="AI32" t="b">
        <v>0</v>
      </c>
      <c r="AJ32" t="b">
        <v>0</v>
      </c>
      <c r="AK32" t="b">
        <v>0</v>
      </c>
      <c r="AL32" t="b">
        <v>0</v>
      </c>
      <c r="AM32">
        <f>COUNTIF(Table1[[#This Row],[Java]:[Scala]],TRUE)</f>
        <v>4</v>
      </c>
    </row>
    <row r="33" spans="1:39" x14ac:dyDescent="0.45">
      <c r="A33" s="2">
        <v>5</v>
      </c>
      <c r="B33" s="2">
        <v>2</v>
      </c>
      <c r="C33" s="2">
        <v>2.2400000000000002</v>
      </c>
      <c r="D33" s="2" t="s">
        <v>22</v>
      </c>
      <c r="E33" s="2" t="s">
        <v>27</v>
      </c>
      <c r="F33" t="b">
        <v>1</v>
      </c>
      <c r="G33">
        <v>4</v>
      </c>
      <c r="H33">
        <v>5</v>
      </c>
      <c r="I33">
        <v>6</v>
      </c>
      <c r="J33" s="2">
        <v>3</v>
      </c>
      <c r="K33">
        <v>23</v>
      </c>
      <c r="L33">
        <v>5</v>
      </c>
      <c r="M33" t="s">
        <v>42</v>
      </c>
      <c r="N33" t="b">
        <v>1</v>
      </c>
      <c r="O33" t="b">
        <v>0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0</v>
      </c>
      <c r="V33" t="b">
        <v>1</v>
      </c>
      <c r="W33" t="b">
        <v>1</v>
      </c>
      <c r="X33" t="b">
        <v>1</v>
      </c>
      <c r="Y33" t="b">
        <v>0</v>
      </c>
      <c r="Z33" t="b">
        <v>1</v>
      </c>
      <c r="AA33" t="b">
        <v>0</v>
      </c>
      <c r="AB33" t="b">
        <v>0</v>
      </c>
      <c r="AC33" t="b">
        <v>0</v>
      </c>
      <c r="AD33" t="b">
        <v>0</v>
      </c>
      <c r="AE33" t="b">
        <v>0</v>
      </c>
      <c r="AF33" t="b">
        <v>0</v>
      </c>
      <c r="AG33" t="b">
        <v>0</v>
      </c>
      <c r="AH33" t="b">
        <v>0</v>
      </c>
      <c r="AI33" t="b">
        <v>0</v>
      </c>
      <c r="AJ33" t="b">
        <v>0</v>
      </c>
      <c r="AK33" t="b">
        <v>0</v>
      </c>
      <c r="AL33" t="b">
        <v>0</v>
      </c>
      <c r="AM33">
        <f>COUNTIF(Table1[[#This Row],[Java]:[Scala]],TRUE)</f>
        <v>4</v>
      </c>
    </row>
    <row r="34" spans="1:39" hidden="1" x14ac:dyDescent="0.45">
      <c r="A34" s="2">
        <v>5</v>
      </c>
      <c r="B34" s="2">
        <v>2</v>
      </c>
      <c r="C34" s="2">
        <v>7.33</v>
      </c>
      <c r="D34" s="2" t="s">
        <v>23</v>
      </c>
      <c r="E34" s="2" t="s">
        <v>28</v>
      </c>
      <c r="F34" t="b">
        <v>1</v>
      </c>
      <c r="G34">
        <v>5</v>
      </c>
      <c r="H34">
        <v>5</v>
      </c>
      <c r="I34">
        <v>6</v>
      </c>
      <c r="J34" s="2">
        <v>3</v>
      </c>
      <c r="K34">
        <v>23</v>
      </c>
      <c r="L34">
        <v>5</v>
      </c>
      <c r="M34" t="s">
        <v>42</v>
      </c>
      <c r="N34" t="b">
        <v>1</v>
      </c>
      <c r="O34" t="b">
        <v>0</v>
      </c>
      <c r="P34" t="b">
        <v>1</v>
      </c>
      <c r="Q34" t="b">
        <v>1</v>
      </c>
      <c r="R34" t="b">
        <v>1</v>
      </c>
      <c r="S34" t="b">
        <v>1</v>
      </c>
      <c r="T34" t="b">
        <v>1</v>
      </c>
      <c r="U34" t="b">
        <v>0</v>
      </c>
      <c r="V34" t="b">
        <v>1</v>
      </c>
      <c r="W34" t="b">
        <v>1</v>
      </c>
      <c r="X34" t="b">
        <v>1</v>
      </c>
      <c r="Y34" t="b">
        <v>0</v>
      </c>
      <c r="Z34" t="b">
        <v>1</v>
      </c>
      <c r="AA34" t="b">
        <v>0</v>
      </c>
      <c r="AB34" t="b">
        <v>0</v>
      </c>
      <c r="AC34" t="b">
        <v>0</v>
      </c>
      <c r="AD34" t="b">
        <v>0</v>
      </c>
      <c r="AE34" t="b">
        <v>0</v>
      </c>
      <c r="AF34" t="b">
        <v>0</v>
      </c>
      <c r="AG34" t="b">
        <v>0</v>
      </c>
      <c r="AH34" t="b">
        <v>0</v>
      </c>
      <c r="AI34" t="b">
        <v>0</v>
      </c>
      <c r="AJ34" t="b">
        <v>0</v>
      </c>
      <c r="AK34" t="b">
        <v>0</v>
      </c>
      <c r="AL34" t="b">
        <v>0</v>
      </c>
      <c r="AM34">
        <f>COUNTIF(Table1[[#This Row],[Java]:[Scala]],TRUE)</f>
        <v>4</v>
      </c>
    </row>
    <row r="35" spans="1:39" hidden="1" x14ac:dyDescent="0.45">
      <c r="A35" s="2" t="s">
        <v>129</v>
      </c>
      <c r="B35" s="2">
        <v>2</v>
      </c>
      <c r="C35" s="2">
        <v>1.8</v>
      </c>
      <c r="D35" s="2" t="s">
        <v>21</v>
      </c>
      <c r="E35" s="2" t="s">
        <v>17</v>
      </c>
      <c r="F35" t="b">
        <v>0</v>
      </c>
      <c r="G35" s="28">
        <v>3</v>
      </c>
      <c r="H35" s="28">
        <v>4</v>
      </c>
      <c r="I35" s="29">
        <v>7</v>
      </c>
      <c r="J35" s="2" t="s">
        <v>45</v>
      </c>
      <c r="K35">
        <v>24</v>
      </c>
      <c r="L35">
        <v>8</v>
      </c>
      <c r="M35" t="s">
        <v>42</v>
      </c>
      <c r="N35" t="b">
        <v>1</v>
      </c>
      <c r="O35" t="b">
        <v>1</v>
      </c>
      <c r="P35" t="b">
        <v>1</v>
      </c>
      <c r="Q35" t="b">
        <v>1</v>
      </c>
      <c r="R35" t="b">
        <v>1</v>
      </c>
      <c r="S35" t="b">
        <v>1</v>
      </c>
      <c r="T35" t="b">
        <v>1</v>
      </c>
      <c r="U35" t="b">
        <v>0</v>
      </c>
      <c r="V35" t="b">
        <v>1</v>
      </c>
      <c r="W35" t="b">
        <v>0</v>
      </c>
      <c r="X35" t="b">
        <v>1</v>
      </c>
      <c r="Y35" t="b">
        <v>1</v>
      </c>
      <c r="Z35" t="b">
        <v>0</v>
      </c>
      <c r="AA35" t="b">
        <v>0</v>
      </c>
      <c r="AB35" t="b">
        <v>0</v>
      </c>
      <c r="AC35" t="b">
        <v>0</v>
      </c>
      <c r="AD35" t="b">
        <v>0</v>
      </c>
      <c r="AE35" t="b">
        <v>0</v>
      </c>
      <c r="AF35" t="b">
        <v>0</v>
      </c>
      <c r="AG35" t="b">
        <v>0</v>
      </c>
      <c r="AH35" t="b">
        <v>0</v>
      </c>
      <c r="AI35" t="b">
        <v>0</v>
      </c>
      <c r="AJ35" t="b">
        <v>0</v>
      </c>
      <c r="AK35" t="b">
        <v>0</v>
      </c>
      <c r="AL35" t="b">
        <v>0</v>
      </c>
      <c r="AM35" s="27">
        <f>COUNTIF(Table1[[#This Row],[Java]:[Scala]],TRUE)</f>
        <v>3</v>
      </c>
    </row>
    <row r="36" spans="1:39" x14ac:dyDescent="0.45">
      <c r="A36" s="2" t="s">
        <v>129</v>
      </c>
      <c r="B36" s="2">
        <v>2</v>
      </c>
      <c r="C36" s="2">
        <v>2.2400000000000002</v>
      </c>
      <c r="D36" s="2" t="s">
        <v>22</v>
      </c>
      <c r="E36" s="2" t="s">
        <v>27</v>
      </c>
      <c r="F36" t="b">
        <v>1</v>
      </c>
      <c r="G36">
        <v>5</v>
      </c>
      <c r="H36">
        <v>5</v>
      </c>
      <c r="I36">
        <v>5</v>
      </c>
      <c r="J36" s="2">
        <v>3</v>
      </c>
      <c r="K36">
        <v>24</v>
      </c>
      <c r="L36">
        <v>8</v>
      </c>
      <c r="M36" t="s">
        <v>42</v>
      </c>
      <c r="N36" t="b">
        <v>1</v>
      </c>
      <c r="O36" t="b">
        <v>1</v>
      </c>
      <c r="P36" t="b">
        <v>1</v>
      </c>
      <c r="Q36" t="b">
        <v>1</v>
      </c>
      <c r="R36" t="b">
        <v>1</v>
      </c>
      <c r="S36" t="b">
        <v>1</v>
      </c>
      <c r="T36" t="b">
        <v>1</v>
      </c>
      <c r="U36" t="b">
        <v>0</v>
      </c>
      <c r="V36" t="b">
        <v>1</v>
      </c>
      <c r="W36" t="b">
        <v>0</v>
      </c>
      <c r="X36" t="b">
        <v>1</v>
      </c>
      <c r="Y36" t="b">
        <v>1</v>
      </c>
      <c r="Z36" t="b">
        <v>0</v>
      </c>
      <c r="AA36" t="b">
        <v>0</v>
      </c>
      <c r="AB36" t="b">
        <v>0</v>
      </c>
      <c r="AC36" t="b">
        <v>0</v>
      </c>
      <c r="AD36" t="b">
        <v>0</v>
      </c>
      <c r="AE36" t="b">
        <v>0</v>
      </c>
      <c r="AF36" t="b">
        <v>0</v>
      </c>
      <c r="AG36" t="b">
        <v>0</v>
      </c>
      <c r="AH36" t="b">
        <v>0</v>
      </c>
      <c r="AI36" t="b">
        <v>0</v>
      </c>
      <c r="AJ36" t="b">
        <v>0</v>
      </c>
      <c r="AK36" t="b">
        <v>0</v>
      </c>
      <c r="AL36" t="b">
        <v>0</v>
      </c>
      <c r="AM36" s="27">
        <f>COUNTIF(Table1[[#This Row],[Java]:[Scala]],TRUE)</f>
        <v>3</v>
      </c>
    </row>
    <row r="37" spans="1:39" hidden="1" x14ac:dyDescent="0.45">
      <c r="A37" s="2" t="s">
        <v>129</v>
      </c>
      <c r="B37" s="2">
        <v>2</v>
      </c>
      <c r="C37" s="2">
        <v>7.33</v>
      </c>
      <c r="D37" s="2" t="s">
        <v>23</v>
      </c>
      <c r="E37" s="2" t="s">
        <v>28</v>
      </c>
      <c r="F37" t="b">
        <v>1</v>
      </c>
      <c r="G37">
        <v>4</v>
      </c>
      <c r="H37">
        <v>5</v>
      </c>
      <c r="I37">
        <v>2</v>
      </c>
      <c r="J37" s="2">
        <v>2</v>
      </c>
      <c r="K37">
        <v>24</v>
      </c>
      <c r="L37">
        <v>8</v>
      </c>
      <c r="M37" t="s">
        <v>42</v>
      </c>
      <c r="N37" t="b">
        <v>1</v>
      </c>
      <c r="O37" t="b">
        <v>1</v>
      </c>
      <c r="P37" t="b">
        <v>1</v>
      </c>
      <c r="Q37" t="b">
        <v>1</v>
      </c>
      <c r="R37" t="b">
        <v>1</v>
      </c>
      <c r="S37" t="b">
        <v>1</v>
      </c>
      <c r="T37" t="b">
        <v>1</v>
      </c>
      <c r="U37" t="b">
        <v>0</v>
      </c>
      <c r="V37" t="b">
        <v>1</v>
      </c>
      <c r="W37" t="b">
        <v>0</v>
      </c>
      <c r="X37" t="b">
        <v>1</v>
      </c>
      <c r="Y37" t="b">
        <v>1</v>
      </c>
      <c r="Z37" t="b">
        <v>0</v>
      </c>
      <c r="AA37" t="b">
        <v>0</v>
      </c>
      <c r="AB37" t="b">
        <v>0</v>
      </c>
      <c r="AC37" t="b">
        <v>0</v>
      </c>
      <c r="AD37" t="b">
        <v>0</v>
      </c>
      <c r="AE37" t="b">
        <v>0</v>
      </c>
      <c r="AF37" t="b">
        <v>0</v>
      </c>
      <c r="AG37" t="b">
        <v>0</v>
      </c>
      <c r="AH37" t="b">
        <v>0</v>
      </c>
      <c r="AI37" t="b">
        <v>0</v>
      </c>
      <c r="AJ37" t="b">
        <v>0</v>
      </c>
      <c r="AK37" t="b">
        <v>0</v>
      </c>
      <c r="AL37" t="b">
        <v>0</v>
      </c>
      <c r="AM37" s="27">
        <f>COUNTIF(Table1[[#This Row],[Java]:[Scala]],TRUE)</f>
        <v>3</v>
      </c>
    </row>
    <row r="38" spans="1:39" hidden="1" x14ac:dyDescent="0.45">
      <c r="A38" s="2">
        <v>6</v>
      </c>
      <c r="B38" s="2">
        <v>2</v>
      </c>
      <c r="C38" s="2">
        <v>1.8</v>
      </c>
      <c r="D38" s="2" t="s">
        <v>21</v>
      </c>
      <c r="E38" s="2" t="s">
        <v>17</v>
      </c>
      <c r="F38" t="b">
        <v>0</v>
      </c>
      <c r="G38">
        <v>5</v>
      </c>
      <c r="H38">
        <v>4</v>
      </c>
      <c r="I38">
        <v>6</v>
      </c>
      <c r="J38" s="2" t="s">
        <v>45</v>
      </c>
      <c r="K38">
        <v>24</v>
      </c>
      <c r="L38">
        <v>11</v>
      </c>
      <c r="M38" t="s">
        <v>42</v>
      </c>
      <c r="N38" t="b">
        <v>1</v>
      </c>
      <c r="O38" t="b">
        <v>1</v>
      </c>
      <c r="P38" t="b">
        <v>1</v>
      </c>
      <c r="Q38" t="b">
        <v>1</v>
      </c>
      <c r="R38" t="b">
        <v>1</v>
      </c>
      <c r="S38" t="b">
        <v>1</v>
      </c>
      <c r="T38" t="b">
        <v>1</v>
      </c>
      <c r="U38" t="b">
        <v>0</v>
      </c>
      <c r="V38" t="b">
        <v>1</v>
      </c>
      <c r="W38" t="b">
        <v>1</v>
      </c>
      <c r="X38" t="b">
        <v>1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E38" t="b">
        <v>0</v>
      </c>
      <c r="AF38" t="b">
        <v>0</v>
      </c>
      <c r="AG38" t="b">
        <v>0</v>
      </c>
      <c r="AH38" t="b">
        <v>0</v>
      </c>
      <c r="AI38" t="b">
        <v>0</v>
      </c>
      <c r="AJ38" t="b">
        <v>0</v>
      </c>
      <c r="AK38" t="b">
        <v>0</v>
      </c>
      <c r="AL38" t="b">
        <v>0</v>
      </c>
      <c r="AM38">
        <f>COUNTIF(Table1[[#This Row],[Java]:[Scala]],TRUE)</f>
        <v>3</v>
      </c>
    </row>
    <row r="39" spans="1:39" x14ac:dyDescent="0.45">
      <c r="A39" s="2">
        <v>6</v>
      </c>
      <c r="B39" s="2">
        <v>2</v>
      </c>
      <c r="C39" s="2">
        <v>2.2400000000000002</v>
      </c>
      <c r="D39" s="2" t="s">
        <v>22</v>
      </c>
      <c r="E39" s="2" t="s">
        <v>27</v>
      </c>
      <c r="F39" t="b">
        <v>1</v>
      </c>
      <c r="G39">
        <v>5</v>
      </c>
      <c r="H39">
        <v>5</v>
      </c>
      <c r="I39">
        <v>5</v>
      </c>
      <c r="J39" s="2">
        <v>3</v>
      </c>
      <c r="K39">
        <v>24</v>
      </c>
      <c r="L39">
        <v>11</v>
      </c>
      <c r="M39" t="s">
        <v>42</v>
      </c>
      <c r="N39" t="b">
        <v>1</v>
      </c>
      <c r="O39" t="b">
        <v>1</v>
      </c>
      <c r="P39" t="b">
        <v>1</v>
      </c>
      <c r="Q39" t="b">
        <v>1</v>
      </c>
      <c r="R39" t="b">
        <v>1</v>
      </c>
      <c r="S39" t="b">
        <v>1</v>
      </c>
      <c r="T39" t="b">
        <v>1</v>
      </c>
      <c r="U39" t="b">
        <v>0</v>
      </c>
      <c r="V39" t="b">
        <v>1</v>
      </c>
      <c r="W39" t="b">
        <v>1</v>
      </c>
      <c r="X39" t="b">
        <v>1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D39" t="b">
        <v>0</v>
      </c>
      <c r="AE39" t="b">
        <v>0</v>
      </c>
      <c r="AF39" t="b">
        <v>0</v>
      </c>
      <c r="AG39" t="b">
        <v>0</v>
      </c>
      <c r="AH39" t="b">
        <v>0</v>
      </c>
      <c r="AI39" t="b">
        <v>0</v>
      </c>
      <c r="AJ39" t="b">
        <v>0</v>
      </c>
      <c r="AK39" t="b">
        <v>0</v>
      </c>
      <c r="AL39" t="b">
        <v>0</v>
      </c>
      <c r="AM39">
        <f>COUNTIF(Table1[[#This Row],[Java]:[Scala]],TRUE)</f>
        <v>3</v>
      </c>
    </row>
    <row r="40" spans="1:39" hidden="1" x14ac:dyDescent="0.45">
      <c r="A40" s="2">
        <v>6</v>
      </c>
      <c r="B40" s="2">
        <v>2</v>
      </c>
      <c r="C40" s="2">
        <v>7.33</v>
      </c>
      <c r="D40" s="2" t="s">
        <v>23</v>
      </c>
      <c r="E40" s="2" t="s">
        <v>28</v>
      </c>
      <c r="F40" t="b">
        <v>0</v>
      </c>
      <c r="G40">
        <v>5</v>
      </c>
      <c r="H40">
        <v>4</v>
      </c>
      <c r="I40">
        <v>4</v>
      </c>
      <c r="J40" s="2">
        <v>0</v>
      </c>
      <c r="K40">
        <v>24</v>
      </c>
      <c r="L40">
        <v>11</v>
      </c>
      <c r="M40" t="s">
        <v>42</v>
      </c>
      <c r="N40" t="b">
        <v>1</v>
      </c>
      <c r="O40" t="b">
        <v>1</v>
      </c>
      <c r="P40" t="b">
        <v>1</v>
      </c>
      <c r="Q40" t="b">
        <v>1</v>
      </c>
      <c r="R40" t="b">
        <v>1</v>
      </c>
      <c r="S40" t="b">
        <v>1</v>
      </c>
      <c r="T40" t="b">
        <v>1</v>
      </c>
      <c r="U40" t="b">
        <v>0</v>
      </c>
      <c r="V40" t="b">
        <v>1</v>
      </c>
      <c r="W40" t="b">
        <v>1</v>
      </c>
      <c r="X40" t="b">
        <v>1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E40" t="b">
        <v>0</v>
      </c>
      <c r="AF40" t="b">
        <v>0</v>
      </c>
      <c r="AG40" t="b">
        <v>0</v>
      </c>
      <c r="AH40" t="b">
        <v>0</v>
      </c>
      <c r="AI40" t="b">
        <v>0</v>
      </c>
      <c r="AJ40" t="b">
        <v>0</v>
      </c>
      <c r="AK40" t="b">
        <v>0</v>
      </c>
      <c r="AL40" t="b">
        <v>0</v>
      </c>
      <c r="AM40">
        <f>COUNTIF(Table1[[#This Row],[Java]:[Scala]],TRUE)</f>
        <v>3</v>
      </c>
    </row>
    <row r="41" spans="1:39" hidden="1" x14ac:dyDescent="0.45">
      <c r="A41" s="2" t="s">
        <v>128</v>
      </c>
      <c r="B41" s="2">
        <v>2</v>
      </c>
      <c r="C41" s="2">
        <v>1.8</v>
      </c>
      <c r="D41" s="2" t="s">
        <v>21</v>
      </c>
      <c r="E41" s="2" t="s">
        <v>17</v>
      </c>
      <c r="F41" t="b">
        <v>0</v>
      </c>
      <c r="G41">
        <v>4</v>
      </c>
      <c r="H41">
        <v>5</v>
      </c>
      <c r="I41">
        <v>7</v>
      </c>
      <c r="J41" s="2" t="s">
        <v>45</v>
      </c>
      <c r="K41">
        <v>32</v>
      </c>
      <c r="L41">
        <v>15</v>
      </c>
      <c r="M41" t="s">
        <v>42</v>
      </c>
      <c r="N41" t="b">
        <v>1</v>
      </c>
      <c r="O41" t="b">
        <v>1</v>
      </c>
      <c r="P41" t="b">
        <v>1</v>
      </c>
      <c r="Q41" t="b">
        <v>1</v>
      </c>
      <c r="R41" t="b">
        <v>1</v>
      </c>
      <c r="S41" t="b">
        <v>1</v>
      </c>
      <c r="T41" t="b">
        <v>0</v>
      </c>
      <c r="U41" t="b">
        <v>0</v>
      </c>
      <c r="V41" t="b">
        <v>1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0</v>
      </c>
      <c r="AE41" t="b">
        <v>0</v>
      </c>
      <c r="AF41" t="b">
        <v>0</v>
      </c>
      <c r="AG41" t="b">
        <v>0</v>
      </c>
      <c r="AH41" t="b">
        <v>0</v>
      </c>
      <c r="AI41" t="b">
        <v>0</v>
      </c>
      <c r="AJ41" t="b">
        <v>0</v>
      </c>
      <c r="AK41" t="b">
        <v>0</v>
      </c>
      <c r="AL41" t="b">
        <v>0</v>
      </c>
      <c r="AM41" s="27">
        <f>COUNTIF(Table1[[#This Row],[Java]:[Scala]],TRUE)</f>
        <v>1</v>
      </c>
    </row>
    <row r="42" spans="1:39" x14ac:dyDescent="0.45">
      <c r="A42" s="2" t="s">
        <v>128</v>
      </c>
      <c r="B42" s="2">
        <v>2</v>
      </c>
      <c r="C42" s="2">
        <v>2.2400000000000002</v>
      </c>
      <c r="D42" s="2" t="s">
        <v>22</v>
      </c>
      <c r="E42" s="2" t="s">
        <v>27</v>
      </c>
      <c r="F42" t="b">
        <v>1</v>
      </c>
      <c r="G42">
        <v>3</v>
      </c>
      <c r="H42">
        <v>4</v>
      </c>
      <c r="I42">
        <v>9</v>
      </c>
      <c r="J42" s="2">
        <v>2</v>
      </c>
      <c r="K42">
        <v>32</v>
      </c>
      <c r="L42">
        <v>15</v>
      </c>
      <c r="M42" t="s">
        <v>42</v>
      </c>
      <c r="N42" t="b">
        <v>1</v>
      </c>
      <c r="O42" t="b">
        <v>1</v>
      </c>
      <c r="P42" t="b">
        <v>1</v>
      </c>
      <c r="Q42" t="b">
        <v>1</v>
      </c>
      <c r="R42" t="b">
        <v>1</v>
      </c>
      <c r="S42" t="b">
        <v>1</v>
      </c>
      <c r="T42" t="b">
        <v>0</v>
      </c>
      <c r="U42" t="b">
        <v>0</v>
      </c>
      <c r="V42" t="b">
        <v>1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0</v>
      </c>
      <c r="AE42" t="b">
        <v>0</v>
      </c>
      <c r="AF42" t="b">
        <v>0</v>
      </c>
      <c r="AG42" t="b">
        <v>0</v>
      </c>
      <c r="AH42" t="b">
        <v>0</v>
      </c>
      <c r="AI42" t="b">
        <v>0</v>
      </c>
      <c r="AJ42" t="b">
        <v>0</v>
      </c>
      <c r="AK42" t="b">
        <v>0</v>
      </c>
      <c r="AL42" t="b">
        <v>0</v>
      </c>
      <c r="AM42" s="27">
        <f>COUNTIF(Table1[[#This Row],[Java]:[Scala]],TRUE)</f>
        <v>1</v>
      </c>
    </row>
    <row r="43" spans="1:39" hidden="1" x14ac:dyDescent="0.45">
      <c r="A43" s="2" t="s">
        <v>128</v>
      </c>
      <c r="B43" s="2">
        <v>2</v>
      </c>
      <c r="C43" s="2">
        <v>7.33</v>
      </c>
      <c r="D43" s="2" t="s">
        <v>23</v>
      </c>
      <c r="E43" s="2" t="s">
        <v>28</v>
      </c>
      <c r="F43" t="b">
        <v>1</v>
      </c>
      <c r="G43">
        <v>3</v>
      </c>
      <c r="H43">
        <v>4</v>
      </c>
      <c r="I43">
        <v>8</v>
      </c>
      <c r="J43" s="2">
        <v>2</v>
      </c>
      <c r="K43">
        <v>32</v>
      </c>
      <c r="L43">
        <v>15</v>
      </c>
      <c r="M43" t="s">
        <v>42</v>
      </c>
      <c r="N43" t="b">
        <v>1</v>
      </c>
      <c r="O43" t="b">
        <v>1</v>
      </c>
      <c r="P43" t="b">
        <v>1</v>
      </c>
      <c r="Q43" t="b">
        <v>1</v>
      </c>
      <c r="R43" t="b">
        <v>1</v>
      </c>
      <c r="S43" t="b">
        <v>1</v>
      </c>
      <c r="T43" t="b">
        <v>0</v>
      </c>
      <c r="U43" t="b">
        <v>0</v>
      </c>
      <c r="V43" t="b">
        <v>1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D43" t="b">
        <v>0</v>
      </c>
      <c r="AE43" t="b">
        <v>0</v>
      </c>
      <c r="AF43" t="b">
        <v>0</v>
      </c>
      <c r="AG43" t="b">
        <v>0</v>
      </c>
      <c r="AH43" t="b">
        <v>0</v>
      </c>
      <c r="AI43" t="b">
        <v>0</v>
      </c>
      <c r="AJ43" t="b">
        <v>0</v>
      </c>
      <c r="AK43" t="b">
        <v>0</v>
      </c>
      <c r="AL43" t="b">
        <v>0</v>
      </c>
      <c r="AM43" s="27">
        <f>COUNTIF(Table1[[#This Row],[Java]:[Scala]],TRUE)</f>
        <v>1</v>
      </c>
    </row>
    <row r="44" spans="1:39" hidden="1" x14ac:dyDescent="0.45">
      <c r="A44" s="2">
        <v>7</v>
      </c>
      <c r="B44" s="2">
        <v>3</v>
      </c>
      <c r="C44" s="2">
        <v>1.8</v>
      </c>
      <c r="D44" s="2" t="s">
        <v>24</v>
      </c>
      <c r="E44" s="2" t="s">
        <v>28</v>
      </c>
      <c r="F44" t="b">
        <v>0</v>
      </c>
      <c r="G44">
        <v>4</v>
      </c>
      <c r="H44">
        <v>5</v>
      </c>
      <c r="I44">
        <v>8</v>
      </c>
      <c r="J44" s="2">
        <v>2</v>
      </c>
      <c r="K44">
        <v>22</v>
      </c>
      <c r="L44">
        <v>7</v>
      </c>
      <c r="M44" t="s">
        <v>42</v>
      </c>
      <c r="N44" t="b">
        <v>1</v>
      </c>
      <c r="O44" t="b">
        <v>0</v>
      </c>
      <c r="P44" t="b">
        <v>1</v>
      </c>
      <c r="Q44" t="b">
        <v>0</v>
      </c>
      <c r="R44" t="b">
        <v>1</v>
      </c>
      <c r="S44" t="b">
        <v>0</v>
      </c>
      <c r="T44" t="b">
        <v>0</v>
      </c>
      <c r="U44" t="b">
        <v>0</v>
      </c>
      <c r="V44" t="b">
        <v>1</v>
      </c>
      <c r="W44" t="b">
        <v>1</v>
      </c>
      <c r="X44" t="b">
        <v>1</v>
      </c>
      <c r="Y44" t="b">
        <v>0</v>
      </c>
      <c r="Z44" t="b">
        <v>1</v>
      </c>
      <c r="AA44" t="b">
        <v>0</v>
      </c>
      <c r="AB44" t="b">
        <v>0</v>
      </c>
      <c r="AC44" t="b">
        <v>0</v>
      </c>
      <c r="AD44" t="b">
        <v>0</v>
      </c>
      <c r="AE44" t="b">
        <v>0</v>
      </c>
      <c r="AF44" t="b">
        <v>0</v>
      </c>
      <c r="AG44" t="b">
        <v>0</v>
      </c>
      <c r="AH44" t="b">
        <v>0</v>
      </c>
      <c r="AI44" t="b">
        <v>0</v>
      </c>
      <c r="AJ44" t="b">
        <v>0</v>
      </c>
      <c r="AK44" t="b">
        <v>0</v>
      </c>
      <c r="AL44" t="b">
        <v>0</v>
      </c>
      <c r="AM44">
        <f>COUNTIF(Table1[[#This Row],[Java]:[Scala]],TRUE)</f>
        <v>4</v>
      </c>
    </row>
    <row r="45" spans="1:39" hidden="1" x14ac:dyDescent="0.45">
      <c r="A45" s="2">
        <v>7</v>
      </c>
      <c r="B45" s="2">
        <v>3</v>
      </c>
      <c r="C45" s="2">
        <v>2.2400000000000002</v>
      </c>
      <c r="D45" s="2" t="s">
        <v>25</v>
      </c>
      <c r="E45" s="2" t="s">
        <v>17</v>
      </c>
      <c r="F45" t="b">
        <v>0</v>
      </c>
      <c r="G45">
        <v>1</v>
      </c>
      <c r="H45">
        <v>3</v>
      </c>
      <c r="I45">
        <v>5</v>
      </c>
      <c r="J45" s="2" t="s">
        <v>45</v>
      </c>
      <c r="K45">
        <v>22</v>
      </c>
      <c r="L45">
        <v>7</v>
      </c>
      <c r="M45" t="s">
        <v>42</v>
      </c>
      <c r="N45" t="b">
        <v>1</v>
      </c>
      <c r="O45" t="b">
        <v>0</v>
      </c>
      <c r="P45" t="b">
        <v>1</v>
      </c>
      <c r="Q45" t="b">
        <v>0</v>
      </c>
      <c r="R45" t="b">
        <v>1</v>
      </c>
      <c r="S45" t="b">
        <v>0</v>
      </c>
      <c r="T45" t="b">
        <v>0</v>
      </c>
      <c r="U45" t="b">
        <v>0</v>
      </c>
      <c r="V45" t="b">
        <v>1</v>
      </c>
      <c r="W45" t="b">
        <v>1</v>
      </c>
      <c r="X45" t="b">
        <v>1</v>
      </c>
      <c r="Y45" t="b">
        <v>0</v>
      </c>
      <c r="Z45" t="b">
        <v>1</v>
      </c>
      <c r="AA45" t="b">
        <v>0</v>
      </c>
      <c r="AB45" t="b">
        <v>0</v>
      </c>
      <c r="AC45" t="b">
        <v>0</v>
      </c>
      <c r="AD45" t="b">
        <v>0</v>
      </c>
      <c r="AE45" t="b">
        <v>0</v>
      </c>
      <c r="AF45" t="b">
        <v>0</v>
      </c>
      <c r="AG45" t="b">
        <v>0</v>
      </c>
      <c r="AH45" t="b">
        <v>0</v>
      </c>
      <c r="AI45" t="b">
        <v>0</v>
      </c>
      <c r="AJ45" t="b">
        <v>0</v>
      </c>
      <c r="AK45" t="b">
        <v>0</v>
      </c>
      <c r="AL45" t="b">
        <v>0</v>
      </c>
      <c r="AM45">
        <f>COUNTIF(Table1[[#This Row],[Java]:[Scala]],TRUE)</f>
        <v>4</v>
      </c>
    </row>
    <row r="46" spans="1:39" x14ac:dyDescent="0.45">
      <c r="A46" s="2">
        <v>7</v>
      </c>
      <c r="B46" s="2">
        <v>3</v>
      </c>
      <c r="C46" s="2">
        <v>7.33</v>
      </c>
      <c r="D46" s="2" t="s">
        <v>26</v>
      </c>
      <c r="E46" s="2" t="s">
        <v>27</v>
      </c>
      <c r="F46" t="b">
        <v>1</v>
      </c>
      <c r="G46">
        <v>5</v>
      </c>
      <c r="H46">
        <v>5</v>
      </c>
      <c r="I46">
        <v>5</v>
      </c>
      <c r="J46" s="2">
        <v>3</v>
      </c>
      <c r="K46">
        <v>22</v>
      </c>
      <c r="L46">
        <v>7</v>
      </c>
      <c r="M46" t="s">
        <v>42</v>
      </c>
      <c r="N46" t="b">
        <v>1</v>
      </c>
      <c r="O46" t="b">
        <v>0</v>
      </c>
      <c r="P46" t="b">
        <v>1</v>
      </c>
      <c r="Q46" t="b">
        <v>0</v>
      </c>
      <c r="R46" t="b">
        <v>1</v>
      </c>
      <c r="S46" t="b">
        <v>0</v>
      </c>
      <c r="T46" t="b">
        <v>0</v>
      </c>
      <c r="U46" t="b">
        <v>0</v>
      </c>
      <c r="V46" t="b">
        <v>1</v>
      </c>
      <c r="W46" t="b">
        <v>1</v>
      </c>
      <c r="X46" t="b">
        <v>1</v>
      </c>
      <c r="Y46" t="b">
        <v>0</v>
      </c>
      <c r="Z46" t="b">
        <v>1</v>
      </c>
      <c r="AA46" t="b">
        <v>0</v>
      </c>
      <c r="AB46" t="b">
        <v>0</v>
      </c>
      <c r="AC46" t="b">
        <v>0</v>
      </c>
      <c r="AD46" t="b">
        <v>0</v>
      </c>
      <c r="AE46" t="b">
        <v>0</v>
      </c>
      <c r="AF46" t="b">
        <v>0</v>
      </c>
      <c r="AG46" t="b">
        <v>0</v>
      </c>
      <c r="AH46" t="b">
        <v>0</v>
      </c>
      <c r="AI46" t="b">
        <v>0</v>
      </c>
      <c r="AJ46" t="b">
        <v>0</v>
      </c>
      <c r="AK46" t="b">
        <v>0</v>
      </c>
      <c r="AL46" t="b">
        <v>0</v>
      </c>
      <c r="AM46">
        <f>COUNTIF(Table1[[#This Row],[Java]:[Scala]],TRUE)</f>
        <v>4</v>
      </c>
    </row>
    <row r="47" spans="1:39" hidden="1" x14ac:dyDescent="0.45">
      <c r="A47" s="2" t="s">
        <v>130</v>
      </c>
      <c r="B47" s="2">
        <v>3</v>
      </c>
      <c r="C47" s="2">
        <v>1.8</v>
      </c>
      <c r="D47" s="2" t="s">
        <v>24</v>
      </c>
      <c r="E47" s="2" t="s">
        <v>28</v>
      </c>
      <c r="F47" t="b">
        <v>0</v>
      </c>
      <c r="G47" s="28">
        <v>5</v>
      </c>
      <c r="H47" s="28">
        <v>5</v>
      </c>
      <c r="I47" s="28">
        <v>6</v>
      </c>
      <c r="J47" s="2">
        <v>2</v>
      </c>
      <c r="K47">
        <v>32</v>
      </c>
      <c r="L47">
        <v>12</v>
      </c>
      <c r="M47" t="s">
        <v>42</v>
      </c>
      <c r="N47" t="b">
        <v>1</v>
      </c>
      <c r="O47" t="b">
        <v>0</v>
      </c>
      <c r="P47" t="b">
        <v>1</v>
      </c>
      <c r="Q47" t="b">
        <v>0</v>
      </c>
      <c r="R47" t="b">
        <v>0</v>
      </c>
      <c r="S47" t="b">
        <v>1</v>
      </c>
      <c r="T47" t="b">
        <v>1</v>
      </c>
      <c r="U47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1</v>
      </c>
      <c r="AA47" t="b">
        <v>1</v>
      </c>
      <c r="AB47" t="b">
        <v>0</v>
      </c>
      <c r="AC47" t="b">
        <v>0</v>
      </c>
      <c r="AD47" t="b">
        <v>0</v>
      </c>
      <c r="AE47" t="b">
        <v>0</v>
      </c>
      <c r="AF47" t="b">
        <v>0</v>
      </c>
      <c r="AG47" t="b">
        <v>0</v>
      </c>
      <c r="AH47" t="b">
        <v>0</v>
      </c>
      <c r="AI47" t="b">
        <v>0</v>
      </c>
      <c r="AJ47" t="b">
        <v>0</v>
      </c>
      <c r="AK47" t="b">
        <v>0</v>
      </c>
      <c r="AL47" t="b">
        <v>0</v>
      </c>
      <c r="AM47" s="27">
        <f>COUNTIF(Table1[[#This Row],[Java]:[Scala]],TRUE)</f>
        <v>4</v>
      </c>
    </row>
    <row r="48" spans="1:39" hidden="1" x14ac:dyDescent="0.45">
      <c r="A48" s="2" t="s">
        <v>130</v>
      </c>
      <c r="B48" s="2">
        <v>3</v>
      </c>
      <c r="C48" s="2">
        <v>2.2400000000000002</v>
      </c>
      <c r="D48" s="2" t="s">
        <v>25</v>
      </c>
      <c r="E48" s="2" t="s">
        <v>17</v>
      </c>
      <c r="F48" t="b">
        <v>0</v>
      </c>
      <c r="G48" s="28">
        <v>3</v>
      </c>
      <c r="H48" s="28">
        <v>3</v>
      </c>
      <c r="I48" s="28">
        <v>6</v>
      </c>
      <c r="J48" s="2" t="s">
        <v>45</v>
      </c>
      <c r="K48">
        <v>32</v>
      </c>
      <c r="L48">
        <v>12</v>
      </c>
      <c r="M48" t="s">
        <v>42</v>
      </c>
      <c r="N48" t="b">
        <v>1</v>
      </c>
      <c r="O48" t="b">
        <v>0</v>
      </c>
      <c r="P48" t="b">
        <v>1</v>
      </c>
      <c r="Q48" t="b">
        <v>0</v>
      </c>
      <c r="R48" t="b">
        <v>0</v>
      </c>
      <c r="S48" t="b">
        <v>1</v>
      </c>
      <c r="T48" t="b">
        <v>1</v>
      </c>
      <c r="U48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1</v>
      </c>
      <c r="AA48" t="b">
        <v>1</v>
      </c>
      <c r="AB48" t="b">
        <v>0</v>
      </c>
      <c r="AC48" t="b">
        <v>0</v>
      </c>
      <c r="AD48" t="b">
        <v>0</v>
      </c>
      <c r="AE48" t="b">
        <v>0</v>
      </c>
      <c r="AF48" t="b">
        <v>0</v>
      </c>
      <c r="AG48" t="b">
        <v>0</v>
      </c>
      <c r="AH48" t="b">
        <v>0</v>
      </c>
      <c r="AI48" t="b">
        <v>0</v>
      </c>
      <c r="AJ48" t="b">
        <v>0</v>
      </c>
      <c r="AK48" t="b">
        <v>0</v>
      </c>
      <c r="AL48" t="b">
        <v>0</v>
      </c>
      <c r="AM48" s="27">
        <f>COUNTIF(Table1[[#This Row],[Java]:[Scala]],TRUE)</f>
        <v>4</v>
      </c>
    </row>
    <row r="49" spans="1:39" x14ac:dyDescent="0.45">
      <c r="A49" s="2" t="s">
        <v>130</v>
      </c>
      <c r="B49" s="2">
        <v>3</v>
      </c>
      <c r="C49" s="2">
        <v>7.33</v>
      </c>
      <c r="D49" s="2" t="s">
        <v>26</v>
      </c>
      <c r="E49" s="2" t="s">
        <v>27</v>
      </c>
      <c r="F49" t="b">
        <v>1</v>
      </c>
      <c r="G49" s="28">
        <v>4</v>
      </c>
      <c r="H49" s="28">
        <v>5</v>
      </c>
      <c r="I49" s="28">
        <v>5</v>
      </c>
      <c r="J49" s="2">
        <v>3</v>
      </c>
      <c r="K49">
        <v>32</v>
      </c>
      <c r="L49">
        <v>12</v>
      </c>
      <c r="M49" t="s">
        <v>42</v>
      </c>
      <c r="N49" t="b">
        <v>1</v>
      </c>
      <c r="O49" t="b">
        <v>0</v>
      </c>
      <c r="P49" t="b">
        <v>1</v>
      </c>
      <c r="Q49" t="b">
        <v>0</v>
      </c>
      <c r="R49" t="b">
        <v>0</v>
      </c>
      <c r="S49" t="b">
        <v>1</v>
      </c>
      <c r="T49" t="b">
        <v>1</v>
      </c>
      <c r="U49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1</v>
      </c>
      <c r="AA49" t="b">
        <v>1</v>
      </c>
      <c r="AB49" t="b">
        <v>0</v>
      </c>
      <c r="AC49" t="b">
        <v>0</v>
      </c>
      <c r="AD49" t="b">
        <v>0</v>
      </c>
      <c r="AE49" t="b">
        <v>0</v>
      </c>
      <c r="AF49" t="b">
        <v>0</v>
      </c>
      <c r="AG49" t="b">
        <v>0</v>
      </c>
      <c r="AH49" t="b">
        <v>0</v>
      </c>
      <c r="AI49" t="b">
        <v>0</v>
      </c>
      <c r="AJ49" t="b">
        <v>0</v>
      </c>
      <c r="AK49" t="b">
        <v>0</v>
      </c>
      <c r="AL49" t="b">
        <v>0</v>
      </c>
      <c r="AM49" s="27">
        <f>COUNTIF(Table1[[#This Row],[Java]:[Scala]],TRUE)</f>
        <v>4</v>
      </c>
    </row>
    <row r="50" spans="1:39" hidden="1" x14ac:dyDescent="0.45">
      <c r="A50" s="2" t="s">
        <v>120</v>
      </c>
      <c r="B50" s="2">
        <v>3</v>
      </c>
      <c r="C50" s="2">
        <v>1.8</v>
      </c>
      <c r="D50" s="2" t="s">
        <v>24</v>
      </c>
      <c r="E50" s="2" t="s">
        <v>28</v>
      </c>
      <c r="F50" t="b">
        <v>1</v>
      </c>
      <c r="G50" s="28">
        <v>4</v>
      </c>
      <c r="H50" s="28">
        <v>4</v>
      </c>
      <c r="I50" s="28">
        <v>9</v>
      </c>
      <c r="J50" s="2">
        <v>3</v>
      </c>
      <c r="K50">
        <v>25</v>
      </c>
      <c r="L50">
        <v>7</v>
      </c>
      <c r="M50" t="s">
        <v>34</v>
      </c>
      <c r="N50" t="b">
        <v>1</v>
      </c>
      <c r="O50" t="b">
        <v>0</v>
      </c>
      <c r="P50" t="b">
        <v>1</v>
      </c>
      <c r="Q50" t="b">
        <v>1</v>
      </c>
      <c r="R50" t="b">
        <v>1</v>
      </c>
      <c r="S50" t="b">
        <v>1</v>
      </c>
      <c r="T50" t="b">
        <v>1</v>
      </c>
      <c r="U50" t="b">
        <v>0</v>
      </c>
      <c r="V50" t="b">
        <v>1</v>
      </c>
      <c r="W50" t="b">
        <v>1</v>
      </c>
      <c r="X50" t="b">
        <v>1</v>
      </c>
      <c r="Y50" t="b">
        <v>1</v>
      </c>
      <c r="Z50" t="b">
        <v>0</v>
      </c>
      <c r="AA50" t="b">
        <v>1</v>
      </c>
      <c r="AB50" t="b">
        <v>1</v>
      </c>
      <c r="AC50" t="b">
        <v>0</v>
      </c>
      <c r="AD50" t="b">
        <v>0</v>
      </c>
      <c r="AE50" t="b">
        <v>0</v>
      </c>
      <c r="AF50" t="b">
        <v>0</v>
      </c>
      <c r="AG50" t="b">
        <v>0</v>
      </c>
      <c r="AH50" t="b">
        <v>0</v>
      </c>
      <c r="AI50" t="b">
        <v>0</v>
      </c>
      <c r="AJ50" t="b">
        <v>0</v>
      </c>
      <c r="AK50" t="b">
        <v>0</v>
      </c>
      <c r="AL50" t="b">
        <v>0</v>
      </c>
      <c r="AM50" s="27">
        <f>COUNTIF(Table1[[#This Row],[Java]:[Scala]],TRUE)</f>
        <v>6</v>
      </c>
    </row>
    <row r="51" spans="1:39" hidden="1" x14ac:dyDescent="0.45">
      <c r="A51" s="2" t="s">
        <v>120</v>
      </c>
      <c r="B51" s="2">
        <v>3</v>
      </c>
      <c r="C51" s="2">
        <v>2.2400000000000002</v>
      </c>
      <c r="D51" s="2" t="s">
        <v>25</v>
      </c>
      <c r="E51" s="2" t="s">
        <v>17</v>
      </c>
      <c r="F51" t="b">
        <v>0</v>
      </c>
      <c r="G51" s="28">
        <v>3</v>
      </c>
      <c r="H51" s="28">
        <v>4</v>
      </c>
      <c r="I51" s="29">
        <v>4</v>
      </c>
      <c r="J51" s="2" t="s">
        <v>45</v>
      </c>
      <c r="K51">
        <v>25</v>
      </c>
      <c r="L51">
        <v>7</v>
      </c>
      <c r="M51" t="s">
        <v>34</v>
      </c>
      <c r="N51" t="b">
        <v>1</v>
      </c>
      <c r="O51" t="b">
        <v>0</v>
      </c>
      <c r="P51" t="b">
        <v>1</v>
      </c>
      <c r="Q51" t="b">
        <v>1</v>
      </c>
      <c r="R51" t="b">
        <v>1</v>
      </c>
      <c r="S51" t="b">
        <v>1</v>
      </c>
      <c r="T51" t="b">
        <v>1</v>
      </c>
      <c r="U51" t="b">
        <v>0</v>
      </c>
      <c r="V51" t="b">
        <v>1</v>
      </c>
      <c r="W51" t="b">
        <v>1</v>
      </c>
      <c r="X51" t="b">
        <v>1</v>
      </c>
      <c r="Y51" t="b">
        <v>1</v>
      </c>
      <c r="Z51" t="b">
        <v>0</v>
      </c>
      <c r="AA51" t="b">
        <v>1</v>
      </c>
      <c r="AB51" t="b">
        <v>1</v>
      </c>
      <c r="AC51" t="b">
        <v>0</v>
      </c>
      <c r="AD51" t="b">
        <v>0</v>
      </c>
      <c r="AE51" t="b">
        <v>0</v>
      </c>
      <c r="AF51" t="b">
        <v>0</v>
      </c>
      <c r="AG51" t="b">
        <v>0</v>
      </c>
      <c r="AH51" t="b">
        <v>0</v>
      </c>
      <c r="AI51" t="b">
        <v>0</v>
      </c>
      <c r="AJ51" t="b">
        <v>0</v>
      </c>
      <c r="AK51" t="b">
        <v>0</v>
      </c>
      <c r="AL51" t="b">
        <v>0</v>
      </c>
      <c r="AM51" s="27">
        <f>COUNTIF(Table1[[#This Row],[Java]:[Scala]],TRUE)</f>
        <v>6</v>
      </c>
    </row>
    <row r="52" spans="1:39" x14ac:dyDescent="0.45">
      <c r="A52" s="2" t="s">
        <v>120</v>
      </c>
      <c r="B52" s="2">
        <v>3</v>
      </c>
      <c r="C52" s="2">
        <v>7.33</v>
      </c>
      <c r="D52" s="2" t="s">
        <v>26</v>
      </c>
      <c r="E52" s="2" t="s">
        <v>27</v>
      </c>
      <c r="F52" t="b">
        <v>1</v>
      </c>
      <c r="G52" s="28">
        <v>5</v>
      </c>
      <c r="H52" s="28">
        <v>5</v>
      </c>
      <c r="I52" s="28">
        <v>3</v>
      </c>
      <c r="J52" s="2">
        <v>3</v>
      </c>
      <c r="K52">
        <v>25</v>
      </c>
      <c r="L52">
        <v>7</v>
      </c>
      <c r="M52" t="s">
        <v>34</v>
      </c>
      <c r="N52" t="b">
        <v>1</v>
      </c>
      <c r="O52" t="b">
        <v>0</v>
      </c>
      <c r="P52" t="b">
        <v>1</v>
      </c>
      <c r="Q52" t="b">
        <v>1</v>
      </c>
      <c r="R52" t="b">
        <v>1</v>
      </c>
      <c r="S52" t="b">
        <v>1</v>
      </c>
      <c r="T52" t="b">
        <v>1</v>
      </c>
      <c r="U52" t="b">
        <v>0</v>
      </c>
      <c r="V52" t="b">
        <v>1</v>
      </c>
      <c r="W52" t="b">
        <v>1</v>
      </c>
      <c r="X52" t="b">
        <v>1</v>
      </c>
      <c r="Y52" t="b">
        <v>1</v>
      </c>
      <c r="Z52" t="b">
        <v>0</v>
      </c>
      <c r="AA52" t="b">
        <v>1</v>
      </c>
      <c r="AB52" t="b">
        <v>1</v>
      </c>
      <c r="AC52" t="b">
        <v>0</v>
      </c>
      <c r="AD52" t="b">
        <v>0</v>
      </c>
      <c r="AE52" t="b">
        <v>0</v>
      </c>
      <c r="AF52" t="b">
        <v>0</v>
      </c>
      <c r="AG52" t="b">
        <v>0</v>
      </c>
      <c r="AH52" t="b">
        <v>0</v>
      </c>
      <c r="AI52" t="b">
        <v>0</v>
      </c>
      <c r="AJ52" t="b">
        <v>0</v>
      </c>
      <c r="AK52" t="b">
        <v>0</v>
      </c>
      <c r="AL52" t="b">
        <v>0</v>
      </c>
      <c r="AM52" s="27">
        <f>COUNTIF(Table1[[#This Row],[Java]:[Scala]],TRUE)</f>
        <v>6</v>
      </c>
    </row>
    <row r="53" spans="1:39" hidden="1" x14ac:dyDescent="0.45">
      <c r="A53" s="2">
        <v>8</v>
      </c>
      <c r="B53" s="2">
        <v>3</v>
      </c>
      <c r="C53" s="2">
        <v>1.8</v>
      </c>
      <c r="D53" s="2" t="s">
        <v>24</v>
      </c>
      <c r="E53" s="2" t="s">
        <v>28</v>
      </c>
      <c r="F53" t="b">
        <v>0</v>
      </c>
      <c r="G53">
        <v>4</v>
      </c>
      <c r="H53">
        <v>5</v>
      </c>
      <c r="I53">
        <v>8</v>
      </c>
      <c r="J53" s="2">
        <v>3</v>
      </c>
      <c r="K53">
        <v>22</v>
      </c>
      <c r="L53">
        <v>8</v>
      </c>
      <c r="M53" t="s">
        <v>42</v>
      </c>
      <c r="N53" t="b">
        <v>1</v>
      </c>
      <c r="O53" t="b">
        <v>0</v>
      </c>
      <c r="P53" t="b">
        <v>1</v>
      </c>
      <c r="Q53" t="b">
        <v>1</v>
      </c>
      <c r="R53" t="b">
        <v>1</v>
      </c>
      <c r="S53" t="b">
        <v>1</v>
      </c>
      <c r="T53" t="b">
        <v>1</v>
      </c>
      <c r="U53" t="b">
        <v>0</v>
      </c>
      <c r="V53" t="b">
        <v>1</v>
      </c>
      <c r="W53" t="b">
        <v>0</v>
      </c>
      <c r="X53" t="b">
        <v>1</v>
      </c>
      <c r="Y53" t="b">
        <v>1</v>
      </c>
      <c r="Z53" t="b">
        <v>1</v>
      </c>
      <c r="AA53" t="b">
        <v>1</v>
      </c>
      <c r="AB53" t="b">
        <v>0</v>
      </c>
      <c r="AC53" t="b">
        <v>0</v>
      </c>
      <c r="AD53" t="b">
        <v>0</v>
      </c>
      <c r="AE53" t="b">
        <v>0</v>
      </c>
      <c r="AF53" t="b">
        <v>0</v>
      </c>
      <c r="AG53" t="b">
        <v>0</v>
      </c>
      <c r="AH53" t="b">
        <v>0</v>
      </c>
      <c r="AI53" t="b">
        <v>0</v>
      </c>
      <c r="AJ53" t="b">
        <v>0</v>
      </c>
      <c r="AK53" t="b">
        <v>0</v>
      </c>
      <c r="AL53" t="b">
        <v>0</v>
      </c>
      <c r="AM53">
        <f>COUNTIF(Table1[[#This Row],[Java]:[Scala]],TRUE)</f>
        <v>5</v>
      </c>
    </row>
    <row r="54" spans="1:39" hidden="1" x14ac:dyDescent="0.45">
      <c r="A54" s="2">
        <v>8</v>
      </c>
      <c r="B54" s="2">
        <v>3</v>
      </c>
      <c r="C54" s="2">
        <v>2.2400000000000002</v>
      </c>
      <c r="D54" s="2" t="s">
        <v>25</v>
      </c>
      <c r="E54" s="2" t="s">
        <v>17</v>
      </c>
      <c r="F54" t="b">
        <v>1</v>
      </c>
      <c r="G54">
        <v>5</v>
      </c>
      <c r="H54">
        <v>5</v>
      </c>
      <c r="I54">
        <v>4</v>
      </c>
      <c r="J54" s="2" t="s">
        <v>45</v>
      </c>
      <c r="K54">
        <v>22</v>
      </c>
      <c r="L54">
        <v>8</v>
      </c>
      <c r="M54" t="s">
        <v>42</v>
      </c>
      <c r="N54" t="b">
        <v>1</v>
      </c>
      <c r="O54" t="b">
        <v>0</v>
      </c>
      <c r="P54" t="b">
        <v>1</v>
      </c>
      <c r="Q54" t="b">
        <v>1</v>
      </c>
      <c r="R54" t="b">
        <v>1</v>
      </c>
      <c r="S54" t="b">
        <v>1</v>
      </c>
      <c r="T54" t="b">
        <v>1</v>
      </c>
      <c r="U54" t="b">
        <v>0</v>
      </c>
      <c r="V54" t="b">
        <v>1</v>
      </c>
      <c r="W54" t="b">
        <v>0</v>
      </c>
      <c r="X54" t="b">
        <v>1</v>
      </c>
      <c r="Y54" t="b">
        <v>1</v>
      </c>
      <c r="Z54" t="b">
        <v>1</v>
      </c>
      <c r="AA54" t="b">
        <v>1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>
        <f>COUNTIF(Table1[[#This Row],[Java]:[Scala]],TRUE)</f>
        <v>5</v>
      </c>
    </row>
    <row r="55" spans="1:39" x14ac:dyDescent="0.45">
      <c r="A55" s="2">
        <v>8</v>
      </c>
      <c r="B55" s="2">
        <v>3</v>
      </c>
      <c r="C55" s="2">
        <v>7.33</v>
      </c>
      <c r="D55" s="2" t="s">
        <v>26</v>
      </c>
      <c r="E55" s="2" t="s">
        <v>27</v>
      </c>
      <c r="F55" t="b">
        <v>1</v>
      </c>
      <c r="G55">
        <v>5</v>
      </c>
      <c r="H55">
        <v>5</v>
      </c>
      <c r="I55">
        <v>6</v>
      </c>
      <c r="J55" s="2">
        <v>3</v>
      </c>
      <c r="K55">
        <v>22</v>
      </c>
      <c r="L55">
        <v>8</v>
      </c>
      <c r="M55" t="s">
        <v>42</v>
      </c>
      <c r="N55" t="b">
        <v>1</v>
      </c>
      <c r="O55" t="b">
        <v>0</v>
      </c>
      <c r="P55" t="b">
        <v>1</v>
      </c>
      <c r="Q55" t="b">
        <v>1</v>
      </c>
      <c r="R55" t="b">
        <v>1</v>
      </c>
      <c r="S55" t="b">
        <v>1</v>
      </c>
      <c r="T55" t="b">
        <v>1</v>
      </c>
      <c r="U55" t="b">
        <v>0</v>
      </c>
      <c r="V55" t="b">
        <v>1</v>
      </c>
      <c r="W55" t="b">
        <v>0</v>
      </c>
      <c r="X55" t="b">
        <v>1</v>
      </c>
      <c r="Y55" t="b">
        <v>1</v>
      </c>
      <c r="Z55" t="b">
        <v>1</v>
      </c>
      <c r="AA55" t="b">
        <v>1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>
        <f>COUNTIF(Table1[[#This Row],[Java]:[Scala]],TRUE)</f>
        <v>5</v>
      </c>
    </row>
    <row r="56" spans="1:39" hidden="1" x14ac:dyDescent="0.45">
      <c r="A56" s="2" t="s">
        <v>131</v>
      </c>
      <c r="B56" s="2">
        <v>3</v>
      </c>
      <c r="C56" s="2">
        <v>1.8</v>
      </c>
      <c r="D56" s="2" t="s">
        <v>24</v>
      </c>
      <c r="E56" s="2" t="s">
        <v>28</v>
      </c>
      <c r="F56" t="b">
        <v>1</v>
      </c>
      <c r="G56" s="28">
        <v>3</v>
      </c>
      <c r="H56" s="28">
        <v>2</v>
      </c>
      <c r="I56" s="28">
        <v>8</v>
      </c>
      <c r="J56" s="2">
        <v>3</v>
      </c>
      <c r="K56">
        <v>34</v>
      </c>
      <c r="L56">
        <v>20</v>
      </c>
      <c r="M56" t="s">
        <v>34</v>
      </c>
      <c r="N56" t="b">
        <v>1</v>
      </c>
      <c r="O56" t="b">
        <v>0</v>
      </c>
      <c r="P56" t="b">
        <v>1</v>
      </c>
      <c r="Q56" t="b">
        <v>1</v>
      </c>
      <c r="R56" t="b">
        <v>1</v>
      </c>
      <c r="S56" t="b">
        <v>1</v>
      </c>
      <c r="T56" t="b">
        <v>1</v>
      </c>
      <c r="U56" t="b">
        <v>0</v>
      </c>
      <c r="V56" t="b">
        <v>1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 t="b">
        <v>0</v>
      </c>
      <c r="AC56" t="b">
        <v>0</v>
      </c>
      <c r="AD56" t="b">
        <v>0</v>
      </c>
      <c r="AE56" t="b">
        <v>0</v>
      </c>
      <c r="AF56" t="b">
        <v>0</v>
      </c>
      <c r="AG56" t="b">
        <v>0</v>
      </c>
      <c r="AH56" t="b">
        <v>0</v>
      </c>
      <c r="AI56" t="b">
        <v>1</v>
      </c>
      <c r="AJ56" t="b">
        <v>0</v>
      </c>
      <c r="AK56" t="b">
        <v>0</v>
      </c>
      <c r="AL56" t="b">
        <v>0</v>
      </c>
      <c r="AM56" s="27">
        <f>COUNTIF(Table1[[#This Row],[Java]:[Scala]],TRUE)</f>
        <v>6</v>
      </c>
    </row>
    <row r="57" spans="1:39" hidden="1" x14ac:dyDescent="0.45">
      <c r="A57" s="2" t="s">
        <v>131</v>
      </c>
      <c r="B57" s="2">
        <v>3</v>
      </c>
      <c r="C57" s="2">
        <v>2.2400000000000002</v>
      </c>
      <c r="D57" s="2" t="s">
        <v>25</v>
      </c>
      <c r="E57" s="2" t="s">
        <v>17</v>
      </c>
      <c r="F57" t="b">
        <v>1</v>
      </c>
      <c r="G57" s="28">
        <v>4</v>
      </c>
      <c r="H57" s="28">
        <v>4</v>
      </c>
      <c r="I57" s="28">
        <v>6</v>
      </c>
      <c r="J57" s="2" t="s">
        <v>45</v>
      </c>
      <c r="K57">
        <v>34</v>
      </c>
      <c r="L57">
        <v>20</v>
      </c>
      <c r="M57" t="s">
        <v>34</v>
      </c>
      <c r="N57" t="b">
        <v>1</v>
      </c>
      <c r="O57" t="b">
        <v>0</v>
      </c>
      <c r="P57" t="b">
        <v>1</v>
      </c>
      <c r="Q57" t="b">
        <v>1</v>
      </c>
      <c r="R57" t="b">
        <v>1</v>
      </c>
      <c r="S57" t="b">
        <v>1</v>
      </c>
      <c r="T57" t="b">
        <v>1</v>
      </c>
      <c r="U57" t="b">
        <v>0</v>
      </c>
      <c r="V57" t="b">
        <v>1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 t="b">
        <v>0</v>
      </c>
      <c r="AC57" t="b">
        <v>0</v>
      </c>
      <c r="AD57" t="b">
        <v>0</v>
      </c>
      <c r="AE57" t="b">
        <v>0</v>
      </c>
      <c r="AF57" t="b">
        <v>0</v>
      </c>
      <c r="AG57" t="b">
        <v>0</v>
      </c>
      <c r="AH57" t="b">
        <v>0</v>
      </c>
      <c r="AI57" t="b">
        <v>1</v>
      </c>
      <c r="AJ57" t="b">
        <v>0</v>
      </c>
      <c r="AK57" t="b">
        <v>0</v>
      </c>
      <c r="AL57" t="b">
        <v>0</v>
      </c>
      <c r="AM57" s="27">
        <f>COUNTIF(Table1[[#This Row],[Java]:[Scala]],TRUE)</f>
        <v>6</v>
      </c>
    </row>
    <row r="58" spans="1:39" x14ac:dyDescent="0.45">
      <c r="A58" s="2" t="s">
        <v>131</v>
      </c>
      <c r="B58" s="2">
        <v>3</v>
      </c>
      <c r="C58" s="2">
        <v>7.33</v>
      </c>
      <c r="D58" s="2" t="s">
        <v>26</v>
      </c>
      <c r="E58" s="2" t="s">
        <v>27</v>
      </c>
      <c r="F58" t="b">
        <v>1</v>
      </c>
      <c r="G58" s="28">
        <v>4</v>
      </c>
      <c r="H58" s="28">
        <v>4</v>
      </c>
      <c r="I58" s="28">
        <v>3</v>
      </c>
      <c r="J58" s="2">
        <v>3</v>
      </c>
      <c r="K58">
        <v>34</v>
      </c>
      <c r="L58">
        <v>20</v>
      </c>
      <c r="M58" t="s">
        <v>34</v>
      </c>
      <c r="N58" t="b">
        <v>1</v>
      </c>
      <c r="O58" t="b">
        <v>0</v>
      </c>
      <c r="P58" t="b">
        <v>1</v>
      </c>
      <c r="Q58" t="b">
        <v>1</v>
      </c>
      <c r="R58" t="b">
        <v>1</v>
      </c>
      <c r="S58" t="b">
        <v>1</v>
      </c>
      <c r="T58" t="b">
        <v>1</v>
      </c>
      <c r="U58" t="b">
        <v>0</v>
      </c>
      <c r="V58" t="b">
        <v>1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 t="b">
        <v>0</v>
      </c>
      <c r="AC58" t="b">
        <v>0</v>
      </c>
      <c r="AD58" t="b">
        <v>0</v>
      </c>
      <c r="AE58" t="b">
        <v>0</v>
      </c>
      <c r="AF58" t="b">
        <v>0</v>
      </c>
      <c r="AG58" t="b">
        <v>0</v>
      </c>
      <c r="AH58" t="b">
        <v>0</v>
      </c>
      <c r="AI58" t="b">
        <v>1</v>
      </c>
      <c r="AJ58" t="b">
        <v>0</v>
      </c>
      <c r="AK58" t="b">
        <v>0</v>
      </c>
      <c r="AL58" t="b">
        <v>0</v>
      </c>
      <c r="AM58" s="27">
        <f>COUNTIF(Table1[[#This Row],[Java]:[Scala]],TRUE)</f>
        <v>6</v>
      </c>
    </row>
    <row r="59" spans="1:39" hidden="1" x14ac:dyDescent="0.45">
      <c r="A59" s="2">
        <v>9</v>
      </c>
      <c r="B59" s="2">
        <v>3</v>
      </c>
      <c r="C59" s="2">
        <v>1.8</v>
      </c>
      <c r="D59" s="2" t="s">
        <v>24</v>
      </c>
      <c r="E59" s="2" t="s">
        <v>28</v>
      </c>
      <c r="F59" t="b">
        <v>1</v>
      </c>
      <c r="G59">
        <v>5</v>
      </c>
      <c r="H59">
        <v>5</v>
      </c>
      <c r="I59">
        <v>7</v>
      </c>
      <c r="J59" s="2">
        <v>2</v>
      </c>
      <c r="K59">
        <v>23</v>
      </c>
      <c r="L59">
        <v>5</v>
      </c>
      <c r="M59" t="s">
        <v>34</v>
      </c>
      <c r="N59" t="b">
        <v>1</v>
      </c>
      <c r="O59" t="b">
        <v>1</v>
      </c>
      <c r="P59" t="b">
        <v>1</v>
      </c>
      <c r="Q59" t="b">
        <v>1</v>
      </c>
      <c r="R59" t="b">
        <v>1</v>
      </c>
      <c r="S59" t="b">
        <v>1</v>
      </c>
      <c r="T59" t="b">
        <v>1</v>
      </c>
      <c r="U59" t="b">
        <v>0</v>
      </c>
      <c r="V59" t="b">
        <v>1</v>
      </c>
      <c r="W59" t="b">
        <v>1</v>
      </c>
      <c r="X59" t="b">
        <v>1</v>
      </c>
      <c r="Y59" t="b">
        <v>1</v>
      </c>
      <c r="Z59" t="b">
        <v>0</v>
      </c>
      <c r="AA59" t="b">
        <v>0</v>
      </c>
      <c r="AB59" t="b">
        <v>0</v>
      </c>
      <c r="AC59" t="b">
        <v>0</v>
      </c>
      <c r="AD59" t="b">
        <v>0</v>
      </c>
      <c r="AE59" t="b">
        <v>0</v>
      </c>
      <c r="AF59" t="b">
        <v>0</v>
      </c>
      <c r="AG59" t="b">
        <v>0</v>
      </c>
      <c r="AH59" t="b">
        <v>1</v>
      </c>
      <c r="AI59" t="b">
        <v>0</v>
      </c>
      <c r="AJ59" t="b">
        <v>0</v>
      </c>
      <c r="AK59" t="b">
        <v>0</v>
      </c>
      <c r="AL59" t="b">
        <v>0</v>
      </c>
      <c r="AM59">
        <f>COUNTIF(Table1[[#This Row],[Java]:[Scala]],TRUE)</f>
        <v>5</v>
      </c>
    </row>
    <row r="60" spans="1:39" hidden="1" x14ac:dyDescent="0.45">
      <c r="A60" s="2">
        <v>9</v>
      </c>
      <c r="B60" s="2">
        <v>3</v>
      </c>
      <c r="C60" s="2">
        <v>2.2400000000000002</v>
      </c>
      <c r="D60" s="2" t="s">
        <v>25</v>
      </c>
      <c r="E60" s="2" t="s">
        <v>17</v>
      </c>
      <c r="F60" t="b">
        <v>0</v>
      </c>
      <c r="G60">
        <v>5</v>
      </c>
      <c r="H60">
        <v>4</v>
      </c>
      <c r="I60">
        <v>9</v>
      </c>
      <c r="J60" s="2" t="s">
        <v>45</v>
      </c>
      <c r="K60">
        <v>23</v>
      </c>
      <c r="L60">
        <v>5</v>
      </c>
      <c r="M60" t="s">
        <v>34</v>
      </c>
      <c r="N60" t="b">
        <v>1</v>
      </c>
      <c r="O60" t="b">
        <v>1</v>
      </c>
      <c r="P60" t="b">
        <v>1</v>
      </c>
      <c r="Q60" t="b">
        <v>1</v>
      </c>
      <c r="R60" t="b">
        <v>1</v>
      </c>
      <c r="S60" t="b">
        <v>1</v>
      </c>
      <c r="T60" t="b">
        <v>1</v>
      </c>
      <c r="U60" t="b">
        <v>0</v>
      </c>
      <c r="V60" t="b">
        <v>1</v>
      </c>
      <c r="W60" t="b">
        <v>1</v>
      </c>
      <c r="X60" t="b">
        <v>1</v>
      </c>
      <c r="Y60" t="b">
        <v>1</v>
      </c>
      <c r="Z60" t="b">
        <v>0</v>
      </c>
      <c r="AA60" t="b">
        <v>0</v>
      </c>
      <c r="AB60" t="b">
        <v>0</v>
      </c>
      <c r="AC60" t="b">
        <v>0</v>
      </c>
      <c r="AD60" t="b">
        <v>0</v>
      </c>
      <c r="AE60" t="b">
        <v>0</v>
      </c>
      <c r="AF60" t="b">
        <v>0</v>
      </c>
      <c r="AG60" t="b">
        <v>0</v>
      </c>
      <c r="AH60" t="b">
        <v>1</v>
      </c>
      <c r="AI60" t="b">
        <v>0</v>
      </c>
      <c r="AJ60" t="b">
        <v>0</v>
      </c>
      <c r="AK60" t="b">
        <v>0</v>
      </c>
      <c r="AL60" t="b">
        <v>0</v>
      </c>
      <c r="AM60">
        <f>COUNTIF(Table1[[#This Row],[Java]:[Scala]],TRUE)</f>
        <v>5</v>
      </c>
    </row>
    <row r="61" spans="1:39" x14ac:dyDescent="0.45">
      <c r="A61" s="2">
        <v>9</v>
      </c>
      <c r="B61" s="2">
        <v>3</v>
      </c>
      <c r="C61" s="2">
        <v>7.33</v>
      </c>
      <c r="D61" s="2" t="s">
        <v>26</v>
      </c>
      <c r="E61" s="2" t="s">
        <v>27</v>
      </c>
      <c r="F61" t="b">
        <v>1</v>
      </c>
      <c r="G61">
        <v>5</v>
      </c>
      <c r="H61">
        <v>5</v>
      </c>
      <c r="I61">
        <v>6</v>
      </c>
      <c r="J61" s="2">
        <v>3</v>
      </c>
      <c r="K61">
        <v>23</v>
      </c>
      <c r="L61">
        <v>5</v>
      </c>
      <c r="M61" t="s">
        <v>34</v>
      </c>
      <c r="N61" t="b">
        <v>1</v>
      </c>
      <c r="O61" t="b">
        <v>1</v>
      </c>
      <c r="P61" t="b">
        <v>1</v>
      </c>
      <c r="Q61" t="b">
        <v>1</v>
      </c>
      <c r="R61" t="b">
        <v>1</v>
      </c>
      <c r="S61" t="b">
        <v>1</v>
      </c>
      <c r="T61" t="b">
        <v>1</v>
      </c>
      <c r="U61" t="b">
        <v>0</v>
      </c>
      <c r="V61" t="b">
        <v>1</v>
      </c>
      <c r="W61" t="b">
        <v>1</v>
      </c>
      <c r="X61" t="b">
        <v>1</v>
      </c>
      <c r="Y61" t="b">
        <v>1</v>
      </c>
      <c r="Z61" t="b">
        <v>0</v>
      </c>
      <c r="AA61" t="b">
        <v>0</v>
      </c>
      <c r="AB61" t="b">
        <v>0</v>
      </c>
      <c r="AC61" t="b">
        <v>0</v>
      </c>
      <c r="AD61" t="b">
        <v>0</v>
      </c>
      <c r="AE61" t="b">
        <v>0</v>
      </c>
      <c r="AF61" t="b">
        <v>0</v>
      </c>
      <c r="AG61" t="b">
        <v>0</v>
      </c>
      <c r="AH61" t="b">
        <v>1</v>
      </c>
      <c r="AI61" t="b">
        <v>0</v>
      </c>
      <c r="AJ61" t="b">
        <v>0</v>
      </c>
      <c r="AK61" t="b">
        <v>0</v>
      </c>
      <c r="AL61" t="b">
        <v>0</v>
      </c>
      <c r="AM61">
        <f>COUNTIF(Table1[[#This Row],[Java]:[Scala]],TRUE)</f>
        <v>5</v>
      </c>
    </row>
    <row r="62" spans="1:39" hidden="1" x14ac:dyDescent="0.45">
      <c r="A62" s="2" t="s">
        <v>118</v>
      </c>
      <c r="B62" s="2">
        <v>3</v>
      </c>
      <c r="C62" s="2">
        <v>1.8</v>
      </c>
      <c r="D62" s="2" t="s">
        <v>24</v>
      </c>
      <c r="E62" s="2" t="s">
        <v>28</v>
      </c>
      <c r="F62" t="b">
        <v>1</v>
      </c>
      <c r="G62" s="28">
        <v>3</v>
      </c>
      <c r="H62" s="28">
        <v>4</v>
      </c>
      <c r="I62" s="28">
        <v>5</v>
      </c>
      <c r="J62" s="2">
        <v>2</v>
      </c>
      <c r="K62">
        <v>28</v>
      </c>
      <c r="L62">
        <v>14</v>
      </c>
      <c r="M62" t="s">
        <v>42</v>
      </c>
      <c r="N62" t="b">
        <v>1</v>
      </c>
      <c r="O62" t="b">
        <v>1</v>
      </c>
      <c r="P62" t="b">
        <v>1</v>
      </c>
      <c r="Q62" t="b">
        <v>0</v>
      </c>
      <c r="R62" t="b">
        <v>0</v>
      </c>
      <c r="S62" t="b">
        <v>0</v>
      </c>
      <c r="T62" t="b">
        <v>0</v>
      </c>
      <c r="U62" t="b">
        <v>1</v>
      </c>
      <c r="V62" t="b">
        <v>1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B62" t="b">
        <v>0</v>
      </c>
      <c r="AC62" t="b">
        <v>0</v>
      </c>
      <c r="AD62" t="b">
        <v>0</v>
      </c>
      <c r="AE62" t="b">
        <v>0</v>
      </c>
      <c r="AF62" t="b">
        <v>0</v>
      </c>
      <c r="AG62" t="b">
        <v>0</v>
      </c>
      <c r="AH62" t="b">
        <v>0</v>
      </c>
      <c r="AI62" t="b">
        <v>0</v>
      </c>
      <c r="AJ62" t="b">
        <v>0</v>
      </c>
      <c r="AK62" t="b">
        <v>0</v>
      </c>
      <c r="AL62" t="b">
        <v>0</v>
      </c>
      <c r="AM62" s="27">
        <f>COUNTIF(Table1[[#This Row],[Java]:[Scala]],TRUE)</f>
        <v>6</v>
      </c>
    </row>
    <row r="63" spans="1:39" hidden="1" x14ac:dyDescent="0.45">
      <c r="A63" s="2" t="s">
        <v>118</v>
      </c>
      <c r="B63" s="2">
        <v>3</v>
      </c>
      <c r="C63" s="2">
        <v>2.2400000000000002</v>
      </c>
      <c r="D63" s="2" t="s">
        <v>25</v>
      </c>
      <c r="E63" s="2" t="s">
        <v>17</v>
      </c>
      <c r="F63" t="b">
        <v>0</v>
      </c>
      <c r="G63" s="28">
        <v>3</v>
      </c>
      <c r="H63" s="28">
        <v>4</v>
      </c>
      <c r="I63" s="28">
        <v>3</v>
      </c>
      <c r="J63" s="2" t="s">
        <v>45</v>
      </c>
      <c r="K63">
        <v>28</v>
      </c>
      <c r="L63">
        <v>14</v>
      </c>
      <c r="M63" t="s">
        <v>42</v>
      </c>
      <c r="N63" t="b">
        <v>1</v>
      </c>
      <c r="O63" t="b">
        <v>1</v>
      </c>
      <c r="P63" t="b">
        <v>1</v>
      </c>
      <c r="Q63" t="b">
        <v>0</v>
      </c>
      <c r="R63" t="b">
        <v>0</v>
      </c>
      <c r="S63" t="b">
        <v>0</v>
      </c>
      <c r="T63" t="b">
        <v>0</v>
      </c>
      <c r="U63" t="b">
        <v>1</v>
      </c>
      <c r="V63" t="b">
        <v>1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 t="b">
        <v>0</v>
      </c>
      <c r="AC63" t="b">
        <v>0</v>
      </c>
      <c r="AD63" t="b">
        <v>0</v>
      </c>
      <c r="AE63" t="b">
        <v>0</v>
      </c>
      <c r="AF63" t="b">
        <v>0</v>
      </c>
      <c r="AG63" t="b">
        <v>0</v>
      </c>
      <c r="AH63" t="b">
        <v>0</v>
      </c>
      <c r="AI63" t="b">
        <v>0</v>
      </c>
      <c r="AJ63" t="b">
        <v>0</v>
      </c>
      <c r="AK63" t="b">
        <v>0</v>
      </c>
      <c r="AL63" t="b">
        <v>0</v>
      </c>
      <c r="AM63" s="27">
        <f>COUNTIF(Table1[[#This Row],[Java]:[Scala]],TRUE)</f>
        <v>6</v>
      </c>
    </row>
    <row r="64" spans="1:39" x14ac:dyDescent="0.45">
      <c r="A64" s="2" t="s">
        <v>118</v>
      </c>
      <c r="B64" s="2">
        <v>3</v>
      </c>
      <c r="C64" s="2">
        <v>7.33</v>
      </c>
      <c r="D64" s="2" t="s">
        <v>26</v>
      </c>
      <c r="E64" s="2" t="s">
        <v>27</v>
      </c>
      <c r="F64" t="b">
        <v>1</v>
      </c>
      <c r="G64" s="28">
        <v>3</v>
      </c>
      <c r="H64" s="28">
        <v>4</v>
      </c>
      <c r="I64" s="28">
        <v>3</v>
      </c>
      <c r="J64" s="2">
        <v>2</v>
      </c>
      <c r="K64">
        <v>28</v>
      </c>
      <c r="L64">
        <v>14</v>
      </c>
      <c r="M64" t="s">
        <v>42</v>
      </c>
      <c r="N64" t="b">
        <v>1</v>
      </c>
      <c r="O64" t="b">
        <v>1</v>
      </c>
      <c r="P64" t="b">
        <v>1</v>
      </c>
      <c r="Q64" t="b">
        <v>0</v>
      </c>
      <c r="R64" t="b">
        <v>0</v>
      </c>
      <c r="S64" t="b">
        <v>0</v>
      </c>
      <c r="T64" t="b">
        <v>0</v>
      </c>
      <c r="U64" t="b">
        <v>1</v>
      </c>
      <c r="V64" t="b">
        <v>1</v>
      </c>
      <c r="W64" t="b">
        <v>1</v>
      </c>
      <c r="X64" t="b">
        <v>1</v>
      </c>
      <c r="Y64" t="b">
        <v>1</v>
      </c>
      <c r="Z64" t="b">
        <v>1</v>
      </c>
      <c r="AA64" t="b">
        <v>1</v>
      </c>
      <c r="AB64" t="b">
        <v>0</v>
      </c>
      <c r="AC64" t="b">
        <v>0</v>
      </c>
      <c r="AD64" t="b">
        <v>0</v>
      </c>
      <c r="AE64" t="b">
        <v>0</v>
      </c>
      <c r="AF64" t="b">
        <v>0</v>
      </c>
      <c r="AG64" t="b">
        <v>0</v>
      </c>
      <c r="AH64" t="b">
        <v>0</v>
      </c>
      <c r="AI64" t="b">
        <v>0</v>
      </c>
      <c r="AJ64" t="b">
        <v>0</v>
      </c>
      <c r="AK64" t="b">
        <v>0</v>
      </c>
      <c r="AL64" t="b">
        <v>0</v>
      </c>
      <c r="AM64" s="27">
        <f>COUNTIF(Table1[[#This Row],[Java]:[Scala]],TRUE)</f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A4C4-CD0C-4E3C-8090-E2C2D8531F69}">
  <dimension ref="A1:K30"/>
  <sheetViews>
    <sheetView topLeftCell="A25" workbookViewId="0">
      <selection activeCell="K12" sqref="K12"/>
    </sheetView>
  </sheetViews>
  <sheetFormatPr defaultRowHeight="14.25" x14ac:dyDescent="0.45"/>
  <cols>
    <col min="1" max="1" width="21.59765625" customWidth="1"/>
    <col min="3" max="3" width="9.73046875" customWidth="1"/>
    <col min="4" max="4" width="10.73046875" customWidth="1"/>
    <col min="5" max="5" width="14.265625" customWidth="1"/>
    <col min="6" max="6" width="9.73046875" customWidth="1"/>
    <col min="7" max="7" width="10.33203125" customWidth="1"/>
    <col min="8" max="8" width="12.6640625" customWidth="1"/>
    <col min="9" max="9" width="11.06640625" customWidth="1"/>
    <col min="10" max="10" width="12.19921875" customWidth="1"/>
    <col min="11" max="11" width="11.265625" customWidth="1"/>
    <col min="12" max="12" width="13.9296875" customWidth="1"/>
  </cols>
  <sheetData>
    <row r="1" spans="1:11" x14ac:dyDescent="0.45">
      <c r="A1" s="10" t="s">
        <v>95</v>
      </c>
    </row>
    <row r="2" spans="1:11" ht="42.75" x14ac:dyDescent="0.45">
      <c r="A2" s="16" t="s">
        <v>46</v>
      </c>
      <c r="B2" s="16" t="s">
        <v>78</v>
      </c>
      <c r="C2" s="16" t="s">
        <v>59</v>
      </c>
      <c r="D2" s="16" t="s">
        <v>80</v>
      </c>
      <c r="E2" s="16" t="s">
        <v>79</v>
      </c>
      <c r="F2" s="16" t="s">
        <v>81</v>
      </c>
      <c r="G2" s="16" t="s">
        <v>84</v>
      </c>
      <c r="H2" s="16" t="s">
        <v>133</v>
      </c>
      <c r="I2" s="16" t="s">
        <v>132</v>
      </c>
    </row>
    <row r="3" spans="1:11" x14ac:dyDescent="0.45">
      <c r="A3" s="7">
        <v>1.8</v>
      </c>
      <c r="B3" s="5">
        <f>COUNTIFS(Table1[WorkingSet],"1.8N",Table1[ValidFix],TRUE)</f>
        <v>1</v>
      </c>
      <c r="C3" s="5">
        <f>(Table2[[#This Row],[With RootCause]]+Table2[[#This Row],[With Fix]])</f>
        <v>11</v>
      </c>
      <c r="D3" s="5">
        <f>COUNTIFS(Table1[WorkingSet],"1.8R",Table1[ValidFix],TRUE)</f>
        <v>4</v>
      </c>
      <c r="E3" s="5">
        <f>COUNTIFS(Table1[WorkingSet],"1.8F",Table1[ValidFix],TRUE)</f>
        <v>7</v>
      </c>
      <c r="F3" s="7">
        <f>COUNTIF(Table1[Bug],Table2[[#This Row],[Bug]])</f>
        <v>21</v>
      </c>
      <c r="G3" s="5">
        <f>COUNTIFS(Table1[Bug],Table2[[#This Row],[Bug]],Table1[ValidFix],TRUE)</f>
        <v>12</v>
      </c>
      <c r="H3" s="8">
        <v>24</v>
      </c>
      <c r="I3" s="5">
        <v>8</v>
      </c>
    </row>
    <row r="4" spans="1:11" x14ac:dyDescent="0.45">
      <c r="A4" s="7">
        <v>2.2400000000000002</v>
      </c>
      <c r="B4" s="5">
        <f>COUNTIFS(Table1[WorkingSet],"2.24N",Table1[ValidFix],TRUE)</f>
        <v>2</v>
      </c>
      <c r="C4" s="5">
        <f>(Table2[[#This Row],[With RootCause]]+Table2[[#This Row],[With Fix]])</f>
        <v>14</v>
      </c>
      <c r="D4" s="5">
        <f>COUNTIFS(Table1[WorkingSet],"2.24R",Table1[ValidFix],TRUE)</f>
        <v>7</v>
      </c>
      <c r="E4" s="5">
        <f>COUNTIFS(Table1[WorkingSet],"2.24F",Table1[ValidFix],TRUE)</f>
        <v>7</v>
      </c>
      <c r="F4" s="7">
        <f>COUNTIF(Table1[Bug],Table2[[#This Row],[Bug]])</f>
        <v>21</v>
      </c>
      <c r="G4" s="5">
        <f>COUNTIFS(Table1[Bug],Table2[[#This Row],[Bug]],Table1[ValidFix],TRUE)</f>
        <v>16</v>
      </c>
      <c r="H4" s="8">
        <v>7</v>
      </c>
      <c r="I4" s="5">
        <v>1</v>
      </c>
    </row>
    <row r="5" spans="1:11" x14ac:dyDescent="0.45">
      <c r="A5" s="7">
        <v>7.33</v>
      </c>
      <c r="B5" s="5">
        <f>COUNTIFS(Table1[WorkingSet],"7.33N",Table1[ValidFix],TRUE)</f>
        <v>7</v>
      </c>
      <c r="C5" s="5">
        <f>(Table2[[#This Row],[With RootCause]]+Table2[[#This Row],[With Fix]])</f>
        <v>13</v>
      </c>
      <c r="D5" s="5">
        <f>COUNTIFS(Table1[WorkingSet],"7.33R",Table1[ValidFix],TRUE)</f>
        <v>6</v>
      </c>
      <c r="E5" s="5">
        <f>COUNTIFS(Table1[WorkingSet],"7.33F",Table1[ValidFix],TRUE)</f>
        <v>7</v>
      </c>
      <c r="F5" s="7">
        <f>COUNTIF(Table1[Bug],Table2[[#This Row],[Bug]])</f>
        <v>21</v>
      </c>
      <c r="G5" s="5">
        <f>COUNTIFS(Table1[Bug],Table2[[#This Row],[Bug]],Table1[ValidFix],TRUE)</f>
        <v>20</v>
      </c>
      <c r="H5" s="8">
        <v>12</v>
      </c>
      <c r="I5" s="5">
        <v>3</v>
      </c>
    </row>
    <row r="6" spans="1:11" x14ac:dyDescent="0.45">
      <c r="A6" s="7" t="s">
        <v>62</v>
      </c>
      <c r="B6" s="5">
        <f>SUBTOTAL(101,Table2[Without Explanation])</f>
        <v>3.3333333333333335</v>
      </c>
      <c r="C6" s="5">
        <f>SUBTOTAL(101,Table2[With explanation])</f>
        <v>12.666666666666666</v>
      </c>
      <c r="D6" s="5">
        <f>SUBTOTAL(101,Table2[With RootCause])</f>
        <v>5.666666666666667</v>
      </c>
      <c r="E6" s="5">
        <f>SUBTOTAL(101,Table2[With Fix])</f>
        <v>7</v>
      </c>
      <c r="F6" s="5">
        <f>SUBTOTAL(101,Table2[Total answers])</f>
        <v>21</v>
      </c>
      <c r="G6" s="5">
        <f>SUBTOTAL(101,Table2[Total correct])</f>
        <v>16</v>
      </c>
    </row>
    <row r="7" spans="1:11" x14ac:dyDescent="0.45">
      <c r="A7" s="8" t="s">
        <v>61</v>
      </c>
      <c r="B7" s="6">
        <f>_xlfn.STDEV.S(Table2[Without Explanation])</f>
        <v>3.214550253664318</v>
      </c>
      <c r="C7" s="6">
        <f>_xlfn.STDEV.S(Table2[With explanation])</f>
        <v>1.5275252316519468</v>
      </c>
      <c r="D7" s="6">
        <f>_xlfn.STDEV.S(Table2[With RootCause])</f>
        <v>1.5275252316519474</v>
      </c>
      <c r="E7" s="6">
        <f>_xlfn.STDEV.S(Table2[With Fix])</f>
        <v>0</v>
      </c>
      <c r="F7" s="6">
        <f>_xlfn.STDEV.S(Table2[Total answers])</f>
        <v>0</v>
      </c>
      <c r="G7" s="6">
        <f>_xlfn.STDEV.S(Table2[Total correct])</f>
        <v>4</v>
      </c>
      <c r="H7" s="6"/>
      <c r="I7" s="6"/>
    </row>
    <row r="9" spans="1:11" x14ac:dyDescent="0.45">
      <c r="A9" s="10" t="s">
        <v>96</v>
      </c>
    </row>
    <row r="10" spans="1:11" ht="42.75" x14ac:dyDescent="0.45">
      <c r="A10" s="16" t="s">
        <v>46</v>
      </c>
      <c r="B10" s="16" t="s">
        <v>78</v>
      </c>
      <c r="C10" s="16" t="s">
        <v>59</v>
      </c>
      <c r="D10" s="16" t="s">
        <v>80</v>
      </c>
      <c r="E10" s="16" t="s">
        <v>79</v>
      </c>
      <c r="F10" s="16" t="s">
        <v>81</v>
      </c>
      <c r="G10" s="16" t="s">
        <v>89</v>
      </c>
      <c r="K10" s="16"/>
    </row>
    <row r="11" spans="1:11" x14ac:dyDescent="0.45">
      <c r="A11" s="7">
        <v>1.8</v>
      </c>
      <c r="B11" s="15">
        <f>COUNTIFS(Table1[WorkingSet],"1.8N",Table1[ValidFix],TRUE)/(COUNTIF(Table1[WorkingSet],"1.8N"))</f>
        <v>0.14285714285714285</v>
      </c>
      <c r="C11" s="15">
        <f>(D3+E3)/(COUNTIF(Table1[WorkingSet],"1.8R")+COUNTIF(Table1[WorkingSet],"1.8F"))</f>
        <v>0.7857142857142857</v>
      </c>
      <c r="D11" s="15">
        <f>COUNTIFS(Table1[WorkingSet],"1.8R",Table1[ValidFix],TRUE)/(COUNTIF(Table1[WorkingSet],"1.8R"))</f>
        <v>0.5714285714285714</v>
      </c>
      <c r="E11" s="15">
        <f>COUNTIFS(Table1[WorkingSet],"1.8F",Table1[ValidFix],TRUE)/(COUNTIF(Table1[WorkingSet],"1.8F"))</f>
        <v>1</v>
      </c>
      <c r="F11" s="20">
        <f>COUNTIF(Table1[Bug],Table27[[#This Row],[Bug]])</f>
        <v>21</v>
      </c>
      <c r="G11" s="15">
        <f t="shared" ref="G11:G13" si="0">G3/F3</f>
        <v>0.5714285714285714</v>
      </c>
      <c r="K11" s="16"/>
    </row>
    <row r="12" spans="1:11" x14ac:dyDescent="0.45">
      <c r="A12" s="7">
        <v>2.2400000000000002</v>
      </c>
      <c r="B12" s="15">
        <f>COUNTIFS(Table1[WorkingSet],"2.24N",Table1[ValidFix],TRUE)/(COUNTIF(Table1[WorkingSet],"2.24N"))</f>
        <v>0.2857142857142857</v>
      </c>
      <c r="C12" s="15">
        <f>(D4+E4)/(COUNTIF(Table1[WorkingSet],"1.8R")+COUNTIF(Table1[WorkingSet],"1.8F"))</f>
        <v>1</v>
      </c>
      <c r="D12" s="15">
        <f>COUNTIFS(Table1[WorkingSet],"2.24R",Table1[ValidFix],TRUE)/(COUNTIF(Table1[WorkingSet],"2.24R"))</f>
        <v>1</v>
      </c>
      <c r="E12" s="15">
        <f>COUNTIFS(Table1[WorkingSet],"2.24F",Table1[ValidFix],TRUE)/(COUNTIF(Table1[WorkingSet],"2.24F"))</f>
        <v>1</v>
      </c>
      <c r="F12" s="20">
        <f>COUNTIF(Table1[Bug],Table27[[#This Row],[Bug]])</f>
        <v>21</v>
      </c>
      <c r="G12" s="15">
        <f t="shared" si="0"/>
        <v>0.76190476190476186</v>
      </c>
    </row>
    <row r="13" spans="1:11" x14ac:dyDescent="0.45">
      <c r="A13" s="7">
        <v>7.33</v>
      </c>
      <c r="B13" s="15">
        <f>COUNTIFS(Table1[WorkingSet],"7.33N",Table1[ValidFix],TRUE)/(COUNTIF(Table1[WorkingSet],"7.33N"))</f>
        <v>1</v>
      </c>
      <c r="C13" s="15">
        <f>(D5+E5)/(COUNTIF(Table1[WorkingSet],"1.8R")+COUNTIF(Table1[WorkingSet],"1.8F"))</f>
        <v>0.9285714285714286</v>
      </c>
      <c r="D13" s="15">
        <f>COUNTIFS(Table1[WorkingSet],"7.33R",Table1[ValidFix],TRUE)/(COUNTIF(Table1[WorkingSet],"7.33R"))</f>
        <v>0.8571428571428571</v>
      </c>
      <c r="E13" s="15">
        <f>COUNTIFS(Table1[WorkingSet],"7.33F",Table1[ValidFix],TRUE)/(COUNTIF(Table1[WorkingSet],"7.33F"))</f>
        <v>1</v>
      </c>
      <c r="F13" s="20">
        <f>COUNTIF(Table1[Bug],Table27[[#This Row],[Bug]])</f>
        <v>21</v>
      </c>
      <c r="G13" s="15">
        <f t="shared" si="0"/>
        <v>0.95238095238095233</v>
      </c>
    </row>
    <row r="14" spans="1:11" x14ac:dyDescent="0.45">
      <c r="A14" s="7" t="s">
        <v>62</v>
      </c>
      <c r="B14" s="12">
        <f>SUBTOTAL(101,Table27[Without Explanation])</f>
        <v>0.47619047619047622</v>
      </c>
      <c r="C14" s="12">
        <f>SUBTOTAL(101,Table27[With explanation])</f>
        <v>0.90476190476190477</v>
      </c>
      <c r="D14" s="12">
        <f>SUBTOTAL(101,Table27[With RootCause])</f>
        <v>0.80952380952380942</v>
      </c>
      <c r="E14" s="12">
        <f>SUBTOTAL(101,Table27[With Fix])</f>
        <v>1</v>
      </c>
      <c r="F14" s="12">
        <f>SUBTOTAL(101,Table27[Total answers])</f>
        <v>21</v>
      </c>
      <c r="G14" s="12">
        <f>SUBTOTAL(101,Table27[total correct])</f>
        <v>0.76190476190476186</v>
      </c>
    </row>
    <row r="15" spans="1:11" x14ac:dyDescent="0.45">
      <c r="A15" s="8" t="s">
        <v>61</v>
      </c>
      <c r="B15" s="21">
        <f>_xlfn.STDEV.S(Table27[Without Explanation])</f>
        <v>0.4592214648091883</v>
      </c>
      <c r="C15" s="21">
        <f>_xlfn.STDEV.S(Table27[With explanation])</f>
        <v>0.10910894511799621</v>
      </c>
      <c r="D15" s="21">
        <f>_xlfn.STDEV.S(Table27[With RootCause])</f>
        <v>0.2182178902359925</v>
      </c>
      <c r="E15" s="21">
        <f>_xlfn.STDEV.S(Table27[With Fix])</f>
        <v>0</v>
      </c>
      <c r="F15" s="21">
        <f>_xlfn.STDEV.S(Table27[Total answers])</f>
        <v>0</v>
      </c>
      <c r="G15" s="21">
        <f>_xlfn.STDEV.S(Table27[total correct])</f>
        <v>0.1904761904761901</v>
      </c>
    </row>
    <row r="17" spans="1:5" ht="42.75" x14ac:dyDescent="0.45">
      <c r="A17" s="16" t="s">
        <v>46</v>
      </c>
      <c r="B17" s="16" t="s">
        <v>86</v>
      </c>
      <c r="C17" s="16" t="s">
        <v>85</v>
      </c>
      <c r="D17" s="16" t="s">
        <v>87</v>
      </c>
      <c r="E17" s="16" t="s">
        <v>88</v>
      </c>
    </row>
    <row r="18" spans="1:5" x14ac:dyDescent="0.45">
      <c r="A18" s="7">
        <v>1.8</v>
      </c>
      <c r="B18" s="16" t="str">
        <f t="shared" ref="B18:B20" si="1">IF(B11&lt;C11,"YES", "NO")</f>
        <v>YES</v>
      </c>
      <c r="C18" s="16" t="str">
        <f t="shared" ref="C18:C20" si="2">IF(B11&lt;D11,"YES","NO")</f>
        <v>YES</v>
      </c>
      <c r="D18" s="16" t="str">
        <f t="shared" ref="D18:D20" si="3">IF(B11&lt;E11,"YES","NO")</f>
        <v>YES</v>
      </c>
      <c r="E18" s="16" t="str">
        <f t="shared" ref="E18:E20" si="4">IF(D11&lt;E11,"YES","NO")</f>
        <v>YES</v>
      </c>
    </row>
    <row r="19" spans="1:5" x14ac:dyDescent="0.45">
      <c r="A19" s="7">
        <v>2.2400000000000002</v>
      </c>
      <c r="B19" s="2" t="str">
        <f t="shared" si="1"/>
        <v>YES</v>
      </c>
      <c r="C19" s="2" t="str">
        <f t="shared" si="2"/>
        <v>YES</v>
      </c>
      <c r="D19" s="16" t="str">
        <f t="shared" si="3"/>
        <v>YES</v>
      </c>
      <c r="E19" s="16" t="str">
        <f t="shared" si="4"/>
        <v>NO</v>
      </c>
    </row>
    <row r="20" spans="1:5" x14ac:dyDescent="0.45">
      <c r="A20" s="7">
        <v>7.33</v>
      </c>
      <c r="B20" s="2" t="str">
        <f t="shared" si="1"/>
        <v>NO</v>
      </c>
      <c r="C20" s="2" t="str">
        <f t="shared" si="2"/>
        <v>NO</v>
      </c>
      <c r="D20" s="16" t="str">
        <f t="shared" si="3"/>
        <v>NO</v>
      </c>
      <c r="E20" s="16" t="str">
        <f t="shared" si="4"/>
        <v>YES</v>
      </c>
    </row>
    <row r="22" spans="1:5" ht="42.75" x14ac:dyDescent="0.45">
      <c r="A22" t="s">
        <v>77</v>
      </c>
      <c r="B22" s="16" t="s">
        <v>90</v>
      </c>
      <c r="C22" s="16" t="s">
        <v>91</v>
      </c>
      <c r="D22" s="16" t="s">
        <v>94</v>
      </c>
      <c r="E22" s="16" t="s">
        <v>93</v>
      </c>
    </row>
    <row r="23" spans="1:5" x14ac:dyDescent="0.45">
      <c r="A23" s="10" t="s">
        <v>76</v>
      </c>
      <c r="B23" s="11">
        <f>TTEST(Table27[Without Explanation],Table27[With explanation],1,2)</f>
        <v>9.5450461719515406E-2</v>
      </c>
      <c r="C23" s="11">
        <f>TTEST(Table27[Without Explanation],Table27[With RootCause],1,2)</f>
        <v>0.15978478876870109</v>
      </c>
      <c r="D23" s="12">
        <f>TTEST(Table27[Without Explanation],Table27[With Fix],1,2)</f>
        <v>5.969670203983736E-2</v>
      </c>
      <c r="E23" s="11">
        <f>TTEST(Table27[With Fix],Table27[With RootCause],1,2)</f>
        <v>0.1025532276020388</v>
      </c>
    </row>
    <row r="25" spans="1:5" x14ac:dyDescent="0.45">
      <c r="A25" t="s">
        <v>70</v>
      </c>
    </row>
    <row r="26" spans="1:5" ht="42.75" x14ac:dyDescent="0.45">
      <c r="A26" t="s">
        <v>60</v>
      </c>
      <c r="B26" s="16" t="s">
        <v>90</v>
      </c>
      <c r="C26" s="16" t="s">
        <v>91</v>
      </c>
      <c r="D26" s="16" t="s">
        <v>94</v>
      </c>
      <c r="E26" s="16" t="s">
        <v>93</v>
      </c>
    </row>
    <row r="27" spans="1:5" x14ac:dyDescent="0.45">
      <c r="A27" s="10" t="s">
        <v>69</v>
      </c>
      <c r="B27">
        <v>0.05</v>
      </c>
      <c r="C27">
        <v>0.05</v>
      </c>
      <c r="D27">
        <v>0.05</v>
      </c>
      <c r="E27">
        <v>0.05</v>
      </c>
    </row>
    <row r="28" spans="1:5" x14ac:dyDescent="0.45">
      <c r="A28" s="10" t="s">
        <v>68</v>
      </c>
      <c r="B28">
        <v>1.75</v>
      </c>
      <c r="C28">
        <v>1.05</v>
      </c>
      <c r="D28">
        <v>2.12</v>
      </c>
      <c r="E28">
        <v>2.5099999999999998</v>
      </c>
    </row>
    <row r="29" spans="1:5" x14ac:dyDescent="0.45">
      <c r="A29" s="10" t="s">
        <v>71</v>
      </c>
      <c r="B29" s="1" t="s">
        <v>72</v>
      </c>
      <c r="C29" s="1" t="s">
        <v>73</v>
      </c>
      <c r="D29" s="1" t="s">
        <v>74</v>
      </c>
      <c r="E29" s="1" t="s">
        <v>74</v>
      </c>
    </row>
    <row r="30" spans="1:5" x14ac:dyDescent="0.45">
      <c r="A30" s="10" t="s">
        <v>83</v>
      </c>
      <c r="B30" s="5">
        <v>0.05</v>
      </c>
      <c r="C30" s="5">
        <v>0.05</v>
      </c>
      <c r="D30" s="5">
        <v>0.05</v>
      </c>
      <c r="E30" s="5">
        <v>0.05</v>
      </c>
    </row>
  </sheetData>
  <conditionalFormatting sqref="B18:E20">
    <cfRule type="cellIs" dxfId="0" priority="1" operator="equal">
      <formula>"NO"</formula>
    </cfRule>
  </conditionalFormatting>
  <pageMargins left="0.7" right="0.7" top="0.75" bottom="0.75" header="0.3" footer="0.3"/>
  <pageSetup orientation="portrait" r:id="rId1"/>
  <legacyDrawing r:id="rId2"/>
  <tableParts count="5">
    <tablePart r:id="rId3"/>
    <tablePart r:id="rId4"/>
    <tablePart r:id="rId5"/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CDE35-D19C-4275-9C62-20F21509E312}">
  <dimension ref="B3:B5"/>
  <sheetViews>
    <sheetView workbookViewId="0">
      <selection activeCell="I23" sqref="I23"/>
    </sheetView>
  </sheetViews>
  <sheetFormatPr defaultRowHeight="14.25" x14ac:dyDescent="0.45"/>
  <sheetData>
    <row r="3" spans="2:2" x14ac:dyDescent="0.45">
      <c r="B3" t="s">
        <v>53</v>
      </c>
    </row>
    <row r="5" spans="2:2" x14ac:dyDescent="0.45">
      <c r="B5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E6CB-0F02-4147-83FA-B7C030247D1D}">
  <dimension ref="B3:B5"/>
  <sheetViews>
    <sheetView workbookViewId="0">
      <selection activeCell="I23" sqref="I23"/>
    </sheetView>
  </sheetViews>
  <sheetFormatPr defaultRowHeight="14.25" x14ac:dyDescent="0.45"/>
  <sheetData>
    <row r="3" spans="2:2" x14ac:dyDescent="0.45">
      <c r="B3" t="s">
        <v>55</v>
      </c>
    </row>
    <row r="4" spans="2:2" x14ac:dyDescent="0.45">
      <c r="B4" t="s">
        <v>56</v>
      </c>
    </row>
    <row r="5" spans="2:2" x14ac:dyDescent="0.45">
      <c r="B5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E1C6-9207-4A43-A0B0-4E4AB93E05A0}">
  <dimension ref="A1:E40"/>
  <sheetViews>
    <sheetView topLeftCell="A22" workbookViewId="0">
      <selection activeCell="A33" sqref="A33"/>
    </sheetView>
  </sheetViews>
  <sheetFormatPr defaultRowHeight="14.25" x14ac:dyDescent="0.45"/>
  <cols>
    <col min="1" max="1" width="29.06640625" customWidth="1"/>
    <col min="2" max="2" width="20.1328125" customWidth="1"/>
    <col min="3" max="3" width="24.265625" customWidth="1"/>
    <col min="4" max="4" width="26.46484375" customWidth="1"/>
    <col min="5" max="5" width="24.1328125" customWidth="1"/>
  </cols>
  <sheetData>
    <row r="1" spans="1:5" x14ac:dyDescent="0.45">
      <c r="A1" s="1" t="s">
        <v>63</v>
      </c>
      <c r="B1" t="s">
        <v>65</v>
      </c>
      <c r="C1" t="s">
        <v>64</v>
      </c>
      <c r="D1" t="s">
        <v>66</v>
      </c>
      <c r="E1" t="s">
        <v>67</v>
      </c>
    </row>
    <row r="2" spans="1:5" x14ac:dyDescent="0.45">
      <c r="A2" s="14">
        <v>1</v>
      </c>
      <c r="B2">
        <f>COUNTIFS(Table1[KIT],AcrossSubjectsCorrectness!A2,Table1[ExplanationType],"None",Table1[ValidFix],TRUE)</f>
        <v>1</v>
      </c>
      <c r="C2">
        <f>(Table3[[#This Row],[With RootCause Explanations]]+Table3[[#This Row],[With Fix Explanations]])/2</f>
        <v>1</v>
      </c>
      <c r="D2">
        <f>COUNTIFS(Table1[KIT],AcrossSubjectsCorrectness!A2,Table1[ExplanationType],"RootCause",Table1[ValidFix],TRUE)</f>
        <v>1</v>
      </c>
      <c r="E2">
        <f>COUNTIFS(Table1[KIT],AcrossSubjectsCorrectness!A2,Table1[ExplanationType],"Fix",Table1[ValidFix],TRUE)</f>
        <v>1</v>
      </c>
    </row>
    <row r="3" spans="1:5" x14ac:dyDescent="0.45">
      <c r="A3" s="14" t="s">
        <v>123</v>
      </c>
      <c r="B3">
        <f>COUNTIFS(Table1[KIT],AcrossSubjectsCorrectness!A3,Table1[ExplanationType],"None",Table1[ValidFix],TRUE)</f>
        <v>1</v>
      </c>
      <c r="C3" s="27">
        <f>(Table3[[#This Row],[With RootCause Explanations]]+Table3[[#This Row],[With Fix Explanations]])/2</f>
        <v>1</v>
      </c>
      <c r="D3">
        <f>COUNTIFS(Table1[KIT],AcrossSubjectsCorrectness!A3,Table1[ExplanationType],"RootCause",Table1[ValidFix],TRUE)</f>
        <v>1</v>
      </c>
      <c r="E3">
        <f>COUNTIFS(Table1[KIT],AcrossSubjectsCorrectness!A3,Table1[ExplanationType],"Fix",Table1[ValidFix],TRUE)</f>
        <v>1</v>
      </c>
    </row>
    <row r="4" spans="1:5" x14ac:dyDescent="0.45">
      <c r="A4" s="14" t="s">
        <v>127</v>
      </c>
      <c r="B4">
        <f>COUNTIFS(Table1[KIT],AcrossSubjectsCorrectness!A4,Table1[ExplanationType],"None",Table1[ValidFix],TRUE)</f>
        <v>1</v>
      </c>
      <c r="C4" s="27">
        <f>(Table3[[#This Row],[With RootCause Explanations]]+Table3[[#This Row],[With Fix Explanations]])/2</f>
        <v>1</v>
      </c>
      <c r="D4">
        <f>COUNTIFS(Table1[KIT],AcrossSubjectsCorrectness!A4,Table1[ExplanationType],"RootCause",Table1[ValidFix],TRUE)</f>
        <v>1</v>
      </c>
      <c r="E4">
        <f>COUNTIFS(Table1[KIT],AcrossSubjectsCorrectness!A4,Table1[ExplanationType],"Fix",Table1[ValidFix],TRUE)</f>
        <v>1</v>
      </c>
    </row>
    <row r="5" spans="1:5" x14ac:dyDescent="0.45">
      <c r="A5" s="14">
        <v>2</v>
      </c>
      <c r="B5">
        <f>COUNTIFS(Table1[KIT],AcrossSubjectsCorrectness!A5,Table1[ExplanationType],"None",Table1[ValidFix],TRUE)</f>
        <v>1</v>
      </c>
      <c r="C5" s="27">
        <f>(Table3[[#This Row],[With RootCause Explanations]]+Table3[[#This Row],[With Fix Explanations]])/2</f>
        <v>1</v>
      </c>
      <c r="D5">
        <f>COUNTIFS(Table1[KIT],AcrossSubjectsCorrectness!A5,Table1[ExplanationType],"RootCause",Table1[ValidFix],TRUE)</f>
        <v>1</v>
      </c>
      <c r="E5">
        <f>COUNTIFS(Table1[KIT],AcrossSubjectsCorrectness!A5,Table1[ExplanationType],"Fix",Table1[ValidFix],TRUE)</f>
        <v>1</v>
      </c>
    </row>
    <row r="6" spans="1:5" x14ac:dyDescent="0.45">
      <c r="A6" s="14" t="s">
        <v>122</v>
      </c>
      <c r="B6">
        <f>COUNTIFS(Table1[KIT],AcrossSubjectsCorrectness!A6,Table1[ExplanationType],"None",Table1[ValidFix],TRUE)</f>
        <v>1</v>
      </c>
      <c r="C6" s="27">
        <f>(Table3[[#This Row],[With RootCause Explanations]]+Table3[[#This Row],[With Fix Explanations]])/2</f>
        <v>1</v>
      </c>
      <c r="D6">
        <f>COUNTIFS(Table1[KIT],AcrossSubjectsCorrectness!A6,Table1[ExplanationType],"RootCause",Table1[ValidFix],TRUE)</f>
        <v>1</v>
      </c>
      <c r="E6">
        <f>COUNTIFS(Table1[KIT],AcrossSubjectsCorrectness!A6,Table1[ExplanationType],"Fix",Table1[ValidFix],TRUE)</f>
        <v>1</v>
      </c>
    </row>
    <row r="7" spans="1:5" x14ac:dyDescent="0.45">
      <c r="A7" s="14">
        <v>3</v>
      </c>
      <c r="B7">
        <f>COUNTIFS(Table1[KIT],AcrossSubjectsCorrectness!A7,Table1[ExplanationType],"None",Table1[ValidFix],TRUE)</f>
        <v>1</v>
      </c>
      <c r="C7">
        <f>(Table3[[#This Row],[With RootCause Explanations]]+Table3[[#This Row],[With Fix Explanations]])/2</f>
        <v>1</v>
      </c>
      <c r="D7">
        <f>COUNTIFS(Table1[KIT],AcrossSubjectsCorrectness!A7,Table1[ExplanationType],"RootCause",Table1[ValidFix],TRUE)</f>
        <v>1</v>
      </c>
      <c r="E7">
        <f>COUNTIFS(Table1[KIT],AcrossSubjectsCorrectness!A7,Table1[ExplanationType],"Fix",Table1[ValidFix],TRUE)</f>
        <v>1</v>
      </c>
    </row>
    <row r="8" spans="1:5" x14ac:dyDescent="0.45">
      <c r="A8" s="14" t="s">
        <v>115</v>
      </c>
      <c r="B8">
        <f>COUNTIFS(Table1[KIT],AcrossSubjectsCorrectness!A8,Table1[ExplanationType],"None",Table1[ValidFix],TRUE)</f>
        <v>1</v>
      </c>
      <c r="C8" s="27">
        <f>(Table3[[#This Row],[With RootCause Explanations]]+Table3[[#This Row],[With Fix Explanations]])/2</f>
        <v>1</v>
      </c>
      <c r="D8">
        <f>COUNTIFS(Table1[KIT],AcrossSubjectsCorrectness!A8,Table1[ExplanationType],"RootCause",Table1[ValidFix],TRUE)</f>
        <v>1</v>
      </c>
      <c r="E8">
        <f>COUNTIFS(Table1[KIT],AcrossSubjectsCorrectness!A8,Table1[ExplanationType],"Fix",Table1[ValidFix],TRUE)</f>
        <v>1</v>
      </c>
    </row>
    <row r="9" spans="1:5" x14ac:dyDescent="0.45">
      <c r="A9" s="14">
        <v>4</v>
      </c>
      <c r="B9">
        <f>COUNTIFS(Table1[KIT],AcrossSubjectsCorrectness!A9,Table1[ExplanationType],"None",Table1[ValidFix],TRUE)</f>
        <v>1</v>
      </c>
      <c r="C9">
        <f>(Table3[[#This Row],[With RootCause Explanations]]+Table3[[#This Row],[With Fix Explanations]])/2</f>
        <v>1</v>
      </c>
      <c r="D9">
        <f>COUNTIFS(Table1[KIT],AcrossSubjectsCorrectness!A9,Table1[ExplanationType],"RootCause",Table1[ValidFix],TRUE)</f>
        <v>1</v>
      </c>
      <c r="E9">
        <f>COUNTIFS(Table1[KIT],AcrossSubjectsCorrectness!A9,Table1[ExplanationType],"Fix",Table1[ValidFix],TRUE)</f>
        <v>1</v>
      </c>
    </row>
    <row r="10" spans="1:5" x14ac:dyDescent="0.45">
      <c r="A10" s="14" t="s">
        <v>116</v>
      </c>
      <c r="B10">
        <f>COUNTIFS(Table1[KIT],AcrossSubjectsCorrectness!A10,Table1[ExplanationType],"None",Table1[ValidFix],TRUE)</f>
        <v>0</v>
      </c>
      <c r="C10" s="27">
        <f>(Table3[[#This Row],[With RootCause Explanations]]+Table3[[#This Row],[With Fix Explanations]])/2</f>
        <v>1</v>
      </c>
      <c r="D10">
        <f>COUNTIFS(Table1[KIT],AcrossSubjectsCorrectness!A10,Table1[ExplanationType],"RootCause",Table1[ValidFix],TRUE)</f>
        <v>1</v>
      </c>
      <c r="E10">
        <f>COUNTIFS(Table1[KIT],AcrossSubjectsCorrectness!A10,Table1[ExplanationType],"Fix",Table1[ValidFix],TRUE)</f>
        <v>1</v>
      </c>
    </row>
    <row r="11" spans="1:5" x14ac:dyDescent="0.45">
      <c r="A11" s="14" t="s">
        <v>119</v>
      </c>
      <c r="B11">
        <f>COUNTIFS(Table1[KIT],AcrossSubjectsCorrectness!A11,Table1[ExplanationType],"None",Table1[ValidFix],TRUE)</f>
        <v>0</v>
      </c>
      <c r="C11" s="27">
        <f>(Table3[[#This Row],[With RootCause Explanations]]+Table3[[#This Row],[With Fix Explanations]])/2</f>
        <v>1</v>
      </c>
      <c r="D11">
        <f>COUNTIFS(Table1[KIT],AcrossSubjectsCorrectness!A11,Table1[ExplanationType],"RootCause",Table1[ValidFix],TRUE)</f>
        <v>1</v>
      </c>
      <c r="E11">
        <f>COUNTIFS(Table1[KIT],AcrossSubjectsCorrectness!A11,Table1[ExplanationType],"Fix",Table1[ValidFix],TRUE)</f>
        <v>1</v>
      </c>
    </row>
    <row r="12" spans="1:5" x14ac:dyDescent="0.45">
      <c r="A12" s="14">
        <v>5</v>
      </c>
      <c r="B12">
        <f>COUNTIFS(Table1[KIT],AcrossSubjectsCorrectness!A12,Table1[ExplanationType],"None",Table1[ValidFix],TRUE)</f>
        <v>0</v>
      </c>
      <c r="C12">
        <f>(Table3[[#This Row],[With RootCause Explanations]]+Table3[[#This Row],[With Fix Explanations]])/2</f>
        <v>1</v>
      </c>
      <c r="D12">
        <f>COUNTIFS(Table1[KIT],AcrossSubjectsCorrectness!A12,Table1[ExplanationType],"RootCause",Table1[ValidFix],TRUE)</f>
        <v>1</v>
      </c>
      <c r="E12">
        <f>COUNTIFS(Table1[KIT],AcrossSubjectsCorrectness!A12,Table1[ExplanationType],"Fix",Table1[ValidFix],TRUE)</f>
        <v>1</v>
      </c>
    </row>
    <row r="13" spans="1:5" x14ac:dyDescent="0.45">
      <c r="A13" s="14" t="s">
        <v>129</v>
      </c>
      <c r="B13">
        <f>COUNTIFS(Table1[KIT],AcrossSubjectsCorrectness!A13,Table1[ExplanationType],"None",Table1[ValidFix],TRUE)</f>
        <v>0</v>
      </c>
      <c r="C13" s="27">
        <f>(Table3[[#This Row],[With RootCause Explanations]]+Table3[[#This Row],[With Fix Explanations]])/2</f>
        <v>1</v>
      </c>
      <c r="D13">
        <f>COUNTIFS(Table1[KIT],AcrossSubjectsCorrectness!A13,Table1[ExplanationType],"RootCause",Table1[ValidFix],TRUE)</f>
        <v>1</v>
      </c>
      <c r="E13">
        <f>COUNTIFS(Table1[KIT],AcrossSubjectsCorrectness!A13,Table1[ExplanationType],"Fix",Table1[ValidFix],TRUE)</f>
        <v>1</v>
      </c>
    </row>
    <row r="14" spans="1:5" x14ac:dyDescent="0.45">
      <c r="A14" s="14">
        <v>6</v>
      </c>
      <c r="B14">
        <f>COUNTIFS(Table1[KIT],AcrossSubjectsCorrectness!A14,Table1[ExplanationType],"None",Table1[ValidFix],TRUE)</f>
        <v>0</v>
      </c>
      <c r="C14">
        <f>(Table3[[#This Row],[With RootCause Explanations]]+Table3[[#This Row],[With Fix Explanations]])/2</f>
        <v>0.5</v>
      </c>
      <c r="D14">
        <f>COUNTIFS(Table1[KIT],AcrossSubjectsCorrectness!A14,Table1[ExplanationType],"RootCause",Table1[ValidFix],TRUE)</f>
        <v>0</v>
      </c>
      <c r="E14">
        <f>COUNTIFS(Table1[KIT],AcrossSubjectsCorrectness!A14,Table1[ExplanationType],"Fix",Table1[ValidFix],TRUE)</f>
        <v>1</v>
      </c>
    </row>
    <row r="15" spans="1:5" x14ac:dyDescent="0.45">
      <c r="A15" s="14" t="s">
        <v>128</v>
      </c>
      <c r="B15">
        <f>COUNTIFS(Table1[KIT],AcrossSubjectsCorrectness!A15,Table1[ExplanationType],"None",Table1[ValidFix],TRUE)</f>
        <v>0</v>
      </c>
      <c r="C15" s="27">
        <f>(Table3[[#This Row],[With RootCause Explanations]]+Table3[[#This Row],[With Fix Explanations]])/2</f>
        <v>1</v>
      </c>
      <c r="D15">
        <f>COUNTIFS(Table1[KIT],AcrossSubjectsCorrectness!A15,Table1[ExplanationType],"RootCause",Table1[ValidFix],TRUE)</f>
        <v>1</v>
      </c>
      <c r="E15">
        <f>COUNTIFS(Table1[KIT],AcrossSubjectsCorrectness!A15,Table1[ExplanationType],"Fix",Table1[ValidFix],TRUE)</f>
        <v>1</v>
      </c>
    </row>
    <row r="16" spans="1:5" x14ac:dyDescent="0.45">
      <c r="A16" s="14">
        <v>7</v>
      </c>
      <c r="B16">
        <f>COUNTIFS(Table1[KIT],AcrossSubjectsCorrectness!A16,Table1[ExplanationType],"None",Table1[ValidFix],TRUE)</f>
        <v>0</v>
      </c>
      <c r="C16">
        <f>(Table3[[#This Row],[With RootCause Explanations]]+Table3[[#This Row],[With Fix Explanations]])/2</f>
        <v>0.5</v>
      </c>
      <c r="D16">
        <f>COUNTIFS(Table1[KIT],AcrossSubjectsCorrectness!A16,Table1[ExplanationType],"RootCause",Table1[ValidFix],TRUE)</f>
        <v>0</v>
      </c>
      <c r="E16">
        <f>COUNTIFS(Table1[KIT],AcrossSubjectsCorrectness!A16,Table1[ExplanationType],"Fix",Table1[ValidFix],TRUE)</f>
        <v>1</v>
      </c>
    </row>
    <row r="17" spans="1:5" x14ac:dyDescent="0.45">
      <c r="A17" s="14" t="s">
        <v>130</v>
      </c>
      <c r="B17">
        <f>COUNTIFS(Table1[KIT],AcrossSubjectsCorrectness!A17,Table1[ExplanationType],"None",Table1[ValidFix],TRUE)</f>
        <v>0</v>
      </c>
      <c r="C17" s="27">
        <f>(Table3[[#This Row],[With RootCause Explanations]]+Table3[[#This Row],[With Fix Explanations]])/2</f>
        <v>0.5</v>
      </c>
      <c r="D17">
        <f>COUNTIFS(Table1[KIT],AcrossSubjectsCorrectness!A17,Table1[ExplanationType],"RootCause",Table1[ValidFix],TRUE)</f>
        <v>0</v>
      </c>
      <c r="E17">
        <f>COUNTIFS(Table1[KIT],AcrossSubjectsCorrectness!A17,Table1[ExplanationType],"Fix",Table1[ValidFix],TRUE)</f>
        <v>1</v>
      </c>
    </row>
    <row r="18" spans="1:5" x14ac:dyDescent="0.45">
      <c r="A18" s="14" t="s">
        <v>120</v>
      </c>
      <c r="B18">
        <f>COUNTIFS(Table1[KIT],AcrossSubjectsCorrectness!A18,Table1[ExplanationType],"None",Table1[ValidFix],TRUE)</f>
        <v>0</v>
      </c>
      <c r="C18" s="27">
        <f>(Table3[[#This Row],[With RootCause Explanations]]+Table3[[#This Row],[With Fix Explanations]])/2</f>
        <v>1</v>
      </c>
      <c r="D18">
        <f>COUNTIFS(Table1[KIT],AcrossSubjectsCorrectness!A18,Table1[ExplanationType],"RootCause",Table1[ValidFix],TRUE)</f>
        <v>1</v>
      </c>
      <c r="E18">
        <f>COUNTIFS(Table1[KIT],AcrossSubjectsCorrectness!A18,Table1[ExplanationType],"Fix",Table1[ValidFix],TRUE)</f>
        <v>1</v>
      </c>
    </row>
    <row r="19" spans="1:5" x14ac:dyDescent="0.45">
      <c r="A19" s="14">
        <v>8</v>
      </c>
      <c r="B19">
        <f>COUNTIFS(Table1[KIT],AcrossSubjectsCorrectness!A19,Table1[ExplanationType],"None",Table1[ValidFix],TRUE)</f>
        <v>1</v>
      </c>
      <c r="C19">
        <f>(Table3[[#This Row],[With RootCause Explanations]]+Table3[[#This Row],[With Fix Explanations]])/2</f>
        <v>0.5</v>
      </c>
      <c r="D19">
        <f>COUNTIFS(Table1[KIT],AcrossSubjectsCorrectness!A19,Table1[ExplanationType],"RootCause",Table1[ValidFix],TRUE)</f>
        <v>0</v>
      </c>
      <c r="E19">
        <f>COUNTIFS(Table1[KIT],AcrossSubjectsCorrectness!A19,Table1[ExplanationType],"Fix",Table1[ValidFix],TRUE)</f>
        <v>1</v>
      </c>
    </row>
    <row r="20" spans="1:5" x14ac:dyDescent="0.45">
      <c r="A20" s="14" t="s">
        <v>131</v>
      </c>
      <c r="B20">
        <f>COUNTIFS(Table1[KIT],AcrossSubjectsCorrectness!A20,Table1[ExplanationType],"None",Table1[ValidFix],TRUE)</f>
        <v>1</v>
      </c>
      <c r="C20" s="27">
        <f>(Table3[[#This Row],[With RootCause Explanations]]+Table3[[#This Row],[With Fix Explanations]])/2</f>
        <v>1</v>
      </c>
      <c r="D20">
        <f>COUNTIFS(Table1[KIT],AcrossSubjectsCorrectness!A20,Table1[ExplanationType],"RootCause",Table1[ValidFix],TRUE)</f>
        <v>1</v>
      </c>
      <c r="E20">
        <f>COUNTIFS(Table1[KIT],AcrossSubjectsCorrectness!A20,Table1[ExplanationType],"Fix",Table1[ValidFix],TRUE)</f>
        <v>1</v>
      </c>
    </row>
    <row r="21" spans="1:5" x14ac:dyDescent="0.45">
      <c r="A21" s="14">
        <v>9</v>
      </c>
      <c r="B21">
        <f>COUNTIFS(Table1[KIT],AcrossSubjectsCorrectness!A21,Table1[ExplanationType],"None",Table1[ValidFix],TRUE)</f>
        <v>0</v>
      </c>
      <c r="C21">
        <f>(Table3[[#This Row],[With RootCause Explanations]]+Table3[[#This Row],[With Fix Explanations]])/2</f>
        <v>1</v>
      </c>
      <c r="D21">
        <f>COUNTIFS(Table1[KIT],AcrossSubjectsCorrectness!A21,Table1[ExplanationType],"RootCause",Table1[ValidFix],TRUE)</f>
        <v>1</v>
      </c>
      <c r="E21">
        <f>COUNTIFS(Table1[KIT],AcrossSubjectsCorrectness!A21,Table1[ExplanationType],"Fix",Table1[ValidFix],TRUE)</f>
        <v>1</v>
      </c>
    </row>
    <row r="22" spans="1:5" x14ac:dyDescent="0.45">
      <c r="A22" s="14" t="s">
        <v>118</v>
      </c>
      <c r="B22">
        <f>COUNTIFS(Table1[KIT],AcrossSubjectsCorrectness!A22,Table1[ExplanationType],"None",Table1[ValidFix],TRUE)</f>
        <v>0</v>
      </c>
      <c r="C22" s="27">
        <f>(Table3[[#This Row],[With RootCause Explanations]]+Table3[[#This Row],[With Fix Explanations]])/2</f>
        <v>1</v>
      </c>
      <c r="D22">
        <f>COUNTIFS(Table1[KIT],AcrossSubjectsCorrectness!A22,Table1[ExplanationType],"RootCause",Table1[ValidFix],TRUE)</f>
        <v>1</v>
      </c>
      <c r="E22">
        <f>COUNTIFS(Table1[KIT],AcrossSubjectsCorrectness!A22,Table1[ExplanationType],"Fix",Table1[ValidFix],TRUE)</f>
        <v>1</v>
      </c>
    </row>
    <row r="23" spans="1:5" x14ac:dyDescent="0.45">
      <c r="A23" s="1" t="s">
        <v>62</v>
      </c>
      <c r="B23" s="12">
        <f>SUBTOTAL(101,Table3[Without Explanations])</f>
        <v>0.47619047619047616</v>
      </c>
      <c r="C23" s="12">
        <f>SUBTOTAL(101,Table3[With Explanations])</f>
        <v>0.90476190476190477</v>
      </c>
      <c r="D23" s="12">
        <f>SUBTOTAL(101,Table3[With RootCause Explanations])</f>
        <v>0.80952380952380953</v>
      </c>
      <c r="E23" s="12">
        <f>SUBTOTAL(101,Table3[With Fix Explanations])</f>
        <v>1</v>
      </c>
    </row>
    <row r="24" spans="1:5" x14ac:dyDescent="0.45">
      <c r="A24" s="14" t="s">
        <v>75</v>
      </c>
      <c r="B24" s="13">
        <f>_xlfn.STDEV.S(Table3[Without Explanations])</f>
        <v>0.51176631571915898</v>
      </c>
      <c r="C24" s="13">
        <f>_xlfn.STDEV.S(Table3[With Explanations])</f>
        <v>0.20118695404073922</v>
      </c>
      <c r="D24" s="13">
        <f>_xlfn.STDEV.S(Table3[With RootCause Explanations])</f>
        <v>0.40237390808147816</v>
      </c>
      <c r="E24" s="13">
        <f>_xlfn.STDEV.S(Table3[With Fix Explanations])</f>
        <v>0</v>
      </c>
    </row>
    <row r="26" spans="1:5" x14ac:dyDescent="0.45">
      <c r="B26" s="18" t="s">
        <v>90</v>
      </c>
      <c r="C26" s="18" t="s">
        <v>91</v>
      </c>
      <c r="D26" s="18" t="s">
        <v>92</v>
      </c>
      <c r="E26" s="18" t="s">
        <v>93</v>
      </c>
    </row>
    <row r="27" spans="1:5" x14ac:dyDescent="0.45">
      <c r="B27" s="19" t="str">
        <f>IF(Table3[[#Totals],[With Explanations]]&gt;Table3[[#Totals],[Without Explanations]],"YES","NO")</f>
        <v>YES</v>
      </c>
      <c r="C27" s="19" t="str">
        <f>IF(Table3[[#Totals],[With RootCause Explanations]]&gt;Table3[[#Totals],[Without Explanations]],"YES", "NO")</f>
        <v>YES</v>
      </c>
      <c r="D27" s="19" t="str">
        <f>IF(Table3[[#Totals],[With Fix Explanations]]&gt;Table3[[#Totals],[Without Explanations]],"YES", "NO")</f>
        <v>YES</v>
      </c>
      <c r="E27" s="19" t="str">
        <f>IF(Table3[[#Totals],[With Fix Explanations]]&gt;Table3[[#Totals],[With RootCause Explanations]],"YES","NO")</f>
        <v>YES</v>
      </c>
    </row>
    <row r="29" spans="1:5" x14ac:dyDescent="0.45">
      <c r="A29" t="s">
        <v>77</v>
      </c>
      <c r="B29" t="s">
        <v>90</v>
      </c>
      <c r="C29" t="s">
        <v>91</v>
      </c>
      <c r="D29" t="s">
        <v>94</v>
      </c>
      <c r="E29" t="s">
        <v>93</v>
      </c>
    </row>
    <row r="30" spans="1:5" x14ac:dyDescent="0.45">
      <c r="A30" s="10" t="s">
        <v>76</v>
      </c>
      <c r="B30" s="11">
        <f>TTEST(Table3[Without Explanations],Table3[With Explanations],1,2)</f>
        <v>4.7118208372631202E-4</v>
      </c>
      <c r="C30" s="11">
        <f>TTEST(Table3[Without Explanations],Table3[With RootCause Explanations],1,2)</f>
        <v>1.1998316869330354E-2</v>
      </c>
      <c r="D30" s="11">
        <f>TTEST(Table3[Without Explanations],Table3[With Fix Explanations],1,2)</f>
        <v>1.5788608436008338E-5</v>
      </c>
      <c r="E30" s="11">
        <f>TTEST(Table3[With RootCause Explanations],Table3[With Fix Explanations],1,2)</f>
        <v>1.8029845284695391E-2</v>
      </c>
    </row>
    <row r="32" spans="1:5" x14ac:dyDescent="0.45">
      <c r="A32" t="s">
        <v>70</v>
      </c>
    </row>
    <row r="33" spans="1:5" x14ac:dyDescent="0.45">
      <c r="A33" t="s">
        <v>60</v>
      </c>
      <c r="B33" t="s">
        <v>90</v>
      </c>
      <c r="C33" t="s">
        <v>91</v>
      </c>
      <c r="D33" t="s">
        <v>94</v>
      </c>
      <c r="E33" t="s">
        <v>93</v>
      </c>
    </row>
    <row r="34" spans="1:5" x14ac:dyDescent="0.45">
      <c r="A34" s="10" t="s">
        <v>76</v>
      </c>
      <c r="B34" s="11">
        <f>TTEST(Table3[Without Explanations],Table3[With Explanations],1,2)</f>
        <v>4.7118208372631202E-4</v>
      </c>
      <c r="C34" s="11">
        <f>TTEST(Table3[Without Explanations],Table3[With RootCause Explanations],1,2)</f>
        <v>1.1998316869330354E-2</v>
      </c>
      <c r="D34" s="11">
        <f>TTEST(Table3[Without Explanations],Table3[With Fix Explanations],1,2)</f>
        <v>1.5788608436008338E-5</v>
      </c>
      <c r="E34" s="11">
        <f>TTEST(Table3[With RootCause Explanations],Table3[With Fix Explanations],1,2)</f>
        <v>1.8029845284695391E-2</v>
      </c>
    </row>
    <row r="35" spans="1:5" x14ac:dyDescent="0.45">
      <c r="A35" s="10" t="s">
        <v>69</v>
      </c>
      <c r="B35">
        <v>0.05</v>
      </c>
      <c r="C35">
        <v>0.05</v>
      </c>
      <c r="D35">
        <v>0.05</v>
      </c>
      <c r="E35">
        <v>0.05</v>
      </c>
    </row>
    <row r="36" spans="1:5" x14ac:dyDescent="0.45">
      <c r="A36" s="10" t="s">
        <v>68</v>
      </c>
      <c r="B36">
        <v>1.1299999999999999</v>
      </c>
      <c r="C36">
        <v>0.74</v>
      </c>
      <c r="D36">
        <v>1.48</v>
      </c>
      <c r="E36">
        <v>0.68</v>
      </c>
    </row>
    <row r="37" spans="1:5" x14ac:dyDescent="0.45">
      <c r="A37" s="10" t="s">
        <v>71</v>
      </c>
      <c r="B37" s="1" t="s">
        <v>74</v>
      </c>
      <c r="C37" s="1" t="s">
        <v>74</v>
      </c>
      <c r="D37" s="1" t="s">
        <v>74</v>
      </c>
      <c r="E37" s="1" t="s">
        <v>74</v>
      </c>
    </row>
    <row r="38" spans="1:5" x14ac:dyDescent="0.45">
      <c r="A38" s="10" t="s">
        <v>83</v>
      </c>
      <c r="B38" s="5">
        <v>0.78416032000000002</v>
      </c>
      <c r="C38" s="5">
        <v>0.47896282000000001</v>
      </c>
      <c r="D38" s="5">
        <v>0.93813933000000005</v>
      </c>
      <c r="E38" s="5">
        <v>0.42785187000000002</v>
      </c>
    </row>
    <row r="40" spans="1:5" x14ac:dyDescent="0.45">
      <c r="A40" s="36" t="s">
        <v>82</v>
      </c>
    </row>
  </sheetData>
  <hyperlinks>
    <hyperlink ref="A40" r:id="rId1" xr:uid="{444CBA1B-590E-4D16-80F2-E36CF6C1CD31}"/>
  </hyperlinks>
  <pageMargins left="0.7" right="0.7" top="0.75" bottom="0.75" header="0.3" footer="0.3"/>
  <pageSetup orientation="portrait" r:id="rId2"/>
  <legacyDrawing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AC67D-B8B6-4FD4-B3D7-661C6A5D7ADF}">
  <dimension ref="B1:I12"/>
  <sheetViews>
    <sheetView tabSelected="1" workbookViewId="0">
      <selection activeCell="G19" sqref="G19"/>
    </sheetView>
  </sheetViews>
  <sheetFormatPr defaultRowHeight="14.25" x14ac:dyDescent="0.45"/>
  <cols>
    <col min="1" max="1" width="5.06640625" customWidth="1"/>
    <col min="2" max="2" width="14.6640625" customWidth="1"/>
    <col min="3" max="3" width="19.06640625" customWidth="1"/>
    <col min="4" max="4" width="20.46484375" customWidth="1"/>
    <col min="5" max="5" width="17.3984375" customWidth="1"/>
    <col min="6" max="6" width="13.33203125" customWidth="1"/>
    <col min="7" max="7" width="18.3984375" customWidth="1"/>
    <col min="8" max="8" width="15.86328125" customWidth="1"/>
  </cols>
  <sheetData>
    <row r="1" spans="2:9" x14ac:dyDescent="0.45">
      <c r="B1" s="2" t="s">
        <v>135</v>
      </c>
      <c r="C1" s="2" t="s">
        <v>3</v>
      </c>
      <c r="D1" s="2" t="s">
        <v>4</v>
      </c>
      <c r="E1" s="2" t="s">
        <v>103</v>
      </c>
      <c r="F1" s="2" t="s">
        <v>106</v>
      </c>
      <c r="G1" s="2" t="s">
        <v>107</v>
      </c>
      <c r="H1" s="2" t="s">
        <v>108</v>
      </c>
      <c r="I1" s="2" t="s">
        <v>105</v>
      </c>
    </row>
    <row r="2" spans="2:9" x14ac:dyDescent="0.45">
      <c r="B2" t="s">
        <v>134</v>
      </c>
      <c r="C2" s="25">
        <f>AVERAGE(Table25[Age])</f>
        <v>27</v>
      </c>
      <c r="D2" s="54">
        <f>AVERAGE(Table25[YoE])</f>
        <v>11.69047619047619</v>
      </c>
      <c r="E2" s="54">
        <f>AVERAGE(Table25[Total Languages])</f>
        <v>4.3809523809523814</v>
      </c>
      <c r="F2" s="51">
        <f>COUNTIF(Table25[LearnedUniversity],TRUE)/$I$2</f>
        <v>0.8571428571428571</v>
      </c>
      <c r="G2" s="51">
        <f>COUNTIF(Table25[LearnedOnLine],TRUE)/$I$2</f>
        <v>0.23809523809523808</v>
      </c>
      <c r="H2" s="51">
        <f>COUNTIF(Table25[LearnedSelftTaught],TRUE)/$I$2</f>
        <v>0.95238095238095233</v>
      </c>
      <c r="I2" s="2">
        <v>21</v>
      </c>
    </row>
    <row r="3" spans="2:9" x14ac:dyDescent="0.45">
      <c r="B3" t="s">
        <v>75</v>
      </c>
      <c r="C3" s="25">
        <f>_xlfn.STDEV.S(Table25[Age])</f>
        <v>5.8991524815010496</v>
      </c>
      <c r="D3" s="54">
        <f>_xlfn.STDEV.S(Table25[YoE])</f>
        <v>6.7314117955971744</v>
      </c>
      <c r="E3" s="54">
        <f>_xlfn.STDEV.S(Table25[Total Languages])</f>
        <v>1.8296499795368097</v>
      </c>
      <c r="F3" s="52"/>
      <c r="G3" s="52"/>
      <c r="H3" s="52"/>
      <c r="I3" s="53"/>
    </row>
    <row r="6" spans="2:9" x14ac:dyDescent="0.45">
      <c r="B6" t="s">
        <v>112</v>
      </c>
    </row>
    <row r="7" spans="2:9" x14ac:dyDescent="0.45">
      <c r="B7" s="22" t="s">
        <v>109</v>
      </c>
      <c r="C7" s="22" t="s">
        <v>110</v>
      </c>
      <c r="D7" s="23" t="s">
        <v>111</v>
      </c>
      <c r="E7" s="26" t="s">
        <v>16</v>
      </c>
    </row>
    <row r="8" spans="2:9" x14ac:dyDescent="0.45">
      <c r="B8" s="17">
        <f>COUNTIFS(Table1[SuggestFix],TRUE,Table1[ExplanationType],"Fix")/$I$2</f>
        <v>0.7142857142857143</v>
      </c>
      <c r="C8" s="17">
        <f>COUNTIFS(Table1[CreateUnitTest],TRUE,Table1[ExplanationType],"Fix")/$I$2</f>
        <v>0.7142857142857143</v>
      </c>
      <c r="D8" s="24">
        <f>COUNTIFS(Table1[AddDocumentation],TRUE,Table1[ExplanationType],"Fix")/$I$2</f>
        <v>0.7142857142857143</v>
      </c>
      <c r="E8" s="24">
        <f>COUNTIFS(Table1[Refactor],TRUE,Table1[ExplanationType],"Fix")/$I$2</f>
        <v>0.52380952380952384</v>
      </c>
    </row>
    <row r="10" spans="2:9" x14ac:dyDescent="0.45">
      <c r="B10" t="s">
        <v>114</v>
      </c>
    </row>
    <row r="11" spans="2:9" x14ac:dyDescent="0.45">
      <c r="B11" t="s">
        <v>34</v>
      </c>
      <c r="C11" s="9" t="s">
        <v>42</v>
      </c>
      <c r="D11" t="s">
        <v>113</v>
      </c>
    </row>
    <row r="12" spans="2:9" x14ac:dyDescent="0.45">
      <c r="B12">
        <f>COUNTIFS(Table1[UnitTestPractice],B11,Table1[ExplanationType],"Fix")/$I$2</f>
        <v>0.47619047619047616</v>
      </c>
      <c r="C12">
        <f>COUNTIFS(Table1[UnitTestPractice],C11,Table1[ExplanationType],"Fix")/$I$2</f>
        <v>0.52380952380952384</v>
      </c>
      <c r="D12">
        <f>COUNTIFS(Table1[UnitTestPractice],D11,Table1[ExplanationType],"Fix")/$I$2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E82E-4436-462F-8B5F-97AF742108C2}">
  <dimension ref="A1:AH22"/>
  <sheetViews>
    <sheetView workbookViewId="0">
      <selection activeCell="F22" sqref="F1:F22"/>
    </sheetView>
  </sheetViews>
  <sheetFormatPr defaultRowHeight="14.25" x14ac:dyDescent="0.45"/>
  <cols>
    <col min="2" max="2" width="11.73046875" style="1" customWidth="1"/>
    <col min="3" max="3" width="17.265625" style="1" customWidth="1"/>
    <col min="4" max="4" width="16.46484375" style="1" customWidth="1"/>
    <col min="5" max="5" width="21.33203125" style="1" customWidth="1"/>
    <col min="6" max="6" width="6.265625" style="1" customWidth="1"/>
    <col min="7" max="7" width="6.53125" style="1" customWidth="1"/>
    <col min="8" max="8" width="17.9296875" style="2" customWidth="1"/>
    <col min="9" max="9" width="17.3984375" customWidth="1"/>
    <col min="10" max="10" width="14.86328125" customWidth="1"/>
    <col min="11" max="11" width="18.3984375" customWidth="1"/>
    <col min="12" max="12" width="11.1328125" customWidth="1"/>
    <col min="13" max="13" width="14.73046875" customWidth="1"/>
    <col min="14" max="14" width="18.59765625" customWidth="1"/>
    <col min="15" max="15" width="9.3984375" customWidth="1"/>
    <col min="18" max="18" width="10.53125" customWidth="1"/>
    <col min="27" max="27" width="10.265625" customWidth="1"/>
    <col min="34" max="34" width="15.59765625" customWidth="1"/>
  </cols>
  <sheetData>
    <row r="1" spans="1:34" x14ac:dyDescent="0.45">
      <c r="A1" s="43" t="s">
        <v>63</v>
      </c>
      <c r="B1" s="44" t="s">
        <v>8</v>
      </c>
      <c r="C1" s="44" t="s">
        <v>9</v>
      </c>
      <c r="D1" s="44" t="s">
        <v>30</v>
      </c>
      <c r="E1" s="43" t="s">
        <v>44</v>
      </c>
      <c r="F1" s="44" t="s">
        <v>3</v>
      </c>
      <c r="G1" s="44" t="s">
        <v>4</v>
      </c>
      <c r="H1" s="43" t="s">
        <v>5</v>
      </c>
      <c r="I1" s="44" t="s">
        <v>10</v>
      </c>
      <c r="J1" s="44" t="s">
        <v>11</v>
      </c>
      <c r="K1" s="44" t="s">
        <v>12</v>
      </c>
      <c r="L1" s="44" t="s">
        <v>13</v>
      </c>
      <c r="M1" s="44" t="s">
        <v>14</v>
      </c>
      <c r="N1" s="44" t="s">
        <v>15</v>
      </c>
      <c r="O1" s="44" t="s">
        <v>16</v>
      </c>
      <c r="P1" s="44" t="s">
        <v>17</v>
      </c>
      <c r="Q1" s="44" t="s">
        <v>6</v>
      </c>
      <c r="R1" s="44" t="s">
        <v>7</v>
      </c>
      <c r="S1" s="44" t="s">
        <v>31</v>
      </c>
      <c r="T1" s="44" t="s">
        <v>36</v>
      </c>
      <c r="U1" s="44" t="s">
        <v>35</v>
      </c>
      <c r="V1" s="44" t="s">
        <v>38</v>
      </c>
      <c r="W1" s="44" t="s">
        <v>32</v>
      </c>
      <c r="X1" s="44" t="s">
        <v>33</v>
      </c>
      <c r="Y1" s="44" t="s">
        <v>37</v>
      </c>
      <c r="Z1" s="44" t="s">
        <v>39</v>
      </c>
      <c r="AA1" s="44" t="s">
        <v>40</v>
      </c>
      <c r="AB1" s="44" t="s">
        <v>41</v>
      </c>
      <c r="AC1" s="44" t="s">
        <v>43</v>
      </c>
      <c r="AD1" s="44" t="s">
        <v>117</v>
      </c>
      <c r="AE1" s="44" t="s">
        <v>124</v>
      </c>
      <c r="AF1" s="44" t="s">
        <v>125</v>
      </c>
      <c r="AG1" s="44" t="s">
        <v>126</v>
      </c>
      <c r="AH1" s="44" t="s">
        <v>104</v>
      </c>
    </row>
    <row r="2" spans="1:34" x14ac:dyDescent="0.45">
      <c r="A2" s="39">
        <v>1</v>
      </c>
      <c r="B2" s="48">
        <v>5</v>
      </c>
      <c r="C2" s="48">
        <v>5</v>
      </c>
      <c r="D2" s="48">
        <v>9</v>
      </c>
      <c r="E2" s="39">
        <v>2</v>
      </c>
      <c r="F2" s="48">
        <v>22</v>
      </c>
      <c r="G2" s="48">
        <v>14</v>
      </c>
      <c r="H2" s="39" t="s">
        <v>34</v>
      </c>
      <c r="I2" s="40" t="b">
        <v>0</v>
      </c>
      <c r="J2" s="40" t="b">
        <v>0</v>
      </c>
      <c r="K2" s="40" t="b">
        <v>1</v>
      </c>
      <c r="L2" s="40" t="b">
        <v>0</v>
      </c>
      <c r="M2" s="40" t="b">
        <v>0</v>
      </c>
      <c r="N2" s="40" t="b">
        <v>0</v>
      </c>
      <c r="O2" s="40" t="b">
        <v>0</v>
      </c>
      <c r="P2" s="40" t="b">
        <v>0</v>
      </c>
      <c r="Q2" s="40" t="b">
        <v>1</v>
      </c>
      <c r="R2" s="40" t="b">
        <v>1</v>
      </c>
      <c r="S2" s="40" t="b">
        <v>1</v>
      </c>
      <c r="T2" s="40" t="b">
        <v>1</v>
      </c>
      <c r="U2" s="40" t="b">
        <v>1</v>
      </c>
      <c r="V2" s="40" t="b">
        <v>0</v>
      </c>
      <c r="W2" s="40" t="b">
        <v>1</v>
      </c>
      <c r="X2" s="40" t="b">
        <v>1</v>
      </c>
      <c r="Y2" s="40" t="b">
        <v>0</v>
      </c>
      <c r="Z2" s="40" t="b">
        <v>0</v>
      </c>
      <c r="AA2" s="40" t="b">
        <v>0</v>
      </c>
      <c r="AB2" s="40" t="b">
        <v>0</v>
      </c>
      <c r="AC2" s="40" t="b">
        <v>0</v>
      </c>
      <c r="AD2" s="40" t="b">
        <v>0</v>
      </c>
      <c r="AE2" s="40" t="b">
        <v>0</v>
      </c>
      <c r="AF2" s="40" t="b">
        <v>0</v>
      </c>
      <c r="AG2" s="40" t="b">
        <v>0</v>
      </c>
      <c r="AH2" s="40">
        <v>7</v>
      </c>
    </row>
    <row r="3" spans="1:34" x14ac:dyDescent="0.45">
      <c r="A3" s="38" t="s">
        <v>123</v>
      </c>
      <c r="B3" s="49">
        <v>5</v>
      </c>
      <c r="C3" s="49">
        <v>4</v>
      </c>
      <c r="D3" s="49">
        <v>24</v>
      </c>
      <c r="E3" s="38">
        <v>2</v>
      </c>
      <c r="F3" s="49">
        <v>42</v>
      </c>
      <c r="G3" s="49">
        <v>28</v>
      </c>
      <c r="H3" s="38" t="s">
        <v>34</v>
      </c>
      <c r="I3" s="9" t="b">
        <v>0</v>
      </c>
      <c r="J3" s="9" t="b">
        <v>0</v>
      </c>
      <c r="K3" s="9" t="b">
        <v>1</v>
      </c>
      <c r="L3" s="9" t="b">
        <v>1</v>
      </c>
      <c r="M3" s="9" t="b">
        <v>0</v>
      </c>
      <c r="N3" s="9" t="b">
        <v>1</v>
      </c>
      <c r="O3" s="9" t="b">
        <v>1</v>
      </c>
      <c r="P3" s="9" t="b">
        <v>0</v>
      </c>
      <c r="Q3" s="9" t="b">
        <v>1</v>
      </c>
      <c r="R3" s="9" t="b">
        <v>0</v>
      </c>
      <c r="S3" s="9" t="b">
        <v>1</v>
      </c>
      <c r="T3" s="9" t="b">
        <v>1</v>
      </c>
      <c r="U3" s="9" t="b">
        <v>0</v>
      </c>
      <c r="V3" s="9" t="b">
        <v>0</v>
      </c>
      <c r="W3" s="9" t="b">
        <v>0</v>
      </c>
      <c r="X3" s="9" t="b">
        <v>1</v>
      </c>
      <c r="Y3" s="9" t="b">
        <v>0</v>
      </c>
      <c r="Z3" s="9" t="b">
        <v>0</v>
      </c>
      <c r="AA3" s="9" t="b">
        <v>0</v>
      </c>
      <c r="AB3" s="9" t="b">
        <v>0</v>
      </c>
      <c r="AC3" s="9" t="b">
        <v>0</v>
      </c>
      <c r="AD3" s="9" t="b">
        <v>0</v>
      </c>
      <c r="AE3" s="9" t="b">
        <v>0</v>
      </c>
      <c r="AF3" s="9" t="b">
        <v>0</v>
      </c>
      <c r="AG3" s="9" t="b">
        <v>0</v>
      </c>
      <c r="AH3" s="41">
        <v>4</v>
      </c>
    </row>
    <row r="4" spans="1:34" x14ac:dyDescent="0.45">
      <c r="A4" s="39" t="s">
        <v>127</v>
      </c>
      <c r="B4" s="48">
        <v>2</v>
      </c>
      <c r="C4" s="48">
        <v>2</v>
      </c>
      <c r="D4" s="48">
        <v>5</v>
      </c>
      <c r="E4" s="39">
        <v>3</v>
      </c>
      <c r="F4" s="48">
        <v>22</v>
      </c>
      <c r="G4" s="48">
        <v>7.5</v>
      </c>
      <c r="H4" s="39" t="s">
        <v>42</v>
      </c>
      <c r="I4" s="40" t="b">
        <v>1</v>
      </c>
      <c r="J4" s="40" t="b">
        <v>0</v>
      </c>
      <c r="K4" s="40" t="b">
        <v>1</v>
      </c>
      <c r="L4" s="40" t="b">
        <v>1</v>
      </c>
      <c r="M4" s="40" t="b">
        <v>1</v>
      </c>
      <c r="N4" s="40" t="b">
        <v>1</v>
      </c>
      <c r="O4" s="40" t="b">
        <v>1</v>
      </c>
      <c r="P4" s="40" t="b">
        <v>0</v>
      </c>
      <c r="Q4" s="40" t="b">
        <v>1</v>
      </c>
      <c r="R4" s="40" t="b">
        <v>0</v>
      </c>
      <c r="S4" s="40" t="b">
        <v>1</v>
      </c>
      <c r="T4" s="40" t="b">
        <v>1</v>
      </c>
      <c r="U4" s="40" t="b">
        <v>1</v>
      </c>
      <c r="V4" s="40" t="b">
        <v>1</v>
      </c>
      <c r="W4" s="40" t="b">
        <v>0</v>
      </c>
      <c r="X4" s="40" t="b">
        <v>0</v>
      </c>
      <c r="Y4" s="40" t="b">
        <v>0</v>
      </c>
      <c r="Z4" s="40" t="b">
        <v>0</v>
      </c>
      <c r="AA4" s="40" t="b">
        <v>0</v>
      </c>
      <c r="AB4" s="40" t="b">
        <v>0</v>
      </c>
      <c r="AC4" s="40" t="b">
        <v>0</v>
      </c>
      <c r="AD4" s="40" t="b">
        <v>0</v>
      </c>
      <c r="AE4" s="40" t="b">
        <v>1</v>
      </c>
      <c r="AF4" s="40" t="b">
        <v>1</v>
      </c>
      <c r="AG4" s="40" t="b">
        <v>1</v>
      </c>
      <c r="AH4" s="42">
        <v>5</v>
      </c>
    </row>
    <row r="5" spans="1:34" x14ac:dyDescent="0.45">
      <c r="A5" s="38">
        <v>2</v>
      </c>
      <c r="B5" s="49">
        <v>5</v>
      </c>
      <c r="C5" s="49">
        <v>5</v>
      </c>
      <c r="D5" s="49">
        <v>5</v>
      </c>
      <c r="E5" s="38">
        <v>3</v>
      </c>
      <c r="F5" s="49">
        <v>28</v>
      </c>
      <c r="G5" s="49">
        <v>13</v>
      </c>
      <c r="H5" s="38" t="s">
        <v>34</v>
      </c>
      <c r="I5" s="9" t="b">
        <v>1</v>
      </c>
      <c r="J5" s="9" t="b">
        <v>0</v>
      </c>
      <c r="K5" s="9" t="b">
        <v>1</v>
      </c>
      <c r="L5" s="9" t="b">
        <v>1</v>
      </c>
      <c r="M5" s="9" t="b">
        <v>1</v>
      </c>
      <c r="N5" s="9" t="b">
        <v>1</v>
      </c>
      <c r="O5" s="9" t="b">
        <v>0</v>
      </c>
      <c r="P5" s="9" t="b">
        <v>0</v>
      </c>
      <c r="Q5" s="9" t="b">
        <v>1</v>
      </c>
      <c r="R5" s="9" t="b">
        <v>0</v>
      </c>
      <c r="S5" s="9" t="b">
        <v>1</v>
      </c>
      <c r="T5" s="9" t="b">
        <v>1</v>
      </c>
      <c r="U5" s="9" t="b">
        <v>0</v>
      </c>
      <c r="V5" s="9" t="b">
        <v>0</v>
      </c>
      <c r="W5" s="9" t="b">
        <v>0</v>
      </c>
      <c r="X5" s="9" t="b">
        <v>0</v>
      </c>
      <c r="Y5" s="9" t="b">
        <v>0</v>
      </c>
      <c r="Z5" s="9" t="b">
        <v>0</v>
      </c>
      <c r="AA5" s="9" t="b">
        <v>0</v>
      </c>
      <c r="AB5" s="9" t="b">
        <v>0</v>
      </c>
      <c r="AC5" s="9" t="b">
        <v>0</v>
      </c>
      <c r="AD5" s="9" t="b">
        <v>0</v>
      </c>
      <c r="AE5" s="9" t="b">
        <v>0</v>
      </c>
      <c r="AF5" s="9" t="b">
        <v>0</v>
      </c>
      <c r="AG5" s="9" t="b">
        <v>0</v>
      </c>
      <c r="AH5" s="9">
        <v>3</v>
      </c>
    </row>
    <row r="6" spans="1:34" x14ac:dyDescent="0.45">
      <c r="A6" s="39" t="s">
        <v>122</v>
      </c>
      <c r="B6" s="48">
        <v>4</v>
      </c>
      <c r="C6" s="48">
        <v>5</v>
      </c>
      <c r="D6" s="48">
        <v>12</v>
      </c>
      <c r="E6" s="39">
        <v>3</v>
      </c>
      <c r="F6" s="48">
        <v>30</v>
      </c>
      <c r="G6" s="48">
        <v>10</v>
      </c>
      <c r="H6" s="39" t="s">
        <v>34</v>
      </c>
      <c r="I6" s="40" t="b">
        <v>1</v>
      </c>
      <c r="J6" s="40" t="b">
        <v>0</v>
      </c>
      <c r="K6" s="40" t="b">
        <v>1</v>
      </c>
      <c r="L6" s="40" t="b">
        <v>1</v>
      </c>
      <c r="M6" s="40" t="b">
        <v>1</v>
      </c>
      <c r="N6" s="40" t="b">
        <v>1</v>
      </c>
      <c r="O6" s="40" t="b">
        <v>0</v>
      </c>
      <c r="P6" s="40" t="b">
        <v>0</v>
      </c>
      <c r="Q6" s="40" t="b">
        <v>1</v>
      </c>
      <c r="R6" s="40" t="b">
        <v>1</v>
      </c>
      <c r="S6" s="40" t="b">
        <v>1</v>
      </c>
      <c r="T6" s="40" t="b">
        <v>1</v>
      </c>
      <c r="U6" s="40" t="b">
        <v>1</v>
      </c>
      <c r="V6" s="40" t="b">
        <v>0</v>
      </c>
      <c r="W6" s="40" t="b">
        <v>0</v>
      </c>
      <c r="X6" s="40" t="b">
        <v>0</v>
      </c>
      <c r="Y6" s="40" t="b">
        <v>0</v>
      </c>
      <c r="Z6" s="40" t="b">
        <v>0</v>
      </c>
      <c r="AA6" s="40" t="b">
        <v>0</v>
      </c>
      <c r="AB6" s="40" t="b">
        <v>0</v>
      </c>
      <c r="AC6" s="40" t="b">
        <v>0</v>
      </c>
      <c r="AD6" s="40" t="b">
        <v>0</v>
      </c>
      <c r="AE6" s="40" t="b">
        <v>0</v>
      </c>
      <c r="AF6" s="40" t="b">
        <v>0</v>
      </c>
      <c r="AG6" s="40" t="b">
        <v>0</v>
      </c>
      <c r="AH6" s="42">
        <v>5</v>
      </c>
    </row>
    <row r="7" spans="1:34" x14ac:dyDescent="0.45">
      <c r="A7" s="38">
        <v>3</v>
      </c>
      <c r="B7" s="49">
        <v>3</v>
      </c>
      <c r="C7" s="49">
        <v>5</v>
      </c>
      <c r="D7" s="49">
        <v>5</v>
      </c>
      <c r="E7" s="38">
        <v>3</v>
      </c>
      <c r="F7" s="49">
        <v>22</v>
      </c>
      <c r="G7" s="49">
        <v>8</v>
      </c>
      <c r="H7" s="38" t="s">
        <v>34</v>
      </c>
      <c r="I7" s="9" t="b">
        <v>1</v>
      </c>
      <c r="J7" s="9" t="b">
        <v>0</v>
      </c>
      <c r="K7" s="9" t="b">
        <v>1</v>
      </c>
      <c r="L7" s="9" t="b">
        <v>1</v>
      </c>
      <c r="M7" s="9" t="b">
        <v>1</v>
      </c>
      <c r="N7" s="9" t="b">
        <v>1</v>
      </c>
      <c r="O7" s="9" t="b">
        <v>1</v>
      </c>
      <c r="P7" s="9" t="b">
        <v>0</v>
      </c>
      <c r="Q7" s="9" t="b">
        <v>1</v>
      </c>
      <c r="R7" s="9" t="b">
        <v>0</v>
      </c>
      <c r="S7" s="9" t="b">
        <v>1</v>
      </c>
      <c r="T7" s="9" t="b">
        <v>1</v>
      </c>
      <c r="U7" s="9" t="b">
        <v>1</v>
      </c>
      <c r="V7" s="9" t="b">
        <v>1</v>
      </c>
      <c r="W7" s="9" t="b">
        <v>0</v>
      </c>
      <c r="X7" s="9" t="b">
        <v>0</v>
      </c>
      <c r="Y7" s="9" t="b">
        <v>1</v>
      </c>
      <c r="Z7" s="9" t="b">
        <v>1</v>
      </c>
      <c r="AA7" s="9" t="b">
        <v>1</v>
      </c>
      <c r="AB7" s="9" t="b">
        <v>1</v>
      </c>
      <c r="AC7" s="9" t="b">
        <v>0</v>
      </c>
      <c r="AD7" s="9" t="b">
        <v>0</v>
      </c>
      <c r="AE7" s="9" t="b">
        <v>0</v>
      </c>
      <c r="AF7" s="9" t="b">
        <v>0</v>
      </c>
      <c r="AG7" s="9" t="b">
        <v>0</v>
      </c>
      <c r="AH7" s="9">
        <v>9</v>
      </c>
    </row>
    <row r="8" spans="1:34" x14ac:dyDescent="0.45">
      <c r="A8" s="39" t="s">
        <v>115</v>
      </c>
      <c r="B8" s="48">
        <v>4</v>
      </c>
      <c r="C8" s="48">
        <v>5</v>
      </c>
      <c r="D8" s="48">
        <v>14</v>
      </c>
      <c r="E8" s="39">
        <v>1</v>
      </c>
      <c r="F8" s="48">
        <v>38</v>
      </c>
      <c r="G8" s="48">
        <v>28</v>
      </c>
      <c r="H8" s="39" t="s">
        <v>42</v>
      </c>
      <c r="I8" s="40" t="b">
        <v>1</v>
      </c>
      <c r="J8" s="40" t="b">
        <v>0</v>
      </c>
      <c r="K8" s="40" t="b">
        <v>1</v>
      </c>
      <c r="L8" s="40" t="b">
        <v>0</v>
      </c>
      <c r="M8" s="40" t="b">
        <v>1</v>
      </c>
      <c r="N8" s="40" t="b">
        <v>0</v>
      </c>
      <c r="O8" s="40" t="b">
        <v>0</v>
      </c>
      <c r="P8" s="40" t="b">
        <v>0</v>
      </c>
      <c r="Q8" s="40" t="b">
        <v>1</v>
      </c>
      <c r="R8" s="40" t="b">
        <v>0</v>
      </c>
      <c r="S8" s="40" t="b">
        <v>0</v>
      </c>
      <c r="T8" s="40" t="b">
        <v>0</v>
      </c>
      <c r="U8" s="40" t="b">
        <v>0</v>
      </c>
      <c r="V8" s="40" t="b">
        <v>0</v>
      </c>
      <c r="W8" s="40" t="b">
        <v>0</v>
      </c>
      <c r="X8" s="40" t="b">
        <v>1</v>
      </c>
      <c r="Y8" s="40" t="b">
        <v>0</v>
      </c>
      <c r="Z8" s="40" t="b">
        <v>0</v>
      </c>
      <c r="AA8" s="40" t="b">
        <v>0</v>
      </c>
      <c r="AB8" s="40" t="b">
        <v>0</v>
      </c>
      <c r="AC8" s="40" t="b">
        <v>0</v>
      </c>
      <c r="AD8" s="40" t="b">
        <v>0</v>
      </c>
      <c r="AE8" s="40" t="b">
        <v>0</v>
      </c>
      <c r="AF8" s="40" t="b">
        <v>0</v>
      </c>
      <c r="AG8" s="40" t="b">
        <v>0</v>
      </c>
      <c r="AH8" s="42">
        <v>2</v>
      </c>
    </row>
    <row r="9" spans="1:34" x14ac:dyDescent="0.45">
      <c r="A9" s="38">
        <v>4</v>
      </c>
      <c r="B9" s="49">
        <v>5</v>
      </c>
      <c r="C9" s="49">
        <v>5</v>
      </c>
      <c r="D9" s="49">
        <v>10</v>
      </c>
      <c r="E9" s="38">
        <v>3</v>
      </c>
      <c r="F9" s="49">
        <v>23</v>
      </c>
      <c r="G9" s="49">
        <v>4</v>
      </c>
      <c r="H9" s="38" t="s">
        <v>34</v>
      </c>
      <c r="I9" s="9" t="b">
        <v>0</v>
      </c>
      <c r="J9" s="9" t="b">
        <v>0</v>
      </c>
      <c r="K9" s="9" t="b">
        <v>1</v>
      </c>
      <c r="L9" s="9" t="b">
        <v>0</v>
      </c>
      <c r="M9" s="9" t="b">
        <v>0</v>
      </c>
      <c r="N9" s="9" t="b">
        <v>0</v>
      </c>
      <c r="O9" s="9" t="b">
        <v>0</v>
      </c>
      <c r="P9" s="9" t="b">
        <v>0</v>
      </c>
      <c r="Q9" s="9" t="b">
        <v>1</v>
      </c>
      <c r="R9" s="9" t="b">
        <v>0</v>
      </c>
      <c r="S9" s="9" t="b">
        <v>0</v>
      </c>
      <c r="T9" s="9" t="b">
        <v>0</v>
      </c>
      <c r="U9" s="9" t="b">
        <v>1</v>
      </c>
      <c r="V9" s="9" t="b">
        <v>1</v>
      </c>
      <c r="W9" s="9" t="b">
        <v>0</v>
      </c>
      <c r="X9" s="9" t="b">
        <v>1</v>
      </c>
      <c r="Y9" s="9" t="b">
        <v>0</v>
      </c>
      <c r="Z9" s="9" t="b">
        <v>0</v>
      </c>
      <c r="AA9" s="9" t="b">
        <v>0</v>
      </c>
      <c r="AB9" s="9" t="b">
        <v>0</v>
      </c>
      <c r="AC9" s="9" t="b">
        <v>0</v>
      </c>
      <c r="AD9" s="9" t="b">
        <v>0</v>
      </c>
      <c r="AE9" s="9" t="b">
        <v>0</v>
      </c>
      <c r="AF9" s="9" t="b">
        <v>0</v>
      </c>
      <c r="AG9" s="9" t="b">
        <v>0</v>
      </c>
      <c r="AH9" s="9">
        <v>4</v>
      </c>
    </row>
    <row r="10" spans="1:34" x14ac:dyDescent="0.45">
      <c r="A10" s="39" t="s">
        <v>116</v>
      </c>
      <c r="B10" s="48">
        <v>2</v>
      </c>
      <c r="C10" s="48">
        <v>4</v>
      </c>
      <c r="D10" s="48">
        <v>16</v>
      </c>
      <c r="E10" s="39">
        <v>3</v>
      </c>
      <c r="F10" s="48">
        <v>30</v>
      </c>
      <c r="G10" s="48">
        <v>14</v>
      </c>
      <c r="H10" s="39" t="s">
        <v>42</v>
      </c>
      <c r="I10" s="40" t="b">
        <v>1</v>
      </c>
      <c r="J10" s="40" t="b">
        <v>0</v>
      </c>
      <c r="K10" s="40" t="b">
        <v>0</v>
      </c>
      <c r="L10" s="40" t="b">
        <v>1</v>
      </c>
      <c r="M10" s="40" t="b">
        <v>0</v>
      </c>
      <c r="N10" s="40" t="b">
        <v>1</v>
      </c>
      <c r="O10" s="40" t="b">
        <v>0</v>
      </c>
      <c r="P10" s="40" t="b">
        <v>0</v>
      </c>
      <c r="Q10" s="40" t="b">
        <v>1</v>
      </c>
      <c r="R10" s="40" t="b">
        <v>0</v>
      </c>
      <c r="S10" s="40" t="b">
        <v>0</v>
      </c>
      <c r="T10" s="40" t="b">
        <v>1</v>
      </c>
      <c r="U10" s="40" t="b">
        <v>0</v>
      </c>
      <c r="V10" s="40" t="b">
        <v>0</v>
      </c>
      <c r="W10" s="40" t="b">
        <v>0</v>
      </c>
      <c r="X10" s="40" t="b">
        <v>0</v>
      </c>
      <c r="Y10" s="40" t="b">
        <v>0</v>
      </c>
      <c r="Z10" s="40" t="b">
        <v>0</v>
      </c>
      <c r="AA10" s="40" t="b">
        <v>0</v>
      </c>
      <c r="AB10" s="40" t="b">
        <v>0</v>
      </c>
      <c r="AC10" s="40" t="b">
        <v>0</v>
      </c>
      <c r="AD10" s="40" t="b">
        <v>1</v>
      </c>
      <c r="AE10" s="40" t="b">
        <v>0</v>
      </c>
      <c r="AF10" s="40" t="b">
        <v>0</v>
      </c>
      <c r="AG10" s="40" t="b">
        <v>0</v>
      </c>
      <c r="AH10" s="42">
        <v>2</v>
      </c>
    </row>
    <row r="11" spans="1:34" x14ac:dyDescent="0.45">
      <c r="A11" s="38" t="s">
        <v>119</v>
      </c>
      <c r="B11" s="49">
        <v>4</v>
      </c>
      <c r="C11" s="49">
        <v>4</v>
      </c>
      <c r="D11" s="49">
        <v>7</v>
      </c>
      <c r="E11" s="38">
        <v>3</v>
      </c>
      <c r="F11" s="49">
        <v>21</v>
      </c>
      <c r="G11" s="49">
        <v>7</v>
      </c>
      <c r="H11" s="38" t="s">
        <v>34</v>
      </c>
      <c r="I11" s="9" t="b">
        <v>1</v>
      </c>
      <c r="J11" s="9" t="b">
        <v>0</v>
      </c>
      <c r="K11" s="9" t="b">
        <v>1</v>
      </c>
      <c r="L11" s="9" t="b">
        <v>1</v>
      </c>
      <c r="M11" s="9" t="b">
        <v>1</v>
      </c>
      <c r="N11" s="9" t="b">
        <v>0</v>
      </c>
      <c r="O11" s="9" t="b">
        <v>0</v>
      </c>
      <c r="P11" s="9" t="b">
        <v>0</v>
      </c>
      <c r="Q11" s="9" t="b">
        <v>1</v>
      </c>
      <c r="R11" s="9" t="b">
        <v>0</v>
      </c>
      <c r="S11" s="9" t="b">
        <v>1</v>
      </c>
      <c r="T11" s="9" t="b">
        <v>1</v>
      </c>
      <c r="U11" s="9" t="b">
        <v>1</v>
      </c>
      <c r="V11" s="9" t="b">
        <v>0</v>
      </c>
      <c r="W11" s="9" t="b">
        <v>0</v>
      </c>
      <c r="X11" s="9" t="b">
        <v>0</v>
      </c>
      <c r="Y11" s="9" t="b">
        <v>0</v>
      </c>
      <c r="Z11" s="9" t="b">
        <v>0</v>
      </c>
      <c r="AA11" s="9" t="b">
        <v>0</v>
      </c>
      <c r="AB11" s="9" t="b">
        <v>0</v>
      </c>
      <c r="AC11" s="9" t="b">
        <v>0</v>
      </c>
      <c r="AD11" s="9" t="b">
        <v>0</v>
      </c>
      <c r="AE11" s="9" t="b">
        <v>0</v>
      </c>
      <c r="AF11" s="9" t="b">
        <v>0</v>
      </c>
      <c r="AG11" s="9" t="b">
        <v>0</v>
      </c>
      <c r="AH11" s="41">
        <v>4</v>
      </c>
    </row>
    <row r="12" spans="1:34" x14ac:dyDescent="0.45">
      <c r="A12" s="39">
        <v>5</v>
      </c>
      <c r="B12" s="48">
        <v>4</v>
      </c>
      <c r="C12" s="48">
        <v>5</v>
      </c>
      <c r="D12" s="48">
        <v>6</v>
      </c>
      <c r="E12" s="39">
        <v>3</v>
      </c>
      <c r="F12" s="48">
        <v>23</v>
      </c>
      <c r="G12" s="48">
        <v>5</v>
      </c>
      <c r="H12" s="39" t="s">
        <v>42</v>
      </c>
      <c r="I12" s="40" t="b">
        <v>1</v>
      </c>
      <c r="J12" s="40" t="b">
        <v>0</v>
      </c>
      <c r="K12" s="40" t="b">
        <v>1</v>
      </c>
      <c r="L12" s="40" t="b">
        <v>1</v>
      </c>
      <c r="M12" s="40" t="b">
        <v>1</v>
      </c>
      <c r="N12" s="40" t="b">
        <v>1</v>
      </c>
      <c r="O12" s="40" t="b">
        <v>1</v>
      </c>
      <c r="P12" s="40" t="b">
        <v>0</v>
      </c>
      <c r="Q12" s="40" t="b">
        <v>1</v>
      </c>
      <c r="R12" s="40" t="b">
        <v>1</v>
      </c>
      <c r="S12" s="40" t="b">
        <v>1</v>
      </c>
      <c r="T12" s="40" t="b">
        <v>0</v>
      </c>
      <c r="U12" s="40" t="b">
        <v>1</v>
      </c>
      <c r="V12" s="40" t="b">
        <v>0</v>
      </c>
      <c r="W12" s="40" t="b">
        <v>0</v>
      </c>
      <c r="X12" s="40" t="b">
        <v>0</v>
      </c>
      <c r="Y12" s="40" t="b">
        <v>0</v>
      </c>
      <c r="Z12" s="40" t="b">
        <v>0</v>
      </c>
      <c r="AA12" s="40" t="b">
        <v>0</v>
      </c>
      <c r="AB12" s="40" t="b">
        <v>0</v>
      </c>
      <c r="AC12" s="40" t="b">
        <v>0</v>
      </c>
      <c r="AD12" s="40" t="b">
        <v>0</v>
      </c>
      <c r="AE12" s="40" t="b">
        <v>0</v>
      </c>
      <c r="AF12" s="40" t="b">
        <v>0</v>
      </c>
      <c r="AG12" s="40" t="b">
        <v>0</v>
      </c>
      <c r="AH12" s="40">
        <v>4</v>
      </c>
    </row>
    <row r="13" spans="1:34" x14ac:dyDescent="0.45">
      <c r="A13" s="38" t="s">
        <v>129</v>
      </c>
      <c r="B13" s="49">
        <v>5</v>
      </c>
      <c r="C13" s="49">
        <v>5</v>
      </c>
      <c r="D13" s="49">
        <v>5</v>
      </c>
      <c r="E13" s="38">
        <v>3</v>
      </c>
      <c r="F13" s="49">
        <v>24</v>
      </c>
      <c r="G13" s="49">
        <v>8</v>
      </c>
      <c r="H13" s="38" t="s">
        <v>42</v>
      </c>
      <c r="I13" s="9" t="b">
        <v>1</v>
      </c>
      <c r="J13" s="9" t="b">
        <v>1</v>
      </c>
      <c r="K13" s="9" t="b">
        <v>1</v>
      </c>
      <c r="L13" s="9" t="b">
        <v>1</v>
      </c>
      <c r="M13" s="9" t="b">
        <v>1</v>
      </c>
      <c r="N13" s="9" t="b">
        <v>1</v>
      </c>
      <c r="O13" s="9" t="b">
        <v>1</v>
      </c>
      <c r="P13" s="9" t="b">
        <v>0</v>
      </c>
      <c r="Q13" s="9" t="b">
        <v>1</v>
      </c>
      <c r="R13" s="9" t="b">
        <v>0</v>
      </c>
      <c r="S13" s="9" t="b">
        <v>1</v>
      </c>
      <c r="T13" s="9" t="b">
        <v>1</v>
      </c>
      <c r="U13" s="9" t="b">
        <v>0</v>
      </c>
      <c r="V13" s="9" t="b">
        <v>0</v>
      </c>
      <c r="W13" s="9" t="b">
        <v>0</v>
      </c>
      <c r="X13" s="9" t="b">
        <v>0</v>
      </c>
      <c r="Y13" s="9" t="b">
        <v>0</v>
      </c>
      <c r="Z13" s="9" t="b">
        <v>0</v>
      </c>
      <c r="AA13" s="9" t="b">
        <v>0</v>
      </c>
      <c r="AB13" s="9" t="b">
        <v>0</v>
      </c>
      <c r="AC13" s="9" t="b">
        <v>0</v>
      </c>
      <c r="AD13" s="9" t="b">
        <v>0</v>
      </c>
      <c r="AE13" s="9" t="b">
        <v>0</v>
      </c>
      <c r="AF13" s="9" t="b">
        <v>0</v>
      </c>
      <c r="AG13" s="9" t="b">
        <v>0</v>
      </c>
      <c r="AH13" s="41">
        <v>3</v>
      </c>
    </row>
    <row r="14" spans="1:34" x14ac:dyDescent="0.45">
      <c r="A14" s="39">
        <v>6</v>
      </c>
      <c r="B14" s="48">
        <v>5</v>
      </c>
      <c r="C14" s="48">
        <v>5</v>
      </c>
      <c r="D14" s="48">
        <v>5</v>
      </c>
      <c r="E14" s="39">
        <v>3</v>
      </c>
      <c r="F14" s="48">
        <v>24</v>
      </c>
      <c r="G14" s="48">
        <v>11</v>
      </c>
      <c r="H14" s="39" t="s">
        <v>42</v>
      </c>
      <c r="I14" s="40" t="b">
        <v>1</v>
      </c>
      <c r="J14" s="40" t="b">
        <v>1</v>
      </c>
      <c r="K14" s="40" t="b">
        <v>1</v>
      </c>
      <c r="L14" s="40" t="b">
        <v>1</v>
      </c>
      <c r="M14" s="40" t="b">
        <v>1</v>
      </c>
      <c r="N14" s="40" t="b">
        <v>1</v>
      </c>
      <c r="O14" s="40" t="b">
        <v>1</v>
      </c>
      <c r="P14" s="40" t="b">
        <v>0</v>
      </c>
      <c r="Q14" s="40" t="b">
        <v>1</v>
      </c>
      <c r="R14" s="40" t="b">
        <v>1</v>
      </c>
      <c r="S14" s="40" t="b">
        <v>1</v>
      </c>
      <c r="T14" s="40" t="b">
        <v>0</v>
      </c>
      <c r="U14" s="40" t="b">
        <v>0</v>
      </c>
      <c r="V14" s="40" t="b">
        <v>0</v>
      </c>
      <c r="W14" s="40" t="b">
        <v>0</v>
      </c>
      <c r="X14" s="40" t="b">
        <v>0</v>
      </c>
      <c r="Y14" s="40" t="b">
        <v>0</v>
      </c>
      <c r="Z14" s="40" t="b">
        <v>0</v>
      </c>
      <c r="AA14" s="40" t="b">
        <v>0</v>
      </c>
      <c r="AB14" s="40" t="b">
        <v>0</v>
      </c>
      <c r="AC14" s="40" t="b">
        <v>0</v>
      </c>
      <c r="AD14" s="40" t="b">
        <v>0</v>
      </c>
      <c r="AE14" s="40" t="b">
        <v>0</v>
      </c>
      <c r="AF14" s="40" t="b">
        <v>0</v>
      </c>
      <c r="AG14" s="40" t="b">
        <v>0</v>
      </c>
      <c r="AH14" s="40">
        <v>3</v>
      </c>
    </row>
    <row r="15" spans="1:34" x14ac:dyDescent="0.45">
      <c r="A15" s="38" t="s">
        <v>128</v>
      </c>
      <c r="B15" s="49">
        <v>3</v>
      </c>
      <c r="C15" s="49">
        <v>4</v>
      </c>
      <c r="D15" s="49">
        <v>9</v>
      </c>
      <c r="E15" s="38">
        <v>2</v>
      </c>
      <c r="F15" s="49">
        <v>32</v>
      </c>
      <c r="G15" s="49">
        <v>15</v>
      </c>
      <c r="H15" s="38" t="s">
        <v>42</v>
      </c>
      <c r="I15" s="9" t="b">
        <v>1</v>
      </c>
      <c r="J15" s="9" t="b">
        <v>1</v>
      </c>
      <c r="K15" s="9" t="b">
        <v>1</v>
      </c>
      <c r="L15" s="9" t="b">
        <v>1</v>
      </c>
      <c r="M15" s="9" t="b">
        <v>1</v>
      </c>
      <c r="N15" s="9" t="b">
        <v>1</v>
      </c>
      <c r="O15" s="9" t="b">
        <v>0</v>
      </c>
      <c r="P15" s="9" t="b">
        <v>0</v>
      </c>
      <c r="Q15" s="9" t="b">
        <v>1</v>
      </c>
      <c r="R15" s="9" t="b">
        <v>0</v>
      </c>
      <c r="S15" s="9" t="b">
        <v>0</v>
      </c>
      <c r="T15" s="9" t="b">
        <v>0</v>
      </c>
      <c r="U15" s="9" t="b">
        <v>0</v>
      </c>
      <c r="V15" s="9" t="b">
        <v>0</v>
      </c>
      <c r="W15" s="9" t="b">
        <v>0</v>
      </c>
      <c r="X15" s="9" t="b">
        <v>0</v>
      </c>
      <c r="Y15" s="9" t="b">
        <v>0</v>
      </c>
      <c r="Z15" s="9" t="b">
        <v>0</v>
      </c>
      <c r="AA15" s="9" t="b">
        <v>0</v>
      </c>
      <c r="AB15" s="9" t="b">
        <v>0</v>
      </c>
      <c r="AC15" s="9" t="b">
        <v>0</v>
      </c>
      <c r="AD15" s="9" t="b">
        <v>0</v>
      </c>
      <c r="AE15" s="9" t="b">
        <v>0</v>
      </c>
      <c r="AF15" s="9" t="b">
        <v>0</v>
      </c>
      <c r="AG15" s="9" t="b">
        <v>0</v>
      </c>
      <c r="AH15" s="41">
        <v>1</v>
      </c>
    </row>
    <row r="16" spans="1:34" x14ac:dyDescent="0.45">
      <c r="A16" s="39">
        <v>7</v>
      </c>
      <c r="B16" s="48">
        <v>5</v>
      </c>
      <c r="C16" s="48">
        <v>5</v>
      </c>
      <c r="D16" s="48">
        <v>5</v>
      </c>
      <c r="E16" s="39">
        <v>3</v>
      </c>
      <c r="F16" s="48">
        <v>22</v>
      </c>
      <c r="G16" s="48">
        <v>7</v>
      </c>
      <c r="H16" s="39" t="s">
        <v>42</v>
      </c>
      <c r="I16" s="40" t="b">
        <v>1</v>
      </c>
      <c r="J16" s="40" t="b">
        <v>0</v>
      </c>
      <c r="K16" s="40" t="b">
        <v>1</v>
      </c>
      <c r="L16" s="40" t="b">
        <v>0</v>
      </c>
      <c r="M16" s="40" t="b">
        <v>1</v>
      </c>
      <c r="N16" s="40" t="b">
        <v>0</v>
      </c>
      <c r="O16" s="40" t="b">
        <v>0</v>
      </c>
      <c r="P16" s="40" t="b">
        <v>0</v>
      </c>
      <c r="Q16" s="40" t="b">
        <v>1</v>
      </c>
      <c r="R16" s="40" t="b">
        <v>1</v>
      </c>
      <c r="S16" s="40" t="b">
        <v>1</v>
      </c>
      <c r="T16" s="40" t="b">
        <v>0</v>
      </c>
      <c r="U16" s="40" t="b">
        <v>1</v>
      </c>
      <c r="V16" s="40" t="b">
        <v>0</v>
      </c>
      <c r="W16" s="40" t="b">
        <v>0</v>
      </c>
      <c r="X16" s="40" t="b">
        <v>0</v>
      </c>
      <c r="Y16" s="40" t="b">
        <v>0</v>
      </c>
      <c r="Z16" s="40" t="b">
        <v>0</v>
      </c>
      <c r="AA16" s="40" t="b">
        <v>0</v>
      </c>
      <c r="AB16" s="40" t="b">
        <v>0</v>
      </c>
      <c r="AC16" s="40" t="b">
        <v>0</v>
      </c>
      <c r="AD16" s="40" t="b">
        <v>0</v>
      </c>
      <c r="AE16" s="40" t="b">
        <v>0</v>
      </c>
      <c r="AF16" s="40" t="b">
        <v>0</v>
      </c>
      <c r="AG16" s="40" t="b">
        <v>0</v>
      </c>
      <c r="AH16" s="40">
        <v>4</v>
      </c>
    </row>
    <row r="17" spans="1:34" x14ac:dyDescent="0.45">
      <c r="A17" s="38" t="s">
        <v>130</v>
      </c>
      <c r="B17" s="49">
        <v>4</v>
      </c>
      <c r="C17" s="49">
        <v>5</v>
      </c>
      <c r="D17" s="49">
        <v>5</v>
      </c>
      <c r="E17" s="38">
        <v>3</v>
      </c>
      <c r="F17" s="49">
        <v>32</v>
      </c>
      <c r="G17" s="49">
        <v>12</v>
      </c>
      <c r="H17" s="38" t="s">
        <v>42</v>
      </c>
      <c r="I17" s="9" t="b">
        <v>1</v>
      </c>
      <c r="J17" s="9" t="b">
        <v>0</v>
      </c>
      <c r="K17" s="9" t="b">
        <v>1</v>
      </c>
      <c r="L17" s="9" t="b">
        <v>0</v>
      </c>
      <c r="M17" s="9" t="b">
        <v>0</v>
      </c>
      <c r="N17" s="9" t="b">
        <v>1</v>
      </c>
      <c r="O17" s="9" t="b">
        <v>1</v>
      </c>
      <c r="P17" s="9" t="b">
        <v>0</v>
      </c>
      <c r="Q17" s="9" t="b">
        <v>1</v>
      </c>
      <c r="R17" s="9" t="b">
        <v>0</v>
      </c>
      <c r="S17" s="9" t="b">
        <v>0</v>
      </c>
      <c r="T17" s="9" t="b">
        <v>1</v>
      </c>
      <c r="U17" s="9" t="b">
        <v>1</v>
      </c>
      <c r="V17" s="9" t="b">
        <v>1</v>
      </c>
      <c r="W17" s="9" t="b">
        <v>0</v>
      </c>
      <c r="X17" s="9" t="b">
        <v>0</v>
      </c>
      <c r="Y17" s="9" t="b">
        <v>0</v>
      </c>
      <c r="Z17" s="9" t="b">
        <v>0</v>
      </c>
      <c r="AA17" s="9" t="b">
        <v>0</v>
      </c>
      <c r="AB17" s="9" t="b">
        <v>0</v>
      </c>
      <c r="AC17" s="9" t="b">
        <v>0</v>
      </c>
      <c r="AD17" s="9" t="b">
        <v>0</v>
      </c>
      <c r="AE17" s="9" t="b">
        <v>0</v>
      </c>
      <c r="AF17" s="9" t="b">
        <v>0</v>
      </c>
      <c r="AG17" s="9" t="b">
        <v>0</v>
      </c>
      <c r="AH17" s="41">
        <v>4</v>
      </c>
    </row>
    <row r="18" spans="1:34" x14ac:dyDescent="0.45">
      <c r="A18" s="39" t="s">
        <v>120</v>
      </c>
      <c r="B18" s="48">
        <v>5</v>
      </c>
      <c r="C18" s="48">
        <v>5</v>
      </c>
      <c r="D18" s="48">
        <v>3</v>
      </c>
      <c r="E18" s="39">
        <v>3</v>
      </c>
      <c r="F18" s="48">
        <v>25</v>
      </c>
      <c r="G18" s="48">
        <v>7</v>
      </c>
      <c r="H18" s="39" t="s">
        <v>34</v>
      </c>
      <c r="I18" s="40" t="b">
        <v>1</v>
      </c>
      <c r="J18" s="40" t="b">
        <v>0</v>
      </c>
      <c r="K18" s="40" t="b">
        <v>1</v>
      </c>
      <c r="L18" s="40" t="b">
        <v>1</v>
      </c>
      <c r="M18" s="40" t="b">
        <v>1</v>
      </c>
      <c r="N18" s="40" t="b">
        <v>1</v>
      </c>
      <c r="O18" s="40" t="b">
        <v>1</v>
      </c>
      <c r="P18" s="40" t="b">
        <v>0</v>
      </c>
      <c r="Q18" s="40" t="b">
        <v>1</v>
      </c>
      <c r="R18" s="40" t="b">
        <v>1</v>
      </c>
      <c r="S18" s="40" t="b">
        <v>1</v>
      </c>
      <c r="T18" s="40" t="b">
        <v>1</v>
      </c>
      <c r="U18" s="40" t="b">
        <v>0</v>
      </c>
      <c r="V18" s="40" t="b">
        <v>1</v>
      </c>
      <c r="W18" s="40" t="b">
        <v>1</v>
      </c>
      <c r="X18" s="40" t="b">
        <v>0</v>
      </c>
      <c r="Y18" s="40" t="b">
        <v>0</v>
      </c>
      <c r="Z18" s="40" t="b">
        <v>0</v>
      </c>
      <c r="AA18" s="40" t="b">
        <v>0</v>
      </c>
      <c r="AB18" s="40" t="b">
        <v>0</v>
      </c>
      <c r="AC18" s="40" t="b">
        <v>0</v>
      </c>
      <c r="AD18" s="40" t="b">
        <v>0</v>
      </c>
      <c r="AE18" s="40" t="b">
        <v>0</v>
      </c>
      <c r="AF18" s="40" t="b">
        <v>0</v>
      </c>
      <c r="AG18" s="40" t="b">
        <v>0</v>
      </c>
      <c r="AH18" s="42">
        <v>6</v>
      </c>
    </row>
    <row r="19" spans="1:34" x14ac:dyDescent="0.45">
      <c r="A19" s="38">
        <v>8</v>
      </c>
      <c r="B19" s="49">
        <v>5</v>
      </c>
      <c r="C19" s="49">
        <v>5</v>
      </c>
      <c r="D19" s="49">
        <v>6</v>
      </c>
      <c r="E19" s="38">
        <v>3</v>
      </c>
      <c r="F19" s="49">
        <v>22</v>
      </c>
      <c r="G19" s="49">
        <v>8</v>
      </c>
      <c r="H19" s="38" t="s">
        <v>42</v>
      </c>
      <c r="I19" s="9" t="b">
        <v>1</v>
      </c>
      <c r="J19" s="9" t="b">
        <v>0</v>
      </c>
      <c r="K19" s="9" t="b">
        <v>1</v>
      </c>
      <c r="L19" s="9" t="b">
        <v>1</v>
      </c>
      <c r="M19" s="9" t="b">
        <v>1</v>
      </c>
      <c r="N19" s="9" t="b">
        <v>1</v>
      </c>
      <c r="O19" s="9" t="b">
        <v>1</v>
      </c>
      <c r="P19" s="9" t="b">
        <v>0</v>
      </c>
      <c r="Q19" s="9" t="b">
        <v>1</v>
      </c>
      <c r="R19" s="9" t="b">
        <v>0</v>
      </c>
      <c r="S19" s="9" t="b">
        <v>1</v>
      </c>
      <c r="T19" s="9" t="b">
        <v>1</v>
      </c>
      <c r="U19" s="9" t="b">
        <v>1</v>
      </c>
      <c r="V19" s="9" t="b">
        <v>1</v>
      </c>
      <c r="W19" s="9" t="b">
        <v>0</v>
      </c>
      <c r="X19" s="9" t="b">
        <v>0</v>
      </c>
      <c r="Y19" s="9" t="b">
        <v>0</v>
      </c>
      <c r="Z19" s="9" t="b">
        <v>0</v>
      </c>
      <c r="AA19" s="9" t="b">
        <v>0</v>
      </c>
      <c r="AB19" s="9" t="b">
        <v>0</v>
      </c>
      <c r="AC19" s="9" t="b">
        <v>0</v>
      </c>
      <c r="AD19" s="9" t="b">
        <v>0</v>
      </c>
      <c r="AE19" s="9" t="b">
        <v>0</v>
      </c>
      <c r="AF19" s="9" t="b">
        <v>0</v>
      </c>
      <c r="AG19" s="9" t="b">
        <v>0</v>
      </c>
      <c r="AH19" s="9">
        <v>5</v>
      </c>
    </row>
    <row r="20" spans="1:34" x14ac:dyDescent="0.45">
      <c r="A20" s="39" t="s">
        <v>131</v>
      </c>
      <c r="B20" s="48">
        <v>4</v>
      </c>
      <c r="C20" s="48">
        <v>4</v>
      </c>
      <c r="D20" s="48">
        <v>3</v>
      </c>
      <c r="E20" s="39">
        <v>3</v>
      </c>
      <c r="F20" s="48">
        <v>34</v>
      </c>
      <c r="G20" s="48">
        <v>20</v>
      </c>
      <c r="H20" s="39" t="s">
        <v>34</v>
      </c>
      <c r="I20" s="40" t="b">
        <v>1</v>
      </c>
      <c r="J20" s="40" t="b">
        <v>0</v>
      </c>
      <c r="K20" s="40" t="b">
        <v>1</v>
      </c>
      <c r="L20" s="40" t="b">
        <v>1</v>
      </c>
      <c r="M20" s="40" t="b">
        <v>1</v>
      </c>
      <c r="N20" s="40" t="b">
        <v>1</v>
      </c>
      <c r="O20" s="40" t="b">
        <v>1</v>
      </c>
      <c r="P20" s="40" t="b">
        <v>0</v>
      </c>
      <c r="Q20" s="40" t="b">
        <v>1</v>
      </c>
      <c r="R20" s="40" t="b">
        <v>1</v>
      </c>
      <c r="S20" s="40" t="b">
        <v>1</v>
      </c>
      <c r="T20" s="40" t="b">
        <v>1</v>
      </c>
      <c r="U20" s="40" t="b">
        <v>1</v>
      </c>
      <c r="V20" s="40" t="b">
        <v>1</v>
      </c>
      <c r="W20" s="40" t="b">
        <v>0</v>
      </c>
      <c r="X20" s="40" t="b">
        <v>0</v>
      </c>
      <c r="Y20" s="40" t="b">
        <v>0</v>
      </c>
      <c r="Z20" s="40" t="b">
        <v>0</v>
      </c>
      <c r="AA20" s="40" t="b">
        <v>0</v>
      </c>
      <c r="AB20" s="40" t="b">
        <v>0</v>
      </c>
      <c r="AC20" s="40" t="b">
        <v>0</v>
      </c>
      <c r="AD20" s="40" t="b">
        <v>1</v>
      </c>
      <c r="AE20" s="40" t="b">
        <v>0</v>
      </c>
      <c r="AF20" s="40" t="b">
        <v>0</v>
      </c>
      <c r="AG20" s="40" t="b">
        <v>0</v>
      </c>
      <c r="AH20" s="42">
        <v>6</v>
      </c>
    </row>
    <row r="21" spans="1:34" x14ac:dyDescent="0.45">
      <c r="A21" s="38">
        <v>9</v>
      </c>
      <c r="B21" s="49">
        <v>5</v>
      </c>
      <c r="C21" s="49">
        <v>5</v>
      </c>
      <c r="D21" s="49">
        <v>6</v>
      </c>
      <c r="E21" s="38">
        <v>3</v>
      </c>
      <c r="F21" s="49">
        <v>23</v>
      </c>
      <c r="G21" s="49">
        <v>5</v>
      </c>
      <c r="H21" s="38" t="s">
        <v>34</v>
      </c>
      <c r="I21" s="9" t="b">
        <v>1</v>
      </c>
      <c r="J21" s="9" t="b">
        <v>1</v>
      </c>
      <c r="K21" s="9" t="b">
        <v>1</v>
      </c>
      <c r="L21" s="9" t="b">
        <v>1</v>
      </c>
      <c r="M21" s="9" t="b">
        <v>1</v>
      </c>
      <c r="N21" s="9" t="b">
        <v>1</v>
      </c>
      <c r="O21" s="9" t="b">
        <v>1</v>
      </c>
      <c r="P21" s="9" t="b">
        <v>0</v>
      </c>
      <c r="Q21" s="9" t="b">
        <v>1</v>
      </c>
      <c r="R21" s="9" t="b">
        <v>1</v>
      </c>
      <c r="S21" s="9" t="b">
        <v>1</v>
      </c>
      <c r="T21" s="9" t="b">
        <v>1</v>
      </c>
      <c r="U21" s="9" t="b">
        <v>0</v>
      </c>
      <c r="V21" s="9" t="b">
        <v>0</v>
      </c>
      <c r="W21" s="9" t="b">
        <v>0</v>
      </c>
      <c r="X21" s="9" t="b">
        <v>0</v>
      </c>
      <c r="Y21" s="9" t="b">
        <v>0</v>
      </c>
      <c r="Z21" s="9" t="b">
        <v>0</v>
      </c>
      <c r="AA21" s="9" t="b">
        <v>0</v>
      </c>
      <c r="AB21" s="9" t="b">
        <v>0</v>
      </c>
      <c r="AC21" s="9" t="b">
        <v>1</v>
      </c>
      <c r="AD21" s="9" t="b">
        <v>0</v>
      </c>
      <c r="AE21" s="9" t="b">
        <v>0</v>
      </c>
      <c r="AF21" s="9" t="b">
        <v>0</v>
      </c>
      <c r="AG21" s="9" t="b">
        <v>0</v>
      </c>
      <c r="AH21" s="9">
        <v>5</v>
      </c>
    </row>
    <row r="22" spans="1:34" x14ac:dyDescent="0.45">
      <c r="A22" s="45" t="s">
        <v>118</v>
      </c>
      <c r="B22" s="50">
        <v>3</v>
      </c>
      <c r="C22" s="50">
        <v>4</v>
      </c>
      <c r="D22" s="50">
        <v>3</v>
      </c>
      <c r="E22" s="45">
        <v>2</v>
      </c>
      <c r="F22" s="50">
        <v>28</v>
      </c>
      <c r="G22" s="50">
        <v>14</v>
      </c>
      <c r="H22" s="45" t="s">
        <v>42</v>
      </c>
      <c r="I22" s="46" t="b">
        <v>1</v>
      </c>
      <c r="J22" s="46" t="b">
        <v>1</v>
      </c>
      <c r="K22" s="46" t="b">
        <v>1</v>
      </c>
      <c r="L22" s="46" t="b">
        <v>0</v>
      </c>
      <c r="M22" s="46" t="b">
        <v>0</v>
      </c>
      <c r="N22" s="46" t="b">
        <v>0</v>
      </c>
      <c r="O22" s="46" t="b">
        <v>0</v>
      </c>
      <c r="P22" s="46" t="b">
        <v>1</v>
      </c>
      <c r="Q22" s="46" t="b">
        <v>1</v>
      </c>
      <c r="R22" s="46" t="b">
        <v>1</v>
      </c>
      <c r="S22" s="46" t="b">
        <v>1</v>
      </c>
      <c r="T22" s="46" t="b">
        <v>1</v>
      </c>
      <c r="U22" s="46" t="b">
        <v>1</v>
      </c>
      <c r="V22" s="46" t="b">
        <v>1</v>
      </c>
      <c r="W22" s="46" t="b">
        <v>0</v>
      </c>
      <c r="X22" s="46" t="b">
        <v>0</v>
      </c>
      <c r="Y22" s="46" t="b">
        <v>0</v>
      </c>
      <c r="Z22" s="46" t="b">
        <v>0</v>
      </c>
      <c r="AA22" s="46" t="b">
        <v>0</v>
      </c>
      <c r="AB22" s="46" t="b">
        <v>0</v>
      </c>
      <c r="AC22" s="46" t="b">
        <v>0</v>
      </c>
      <c r="AD22" s="46" t="b">
        <v>0</v>
      </c>
      <c r="AE22" s="46" t="b">
        <v>0</v>
      </c>
      <c r="AF22" s="46" t="b">
        <v>0</v>
      </c>
      <c r="AG22" s="46" t="b">
        <v>0</v>
      </c>
      <c r="AH22" s="47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49E6-3B43-4AAF-86BB-98035B08AB17}">
  <dimension ref="B2:D15"/>
  <sheetViews>
    <sheetView workbookViewId="0">
      <selection activeCell="H23" sqref="H23"/>
    </sheetView>
  </sheetViews>
  <sheetFormatPr defaultRowHeight="14.25" x14ac:dyDescent="0.45"/>
  <sheetData>
    <row r="2" spans="2:4" x14ac:dyDescent="0.45">
      <c r="B2" t="s">
        <v>47</v>
      </c>
    </row>
    <row r="3" spans="2:4" x14ac:dyDescent="0.45">
      <c r="B3" t="s">
        <v>51</v>
      </c>
    </row>
    <row r="4" spans="2:4" x14ac:dyDescent="0.45">
      <c r="B4" t="s">
        <v>48</v>
      </c>
    </row>
    <row r="5" spans="2:4" x14ac:dyDescent="0.45">
      <c r="B5" t="s">
        <v>49</v>
      </c>
    </row>
    <row r="6" spans="2:4" x14ac:dyDescent="0.45">
      <c r="B6" t="s">
        <v>50</v>
      </c>
    </row>
    <row r="8" spans="2:4" x14ac:dyDescent="0.45">
      <c r="B8" t="s">
        <v>52</v>
      </c>
    </row>
    <row r="15" spans="2:4" x14ac:dyDescent="0.45">
      <c r="D15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7116-CC48-4D5A-9A81-2552F039EDA5}">
  <dimension ref="A1:C38"/>
  <sheetViews>
    <sheetView workbookViewId="0">
      <selection activeCell="D47" sqref="D47:D54"/>
    </sheetView>
  </sheetViews>
  <sheetFormatPr defaultRowHeight="14.25" x14ac:dyDescent="0.45"/>
  <cols>
    <col min="1" max="1" width="29.33203125" customWidth="1"/>
    <col min="2" max="2" width="12.06640625" customWidth="1"/>
    <col min="3" max="3" width="11.46484375" customWidth="1"/>
    <col min="4" max="4" width="13.265625" customWidth="1"/>
    <col min="5" max="5" width="13.796875" customWidth="1"/>
  </cols>
  <sheetData>
    <row r="1" spans="1:3" x14ac:dyDescent="0.45">
      <c r="A1" s="3" t="s">
        <v>102</v>
      </c>
      <c r="B1" s="4"/>
      <c r="C1" s="4"/>
    </row>
    <row r="2" spans="1:3" x14ac:dyDescent="0.45">
      <c r="A2" s="7" t="s">
        <v>98</v>
      </c>
      <c r="B2" s="2" t="s">
        <v>28</v>
      </c>
      <c r="C2" s="2" t="s">
        <v>27</v>
      </c>
    </row>
    <row r="3" spans="1:3" x14ac:dyDescent="0.45">
      <c r="A3" s="14">
        <v>1</v>
      </c>
      <c r="B3">
        <f>SUMIFS(Table1[FixRelatedExplanations],Table1[KIT],A3,Table1[ExplanationType],$B$2)</f>
        <v>3</v>
      </c>
      <c r="C3">
        <f>SUMIFS(Table1[FixRelatedExplanations],Table1[KIT],A3,Table1[ExplanationType],$C$2)</f>
        <v>2</v>
      </c>
    </row>
    <row r="4" spans="1:3" x14ac:dyDescent="0.45">
      <c r="A4" s="14" t="s">
        <v>123</v>
      </c>
      <c r="B4">
        <f>SUMIFS(Table1[FixRelatedExplanations],Table1[KIT],A4,Table1[ExplanationType],$B$2)</f>
        <v>2</v>
      </c>
      <c r="C4">
        <f>SUMIFS(Table1[FixRelatedExplanations],Table1[KIT],A4,Table1[ExplanationType],$C$2)</f>
        <v>2</v>
      </c>
    </row>
    <row r="5" spans="1:3" x14ac:dyDescent="0.45">
      <c r="A5" s="14" t="s">
        <v>127</v>
      </c>
      <c r="B5">
        <f>SUMIFS(Table1[FixRelatedExplanations],Table1[KIT],A5,Table1[ExplanationType],$B$2)</f>
        <v>2</v>
      </c>
      <c r="C5">
        <f>SUMIFS(Table1[FixRelatedExplanations],Table1[KIT],A5,Table1[ExplanationType],$C$2)</f>
        <v>3</v>
      </c>
    </row>
    <row r="6" spans="1:3" x14ac:dyDescent="0.45">
      <c r="A6" s="14">
        <v>2</v>
      </c>
      <c r="B6">
        <f>SUMIFS(Table1[FixRelatedExplanations],Table1[KIT],A6,Table1[ExplanationType],$B$2)</f>
        <v>3</v>
      </c>
      <c r="C6">
        <f>SUMIFS(Table1[FixRelatedExplanations],Table1[KIT],A6,Table1[ExplanationType],$C$2)</f>
        <v>3</v>
      </c>
    </row>
    <row r="7" spans="1:3" x14ac:dyDescent="0.45">
      <c r="A7" s="14" t="s">
        <v>122</v>
      </c>
      <c r="B7">
        <f>SUMIFS(Table1[FixRelatedExplanations],Table1[KIT],A7,Table1[ExplanationType],$B$2)</f>
        <v>2</v>
      </c>
      <c r="C7">
        <f>SUMIFS(Table1[FixRelatedExplanations],Table1[KIT],A7,Table1[ExplanationType],$C$2)</f>
        <v>3</v>
      </c>
    </row>
    <row r="8" spans="1:3" x14ac:dyDescent="0.45">
      <c r="A8" s="14">
        <v>3</v>
      </c>
      <c r="B8">
        <f>SUMIFS(Table1[FixRelatedExplanations],Table1[KIT],A8,Table1[ExplanationType],$B$2)</f>
        <v>3</v>
      </c>
      <c r="C8">
        <f>SUMIFS(Table1[FixRelatedExplanations],Table1[KIT],A8,Table1[ExplanationType],$C$2)</f>
        <v>3</v>
      </c>
    </row>
    <row r="9" spans="1:3" x14ac:dyDescent="0.45">
      <c r="A9" s="14" t="s">
        <v>115</v>
      </c>
      <c r="B9">
        <f>SUMIFS(Table1[FixRelatedExplanations],Table1[KIT],A9,Table1[ExplanationType],$B$2)</f>
        <v>2</v>
      </c>
      <c r="C9">
        <f>SUMIFS(Table1[FixRelatedExplanations],Table1[KIT],A9,Table1[ExplanationType],$C$2)</f>
        <v>1</v>
      </c>
    </row>
    <row r="10" spans="1:3" x14ac:dyDescent="0.45">
      <c r="A10" s="14">
        <v>4</v>
      </c>
      <c r="B10">
        <f>SUMIFS(Table1[FixRelatedExplanations],Table1[KIT],A10,Table1[ExplanationType],$B$2)</f>
        <v>3</v>
      </c>
      <c r="C10">
        <f>SUMIFS(Table1[FixRelatedExplanations],Table1[KIT],A10,Table1[ExplanationType],$C$2)</f>
        <v>3</v>
      </c>
    </row>
    <row r="11" spans="1:3" x14ac:dyDescent="0.45">
      <c r="A11" s="14" t="s">
        <v>116</v>
      </c>
      <c r="B11" s="27">
        <f>SUMIFS(Table1[FixRelatedExplanations],Table1[KIT],A11,Table1[ExplanationType],$B$2)</f>
        <v>1</v>
      </c>
      <c r="C11" s="27">
        <f>SUMIFS(Table1[FixRelatedExplanations],Table1[KIT],A11,Table1[ExplanationType],$C$2)</f>
        <v>3</v>
      </c>
    </row>
    <row r="12" spans="1:3" x14ac:dyDescent="0.45">
      <c r="A12" s="14" t="s">
        <v>119</v>
      </c>
      <c r="B12" s="27">
        <f>SUMIFS(Table1[FixRelatedExplanations],Table1[KIT],A12,Table1[ExplanationType],$B$2)</f>
        <v>1</v>
      </c>
      <c r="C12" s="27">
        <f>SUMIFS(Table1[FixRelatedExplanations],Table1[KIT],A12,Table1[ExplanationType],$C$2)</f>
        <v>3</v>
      </c>
    </row>
    <row r="13" spans="1:3" x14ac:dyDescent="0.45">
      <c r="A13" s="14">
        <v>5</v>
      </c>
      <c r="B13" s="27">
        <f>SUMIFS(Table1[FixRelatedExplanations],Table1[KIT],A13,Table1[ExplanationType],$B$2)</f>
        <v>3</v>
      </c>
      <c r="C13" s="27">
        <f>SUMIFS(Table1[FixRelatedExplanations],Table1[KIT],A13,Table1[ExplanationType],$C$2)</f>
        <v>3</v>
      </c>
    </row>
    <row r="14" spans="1:3" x14ac:dyDescent="0.45">
      <c r="A14" s="14" t="s">
        <v>129</v>
      </c>
      <c r="B14" s="27">
        <f>SUMIFS(Table1[FixRelatedExplanations],Table1[KIT],A14,Table1[ExplanationType],$B$2)</f>
        <v>2</v>
      </c>
      <c r="C14" s="27">
        <f>SUMIFS(Table1[FixRelatedExplanations],Table1[KIT],A14,Table1[ExplanationType],$C$2)</f>
        <v>3</v>
      </c>
    </row>
    <row r="15" spans="1:3" x14ac:dyDescent="0.45">
      <c r="A15" s="14">
        <v>6</v>
      </c>
      <c r="B15" s="27">
        <f>SUMIFS(Table1[FixRelatedExplanations],Table1[KIT],A15,Table1[ExplanationType],$B$2)</f>
        <v>0</v>
      </c>
      <c r="C15" s="27">
        <f>SUMIFS(Table1[FixRelatedExplanations],Table1[KIT],A15,Table1[ExplanationType],$C$2)</f>
        <v>3</v>
      </c>
    </row>
    <row r="16" spans="1:3" x14ac:dyDescent="0.45">
      <c r="A16" s="14" t="s">
        <v>128</v>
      </c>
      <c r="B16" s="27">
        <f>SUMIFS(Table1[FixRelatedExplanations],Table1[KIT],A16,Table1[ExplanationType],$B$2)</f>
        <v>2</v>
      </c>
      <c r="C16" s="27">
        <f>SUMIFS(Table1[FixRelatedExplanations],Table1[KIT],A16,Table1[ExplanationType],$C$2)</f>
        <v>2</v>
      </c>
    </row>
    <row r="17" spans="1:3" x14ac:dyDescent="0.45">
      <c r="A17" s="14">
        <v>7</v>
      </c>
      <c r="B17" s="27">
        <f>SUMIFS(Table1[FixRelatedExplanations],Table1[KIT],A17,Table1[ExplanationType],$B$2)</f>
        <v>2</v>
      </c>
      <c r="C17" s="27">
        <f>SUMIFS(Table1[FixRelatedExplanations],Table1[KIT],A17,Table1[ExplanationType],$C$2)</f>
        <v>3</v>
      </c>
    </row>
    <row r="18" spans="1:3" x14ac:dyDescent="0.45">
      <c r="A18" s="14" t="s">
        <v>130</v>
      </c>
      <c r="B18" s="27">
        <f>SUMIFS(Table1[FixRelatedExplanations],Table1[KIT],A18,Table1[ExplanationType],$B$2)</f>
        <v>2</v>
      </c>
      <c r="C18" s="27">
        <f>SUMIFS(Table1[FixRelatedExplanations],Table1[KIT],A18,Table1[ExplanationType],$C$2)</f>
        <v>3</v>
      </c>
    </row>
    <row r="19" spans="1:3" x14ac:dyDescent="0.45">
      <c r="A19" s="14" t="s">
        <v>120</v>
      </c>
      <c r="B19" s="27">
        <f>SUMIFS(Table1[FixRelatedExplanations],Table1[KIT],A19,Table1[ExplanationType],$B$2)</f>
        <v>3</v>
      </c>
      <c r="C19" s="27">
        <f>SUMIFS(Table1[FixRelatedExplanations],Table1[KIT],A19,Table1[ExplanationType],$C$2)</f>
        <v>3</v>
      </c>
    </row>
    <row r="20" spans="1:3" x14ac:dyDescent="0.45">
      <c r="A20" s="14">
        <v>8</v>
      </c>
      <c r="B20" s="27">
        <f>SUMIFS(Table1[FixRelatedExplanations],Table1[KIT],A20,Table1[ExplanationType],$B$2)</f>
        <v>3</v>
      </c>
      <c r="C20" s="27">
        <f>SUMIFS(Table1[FixRelatedExplanations],Table1[KIT],A20,Table1[ExplanationType],$C$2)</f>
        <v>3</v>
      </c>
    </row>
    <row r="21" spans="1:3" x14ac:dyDescent="0.45">
      <c r="A21" s="14" t="s">
        <v>131</v>
      </c>
      <c r="B21" s="27">
        <f>SUMIFS(Table1[FixRelatedExplanations],Table1[KIT],A21,Table1[ExplanationType],$B$2)</f>
        <v>3</v>
      </c>
      <c r="C21" s="27">
        <f>SUMIFS(Table1[FixRelatedExplanations],Table1[KIT],A21,Table1[ExplanationType],$C$2)</f>
        <v>3</v>
      </c>
    </row>
    <row r="22" spans="1:3" x14ac:dyDescent="0.45">
      <c r="A22" s="14">
        <v>9</v>
      </c>
      <c r="B22" s="27">
        <f>SUMIFS(Table1[FixRelatedExplanations],Table1[KIT],A22,Table1[ExplanationType],$B$2)</f>
        <v>2</v>
      </c>
      <c r="C22" s="27">
        <f>SUMIFS(Table1[FixRelatedExplanations],Table1[KIT],A22,Table1[ExplanationType],$C$2)</f>
        <v>3</v>
      </c>
    </row>
    <row r="23" spans="1:3" x14ac:dyDescent="0.45">
      <c r="A23" s="14" t="s">
        <v>118</v>
      </c>
      <c r="B23" s="27">
        <f>SUMIFS(Table1[FixRelatedExplanations],Table1[KIT],A23,Table1[ExplanationType],$B$2)</f>
        <v>2</v>
      </c>
      <c r="C23" s="27">
        <f>SUMIFS(Table1[FixRelatedExplanations],Table1[KIT],A23,Table1[ExplanationType],$C$2)</f>
        <v>2</v>
      </c>
    </row>
    <row r="24" spans="1:3" x14ac:dyDescent="0.45">
      <c r="A24" s="7" t="s">
        <v>58</v>
      </c>
      <c r="B24" s="12">
        <f>SUBTOTAL(101,Table12151721[RootCause])</f>
        <v>2.1904761904761907</v>
      </c>
      <c r="C24" s="12">
        <f>SUBTOTAL(101,Table12151721[Fix])</f>
        <v>2.7142857142857144</v>
      </c>
    </row>
    <row r="25" spans="1:3" x14ac:dyDescent="0.45">
      <c r="A25" s="10" t="s">
        <v>75</v>
      </c>
      <c r="B25" s="13">
        <f>_xlfn.STDEV.S(Table12151721[RootCause])</f>
        <v>0.81357529578076671</v>
      </c>
      <c r="C25" s="13">
        <f>_xlfn.STDEV.S(Table12151721[Fix])</f>
        <v>0.56061191058138771</v>
      </c>
    </row>
    <row r="27" spans="1:3" ht="42.75" x14ac:dyDescent="0.45">
      <c r="B27" s="18" t="s">
        <v>93</v>
      </c>
    </row>
    <row r="28" spans="1:3" x14ac:dyDescent="0.45">
      <c r="B28" s="19" t="str">
        <f>IF(Table12151721[[#Totals],[RootCause]]&lt;Table12151721[[#Totals],[Fix]],"YES","NO")</f>
        <v>YES</v>
      </c>
    </row>
    <row r="30" spans="1:3" ht="42.75" x14ac:dyDescent="0.45">
      <c r="A30" s="30" t="s">
        <v>77</v>
      </c>
      <c r="B30" s="31" t="s">
        <v>93</v>
      </c>
    </row>
    <row r="31" spans="1:3" x14ac:dyDescent="0.45">
      <c r="A31" s="32" t="s">
        <v>76</v>
      </c>
      <c r="B31" s="37">
        <f>TTEST(B3:B23,C3:C23,1,2)</f>
        <v>9.8518524660792268E-3</v>
      </c>
    </row>
    <row r="33" spans="1:2" x14ac:dyDescent="0.45">
      <c r="A33" t="s">
        <v>70</v>
      </c>
    </row>
    <row r="34" spans="1:2" ht="42.75" x14ac:dyDescent="0.45">
      <c r="A34" s="30" t="s">
        <v>60</v>
      </c>
      <c r="B34" s="31" t="s">
        <v>93</v>
      </c>
    </row>
    <row r="35" spans="1:2" x14ac:dyDescent="0.45">
      <c r="A35" s="32" t="s">
        <v>69</v>
      </c>
      <c r="B35" s="30">
        <v>0.05</v>
      </c>
    </row>
    <row r="36" spans="1:2" x14ac:dyDescent="0.45">
      <c r="A36" s="32" t="s">
        <v>68</v>
      </c>
      <c r="B36" s="30">
        <v>0.77</v>
      </c>
    </row>
    <row r="37" spans="1:2" x14ac:dyDescent="0.45">
      <c r="A37" s="32" t="s">
        <v>71</v>
      </c>
      <c r="B37" s="34" t="s">
        <v>74</v>
      </c>
    </row>
    <row r="38" spans="1:2" x14ac:dyDescent="0.45">
      <c r="A38" s="32" t="s">
        <v>83</v>
      </c>
      <c r="B38" s="35">
        <v>0.50470245999999996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703A-3368-434F-B7C8-00B6CFDA0701}">
  <dimension ref="A1:E29"/>
  <sheetViews>
    <sheetView workbookViewId="0">
      <selection activeCell="G29" sqref="G29"/>
    </sheetView>
  </sheetViews>
  <sheetFormatPr defaultRowHeight="14.25" x14ac:dyDescent="0.45"/>
  <cols>
    <col min="1" max="1" width="12.1328125" customWidth="1"/>
    <col min="4" max="4" width="11.265625" customWidth="1"/>
  </cols>
  <sheetData>
    <row r="1" spans="1:5" x14ac:dyDescent="0.45">
      <c r="B1" s="3" t="s">
        <v>8</v>
      </c>
      <c r="C1" s="4"/>
      <c r="D1" s="4"/>
      <c r="E1" s="4"/>
    </row>
    <row r="2" spans="1:5" x14ac:dyDescent="0.45">
      <c r="A2" s="7" t="s">
        <v>98</v>
      </c>
      <c r="B2" s="2" t="s">
        <v>17</v>
      </c>
      <c r="C2" s="2" t="s">
        <v>99</v>
      </c>
      <c r="D2" s="2" t="s">
        <v>28</v>
      </c>
      <c r="E2" s="2" t="s">
        <v>27</v>
      </c>
    </row>
    <row r="3" spans="1:5" x14ac:dyDescent="0.45">
      <c r="A3" s="14">
        <v>1</v>
      </c>
      <c r="B3">
        <f>SUMIFS(Table1[Confidence],Table1[KIT],A3,Table1[ExplanationType],$B$2)</f>
        <v>5</v>
      </c>
      <c r="C3">
        <f>AVERAGE(D3:E3)</f>
        <v>5</v>
      </c>
      <c r="D3">
        <f>SUMIFS(Table1[Confidence],Table1[KIT],A3,Table1[ExplanationType],$D$2)</f>
        <v>5</v>
      </c>
      <c r="E3">
        <f>SUMIFS(Table1[Confidence],Table1[KIT],A3,Table1[ExplanationType],$E$2)</f>
        <v>5</v>
      </c>
    </row>
    <row r="4" spans="1:5" x14ac:dyDescent="0.45">
      <c r="A4" s="14" t="s">
        <v>123</v>
      </c>
      <c r="B4">
        <f>SUMIFS(Table1[Confidence],Table1[KIT],A4,Table1[ExplanationType],$B$2)</f>
        <v>5</v>
      </c>
      <c r="C4">
        <f t="shared" ref="C4:C20" si="0">AVERAGE(D4:E4)</f>
        <v>5</v>
      </c>
      <c r="D4">
        <f>SUMIFS(Table1[Confidence],Table1[KIT],A4,Table1[ExplanationType],$D$2)</f>
        <v>5</v>
      </c>
      <c r="E4">
        <f>SUMIFS(Table1[Confidence],Table1[KIT],A4,Table1[ExplanationType],$E$2)</f>
        <v>5</v>
      </c>
    </row>
    <row r="5" spans="1:5" x14ac:dyDescent="0.45">
      <c r="A5" s="14" t="s">
        <v>127</v>
      </c>
      <c r="B5">
        <f>SUMIFS(Table1[Confidence],Table1[KIT],A5,Table1[ExplanationType],$B$2)</f>
        <v>3</v>
      </c>
      <c r="C5">
        <f t="shared" si="0"/>
        <v>2.5</v>
      </c>
      <c r="D5">
        <f>SUMIFS(Table1[Confidence],Table1[KIT],A5,Table1[ExplanationType],$D$2)</f>
        <v>3</v>
      </c>
      <c r="E5">
        <f>SUMIFS(Table1[Confidence],Table1[KIT],A5,Table1[ExplanationType],$E$2)</f>
        <v>2</v>
      </c>
    </row>
    <row r="6" spans="1:5" x14ac:dyDescent="0.45">
      <c r="A6" s="14">
        <v>2</v>
      </c>
      <c r="B6">
        <f>SUMIFS(Table1[Confidence],Table1[KIT],A6,Table1[ExplanationType],$B$2)</f>
        <v>5</v>
      </c>
      <c r="C6">
        <f t="shared" si="0"/>
        <v>5</v>
      </c>
      <c r="D6">
        <f>SUMIFS(Table1[Confidence],Table1[KIT],A6,Table1[ExplanationType],$D$2)</f>
        <v>5</v>
      </c>
      <c r="E6">
        <f>SUMIFS(Table1[Confidence],Table1[KIT],A6,Table1[ExplanationType],$E$2)</f>
        <v>5</v>
      </c>
    </row>
    <row r="7" spans="1:5" x14ac:dyDescent="0.45">
      <c r="A7" s="14" t="s">
        <v>122</v>
      </c>
      <c r="B7">
        <f>SUMIFS(Table1[Confidence],Table1[KIT],A7,Table1[ExplanationType],$B$2)</f>
        <v>4</v>
      </c>
      <c r="C7">
        <f t="shared" si="0"/>
        <v>4.5</v>
      </c>
      <c r="D7">
        <f>SUMIFS(Table1[Confidence],Table1[KIT],A7,Table1[ExplanationType],$D$2)</f>
        <v>5</v>
      </c>
      <c r="E7">
        <f>SUMIFS(Table1[Confidence],Table1[KIT],A7,Table1[ExplanationType],$E$2)</f>
        <v>4</v>
      </c>
    </row>
    <row r="8" spans="1:5" x14ac:dyDescent="0.45">
      <c r="A8" s="14">
        <v>3</v>
      </c>
      <c r="B8">
        <f>SUMIFS(Table1[Confidence],Table1[KIT],A8,Table1[ExplanationType],$B$2)</f>
        <v>5</v>
      </c>
      <c r="C8">
        <f t="shared" si="0"/>
        <v>4</v>
      </c>
      <c r="D8">
        <f>SUMIFS(Table1[Confidence],Table1[KIT],A8,Table1[ExplanationType],$D$2)</f>
        <v>5</v>
      </c>
      <c r="E8">
        <f>SUMIFS(Table1[Confidence],Table1[KIT],A8,Table1[ExplanationType],$E$2)</f>
        <v>3</v>
      </c>
    </row>
    <row r="9" spans="1:5" x14ac:dyDescent="0.45">
      <c r="A9" s="14" t="s">
        <v>115</v>
      </c>
      <c r="B9">
        <f>SUMIFS(Table1[Confidence],Table1[KIT],A9,Table1[ExplanationType],$B$2)</f>
        <v>4</v>
      </c>
      <c r="C9">
        <f t="shared" si="0"/>
        <v>4</v>
      </c>
      <c r="D9">
        <f>SUMIFS(Table1[Confidence],Table1[KIT],A9,Table1[ExplanationType],$D$2)</f>
        <v>4</v>
      </c>
      <c r="E9">
        <f>SUMIFS(Table1[Confidence],Table1[KIT],A9,Table1[ExplanationType],$E$2)</f>
        <v>4</v>
      </c>
    </row>
    <row r="10" spans="1:5" x14ac:dyDescent="0.45">
      <c r="A10" s="14">
        <v>4</v>
      </c>
      <c r="B10" s="27">
        <f>SUMIFS(Table1[Confidence],Table1[KIT],A10,Table1[ExplanationType],$B$2)</f>
        <v>5</v>
      </c>
      <c r="C10">
        <f>AVERAGE(D10:E10)</f>
        <v>5</v>
      </c>
      <c r="D10" s="27">
        <f>SUMIFS(Table1[Confidence],Table1[KIT],A10,Table1[ExplanationType],$D$2)</f>
        <v>5</v>
      </c>
      <c r="E10" s="27">
        <f>SUMIFS(Table1[Confidence],Table1[KIT],A10,Table1[ExplanationType],$E$2)</f>
        <v>5</v>
      </c>
    </row>
    <row r="11" spans="1:5" x14ac:dyDescent="0.45">
      <c r="A11" s="14" t="s">
        <v>116</v>
      </c>
      <c r="B11" s="27">
        <f>SUMIFS(Table1[Confidence],Table1[KIT],A11,Table1[ExplanationType],$B$2)</f>
        <v>4</v>
      </c>
      <c r="C11">
        <f t="shared" ref="C11:C14" si="1">AVERAGE(D11:E11)</f>
        <v>3</v>
      </c>
      <c r="D11" s="27">
        <f>SUMIFS(Table1[Confidence],Table1[KIT],A11,Table1[ExplanationType],$D$2)</f>
        <v>4</v>
      </c>
      <c r="E11" s="27">
        <f>SUMIFS(Table1[Confidence],Table1[KIT],A11,Table1[ExplanationType],$E$2)</f>
        <v>2</v>
      </c>
    </row>
    <row r="12" spans="1:5" x14ac:dyDescent="0.45">
      <c r="A12" s="14" t="s">
        <v>119</v>
      </c>
      <c r="B12" s="27">
        <f>SUMIFS(Table1[Confidence],Table1[KIT],A12,Table1[ExplanationType],$B$2)</f>
        <v>3</v>
      </c>
      <c r="C12">
        <f t="shared" si="1"/>
        <v>4</v>
      </c>
      <c r="D12" s="27">
        <f>SUMIFS(Table1[Confidence],Table1[KIT],A12,Table1[ExplanationType],$D$2)</f>
        <v>4</v>
      </c>
      <c r="E12" s="27">
        <f>SUMIFS(Table1[Confidence],Table1[KIT],A12,Table1[ExplanationType],$E$2)</f>
        <v>4</v>
      </c>
    </row>
    <row r="13" spans="1:5" x14ac:dyDescent="0.45">
      <c r="A13" s="14">
        <v>5</v>
      </c>
      <c r="B13" s="27">
        <f>SUMIFS(Table1[Confidence],Table1[KIT],A13,Table1[ExplanationType],$B$2)</f>
        <v>3</v>
      </c>
      <c r="C13">
        <f t="shared" si="1"/>
        <v>4.5</v>
      </c>
      <c r="D13" s="27">
        <f>SUMIFS(Table1[Confidence],Table1[KIT],A13,Table1[ExplanationType],$D$2)</f>
        <v>5</v>
      </c>
      <c r="E13" s="27">
        <f>SUMIFS(Table1[Confidence],Table1[KIT],A13,Table1[ExplanationType],$E$2)</f>
        <v>4</v>
      </c>
    </row>
    <row r="14" spans="1:5" x14ac:dyDescent="0.45">
      <c r="A14" s="14" t="s">
        <v>129</v>
      </c>
      <c r="B14" s="27">
        <f>SUMIFS(Table1[Confidence],Table1[KIT],A14,Table1[ExplanationType],$B$2)</f>
        <v>3</v>
      </c>
      <c r="C14">
        <f t="shared" si="1"/>
        <v>4.5</v>
      </c>
      <c r="D14" s="27">
        <f>SUMIFS(Table1[Confidence],Table1[KIT],A14,Table1[ExplanationType],$D$2)</f>
        <v>4</v>
      </c>
      <c r="E14" s="27">
        <f>SUMIFS(Table1[Confidence],Table1[KIT],A14,Table1[ExplanationType],$E$2)</f>
        <v>5</v>
      </c>
    </row>
    <row r="15" spans="1:5" x14ac:dyDescent="0.45">
      <c r="A15" s="14">
        <v>6</v>
      </c>
      <c r="B15" s="27">
        <f>SUMIFS(Table1[Confidence],Table1[KIT],A15,Table1[ExplanationType],$B$2)</f>
        <v>5</v>
      </c>
      <c r="C15">
        <f>AVERAGE(D15:E15)</f>
        <v>5</v>
      </c>
      <c r="D15" s="27">
        <f>SUMIFS(Table1[Confidence],Table1[KIT],A15,Table1[ExplanationType],$D$2)</f>
        <v>5</v>
      </c>
      <c r="E15" s="27">
        <f>SUMIFS(Table1[Confidence],Table1[KIT],A15,Table1[ExplanationType],$E$2)</f>
        <v>5</v>
      </c>
    </row>
    <row r="16" spans="1:5" x14ac:dyDescent="0.45">
      <c r="A16" s="14" t="s">
        <v>128</v>
      </c>
      <c r="B16" s="27">
        <f>SUMIFS(Table1[Confidence],Table1[KIT],A16,Table1[ExplanationType],$B$2)</f>
        <v>4</v>
      </c>
      <c r="C16">
        <f>AVERAGE(D16:E16)</f>
        <v>3</v>
      </c>
      <c r="D16" s="27">
        <f>SUMIFS(Table1[Confidence],Table1[KIT],A16,Table1[ExplanationType],$D$2)</f>
        <v>3</v>
      </c>
      <c r="E16" s="27">
        <f>SUMIFS(Table1[Confidence],Table1[KIT],A16,Table1[ExplanationType],$E$2)</f>
        <v>3</v>
      </c>
    </row>
    <row r="17" spans="1:5" x14ac:dyDescent="0.45">
      <c r="A17" s="14">
        <v>7</v>
      </c>
      <c r="B17" s="27">
        <f>SUMIFS(Table1[Confidence],Table1[KIT],A17,Table1[ExplanationType],$B$2)</f>
        <v>1</v>
      </c>
      <c r="C17">
        <f>AVERAGE(D17:E17)</f>
        <v>4.5</v>
      </c>
      <c r="D17" s="27">
        <f>SUMIFS(Table1[Confidence],Table1[KIT],A17,Table1[ExplanationType],$D$2)</f>
        <v>4</v>
      </c>
      <c r="E17" s="27">
        <f>SUMIFS(Table1[Confidence],Table1[KIT],A17,Table1[ExplanationType],$E$2)</f>
        <v>5</v>
      </c>
    </row>
    <row r="18" spans="1:5" x14ac:dyDescent="0.45">
      <c r="A18" s="14" t="s">
        <v>130</v>
      </c>
      <c r="B18" s="27">
        <f>SUMIFS(Table1[Confidence],Table1[KIT],A18,Table1[ExplanationType],$B$2)</f>
        <v>3</v>
      </c>
      <c r="C18">
        <f>AVERAGE(D18:E18)</f>
        <v>4.5</v>
      </c>
      <c r="D18" s="27">
        <f>SUMIFS(Table1[Confidence],Table1[KIT],A18,Table1[ExplanationType],$D$2)</f>
        <v>5</v>
      </c>
      <c r="E18" s="27">
        <f>SUMIFS(Table1[Confidence],Table1[KIT],A18,Table1[ExplanationType],$E$2)</f>
        <v>4</v>
      </c>
    </row>
    <row r="19" spans="1:5" x14ac:dyDescent="0.45">
      <c r="A19" s="14" t="s">
        <v>120</v>
      </c>
      <c r="B19" s="27">
        <f>SUMIFS(Table1[Confidence],Table1[KIT],A19,Table1[ExplanationType],$B$2)</f>
        <v>3</v>
      </c>
      <c r="C19">
        <f>AVERAGE(D19:E19)</f>
        <v>4.5</v>
      </c>
      <c r="D19" s="27">
        <f>SUMIFS(Table1[Confidence],Table1[KIT],A19,Table1[ExplanationType],$D$2)</f>
        <v>4</v>
      </c>
      <c r="E19" s="27">
        <f>SUMIFS(Table1[Confidence],Table1[KIT],A19,Table1[ExplanationType],$E$2)</f>
        <v>5</v>
      </c>
    </row>
    <row r="20" spans="1:5" x14ac:dyDescent="0.45">
      <c r="A20" s="14">
        <v>8</v>
      </c>
      <c r="B20">
        <f>SUMIFS(Table1[Confidence],Table1[KIT],A20,Table1[ExplanationType],$B$2)</f>
        <v>5</v>
      </c>
      <c r="C20">
        <f t="shared" si="0"/>
        <v>4.5</v>
      </c>
      <c r="D20">
        <f>SUMIFS(Table1[Confidence],Table1[KIT],A20,Table1[ExplanationType],$D$2)</f>
        <v>4</v>
      </c>
      <c r="E20">
        <f>SUMIFS(Table1[Confidence],Table1[KIT],A20,Table1[ExplanationType],$E$2)</f>
        <v>5</v>
      </c>
    </row>
    <row r="21" spans="1:5" x14ac:dyDescent="0.45">
      <c r="A21" s="14" t="s">
        <v>131</v>
      </c>
      <c r="B21" s="27">
        <f>SUMIFS(Table1[Confidence],Table1[KIT],A21,Table1[ExplanationType],$B$2)</f>
        <v>4</v>
      </c>
      <c r="C21">
        <f>AVERAGE(D21:E21)</f>
        <v>3.5</v>
      </c>
      <c r="D21" s="27">
        <f>SUMIFS(Table1[Confidence],Table1[KIT],A21,Table1[ExplanationType],$D$2)</f>
        <v>3</v>
      </c>
      <c r="E21" s="27">
        <f>SUMIFS(Table1[Confidence],Table1[KIT],A21,Table1[ExplanationType],$E$2)</f>
        <v>4</v>
      </c>
    </row>
    <row r="22" spans="1:5" x14ac:dyDescent="0.45">
      <c r="A22" s="14">
        <v>9</v>
      </c>
      <c r="B22" s="27">
        <f>SUMIFS(Table1[Confidence],Table1[KIT],A22,Table1[ExplanationType],$B$2)</f>
        <v>5</v>
      </c>
      <c r="C22">
        <f>AVERAGE(D22:E22)</f>
        <v>5</v>
      </c>
      <c r="D22" s="27">
        <f>SUMIFS(Table1[Confidence],Table1[KIT],A22,Table1[ExplanationType],$D$2)</f>
        <v>5</v>
      </c>
      <c r="E22" s="27">
        <f>SUMIFS(Table1[Confidence],Table1[KIT],A22,Table1[ExplanationType],$E$2)</f>
        <v>5</v>
      </c>
    </row>
    <row r="23" spans="1:5" x14ac:dyDescent="0.45">
      <c r="A23" s="14" t="s">
        <v>118</v>
      </c>
      <c r="B23" s="27">
        <f>SUMIFS(Table1[Confidence],Table1[KIT],A23,Table1[ExplanationType],$B$2)</f>
        <v>3</v>
      </c>
      <c r="C23">
        <f>AVERAGE(D23:E23)</f>
        <v>3</v>
      </c>
      <c r="D23" s="27">
        <f>SUMIFS(Table1[Confidence],Table1[KIT],A23,Table1[ExplanationType],$D$2)</f>
        <v>3</v>
      </c>
      <c r="E23" s="27">
        <f>SUMIFS(Table1[Confidence],Table1[KIT],A23,Table1[ExplanationType],$E$2)</f>
        <v>3</v>
      </c>
    </row>
    <row r="24" spans="1:5" x14ac:dyDescent="0.45">
      <c r="A24" s="7" t="s">
        <v>58</v>
      </c>
      <c r="B24">
        <f>SUBTOTAL(101,Table1215[None])</f>
        <v>3.9047619047619047</v>
      </c>
      <c r="C24">
        <f>SUBTOTAL(101,Table1215[With])</f>
        <v>4.2142857142857144</v>
      </c>
      <c r="D24">
        <f>SUBTOTAL(101,Table1215[RootCause])</f>
        <v>4.2857142857142856</v>
      </c>
      <c r="E24">
        <f>SUBTOTAL(101,Table1215[Fix])</f>
        <v>4.1428571428571432</v>
      </c>
    </row>
    <row r="28" spans="1:5" ht="57" x14ac:dyDescent="0.45">
      <c r="A28" s="30" t="s">
        <v>77</v>
      </c>
      <c r="B28" s="31" t="s">
        <v>90</v>
      </c>
      <c r="C28" s="31" t="s">
        <v>91</v>
      </c>
      <c r="D28" s="31" t="s">
        <v>94</v>
      </c>
      <c r="E28" s="31" t="s">
        <v>93</v>
      </c>
    </row>
    <row r="29" spans="1:5" x14ac:dyDescent="0.45">
      <c r="A29" s="32" t="s">
        <v>76</v>
      </c>
      <c r="B29" s="33">
        <f>TTEST(B3:B23,C3:C23,1,2)</f>
        <v>0.14869085107681421</v>
      </c>
      <c r="C29" s="33">
        <f>TTEST(B3:B23,D3:D23,1,2)</f>
        <v>0.10060915160696846</v>
      </c>
      <c r="D29" s="33">
        <f>TTEST(B3:B23,E3:E23,1,2)</f>
        <v>0.23408265917721721</v>
      </c>
      <c r="E29" s="33">
        <f>TTEST(D3:D23,E3:E23,1,2)</f>
        <v>0.30616544570927495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7BF7-C802-467D-ADC9-581943ED3F9E}">
  <dimension ref="A1:E38"/>
  <sheetViews>
    <sheetView topLeftCell="A37" workbookViewId="0">
      <selection activeCell="B14" sqref="B14"/>
    </sheetView>
  </sheetViews>
  <sheetFormatPr defaultRowHeight="14.25" x14ac:dyDescent="0.45"/>
  <cols>
    <col min="1" max="1" width="23.86328125" customWidth="1"/>
    <col min="2" max="2" width="12.06640625" customWidth="1"/>
    <col min="3" max="3" width="11.46484375" customWidth="1"/>
    <col min="4" max="4" width="13.265625" customWidth="1"/>
    <col min="5" max="5" width="13.796875" customWidth="1"/>
  </cols>
  <sheetData>
    <row r="1" spans="1:5" x14ac:dyDescent="0.45">
      <c r="B1" s="3" t="s">
        <v>101</v>
      </c>
      <c r="C1" s="4"/>
      <c r="D1" s="4"/>
      <c r="E1" s="4"/>
    </row>
    <row r="2" spans="1:5" x14ac:dyDescent="0.45">
      <c r="A2" s="7" t="s">
        <v>98</v>
      </c>
      <c r="B2" s="2" t="s">
        <v>17</v>
      </c>
      <c r="C2" s="2" t="s">
        <v>99</v>
      </c>
      <c r="D2" s="2" t="s">
        <v>28</v>
      </c>
      <c r="E2" s="2" t="s">
        <v>27</v>
      </c>
    </row>
    <row r="3" spans="1:5" x14ac:dyDescent="0.45">
      <c r="A3" s="14">
        <v>1</v>
      </c>
      <c r="B3">
        <f>SUMIFS(Table1[ConfidenceOthers],Table1[KIT],A3,Table1[ExplanationType],$B$2)</f>
        <v>5</v>
      </c>
      <c r="C3">
        <f>AVERAGE(D3:E3)</f>
        <v>5</v>
      </c>
      <c r="D3">
        <f>SUMIFS(Table1[ConfidenceOthers],Table1[KIT],A3,Table1[ExplanationType],$D$2)</f>
        <v>5</v>
      </c>
      <c r="E3">
        <f>SUMIFS(Table1[ConfidenceOthers],Table1[KIT],A3,Table1[ExplanationType],$E$2)</f>
        <v>5</v>
      </c>
    </row>
    <row r="4" spans="1:5" x14ac:dyDescent="0.45">
      <c r="A4" s="14" t="s">
        <v>123</v>
      </c>
      <c r="B4">
        <f>SUMIFS(Table1[ConfidenceOthers],Table1[KIT],A4,Table1[ExplanationType],$B$2)</f>
        <v>5</v>
      </c>
      <c r="C4">
        <f t="shared" ref="C4:C10" si="0">AVERAGE(D4:E4)</f>
        <v>4.5</v>
      </c>
      <c r="D4">
        <f>SUMIFS(Table1[ConfidenceOthers],Table1[KIT],A4,Table1[ExplanationType],$D$2)</f>
        <v>5</v>
      </c>
      <c r="E4">
        <f>SUMIFS(Table1[ConfidenceOthers],Table1[KIT],A4,Table1[ExplanationType],$E$2)</f>
        <v>4</v>
      </c>
    </row>
    <row r="5" spans="1:5" x14ac:dyDescent="0.45">
      <c r="A5" s="14" t="s">
        <v>127</v>
      </c>
      <c r="B5">
        <f>SUMIFS(Table1[ConfidenceOthers],Table1[KIT],A5,Table1[ExplanationType],$B$2)</f>
        <v>3</v>
      </c>
      <c r="C5">
        <f t="shared" si="0"/>
        <v>2.5</v>
      </c>
      <c r="D5">
        <f>SUMIFS(Table1[ConfidenceOthers],Table1[KIT],A5,Table1[ExplanationType],$D$2)</f>
        <v>3</v>
      </c>
      <c r="E5">
        <f>SUMIFS(Table1[ConfidenceOthers],Table1[KIT],A5,Table1[ExplanationType],$E$2)</f>
        <v>2</v>
      </c>
    </row>
    <row r="6" spans="1:5" x14ac:dyDescent="0.45">
      <c r="A6" s="14">
        <v>2</v>
      </c>
      <c r="B6">
        <f>SUMIFS(Table1[ConfidenceOthers],Table1[KIT],A6,Table1[ExplanationType],$B$2)</f>
        <v>4</v>
      </c>
      <c r="C6">
        <f t="shared" si="0"/>
        <v>5</v>
      </c>
      <c r="D6">
        <f>SUMIFS(Table1[ConfidenceOthers],Table1[KIT],A6,Table1[ExplanationType],$D$2)</f>
        <v>5</v>
      </c>
      <c r="E6">
        <f>SUMIFS(Table1[ConfidenceOthers],Table1[KIT],A6,Table1[ExplanationType],$E$2)</f>
        <v>5</v>
      </c>
    </row>
    <row r="7" spans="1:5" x14ac:dyDescent="0.45">
      <c r="A7" s="14" t="s">
        <v>122</v>
      </c>
      <c r="B7">
        <f>SUMIFS(Table1[ConfidenceOthers],Table1[KIT],A7,Table1[ExplanationType],$B$2)</f>
        <v>5</v>
      </c>
      <c r="C7">
        <f t="shared" si="0"/>
        <v>5</v>
      </c>
      <c r="D7">
        <f>SUMIFS(Table1[ConfidenceOthers],Table1[KIT],A7,Table1[ExplanationType],$D$2)</f>
        <v>5</v>
      </c>
      <c r="E7">
        <f>SUMIFS(Table1[ConfidenceOthers],Table1[KIT],A7,Table1[ExplanationType],$E$2)</f>
        <v>5</v>
      </c>
    </row>
    <row r="8" spans="1:5" x14ac:dyDescent="0.45">
      <c r="A8" s="14">
        <v>3</v>
      </c>
      <c r="B8">
        <f>SUMIFS(Table1[ConfidenceOthers],Table1[KIT],A8,Table1[ExplanationType],$B$2)</f>
        <v>4</v>
      </c>
      <c r="C8">
        <f t="shared" si="0"/>
        <v>5</v>
      </c>
      <c r="D8">
        <f>SUMIFS(Table1[ConfidenceOthers],Table1[KIT],A8,Table1[ExplanationType],$D$2)</f>
        <v>5</v>
      </c>
      <c r="E8">
        <f>SUMIFS(Table1[ConfidenceOthers],Table1[KIT],A8,Table1[ExplanationType],$E$2)</f>
        <v>5</v>
      </c>
    </row>
    <row r="9" spans="1:5" x14ac:dyDescent="0.45">
      <c r="A9" s="14" t="s">
        <v>115</v>
      </c>
      <c r="B9">
        <f>SUMIFS(Table1[ConfidenceOthers],Table1[KIT],A9,Table1[ExplanationType],$B$2)</f>
        <v>5</v>
      </c>
      <c r="C9">
        <f t="shared" si="0"/>
        <v>5</v>
      </c>
      <c r="D9">
        <f>SUMIFS(Table1[ConfidenceOthers],Table1[KIT],A9,Table1[ExplanationType],$D$2)</f>
        <v>5</v>
      </c>
      <c r="E9">
        <f>SUMIFS(Table1[ConfidenceOthers],Table1[KIT],A9,Table1[ExplanationType],$E$2)</f>
        <v>5</v>
      </c>
    </row>
    <row r="10" spans="1:5" x14ac:dyDescent="0.45">
      <c r="A10" s="14">
        <v>4</v>
      </c>
      <c r="B10">
        <f>SUMIFS(Table1[ConfidenceOthers],Table1[KIT],A10,Table1[ExplanationType],$B$2)</f>
        <v>5</v>
      </c>
      <c r="C10">
        <f t="shared" si="0"/>
        <v>5</v>
      </c>
      <c r="D10">
        <f>SUMIFS(Table1[ConfidenceOthers],Table1[KIT],A10,Table1[ExplanationType],$D$2)</f>
        <v>5</v>
      </c>
      <c r="E10">
        <f>SUMIFS(Table1[ConfidenceOthers],Table1[KIT],A10,Table1[ExplanationType],$E$2)</f>
        <v>5</v>
      </c>
    </row>
    <row r="11" spans="1:5" x14ac:dyDescent="0.45">
      <c r="A11" s="14" t="s">
        <v>116</v>
      </c>
      <c r="B11" s="27">
        <f>SUMIFS(Table1[ConfidenceOthers],Table1[KIT],A11,Table1[ExplanationType],$B$2)</f>
        <v>5</v>
      </c>
      <c r="C11">
        <f t="shared" ref="C11:C22" si="1">AVERAGE(D11:E11)</f>
        <v>4.5</v>
      </c>
      <c r="D11" s="27">
        <f>SUMIFS(Table1[ConfidenceOthers],Table1[KIT],A11,Table1[ExplanationType],$D$2)</f>
        <v>5</v>
      </c>
      <c r="E11" s="27">
        <f>SUMIFS(Table1[ConfidenceOthers],Table1[KIT],A11,Table1[ExplanationType],$E$2)</f>
        <v>4</v>
      </c>
    </row>
    <row r="12" spans="1:5" x14ac:dyDescent="0.45">
      <c r="A12" s="14" t="s">
        <v>119</v>
      </c>
      <c r="B12" s="27">
        <f>SUMIFS(Table1[ConfidenceOthers],Table1[KIT],A12,Table1[ExplanationType],$B$2)</f>
        <v>4</v>
      </c>
      <c r="C12">
        <f t="shared" si="1"/>
        <v>4</v>
      </c>
      <c r="D12" s="27">
        <f>SUMIFS(Table1[ConfidenceOthers],Table1[KIT],A12,Table1[ExplanationType],$D$2)</f>
        <v>4</v>
      </c>
      <c r="E12" s="27">
        <f>SUMIFS(Table1[ConfidenceOthers],Table1[KIT],A12,Table1[ExplanationType],$E$2)</f>
        <v>4</v>
      </c>
    </row>
    <row r="13" spans="1:5" x14ac:dyDescent="0.45">
      <c r="A13" s="14">
        <v>5</v>
      </c>
      <c r="B13" s="27">
        <f>SUMIFS(Table1[ConfidenceOthers],Table1[KIT],A13,Table1[ExplanationType],$B$2)</f>
        <v>4</v>
      </c>
      <c r="C13">
        <f t="shared" si="1"/>
        <v>5</v>
      </c>
      <c r="D13" s="27">
        <f>SUMIFS(Table1[ConfidenceOthers],Table1[KIT],A13,Table1[ExplanationType],$D$2)</f>
        <v>5</v>
      </c>
      <c r="E13" s="27">
        <f>SUMIFS(Table1[ConfidenceOthers],Table1[KIT],A13,Table1[ExplanationType],$E$2)</f>
        <v>5</v>
      </c>
    </row>
    <row r="14" spans="1:5" x14ac:dyDescent="0.45">
      <c r="A14" s="14" t="s">
        <v>129</v>
      </c>
      <c r="B14" s="27">
        <f>SUMIFS(Table1[ConfidenceOthers],Table1[KIT],A14,Table1[ExplanationType],$B$2)</f>
        <v>4</v>
      </c>
      <c r="C14">
        <f t="shared" si="1"/>
        <v>5</v>
      </c>
      <c r="D14" s="27">
        <f>SUMIFS(Table1[ConfidenceOthers],Table1[KIT],A14,Table1[ExplanationType],$D$2)</f>
        <v>5</v>
      </c>
      <c r="E14" s="27">
        <f>SUMIFS(Table1[ConfidenceOthers],Table1[KIT],A14,Table1[ExplanationType],$E$2)</f>
        <v>5</v>
      </c>
    </row>
    <row r="15" spans="1:5" x14ac:dyDescent="0.45">
      <c r="A15" s="14">
        <v>6</v>
      </c>
      <c r="B15" s="27">
        <f>SUMIFS(Table1[ConfidenceOthers],Table1[KIT],A15,Table1[ExplanationType],$B$2)</f>
        <v>4</v>
      </c>
      <c r="C15">
        <f t="shared" si="1"/>
        <v>4.5</v>
      </c>
      <c r="D15" s="27">
        <f>SUMIFS(Table1[ConfidenceOthers],Table1[KIT],A15,Table1[ExplanationType],$D$2)</f>
        <v>4</v>
      </c>
      <c r="E15" s="27">
        <f>SUMIFS(Table1[ConfidenceOthers],Table1[KIT],A15,Table1[ExplanationType],$E$2)</f>
        <v>5</v>
      </c>
    </row>
    <row r="16" spans="1:5" x14ac:dyDescent="0.45">
      <c r="A16" s="14" t="s">
        <v>128</v>
      </c>
      <c r="B16" s="27">
        <f>SUMIFS(Table1[ConfidenceOthers],Table1[KIT],A16,Table1[ExplanationType],$B$2)</f>
        <v>5</v>
      </c>
      <c r="C16">
        <f t="shared" si="1"/>
        <v>4</v>
      </c>
      <c r="D16" s="27">
        <f>SUMIFS(Table1[ConfidenceOthers],Table1[KIT],A16,Table1[ExplanationType],$D$2)</f>
        <v>4</v>
      </c>
      <c r="E16" s="27">
        <f>SUMIFS(Table1[ConfidenceOthers],Table1[KIT],A16,Table1[ExplanationType],$E$2)</f>
        <v>4</v>
      </c>
    </row>
    <row r="17" spans="1:5" x14ac:dyDescent="0.45">
      <c r="A17" s="14">
        <v>7</v>
      </c>
      <c r="B17" s="27">
        <f>SUMIFS(Table1[ConfidenceOthers],Table1[KIT],A17,Table1[ExplanationType],$B$2)</f>
        <v>3</v>
      </c>
      <c r="C17">
        <f t="shared" si="1"/>
        <v>5</v>
      </c>
      <c r="D17" s="27">
        <f>SUMIFS(Table1[ConfidenceOthers],Table1[KIT],A17,Table1[ExplanationType],$D$2)</f>
        <v>5</v>
      </c>
      <c r="E17" s="27">
        <f>SUMIFS(Table1[ConfidenceOthers],Table1[KIT],A17,Table1[ExplanationType],$E$2)</f>
        <v>5</v>
      </c>
    </row>
    <row r="18" spans="1:5" x14ac:dyDescent="0.45">
      <c r="A18" s="14" t="s">
        <v>130</v>
      </c>
      <c r="B18" s="27">
        <f>SUMIFS(Table1[ConfidenceOthers],Table1[KIT],A18,Table1[ExplanationType],$B$2)</f>
        <v>3</v>
      </c>
      <c r="C18">
        <f t="shared" si="1"/>
        <v>5</v>
      </c>
      <c r="D18" s="27">
        <f>SUMIFS(Table1[ConfidenceOthers],Table1[KIT],A18,Table1[ExplanationType],$D$2)</f>
        <v>5</v>
      </c>
      <c r="E18" s="27">
        <f>SUMIFS(Table1[ConfidenceOthers],Table1[KIT],A18,Table1[ExplanationType],$E$2)</f>
        <v>5</v>
      </c>
    </row>
    <row r="19" spans="1:5" x14ac:dyDescent="0.45">
      <c r="A19" s="14" t="s">
        <v>120</v>
      </c>
      <c r="B19" s="27">
        <f>SUMIFS(Table1[ConfidenceOthers],Table1[KIT],A19,Table1[ExplanationType],$B$2)</f>
        <v>4</v>
      </c>
      <c r="C19">
        <f t="shared" si="1"/>
        <v>4.5</v>
      </c>
      <c r="D19" s="27">
        <f>SUMIFS(Table1[ConfidenceOthers],Table1[KIT],A19,Table1[ExplanationType],$D$2)</f>
        <v>4</v>
      </c>
      <c r="E19" s="27">
        <f>SUMIFS(Table1[ConfidenceOthers],Table1[KIT],A19,Table1[ExplanationType],$E$2)</f>
        <v>5</v>
      </c>
    </row>
    <row r="20" spans="1:5" x14ac:dyDescent="0.45">
      <c r="A20" s="14">
        <v>8</v>
      </c>
      <c r="B20" s="27">
        <f>SUMIFS(Table1[ConfidenceOthers],Table1[KIT],A20,Table1[ExplanationType],$B$2)</f>
        <v>5</v>
      </c>
      <c r="C20">
        <f t="shared" si="1"/>
        <v>5</v>
      </c>
      <c r="D20" s="27">
        <f>SUMIFS(Table1[ConfidenceOthers],Table1[KIT],A20,Table1[ExplanationType],$D$2)</f>
        <v>5</v>
      </c>
      <c r="E20" s="27">
        <f>SUMIFS(Table1[ConfidenceOthers],Table1[KIT],A20,Table1[ExplanationType],$E$2)</f>
        <v>5</v>
      </c>
    </row>
    <row r="21" spans="1:5" x14ac:dyDescent="0.45">
      <c r="A21" s="14" t="s">
        <v>131</v>
      </c>
      <c r="B21" s="27">
        <f>SUMIFS(Table1[ConfidenceOthers],Table1[KIT],A21,Table1[ExplanationType],$B$2)</f>
        <v>4</v>
      </c>
      <c r="C21">
        <f>AVERAGE(D21:E21)</f>
        <v>3</v>
      </c>
      <c r="D21" s="27">
        <f>SUMIFS(Table1[ConfidenceOthers],Table1[KIT],A21,Table1[ExplanationType],$D$2)</f>
        <v>2</v>
      </c>
      <c r="E21" s="27">
        <f>SUMIFS(Table1[ConfidenceOthers],Table1[KIT],A21,Table1[ExplanationType],$E$2)</f>
        <v>4</v>
      </c>
    </row>
    <row r="22" spans="1:5" x14ac:dyDescent="0.45">
      <c r="A22" s="14">
        <v>9</v>
      </c>
      <c r="B22" s="27">
        <f>SUMIFS(Table1[ConfidenceOthers],Table1[KIT],A22,Table1[ExplanationType],$B$2)</f>
        <v>4</v>
      </c>
      <c r="C22">
        <f t="shared" si="1"/>
        <v>5</v>
      </c>
      <c r="D22" s="27">
        <f>SUMIFS(Table1[ConfidenceOthers],Table1[KIT],A22,Table1[ExplanationType],$D$2)</f>
        <v>5</v>
      </c>
      <c r="E22" s="27">
        <f>SUMIFS(Table1[ConfidenceOthers],Table1[KIT],A22,Table1[ExplanationType],$E$2)</f>
        <v>5</v>
      </c>
    </row>
    <row r="23" spans="1:5" x14ac:dyDescent="0.45">
      <c r="A23" s="14" t="s">
        <v>118</v>
      </c>
      <c r="B23" s="27">
        <f>SUMIFS(Table1[ConfidenceOthers],Table1[KIT],A23,Table1[ExplanationType],$B$2)</f>
        <v>4</v>
      </c>
      <c r="C23">
        <f>AVERAGE(D23:E23)</f>
        <v>4</v>
      </c>
      <c r="D23" s="27">
        <f>SUMIFS(Table1[ConfidenceOthers],Table1[KIT],A23,Table1[ExplanationType],$D$2)</f>
        <v>4</v>
      </c>
      <c r="E23" s="27">
        <f>SUMIFS(Table1[ConfidenceOthers],Table1[KIT],A23,Table1[ExplanationType],$E$2)</f>
        <v>4</v>
      </c>
    </row>
    <row r="24" spans="1:5" x14ac:dyDescent="0.45">
      <c r="A24" s="7" t="s">
        <v>58</v>
      </c>
      <c r="B24" s="12">
        <f>SUBTOTAL(101,Table121517[None])</f>
        <v>4.2380952380952381</v>
      </c>
      <c r="C24" s="12">
        <f>SUBTOTAL(101,Table121517[With])</f>
        <v>4.5476190476190474</v>
      </c>
      <c r="D24" s="12">
        <f>SUBTOTAL(101,Table121517[RootCause])</f>
        <v>4.5238095238095237</v>
      </c>
      <c r="E24" s="12">
        <f>SUBTOTAL(101,Table121517[Fix])</f>
        <v>4.5714285714285712</v>
      </c>
    </row>
    <row r="25" spans="1:5" x14ac:dyDescent="0.45">
      <c r="A25" s="10" t="s">
        <v>75</v>
      </c>
      <c r="B25" s="13">
        <f>_xlfn.STDEV.S(Table121517[None])</f>
        <v>0.70034005345702577</v>
      </c>
      <c r="C25" s="13">
        <f>_xlfn.STDEV.S(Table121517[With])</f>
        <v>0.70542118455504876</v>
      </c>
      <c r="D25" s="13">
        <f>_xlfn.STDEV.S(Table121517[RootCause])</f>
        <v>0.81357529578076671</v>
      </c>
      <c r="E25" s="13">
        <f>_xlfn.STDEV.S(Table121517[Fix])</f>
        <v>0.74642002729217971</v>
      </c>
    </row>
    <row r="27" spans="1:5" ht="42.75" x14ac:dyDescent="0.45">
      <c r="B27" s="18" t="s">
        <v>90</v>
      </c>
      <c r="C27" s="18" t="s">
        <v>91</v>
      </c>
      <c r="D27" s="18" t="s">
        <v>92</v>
      </c>
      <c r="E27" s="18" t="s">
        <v>93</v>
      </c>
    </row>
    <row r="28" spans="1:5" x14ac:dyDescent="0.45">
      <c r="B28" s="19" t="str">
        <f>IF(Table121517[[#Totals],[None]]&lt;Table121517[[#Totals],[With]],"YES","NO")</f>
        <v>YES</v>
      </c>
      <c r="C28" s="19" t="str">
        <f>IF(Table121517[[#Totals],[None]]&lt;Table121517[[#Totals],[RootCause]],"YES","NO")</f>
        <v>YES</v>
      </c>
      <c r="D28" s="19" t="str">
        <f>IF(Table121517[[#Totals],[None]]&lt;Table121517[[#Totals],[Fix]],"YES","NO")</f>
        <v>YES</v>
      </c>
      <c r="E28" s="19" t="str">
        <f>IF(Table121517[[#Totals],[RootCause]]&lt;Table121517[[#Totals],[Fix]],"YES","NO")</f>
        <v>YES</v>
      </c>
    </row>
    <row r="30" spans="1:5" ht="42.75" x14ac:dyDescent="0.45">
      <c r="A30" t="s">
        <v>77</v>
      </c>
      <c r="B30" s="16" t="s">
        <v>90</v>
      </c>
      <c r="C30" s="16" t="s">
        <v>91</v>
      </c>
      <c r="D30" s="16" t="s">
        <v>94</v>
      </c>
      <c r="E30" s="16" t="s">
        <v>93</v>
      </c>
    </row>
    <row r="31" spans="1:5" x14ac:dyDescent="0.45">
      <c r="A31" s="10" t="s">
        <v>76</v>
      </c>
      <c r="B31" s="11">
        <f>TTEST(B3:B23,C3:C23,1,2)</f>
        <v>8.0679179025261644E-2</v>
      </c>
      <c r="C31" s="11">
        <f>TTEST(B3:B23,D3:D23,1,2)</f>
        <v>0.11486583383250429</v>
      </c>
      <c r="D31" s="11">
        <f>TTEST(B3:B23,E3:E23,1,2)</f>
        <v>7.1719450823757788E-2</v>
      </c>
      <c r="E31" s="11">
        <f>TTEST(D3:D23,E3:E23,1,2)</f>
        <v>0.42216293180990205</v>
      </c>
    </row>
    <row r="33" spans="1:5" x14ac:dyDescent="0.45">
      <c r="A33" t="s">
        <v>70</v>
      </c>
    </row>
    <row r="34" spans="1:5" ht="42.75" x14ac:dyDescent="0.45">
      <c r="A34" t="s">
        <v>60</v>
      </c>
      <c r="B34" s="16" t="s">
        <v>90</v>
      </c>
      <c r="C34" s="16" t="s">
        <v>91</v>
      </c>
      <c r="D34" s="16" t="s">
        <v>94</v>
      </c>
      <c r="E34" s="16" t="s">
        <v>93</v>
      </c>
    </row>
    <row r="35" spans="1:5" x14ac:dyDescent="0.45">
      <c r="A35" s="10" t="s">
        <v>69</v>
      </c>
      <c r="B35">
        <v>0.05</v>
      </c>
      <c r="C35">
        <v>0.05</v>
      </c>
      <c r="D35">
        <v>0.05</v>
      </c>
      <c r="E35">
        <v>0.05</v>
      </c>
    </row>
    <row r="36" spans="1:5" x14ac:dyDescent="0.45">
      <c r="A36" s="10" t="s">
        <v>68</v>
      </c>
      <c r="B36">
        <v>1.43</v>
      </c>
      <c r="C36">
        <v>1.2</v>
      </c>
      <c r="D36">
        <v>1.6</v>
      </c>
      <c r="E36">
        <v>0.53</v>
      </c>
    </row>
    <row r="37" spans="1:5" x14ac:dyDescent="0.45">
      <c r="A37" s="10" t="s">
        <v>71</v>
      </c>
      <c r="B37" s="1" t="s">
        <v>72</v>
      </c>
      <c r="C37" s="1" t="s">
        <v>73</v>
      </c>
      <c r="D37" s="1" t="s">
        <v>74</v>
      </c>
      <c r="E37" s="1" t="s">
        <v>73</v>
      </c>
    </row>
    <row r="38" spans="1:5" x14ac:dyDescent="0.45">
      <c r="A38" s="10" t="s">
        <v>83</v>
      </c>
      <c r="B38" s="5">
        <v>0.56517866999999999</v>
      </c>
      <c r="C38" s="5">
        <v>0.44953345</v>
      </c>
      <c r="D38" s="5">
        <v>0.64771707000000001</v>
      </c>
      <c r="E38" s="5">
        <v>0.16492956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BBA8-9E75-4BB3-BABF-A735E05A5FF7}">
  <dimension ref="A1:E28"/>
  <sheetViews>
    <sheetView topLeftCell="A18" workbookViewId="0">
      <selection activeCell="H17" sqref="H17"/>
    </sheetView>
  </sheetViews>
  <sheetFormatPr defaultRowHeight="14.25" x14ac:dyDescent="0.45"/>
  <cols>
    <col min="1" max="1" width="12.1328125" customWidth="1"/>
    <col min="4" max="4" width="11.265625" customWidth="1"/>
  </cols>
  <sheetData>
    <row r="1" spans="1:5" x14ac:dyDescent="0.45">
      <c r="B1" s="3" t="s">
        <v>100</v>
      </c>
      <c r="C1" s="4"/>
      <c r="D1" s="4"/>
      <c r="E1" s="4"/>
    </row>
    <row r="2" spans="1:5" x14ac:dyDescent="0.45">
      <c r="A2" s="7" t="s">
        <v>98</v>
      </c>
      <c r="B2" s="2" t="s">
        <v>17</v>
      </c>
      <c r="C2" s="2" t="s">
        <v>99</v>
      </c>
      <c r="D2" s="2" t="s">
        <v>28</v>
      </c>
      <c r="E2" s="2" t="s">
        <v>27</v>
      </c>
    </row>
    <row r="3" spans="1:5" x14ac:dyDescent="0.45">
      <c r="A3" s="14">
        <v>1</v>
      </c>
      <c r="B3">
        <f>SUMIFS(Table1[DurationMinutes],Table1[KIT],A3,Table1[ExplanationType],$B$2)</f>
        <v>5</v>
      </c>
      <c r="C3">
        <f>AVERAGE(D3:E3)</f>
        <v>7.5</v>
      </c>
      <c r="D3">
        <f>SUMIFS(Table1[DurationMinutes],Table1[KIT],A3,Table1[ExplanationType],$D$2)</f>
        <v>6</v>
      </c>
      <c r="E3">
        <f>SUMIFS(Table1[DurationMinutes],Table1[KIT],A3,Table1[ExplanationType],$E$2)</f>
        <v>9</v>
      </c>
    </row>
    <row r="4" spans="1:5" x14ac:dyDescent="0.45">
      <c r="A4" s="14" t="s">
        <v>123</v>
      </c>
      <c r="B4">
        <f>SUMIFS(Table1[DurationMinutes],Table1[KIT],A4,Table1[ExplanationType],$B$2)</f>
        <v>2</v>
      </c>
      <c r="C4">
        <f t="shared" ref="C4:C23" si="0">AVERAGE(D4:E4)</f>
        <v>16.5</v>
      </c>
      <c r="D4">
        <f>SUMIFS(Table1[DurationMinutes],Table1[KIT],A4,Table1[ExplanationType],$D$2)</f>
        <v>9</v>
      </c>
      <c r="E4">
        <f>SUMIFS(Table1[DurationMinutes],Table1[KIT],A4,Table1[ExplanationType],$E$2)</f>
        <v>24</v>
      </c>
    </row>
    <row r="5" spans="1:5" x14ac:dyDescent="0.45">
      <c r="A5" s="14" t="s">
        <v>127</v>
      </c>
      <c r="B5">
        <f>SUMIFS(Table1[DurationMinutes],Table1[KIT],A5,Table1[ExplanationType],$B$2)</f>
        <v>5</v>
      </c>
      <c r="C5">
        <f t="shared" si="0"/>
        <v>4</v>
      </c>
      <c r="D5">
        <f>SUMIFS(Table1[DurationMinutes],Table1[KIT],A5,Table1[ExplanationType],$D$2)</f>
        <v>3</v>
      </c>
      <c r="E5">
        <f>SUMIFS(Table1[DurationMinutes],Table1[KIT],A5,Table1[ExplanationType],$E$2)</f>
        <v>5</v>
      </c>
    </row>
    <row r="6" spans="1:5" x14ac:dyDescent="0.45">
      <c r="A6" s="14">
        <v>2</v>
      </c>
      <c r="B6">
        <f>SUMIFS(Table1[DurationMinutes],Table1[KIT],A6,Table1[ExplanationType],$B$2)</f>
        <v>4</v>
      </c>
      <c r="C6">
        <f t="shared" si="0"/>
        <v>4.5</v>
      </c>
      <c r="D6">
        <f>SUMIFS(Table1[DurationMinutes],Table1[KIT],A6,Table1[ExplanationType],$D$2)</f>
        <v>4</v>
      </c>
      <c r="E6">
        <f>SUMIFS(Table1[DurationMinutes],Table1[KIT],A6,Table1[ExplanationType],$E$2)</f>
        <v>5</v>
      </c>
    </row>
    <row r="7" spans="1:5" x14ac:dyDescent="0.45">
      <c r="A7" s="14" t="s">
        <v>122</v>
      </c>
      <c r="B7">
        <f>SUMIFS(Table1[DurationMinutes],Table1[KIT],A7,Table1[ExplanationType],$B$2)</f>
        <v>13</v>
      </c>
      <c r="C7">
        <f t="shared" si="0"/>
        <v>8.5</v>
      </c>
      <c r="D7">
        <f>SUMIFS(Table1[DurationMinutes],Table1[KIT],A7,Table1[ExplanationType],$D$2)</f>
        <v>5</v>
      </c>
      <c r="E7">
        <f>SUMIFS(Table1[DurationMinutes],Table1[KIT],A7,Table1[ExplanationType],$E$2)</f>
        <v>12</v>
      </c>
    </row>
    <row r="8" spans="1:5" x14ac:dyDescent="0.45">
      <c r="A8" s="14">
        <v>3</v>
      </c>
      <c r="B8">
        <f>SUMIFS(Table1[DurationMinutes],Table1[KIT],A8,Table1[ExplanationType],$B$2)</f>
        <v>3</v>
      </c>
      <c r="C8">
        <f t="shared" si="0"/>
        <v>5</v>
      </c>
      <c r="D8">
        <f>SUMIFS(Table1[DurationMinutes],Table1[KIT],A8,Table1[ExplanationType],$D$2)</f>
        <v>5</v>
      </c>
      <c r="E8">
        <f>SUMIFS(Table1[DurationMinutes],Table1[KIT],A8,Table1[ExplanationType],$E$2)</f>
        <v>5</v>
      </c>
    </row>
    <row r="9" spans="1:5" x14ac:dyDescent="0.45">
      <c r="A9" s="14" t="s">
        <v>115</v>
      </c>
      <c r="B9">
        <f>SUMIFS(Table1[DurationMinutes],Table1[KIT],A9,Table1[ExplanationType],$B$2)</f>
        <v>5</v>
      </c>
      <c r="C9">
        <f t="shared" si="0"/>
        <v>14</v>
      </c>
      <c r="D9">
        <f>SUMIFS(Table1[DurationMinutes],Table1[KIT],A9,Table1[ExplanationType],$D$2)</f>
        <v>14</v>
      </c>
      <c r="E9">
        <f>SUMIFS(Table1[DurationMinutes],Table1[KIT],A9,Table1[ExplanationType],$E$2)</f>
        <v>14</v>
      </c>
    </row>
    <row r="10" spans="1:5" x14ac:dyDescent="0.45">
      <c r="A10" s="14">
        <v>4</v>
      </c>
      <c r="B10">
        <f>SUMIFS(Table1[DurationMinutes],Table1[KIT],A10,Table1[ExplanationType],$B$2)</f>
        <v>8</v>
      </c>
      <c r="C10">
        <f t="shared" si="0"/>
        <v>7</v>
      </c>
      <c r="D10">
        <f>SUMIFS(Table1[DurationMinutes],Table1[KIT],A10,Table1[ExplanationType],$D$2)</f>
        <v>4</v>
      </c>
      <c r="E10">
        <f>SUMIFS(Table1[DurationMinutes],Table1[KIT],A10,Table1[ExplanationType],$E$2)</f>
        <v>10</v>
      </c>
    </row>
    <row r="11" spans="1:5" x14ac:dyDescent="0.45">
      <c r="A11" s="14" t="s">
        <v>116</v>
      </c>
      <c r="B11">
        <f>SUMIFS(Table1[DurationMinutes],Table1[KIT],A11,Table1[ExplanationType],$B$2)</f>
        <v>9</v>
      </c>
      <c r="C11">
        <f t="shared" si="0"/>
        <v>13</v>
      </c>
      <c r="D11">
        <f>SUMIFS(Table1[DurationMinutes],Table1[KIT],A11,Table1[ExplanationType],$D$2)</f>
        <v>10</v>
      </c>
      <c r="E11">
        <f>SUMIFS(Table1[DurationMinutes],Table1[KIT],A11,Table1[ExplanationType],$E$2)</f>
        <v>16</v>
      </c>
    </row>
    <row r="12" spans="1:5" x14ac:dyDescent="0.45">
      <c r="A12" s="14" t="s">
        <v>119</v>
      </c>
      <c r="B12">
        <f>SUMIFS(Table1[DurationMinutes],Table1[KIT],A12,Table1[ExplanationType],$B$2)</f>
        <v>7</v>
      </c>
      <c r="C12">
        <f t="shared" si="0"/>
        <v>7</v>
      </c>
      <c r="D12">
        <f>SUMIFS(Table1[DurationMinutes],Table1[KIT],A12,Table1[ExplanationType],$D$2)</f>
        <v>7</v>
      </c>
      <c r="E12">
        <f>SUMIFS(Table1[DurationMinutes],Table1[KIT],A12,Table1[ExplanationType],$E$2)</f>
        <v>7</v>
      </c>
    </row>
    <row r="13" spans="1:5" x14ac:dyDescent="0.45">
      <c r="A13" s="14">
        <v>5</v>
      </c>
      <c r="B13">
        <f>SUMIFS(Table1[DurationMinutes],Table1[KIT],A13,Table1[ExplanationType],$B$2)</f>
        <v>10</v>
      </c>
      <c r="C13">
        <f t="shared" si="0"/>
        <v>6</v>
      </c>
      <c r="D13">
        <f>SUMIFS(Table1[DurationMinutes],Table1[KIT],A13,Table1[ExplanationType],$D$2)</f>
        <v>6</v>
      </c>
      <c r="E13">
        <f>SUMIFS(Table1[DurationMinutes],Table1[KIT],A13,Table1[ExplanationType],$E$2)</f>
        <v>6</v>
      </c>
    </row>
    <row r="14" spans="1:5" x14ac:dyDescent="0.45">
      <c r="A14" s="14" t="s">
        <v>129</v>
      </c>
      <c r="B14">
        <f>SUMIFS(Table1[DurationMinutes],Table1[KIT],A14,Table1[ExplanationType],$B$2)</f>
        <v>7</v>
      </c>
      <c r="C14">
        <f t="shared" si="0"/>
        <v>3.5</v>
      </c>
      <c r="D14">
        <f>SUMIFS(Table1[DurationMinutes],Table1[KIT],A14,Table1[ExplanationType],$D$2)</f>
        <v>2</v>
      </c>
      <c r="E14">
        <f>SUMIFS(Table1[DurationMinutes],Table1[KIT],A14,Table1[ExplanationType],$E$2)</f>
        <v>5</v>
      </c>
    </row>
    <row r="15" spans="1:5" x14ac:dyDescent="0.45">
      <c r="A15" s="14">
        <v>6</v>
      </c>
      <c r="B15">
        <f>SUMIFS(Table1[DurationMinutes],Table1[KIT],A15,Table1[ExplanationType],$B$2)</f>
        <v>6</v>
      </c>
      <c r="C15">
        <f t="shared" si="0"/>
        <v>4.5</v>
      </c>
      <c r="D15">
        <f>SUMIFS(Table1[DurationMinutes],Table1[KIT],A15,Table1[ExplanationType],$D$2)</f>
        <v>4</v>
      </c>
      <c r="E15">
        <f>SUMIFS(Table1[DurationMinutes],Table1[KIT],A15,Table1[ExplanationType],$E$2)</f>
        <v>5</v>
      </c>
    </row>
    <row r="16" spans="1:5" x14ac:dyDescent="0.45">
      <c r="A16" s="14" t="s">
        <v>128</v>
      </c>
      <c r="B16">
        <f>SUMIFS(Table1[DurationMinutes],Table1[KIT],A16,Table1[ExplanationType],$B$2)</f>
        <v>7</v>
      </c>
      <c r="C16">
        <f t="shared" si="0"/>
        <v>8.5</v>
      </c>
      <c r="D16">
        <f>SUMIFS(Table1[DurationMinutes],Table1[KIT],A16,Table1[ExplanationType],$D$2)</f>
        <v>8</v>
      </c>
      <c r="E16">
        <f>SUMIFS(Table1[DurationMinutes],Table1[KIT],A16,Table1[ExplanationType],$E$2)</f>
        <v>9</v>
      </c>
    </row>
    <row r="17" spans="1:5" x14ac:dyDescent="0.45">
      <c r="A17" s="14">
        <v>7</v>
      </c>
      <c r="B17">
        <f>SUMIFS(Table1[DurationMinutes],Table1[KIT],A17,Table1[ExplanationType],$B$2)</f>
        <v>5</v>
      </c>
      <c r="C17">
        <f t="shared" si="0"/>
        <v>6.5</v>
      </c>
      <c r="D17">
        <f>SUMIFS(Table1[DurationMinutes],Table1[KIT],A17,Table1[ExplanationType],$D$2)</f>
        <v>8</v>
      </c>
      <c r="E17">
        <f>SUMIFS(Table1[DurationMinutes],Table1[KIT],A17,Table1[ExplanationType],$E$2)</f>
        <v>5</v>
      </c>
    </row>
    <row r="18" spans="1:5" x14ac:dyDescent="0.45">
      <c r="A18" s="14" t="s">
        <v>130</v>
      </c>
      <c r="B18">
        <f>SUMIFS(Table1[DurationMinutes],Table1[KIT],A18,Table1[ExplanationType],$B$2)</f>
        <v>6</v>
      </c>
      <c r="C18">
        <f t="shared" si="0"/>
        <v>5.5</v>
      </c>
      <c r="D18">
        <f>SUMIFS(Table1[DurationMinutes],Table1[KIT],A18,Table1[ExplanationType],$D$2)</f>
        <v>6</v>
      </c>
      <c r="E18">
        <f>SUMIFS(Table1[DurationMinutes],Table1[KIT],A18,Table1[ExplanationType],$E$2)</f>
        <v>5</v>
      </c>
    </row>
    <row r="19" spans="1:5" x14ac:dyDescent="0.45">
      <c r="A19" s="14" t="s">
        <v>120</v>
      </c>
      <c r="B19">
        <f>SUMIFS(Table1[DurationMinutes],Table1[KIT],A19,Table1[ExplanationType],$B$2)</f>
        <v>4</v>
      </c>
      <c r="C19">
        <f t="shared" si="0"/>
        <v>6</v>
      </c>
      <c r="D19">
        <f>SUMIFS(Table1[DurationMinutes],Table1[KIT],A19,Table1[ExplanationType],$D$2)</f>
        <v>9</v>
      </c>
      <c r="E19">
        <f>SUMIFS(Table1[DurationMinutes],Table1[KIT],A19,Table1[ExplanationType],$E$2)</f>
        <v>3</v>
      </c>
    </row>
    <row r="20" spans="1:5" x14ac:dyDescent="0.45">
      <c r="A20" s="14">
        <v>8</v>
      </c>
      <c r="B20">
        <f>SUMIFS(Table1[DurationMinutes],Table1[KIT],A20,Table1[ExplanationType],$B$2)</f>
        <v>4</v>
      </c>
      <c r="C20">
        <f t="shared" si="0"/>
        <v>7</v>
      </c>
      <c r="D20">
        <f>SUMIFS(Table1[DurationMinutes],Table1[KIT],A20,Table1[ExplanationType],$D$2)</f>
        <v>8</v>
      </c>
      <c r="E20">
        <f>SUMIFS(Table1[DurationMinutes],Table1[KIT],A20,Table1[ExplanationType],$E$2)</f>
        <v>6</v>
      </c>
    </row>
    <row r="21" spans="1:5" x14ac:dyDescent="0.45">
      <c r="A21" s="14" t="s">
        <v>131</v>
      </c>
      <c r="B21">
        <f>SUMIFS(Table1[DurationMinutes],Table1[KIT],A21,Table1[ExplanationType],$B$2)</f>
        <v>6</v>
      </c>
      <c r="C21">
        <f t="shared" si="0"/>
        <v>5.5</v>
      </c>
      <c r="D21">
        <f>SUMIFS(Table1[DurationMinutes],Table1[KIT],A21,Table1[ExplanationType],$D$2)</f>
        <v>8</v>
      </c>
      <c r="E21">
        <f>SUMIFS(Table1[DurationMinutes],Table1[KIT],A21,Table1[ExplanationType],$E$2)</f>
        <v>3</v>
      </c>
    </row>
    <row r="22" spans="1:5" x14ac:dyDescent="0.45">
      <c r="A22" s="14">
        <v>9</v>
      </c>
      <c r="B22">
        <f>SUMIFS(Table1[DurationMinutes],Table1[KIT],A22,Table1[ExplanationType],$B$2)</f>
        <v>9</v>
      </c>
      <c r="C22">
        <f t="shared" si="0"/>
        <v>6.5</v>
      </c>
      <c r="D22">
        <f>SUMIFS(Table1[DurationMinutes],Table1[KIT],A22,Table1[ExplanationType],$D$2)</f>
        <v>7</v>
      </c>
      <c r="E22">
        <f>SUMIFS(Table1[DurationMinutes],Table1[KIT],A22,Table1[ExplanationType],$E$2)</f>
        <v>6</v>
      </c>
    </row>
    <row r="23" spans="1:5" x14ac:dyDescent="0.45">
      <c r="A23" s="14" t="s">
        <v>118</v>
      </c>
      <c r="B23">
        <f>SUMIFS(Table1[DurationMinutes],Table1[KIT],A23,Table1[ExplanationType],$B$2)</f>
        <v>3</v>
      </c>
      <c r="C23">
        <f t="shared" si="0"/>
        <v>4</v>
      </c>
      <c r="D23">
        <f>SUMIFS(Table1[DurationMinutes],Table1[KIT],A23,Table1[ExplanationType],$D$2)</f>
        <v>5</v>
      </c>
      <c r="E23">
        <f>SUMIFS(Table1[DurationMinutes],Table1[KIT],A23,Table1[ExplanationType],$E$2)</f>
        <v>3</v>
      </c>
    </row>
    <row r="24" spans="1:5" x14ac:dyDescent="0.45">
      <c r="A24" s="7" t="s">
        <v>58</v>
      </c>
      <c r="B24">
        <f>SUBTOTAL(101,Table12[None])</f>
        <v>6.0952380952380949</v>
      </c>
      <c r="C24">
        <f>SUBTOTAL(101,Table12[With])</f>
        <v>7.166666666666667</v>
      </c>
      <c r="D24">
        <f>SUBTOTAL(101,Table12[RootCause])</f>
        <v>6.5714285714285712</v>
      </c>
      <c r="E24">
        <f>SUBTOTAL(101,Table12[Fix])</f>
        <v>7.7619047619047619</v>
      </c>
    </row>
    <row r="27" spans="1:5" ht="42.75" x14ac:dyDescent="0.45">
      <c r="A27" t="s">
        <v>77</v>
      </c>
      <c r="B27" s="16" t="s">
        <v>90</v>
      </c>
      <c r="C27" s="16" t="s">
        <v>91</v>
      </c>
      <c r="D27" s="16" t="s">
        <v>94</v>
      </c>
      <c r="E27" s="16" t="s">
        <v>93</v>
      </c>
    </row>
    <row r="28" spans="1:5" x14ac:dyDescent="0.45">
      <c r="A28" s="10" t="s">
        <v>76</v>
      </c>
      <c r="B28" s="11">
        <f>TTEST(B3:B23,C3:C23,1,2)</f>
        <v>0.13115905240325901</v>
      </c>
      <c r="C28" s="11">
        <f>TTEST(B3:B23,D3:D23,1,2)</f>
        <v>0.28455526303813544</v>
      </c>
      <c r="D28" s="11">
        <f>TTEST(B3:B23,E3:E23,1,2)</f>
        <v>9.6850635053757003E-2</v>
      </c>
      <c r="E28" s="11">
        <f>TTEST(D3:D23,E3:E23,1,2)</f>
        <v>0.17701182571039481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AcrossSubjectsCorrectness</vt:lpstr>
      <vt:lpstr>Demographics</vt:lpstr>
      <vt:lpstr>Subjects</vt:lpstr>
      <vt:lpstr>Analysis</vt:lpstr>
      <vt:lpstr>ExplanationsRelated</vt:lpstr>
      <vt:lpstr>Confidence</vt:lpstr>
      <vt:lpstr>Confidence Others</vt:lpstr>
      <vt:lpstr>DurationAnalysis</vt:lpstr>
      <vt:lpstr>AcrossBugs</vt:lpstr>
      <vt:lpstr>Takeaway</vt:lpstr>
      <vt:lpstr>ExperimentalSetup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2018-02-08T15:29:58Z</dcterms:created>
  <dcterms:modified xsi:type="dcterms:W3CDTF">2018-02-28T15:13:05Z</dcterms:modified>
</cp:coreProperties>
</file>