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au231308/Dropbox/Projects/Pangasius AB balance ILCM/"/>
    </mc:Choice>
  </mc:AlternateContent>
  <xr:revisionPtr revIDLastSave="0" documentId="13_ncr:1_{1388F204-F7E7-B240-BE39-62ED15B27FD5}" xr6:coauthVersionLast="45" xr6:coauthVersionMax="45" xr10:uidLastSave="{00000000-0000-0000-0000-000000000000}"/>
  <bookViews>
    <workbookView xWindow="0" yWindow="460" windowWidth="35840" windowHeight="20400" activeTab="1" xr2:uid="{00000000-000D-0000-FFFF-FFFF00000000}"/>
  </bookViews>
  <sheets>
    <sheet name="Morphometric Data" sheetId="1" r:id="rId1"/>
    <sheet name="Gill" sheetId="5" r:id="rId2"/>
    <sheet name="Ion regulation" sheetId="2" r:id="rId3"/>
    <sheet name="Na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75" i="3" l="1"/>
  <c r="F74" i="3"/>
  <c r="F73" i="3"/>
  <c r="F72" i="3"/>
  <c r="G71" i="3" s="1"/>
  <c r="F71" i="3"/>
  <c r="H71" i="3" s="1"/>
  <c r="F69" i="3"/>
  <c r="F68" i="3"/>
  <c r="F67" i="3"/>
  <c r="F66" i="3"/>
  <c r="H65" i="3"/>
  <c r="F65" i="3"/>
  <c r="G65" i="3" s="1"/>
  <c r="F64" i="3"/>
  <c r="F63" i="3"/>
  <c r="F62" i="3"/>
  <c r="F61" i="3"/>
  <c r="F60" i="3"/>
  <c r="H59" i="3"/>
  <c r="F59" i="3"/>
  <c r="G59" i="3" s="1"/>
  <c r="F58" i="3"/>
  <c r="F57" i="3"/>
  <c r="F56" i="3"/>
  <c r="H53" i="3" s="1"/>
  <c r="F55" i="3"/>
  <c r="F54" i="3"/>
  <c r="F53" i="3"/>
  <c r="F52" i="3"/>
  <c r="H47" i="3" s="1"/>
  <c r="F51" i="3"/>
  <c r="F50" i="3"/>
  <c r="F49" i="3"/>
  <c r="F48" i="3"/>
  <c r="F47" i="3"/>
  <c r="F46" i="3"/>
  <c r="F45" i="3"/>
  <c r="F44" i="3"/>
  <c r="F43" i="3"/>
  <c r="F42" i="3"/>
  <c r="G38" i="3" s="1"/>
  <c r="F41" i="3"/>
  <c r="F40" i="3"/>
  <c r="F39" i="3"/>
  <c r="F37" i="3"/>
  <c r="F36" i="3"/>
  <c r="F35" i="3"/>
  <c r="F34" i="3"/>
  <c r="F33" i="3"/>
  <c r="F32" i="3"/>
  <c r="F31" i="3"/>
  <c r="F30" i="3"/>
  <c r="F28" i="3"/>
  <c r="F27" i="3"/>
  <c r="F26" i="3"/>
  <c r="F25" i="3"/>
  <c r="F24" i="3"/>
  <c r="F23" i="3"/>
  <c r="F22" i="3"/>
  <c r="F21" i="3"/>
  <c r="G20" i="3"/>
  <c r="F19" i="3"/>
  <c r="F18" i="3"/>
  <c r="F17" i="3"/>
  <c r="F16" i="3"/>
  <c r="F15" i="3"/>
  <c r="F14" i="3"/>
  <c r="F13" i="3"/>
  <c r="F12" i="3"/>
  <c r="F10" i="3"/>
  <c r="F9" i="3"/>
  <c r="F8" i="3"/>
  <c r="F7" i="3"/>
  <c r="F6" i="3"/>
  <c r="F5" i="3"/>
  <c r="F3" i="3"/>
  <c r="H29" i="3" l="1"/>
  <c r="G47" i="3"/>
  <c r="H2" i="3"/>
  <c r="G53" i="3"/>
  <c r="H20" i="3"/>
  <c r="H38" i="3"/>
  <c r="H11" i="3"/>
  <c r="G2" i="3"/>
  <c r="G11" i="3"/>
  <c r="G29" i="3"/>
  <c r="AK17" i="1" l="1"/>
  <c r="AJ17" i="1"/>
  <c r="J15" i="1"/>
  <c r="I15" i="1"/>
  <c r="W15" i="1" s="1"/>
  <c r="AF15" i="1" s="1"/>
  <c r="H15" i="1"/>
  <c r="G15" i="1"/>
  <c r="N15" i="1" s="1"/>
  <c r="Q15" i="1" s="1"/>
  <c r="R15" i="1" s="1"/>
  <c r="J14" i="1"/>
  <c r="I14" i="1"/>
  <c r="H14" i="1"/>
  <c r="G14" i="1"/>
  <c r="U14" i="1" s="1"/>
  <c r="AC14" i="1" s="1"/>
  <c r="I13" i="1"/>
  <c r="H13" i="1"/>
  <c r="G13" i="1"/>
  <c r="AL12" i="1"/>
  <c r="W12" i="1"/>
  <c r="AF12" i="1" s="1"/>
  <c r="J12" i="1"/>
  <c r="I12" i="1"/>
  <c r="P12" i="1" s="1"/>
  <c r="H12" i="1"/>
  <c r="G12" i="1"/>
  <c r="N12" i="1" s="1"/>
  <c r="J11" i="1"/>
  <c r="I11" i="1"/>
  <c r="P11" i="1" s="1"/>
  <c r="H11" i="1"/>
  <c r="G11" i="1"/>
  <c r="AL10" i="1"/>
  <c r="AL11" i="1" s="1"/>
  <c r="J10" i="1"/>
  <c r="I10" i="1"/>
  <c r="H10" i="1"/>
  <c r="G10" i="1"/>
  <c r="U10" i="1" s="1"/>
  <c r="AC10" i="1" s="1"/>
  <c r="H9" i="1"/>
  <c r="G9" i="1"/>
  <c r="U9" i="1" s="1"/>
  <c r="AC9" i="1" s="1"/>
  <c r="AG9" i="1" s="1"/>
  <c r="AH9" i="1" s="1"/>
  <c r="J8" i="1"/>
  <c r="I8" i="1"/>
  <c r="H8" i="1"/>
  <c r="G8" i="1"/>
  <c r="N8" i="1" s="1"/>
  <c r="I7" i="1"/>
  <c r="G7" i="1"/>
  <c r="N7" i="1" s="1"/>
  <c r="Q7" i="1" s="1"/>
  <c r="R7" i="1" s="1"/>
  <c r="AL6" i="1"/>
  <c r="J6" i="1"/>
  <c r="I6" i="1"/>
  <c r="H6" i="1"/>
  <c r="G6" i="1"/>
  <c r="U6" i="1" s="1"/>
  <c r="J5" i="1"/>
  <c r="I5" i="1"/>
  <c r="W5" i="1" s="1"/>
  <c r="AF5" i="1" s="1"/>
  <c r="H5" i="1"/>
  <c r="G5" i="1"/>
  <c r="N5" i="1" s="1"/>
  <c r="AL4" i="1"/>
  <c r="AL5" i="1" s="1"/>
  <c r="J4" i="1"/>
  <c r="I4" i="1"/>
  <c r="W4" i="1" s="1"/>
  <c r="AF4" i="1" s="1"/>
  <c r="H4" i="1"/>
  <c r="G4" i="1"/>
  <c r="U4" i="1" s="1"/>
  <c r="AC4" i="1" s="1"/>
  <c r="AG4" i="1" s="1"/>
  <c r="U8" i="1" l="1"/>
  <c r="P15" i="1"/>
  <c r="N9" i="1"/>
  <c r="Q9" i="1" s="1"/>
  <c r="R9" i="1" s="1"/>
  <c r="U15" i="1"/>
  <c r="X15" i="1" s="1"/>
  <c r="Y15" i="1" s="1"/>
  <c r="P4" i="1"/>
  <c r="Q12" i="1"/>
  <c r="R12" i="1" s="1"/>
  <c r="P5" i="1"/>
  <c r="Q5" i="1" s="1"/>
  <c r="R5" i="1" s="1"/>
  <c r="U12" i="1"/>
  <c r="X12" i="1" s="1"/>
  <c r="Y12" i="1" s="1"/>
  <c r="AH4" i="1"/>
  <c r="X6" i="1"/>
  <c r="Y6" i="1" s="1"/>
  <c r="AC6" i="1"/>
  <c r="W11" i="1"/>
  <c r="AF11" i="1" s="1"/>
  <c r="U5" i="1"/>
  <c r="W8" i="1"/>
  <c r="AF8" i="1" s="1"/>
  <c r="P8" i="1"/>
  <c r="Q8" i="1" s="1"/>
  <c r="R8" i="1" s="1"/>
  <c r="X9" i="1"/>
  <c r="Y9" i="1" s="1"/>
  <c r="U11" i="1"/>
  <c r="AC15" i="1"/>
  <c r="AG15" i="1" s="1"/>
  <c r="AH15" i="1" s="1"/>
  <c r="AM15" i="1" s="1"/>
  <c r="AN15" i="1" s="1"/>
  <c r="W6" i="1"/>
  <c r="AF6" i="1" s="1"/>
  <c r="P6" i="1"/>
  <c r="N6" i="1"/>
  <c r="Q6" i="1" s="1"/>
  <c r="R6" i="1" s="1"/>
  <c r="X4" i="1"/>
  <c r="Y4" i="1" s="1"/>
  <c r="U7" i="1"/>
  <c r="AC8" i="1"/>
  <c r="W10" i="1"/>
  <c r="AF10" i="1" s="1"/>
  <c r="AG10" i="1" s="1"/>
  <c r="AH10" i="1" s="1"/>
  <c r="P10" i="1"/>
  <c r="W14" i="1"/>
  <c r="AF14" i="1" s="1"/>
  <c r="AG14" i="1" s="1"/>
  <c r="AH14" i="1" s="1"/>
  <c r="AM14" i="1" s="1"/>
  <c r="AN14" i="1" s="1"/>
  <c r="P14" i="1"/>
  <c r="X14" i="1"/>
  <c r="Y14" i="1" s="1"/>
  <c r="N10" i="1"/>
  <c r="N14" i="1"/>
  <c r="Q14" i="1" s="1"/>
  <c r="R14" i="1" s="1"/>
  <c r="N4" i="1"/>
  <c r="N11" i="1"/>
  <c r="Q11" i="1" s="1"/>
  <c r="R11" i="1" s="1"/>
  <c r="AC12" i="1" l="1"/>
  <c r="AG12" i="1" s="1"/>
  <c r="AH12" i="1" s="1"/>
  <c r="AM12" i="1" s="1"/>
  <c r="AN12" i="1" s="1"/>
  <c r="Q4" i="1"/>
  <c r="R4" i="1" s="1"/>
  <c r="AM10" i="1"/>
  <c r="AN10" i="1" s="1"/>
  <c r="AG8" i="1"/>
  <c r="AH8" i="1" s="1"/>
  <c r="AM8" i="1" s="1"/>
  <c r="AN8" i="1" s="1"/>
  <c r="AC11" i="1"/>
  <c r="AG11" i="1" s="1"/>
  <c r="AH11" i="1" s="1"/>
  <c r="AM11" i="1" s="1"/>
  <c r="AN11" i="1" s="1"/>
  <c r="X11" i="1"/>
  <c r="Y11" i="1" s="1"/>
  <c r="X5" i="1"/>
  <c r="Y5" i="1" s="1"/>
  <c r="AC5" i="1"/>
  <c r="AG5" i="1" s="1"/>
  <c r="AM4" i="1"/>
  <c r="AN4" i="1" s="1"/>
  <c r="Q10" i="1"/>
  <c r="R10" i="1" s="1"/>
  <c r="X10" i="1"/>
  <c r="Y10" i="1" s="1"/>
  <c r="X7" i="1"/>
  <c r="Y7" i="1" s="1"/>
  <c r="AC7" i="1"/>
  <c r="AG7" i="1" s="1"/>
  <c r="AH7" i="1" s="1"/>
  <c r="AM7" i="1" s="1"/>
  <c r="AN7" i="1" s="1"/>
  <c r="X8" i="1"/>
  <c r="Y8" i="1" s="1"/>
  <c r="AG6" i="1"/>
  <c r="AH6" i="1" s="1"/>
  <c r="AM6" i="1" s="1"/>
  <c r="AN6" i="1" s="1"/>
  <c r="AH5" i="1" l="1"/>
  <c r="AG17" i="1"/>
  <c r="AO11" i="1"/>
  <c r="AO10" i="1"/>
  <c r="AI10" i="1"/>
  <c r="AI11" i="1"/>
  <c r="AM5" i="1" l="1"/>
  <c r="AN5" i="1" s="1"/>
  <c r="AH17" i="1"/>
  <c r="AI4" i="1"/>
  <c r="AI5" i="1"/>
  <c r="AO4" i="1" l="1"/>
  <c r="AO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LMP</author>
  </authors>
  <commentList>
    <comment ref="D8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LMP:</t>
        </r>
        <r>
          <rPr>
            <sz val="9"/>
            <color indexed="81"/>
            <rFont val="Tahoma"/>
            <charset val="1"/>
          </rPr>
          <t xml:space="preserve">
The data in red color were removed. Firstly, we planed to do on 9 fish, but because I had no time for doing morphometric, so I chose only 6 fish. Then the hyperoxic experiement was repeated and I just did on 6 fish for both ion-regulation and gill morphometric. </t>
        </r>
      </text>
    </comment>
  </commentList>
</comments>
</file>

<file path=xl/sharedStrings.xml><?xml version="1.0" encoding="utf-8"?>
<sst xmlns="http://schemas.openxmlformats.org/spreadsheetml/2006/main" count="377" uniqueCount="153">
  <si>
    <t>Group</t>
  </si>
  <si>
    <t>Fish</t>
  </si>
  <si>
    <t>Body Mass (g)</t>
  </si>
  <si>
    <t>Primary filaments volume (mm3)</t>
  </si>
  <si>
    <t>Secondary lamelae Volume (mm3)</t>
  </si>
  <si>
    <t>Lamellar Surface areas (mm2)</t>
  </si>
  <si>
    <t>Diffusion distance (µm)</t>
  </si>
  <si>
    <t>ADF (Anatomic diffusion factors)</t>
  </si>
  <si>
    <t>1/TFS1a</t>
  </si>
  <si>
    <t>1/TFS1c</t>
  </si>
  <si>
    <t>1/SSF1a</t>
  </si>
  <si>
    <t>1/SSF1c</t>
  </si>
  <si>
    <t>1/SSF2a</t>
  </si>
  <si>
    <t>1/SSF2c</t>
  </si>
  <si>
    <t>1/ASF</t>
  </si>
  <si>
    <t>A/P (FL) (µm2)</t>
  </si>
  <si>
    <t>Points (1st)</t>
  </si>
  <si>
    <t xml:space="preserve"> Volume (mm3)</t>
  </si>
  <si>
    <t>Points (2nd)</t>
  </si>
  <si>
    <t>Total gill filament volume (mm3)</t>
  </si>
  <si>
    <t>Total gill filament volume/mass (mm3/g)</t>
  </si>
  <si>
    <t>a/p (SL) (µm2)</t>
  </si>
  <si>
    <t>Points (3rd)</t>
  </si>
  <si>
    <t>Total gill lamellar volume (mm3)</t>
  </si>
  <si>
    <t>Total gill lamellar volume/mass (mm3/g)</t>
  </si>
  <si>
    <t>l/p (µm)</t>
  </si>
  <si>
    <t>Intersections (1st)</t>
  </si>
  <si>
    <t>Surface areas (mm2)</t>
  </si>
  <si>
    <t>Intersections (3rd)</t>
  </si>
  <si>
    <t>Total lamellar Surface areas (mm2)</t>
  </si>
  <si>
    <t>Total lamellar Surface areas/Mass (mm2/g)</t>
  </si>
  <si>
    <r>
      <t xml:space="preserve">Mean </t>
    </r>
    <r>
      <rPr>
        <b/>
        <sz val="11"/>
        <color rgb="FFFF0000"/>
        <rFont val="Calibri"/>
        <family val="2"/>
      </rPr>
      <t>±SE</t>
    </r>
  </si>
  <si>
    <r>
      <t>Diffusion distance (</t>
    </r>
    <r>
      <rPr>
        <b/>
        <sz val="11"/>
        <color theme="1"/>
        <rFont val="Calibri"/>
        <family val="2"/>
      </rPr>
      <t>µ</t>
    </r>
    <r>
      <rPr>
        <b/>
        <sz val="9.9"/>
        <color theme="1"/>
        <rFont val="Calibri"/>
        <family val="2"/>
      </rPr>
      <t>m)</t>
    </r>
  </si>
  <si>
    <r>
      <t>Harmonic mean (</t>
    </r>
    <r>
      <rPr>
        <b/>
        <sz val="11"/>
        <color theme="1"/>
        <rFont val="Calibri"/>
        <family val="2"/>
      </rPr>
      <t>µ</t>
    </r>
    <r>
      <rPr>
        <b/>
        <sz val="9.9"/>
        <color theme="1"/>
        <rFont val="Calibri"/>
        <family val="2"/>
      </rPr>
      <t>m)</t>
    </r>
  </si>
  <si>
    <t>Mean &amp; CV &amp; SE</t>
  </si>
  <si>
    <r>
      <t>(mm2/</t>
    </r>
    <r>
      <rPr>
        <b/>
        <sz val="11"/>
        <color theme="1"/>
        <rFont val="Calibri"/>
        <family val="2"/>
      </rPr>
      <t>µm.g)</t>
    </r>
  </si>
  <si>
    <r>
      <t>(cm2/</t>
    </r>
    <r>
      <rPr>
        <b/>
        <sz val="11"/>
        <color theme="1"/>
        <rFont val="Calibri"/>
        <family val="2"/>
      </rPr>
      <t>µm.kg)</t>
    </r>
  </si>
  <si>
    <t>Hyperoxia group</t>
  </si>
  <si>
    <t>H01</t>
  </si>
  <si>
    <t>H02</t>
  </si>
  <si>
    <t>H03</t>
  </si>
  <si>
    <t>H04</t>
  </si>
  <si>
    <t>H05</t>
  </si>
  <si>
    <t>H06</t>
  </si>
  <si>
    <t>x</t>
  </si>
  <si>
    <t>Hypoxic group</t>
  </si>
  <si>
    <t>L01</t>
  </si>
  <si>
    <t>L02</t>
  </si>
  <si>
    <t>L03</t>
  </si>
  <si>
    <t>L04</t>
  </si>
  <si>
    <t>L05</t>
  </si>
  <si>
    <t>L06</t>
  </si>
  <si>
    <t>Hypoxia</t>
  </si>
  <si>
    <t>L0-1</t>
  </si>
  <si>
    <t>L0-2</t>
  </si>
  <si>
    <t>L0-3</t>
  </si>
  <si>
    <t>L0-4</t>
  </si>
  <si>
    <t>L0-5</t>
  </si>
  <si>
    <t>L0-6</t>
  </si>
  <si>
    <t>L4-1</t>
  </si>
  <si>
    <t>L4-2</t>
  </si>
  <si>
    <t>L4-3</t>
  </si>
  <si>
    <t>L4-4</t>
  </si>
  <si>
    <t>L4-5</t>
  </si>
  <si>
    <t>L4-6</t>
  </si>
  <si>
    <t>L8-1</t>
  </si>
  <si>
    <t>L8-2</t>
  </si>
  <si>
    <t>L8-3</t>
  </si>
  <si>
    <t>L8-4</t>
  </si>
  <si>
    <t>L8-5</t>
  </si>
  <si>
    <t>L8-6</t>
  </si>
  <si>
    <t>L18-1</t>
  </si>
  <si>
    <t>L18-2</t>
  </si>
  <si>
    <t>L18-3</t>
  </si>
  <si>
    <t>L18-4</t>
  </si>
  <si>
    <t>L18-5</t>
  </si>
  <si>
    <t>L18-6</t>
  </si>
  <si>
    <t>L24-1</t>
  </si>
  <si>
    <t>L24-2</t>
  </si>
  <si>
    <t>L24-3</t>
  </si>
  <si>
    <t>L24-4</t>
  </si>
  <si>
    <t>L24-5</t>
  </si>
  <si>
    <t>L24-6</t>
  </si>
  <si>
    <t>Hyperoxia</t>
  </si>
  <si>
    <t>Na TD</t>
  </si>
  <si>
    <t>Na Value</t>
  </si>
  <si>
    <t>Na</t>
  </si>
  <si>
    <t>Actual Na</t>
  </si>
  <si>
    <t>Mean</t>
  </si>
  <si>
    <t>SE</t>
  </si>
  <si>
    <t>L0-7</t>
  </si>
  <si>
    <t>L0-8</t>
  </si>
  <si>
    <t>L0-9</t>
  </si>
  <si>
    <t>L4-7</t>
  </si>
  <si>
    <t>L4-8</t>
  </si>
  <si>
    <t>L4-9</t>
  </si>
  <si>
    <t>L8-7</t>
  </si>
  <si>
    <t>L8-8</t>
  </si>
  <si>
    <t>L8-9</t>
  </si>
  <si>
    <t>L18-7</t>
  </si>
  <si>
    <t>L18-8</t>
  </si>
  <si>
    <t>L18-9</t>
  </si>
  <si>
    <t>L24-7</t>
  </si>
  <si>
    <t>L24-8</t>
  </si>
  <si>
    <t>L24-9</t>
  </si>
  <si>
    <t>H0-1</t>
  </si>
  <si>
    <t>H0-2</t>
  </si>
  <si>
    <t>H0-3</t>
  </si>
  <si>
    <t>H0-4</t>
  </si>
  <si>
    <t>H0-5</t>
  </si>
  <si>
    <t>H0-6</t>
  </si>
  <si>
    <t>H4-1</t>
  </si>
  <si>
    <t>H4-2</t>
  </si>
  <si>
    <t>H4-3</t>
  </si>
  <si>
    <t>H4-4</t>
  </si>
  <si>
    <t>H4-5</t>
  </si>
  <si>
    <t>H4-6</t>
  </si>
  <si>
    <t>H8-1</t>
  </si>
  <si>
    <t>H8-2</t>
  </si>
  <si>
    <t>H8-3</t>
  </si>
  <si>
    <t>H8-4</t>
  </si>
  <si>
    <t>H8-5</t>
  </si>
  <si>
    <t>H8-6</t>
  </si>
  <si>
    <t>H18-1</t>
  </si>
  <si>
    <t>H18-2</t>
  </si>
  <si>
    <t>H18-3</t>
  </si>
  <si>
    <t>H18-4</t>
  </si>
  <si>
    <t>H18-5</t>
  </si>
  <si>
    <t>H18-6</t>
  </si>
  <si>
    <t>H24-1</t>
  </si>
  <si>
    <t>H24-2</t>
  </si>
  <si>
    <t>H24-3</t>
  </si>
  <si>
    <t>H24-4</t>
  </si>
  <si>
    <t>H24-5</t>
  </si>
  <si>
    <t>H24-6</t>
  </si>
  <si>
    <t>fishID</t>
  </si>
  <si>
    <t>time</t>
  </si>
  <si>
    <t>H</t>
  </si>
  <si>
    <t>treatment</t>
  </si>
  <si>
    <t>cl</t>
  </si>
  <si>
    <t>na</t>
  </si>
  <si>
    <t>osm</t>
  </si>
  <si>
    <t>hco3</t>
  </si>
  <si>
    <t>pco2</t>
  </si>
  <si>
    <t>ph</t>
  </si>
  <si>
    <t>hct</t>
  </si>
  <si>
    <t>L</t>
  </si>
  <si>
    <t>Treatment</t>
  </si>
  <si>
    <t>SA</t>
  </si>
  <si>
    <t>SA.m</t>
  </si>
  <si>
    <t>HM</t>
  </si>
  <si>
    <t>ADF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</si>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</sst>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9.9"/>
      <color theme="1"/>
      <name val="Calibri"/>
      <family val="2"/>
    </font>
    <font>
      <sz val="11"/>
      <name val="Calibri"/>
      <family val="2"/>
      <scheme val="minor"/>
    </font>
    <font>
      <sz val="11"/>
      <color rgb="FF002060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5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6" borderId="0" xfId="0" applyFont="1" applyFill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5" fillId="7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9" fillId="0" borderId="2" xfId="0" applyFont="1" applyFill="1" applyBorder="1" applyAlignment="1">
      <alignment horizontal="right" vertical="center" wrapText="1"/>
    </xf>
    <xf numFmtId="0" fontId="9" fillId="0" borderId="2" xfId="0" applyFont="1" applyBorder="1"/>
    <xf numFmtId="0" fontId="9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0" fillId="2" borderId="2" xfId="0" applyFont="1" applyFill="1" applyBorder="1"/>
    <xf numFmtId="0" fontId="10" fillId="6" borderId="2" xfId="0" applyFont="1" applyFill="1" applyBorder="1"/>
    <xf numFmtId="0" fontId="0" fillId="0" borderId="2" xfId="0" applyFont="1" applyBorder="1" applyAlignment="1">
      <alignment vertical="center" wrapText="1"/>
    </xf>
    <xf numFmtId="0" fontId="10" fillId="3" borderId="2" xfId="0" applyFont="1" applyFill="1" applyBorder="1"/>
    <xf numFmtId="0" fontId="10" fillId="7" borderId="2" xfId="0" applyFont="1" applyFill="1" applyBorder="1"/>
    <xf numFmtId="0" fontId="0" fillId="0" borderId="2" xfId="0" applyBorder="1"/>
    <xf numFmtId="0" fontId="10" fillId="4" borderId="2" xfId="0" applyFont="1" applyFill="1" applyBorder="1"/>
    <xf numFmtId="0" fontId="10" fillId="8" borderId="2" xfId="0" applyFont="1" applyFill="1" applyBorder="1"/>
    <xf numFmtId="0" fontId="0" fillId="0" borderId="0" xfId="0" applyFont="1" applyAlignment="1">
      <alignment vertical="center" wrapText="1"/>
    </xf>
    <xf numFmtId="0" fontId="0" fillId="5" borderId="0" xfId="0" applyFont="1" applyFill="1" applyAlignment="1">
      <alignment vertical="center" wrapText="1"/>
    </xf>
    <xf numFmtId="0" fontId="1" fillId="2" borderId="0" xfId="0" applyFont="1" applyFill="1"/>
    <xf numFmtId="0" fontId="0" fillId="7" borderId="0" xfId="0" applyFont="1" applyFill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right" vertical="center" wrapText="1"/>
    </xf>
    <xf numFmtId="0" fontId="9" fillId="0" borderId="0" xfId="0" applyFont="1" applyBorder="1"/>
    <xf numFmtId="0" fontId="3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0" fillId="2" borderId="0" xfId="0" applyFont="1" applyFill="1" applyBorder="1"/>
    <xf numFmtId="0" fontId="10" fillId="6" borderId="0" xfId="0" applyFont="1" applyFill="1" applyBorder="1"/>
    <xf numFmtId="0" fontId="0" fillId="0" borderId="0" xfId="0" applyFont="1" applyBorder="1" applyAlignment="1">
      <alignment vertical="center" wrapText="1"/>
    </xf>
    <xf numFmtId="0" fontId="10" fillId="3" borderId="0" xfId="0" applyFont="1" applyFill="1" applyBorder="1"/>
    <xf numFmtId="0" fontId="10" fillId="7" borderId="0" xfId="0" applyFont="1" applyFill="1" applyBorder="1"/>
    <xf numFmtId="0" fontId="0" fillId="0" borderId="0" xfId="0" applyBorder="1"/>
    <xf numFmtId="0" fontId="10" fillId="4" borderId="0" xfId="0" applyFont="1" applyFill="1" applyBorder="1"/>
    <xf numFmtId="0" fontId="10" fillId="8" borderId="0" xfId="0" applyFont="1" applyFill="1" applyBorder="1"/>
    <xf numFmtId="0" fontId="9" fillId="0" borderId="0" xfId="0" applyFont="1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/>
    <xf numFmtId="0" fontId="9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ill="1" applyBorder="1"/>
    <xf numFmtId="0" fontId="9" fillId="0" borderId="1" xfId="0" applyFont="1" applyFill="1" applyBorder="1" applyAlignment="1">
      <alignment horizontal="right" vertical="center" wrapText="1"/>
    </xf>
    <xf numFmtId="0" fontId="9" fillId="0" borderId="1" xfId="0" applyFont="1" applyBorder="1"/>
    <xf numFmtId="0" fontId="1" fillId="0" borderId="1" xfId="0" applyFont="1" applyBorder="1"/>
    <xf numFmtId="0" fontId="1" fillId="0" borderId="0" xfId="0" applyFont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9" fillId="0" borderId="0" xfId="0" applyFont="1"/>
    <xf numFmtId="0" fontId="1" fillId="0" borderId="2" xfId="0" applyFont="1" applyBorder="1"/>
    <xf numFmtId="0" fontId="1" fillId="0" borderId="2" xfId="0" applyFont="1" applyFill="1" applyBorder="1"/>
    <xf numFmtId="0" fontId="0" fillId="5" borderId="0" xfId="0" applyFill="1"/>
    <xf numFmtId="0" fontId="1" fillId="0" borderId="0" xfId="0" applyFont="1" applyBorder="1"/>
    <xf numFmtId="0" fontId="1" fillId="0" borderId="0" xfId="0" applyFont="1" applyFill="1" applyBorder="1"/>
    <xf numFmtId="0" fontId="1" fillId="2" borderId="0" xfId="0" applyFont="1" applyFill="1" applyBorder="1"/>
    <xf numFmtId="0" fontId="0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/>
    <xf numFmtId="0" fontId="9" fillId="0" borderId="1" xfId="0" applyFont="1" applyBorder="1" applyAlignment="1">
      <alignment vertical="center" wrapText="1"/>
    </xf>
    <xf numFmtId="0" fontId="1" fillId="0" borderId="1" xfId="0" applyFont="1" applyFill="1" applyBorder="1"/>
    <xf numFmtId="0" fontId="4" fillId="0" borderId="0" xfId="0" applyFont="1" applyFill="1" applyBorder="1"/>
    <xf numFmtId="0" fontId="0" fillId="0" borderId="1" xfId="0" applyBorder="1"/>
    <xf numFmtId="0" fontId="0" fillId="5" borderId="1" xfId="0" applyFill="1" applyBorder="1"/>
    <xf numFmtId="0" fontId="2" fillId="0" borderId="0" xfId="0" applyFont="1" applyAlignment="1">
      <alignment horizontal="left"/>
    </xf>
    <xf numFmtId="0" fontId="1" fillId="0" borderId="0" xfId="0" applyFont="1"/>
    <xf numFmtId="2" fontId="0" fillId="0" borderId="0" xfId="0" applyNumberFormat="1"/>
    <xf numFmtId="0" fontId="10" fillId="0" borderId="2" xfId="0" applyFont="1" applyBorder="1"/>
    <xf numFmtId="0" fontId="10" fillId="0" borderId="2" xfId="0" applyFont="1" applyFill="1" applyBorder="1"/>
    <xf numFmtId="0" fontId="10" fillId="0" borderId="0" xfId="0" applyFont="1" applyBorder="1"/>
    <xf numFmtId="0" fontId="10" fillId="0" borderId="0" xfId="0" applyFont="1" applyFill="1" applyBorder="1"/>
    <xf numFmtId="0" fontId="10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/>
    <xf numFmtId="0" fontId="12" fillId="0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right"/>
    </xf>
    <xf numFmtId="0" fontId="0" fillId="2" borderId="0" xfId="0" applyFill="1"/>
    <xf numFmtId="0" fontId="11" fillId="2" borderId="0" xfId="0" applyFont="1" applyFill="1" applyAlignment="1">
      <alignment horizontal="right"/>
    </xf>
    <xf numFmtId="0" fontId="0" fillId="0" borderId="0" xfId="0" quotePrefix="1"/>
    <xf numFmtId="0" fontId="2" fillId="5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[1]Sheet1!$A$2:$A$8</c:f>
              <c:numCache>
                <c:formatCode>General</c:formatCode>
                <c:ptCount val="7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150</c:v>
                </c:pt>
              </c:numCache>
            </c:numRef>
          </c:xVal>
          <c:yVal>
            <c:numRef>
              <c:f>[1]Sheet1!$B$2:$B$8</c:f>
              <c:numCache>
                <c:formatCode>General</c:formatCode>
                <c:ptCount val="7"/>
                <c:pt idx="0">
                  <c:v>2.4</c:v>
                </c:pt>
                <c:pt idx="1">
                  <c:v>27.5</c:v>
                </c:pt>
                <c:pt idx="2">
                  <c:v>47</c:v>
                </c:pt>
                <c:pt idx="3">
                  <c:v>65</c:v>
                </c:pt>
                <c:pt idx="4">
                  <c:v>85.3</c:v>
                </c:pt>
                <c:pt idx="5">
                  <c:v>101.4</c:v>
                </c:pt>
                <c:pt idx="6">
                  <c:v>151.69999999999999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C8-1343-9504-BBBA8238A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0462896"/>
        <c:axId val="340462112"/>
      </c:scatterChart>
      <c:valAx>
        <c:axId val="340462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40462112"/>
        <c:crosses val="autoZero"/>
        <c:crossBetween val="midCat"/>
      </c:valAx>
      <c:valAx>
        <c:axId val="340462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04628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114300</xdr:colOff>
      <xdr:row>0</xdr:row>
      <xdr:rowOff>161925</xdr:rowOff>
    </xdr:from>
    <xdr:to>
      <xdr:col>19</xdr:col>
      <xdr:colOff>266700</xdr:colOff>
      <xdr:row>16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:/iAQUA%20PhD/Manuscript%204/Data/Calculate%20for%20NA%20&amp;%20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A2">
            <v>0</v>
          </cell>
          <cell r="B2">
            <v>2.4</v>
          </cell>
        </row>
        <row r="3">
          <cell r="A3">
            <v>20</v>
          </cell>
          <cell r="B3">
            <v>27.5</v>
          </cell>
        </row>
        <row r="4">
          <cell r="A4">
            <v>40</v>
          </cell>
          <cell r="B4">
            <v>47</v>
          </cell>
        </row>
        <row r="5">
          <cell r="A5">
            <v>60</v>
          </cell>
          <cell r="B5">
            <v>65</v>
          </cell>
        </row>
        <row r="6">
          <cell r="A6">
            <v>80</v>
          </cell>
          <cell r="B6">
            <v>85.3</v>
          </cell>
        </row>
        <row r="7">
          <cell r="A7">
            <v>100</v>
          </cell>
          <cell r="B7">
            <v>101.4</v>
          </cell>
        </row>
        <row r="8">
          <cell r="A8">
            <v>150</v>
          </cell>
          <cell r="B8">
            <v>151.69999999999999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5"/>
  <sheetViews>
    <sheetView workbookViewId="0">
      <selection activeCell="D4" sqref="D4:D15"/>
    </sheetView>
  </sheetViews>
  <sheetFormatPr baseColWidth="10" defaultColWidth="8.83203125" defaultRowHeight="15" x14ac:dyDescent="0.2"/>
  <cols>
    <col min="2" max="2" width="10.5" style="85" customWidth="1"/>
    <col min="4" max="4" width="11.33203125" customWidth="1"/>
    <col min="5" max="6" width="9.1640625" style="71"/>
    <col min="9" max="9" width="10.83203125" style="87" customWidth="1"/>
    <col min="10" max="10" width="11.5" bestFit="1" customWidth="1"/>
    <col min="11" max="11" width="9.1640625" style="71"/>
    <col min="12" max="12" width="11.83203125" style="71" customWidth="1"/>
    <col min="13" max="13" width="8.83203125" style="86" customWidth="1"/>
    <col min="14" max="14" width="12.5" style="71" customWidth="1"/>
    <col min="15" max="15" width="9.1640625" style="86" customWidth="1"/>
    <col min="16" max="16" width="12.5" customWidth="1"/>
    <col min="17" max="17" width="12.5" style="92" customWidth="1"/>
    <col min="18" max="18" width="14.5" style="92" customWidth="1"/>
    <col min="19" max="19" width="10.5" customWidth="1"/>
    <col min="20" max="20" width="9.1640625" style="86"/>
    <col min="21" max="21" width="10.5" bestFit="1" customWidth="1"/>
    <col min="22" max="22" width="9.1640625" style="86"/>
    <col min="23" max="23" width="11.5" bestFit="1" customWidth="1"/>
    <col min="24" max="24" width="12.5" style="92" customWidth="1"/>
    <col min="25" max="25" width="14.33203125" style="92" customWidth="1"/>
    <col min="27" max="27" width="13.1640625" style="86" customWidth="1"/>
    <col min="28" max="28" width="10" style="86" customWidth="1"/>
    <col min="29" max="29" width="15" customWidth="1"/>
    <col min="30" max="30" width="13.1640625" style="86" customWidth="1"/>
    <col min="31" max="31" width="10" style="86" customWidth="1"/>
    <col min="32" max="32" width="15" customWidth="1"/>
    <col min="33" max="34" width="12.6640625" style="92" customWidth="1"/>
    <col min="35" max="35" width="11.5" style="86" bestFit="1" customWidth="1"/>
    <col min="38" max="38" width="9.1640625" style="86"/>
    <col min="39" max="39" width="12.6640625" customWidth="1"/>
    <col min="40" max="40" width="12" customWidth="1"/>
    <col min="41" max="41" width="11.5" style="86" bestFit="1" customWidth="1"/>
  </cols>
  <sheetData>
    <row r="2" spans="2:41" s="6" customFormat="1" x14ac:dyDescent="0.2">
      <c r="B2" s="109" t="s">
        <v>0</v>
      </c>
      <c r="C2" s="109" t="s">
        <v>1</v>
      </c>
      <c r="D2" s="111" t="s">
        <v>2</v>
      </c>
      <c r="E2" s="1"/>
      <c r="F2" s="1"/>
      <c r="G2" s="113" t="s">
        <v>3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2"/>
      <c r="S2" s="107" t="s">
        <v>4</v>
      </c>
      <c r="T2" s="107"/>
      <c r="U2" s="107"/>
      <c r="V2" s="107"/>
      <c r="W2" s="107"/>
      <c r="X2" s="107"/>
      <c r="Y2" s="3"/>
      <c r="Z2" s="114" t="s">
        <v>5</v>
      </c>
      <c r="AA2" s="114"/>
      <c r="AB2" s="114"/>
      <c r="AC2" s="114"/>
      <c r="AD2" s="114"/>
      <c r="AE2" s="114"/>
      <c r="AF2" s="114"/>
      <c r="AG2" s="114"/>
      <c r="AH2" s="4"/>
      <c r="AI2" s="5"/>
      <c r="AJ2" s="106" t="s">
        <v>6</v>
      </c>
      <c r="AK2" s="106"/>
      <c r="AL2" s="106"/>
      <c r="AM2" s="107" t="s">
        <v>7</v>
      </c>
      <c r="AN2" s="107"/>
      <c r="AO2" s="5"/>
    </row>
    <row r="3" spans="2:41" s="6" customFormat="1" ht="64" x14ac:dyDescent="0.2">
      <c r="B3" s="110"/>
      <c r="C3" s="109"/>
      <c r="D3" s="112"/>
      <c r="E3" s="7" t="s">
        <v>8</v>
      </c>
      <c r="F3" s="7" t="s">
        <v>9</v>
      </c>
      <c r="G3" s="6" t="s">
        <v>10</v>
      </c>
      <c r="H3" s="6" t="s">
        <v>11</v>
      </c>
      <c r="I3" s="8" t="s">
        <v>12</v>
      </c>
      <c r="J3" s="6" t="s">
        <v>13</v>
      </c>
      <c r="K3" s="7" t="s">
        <v>14</v>
      </c>
      <c r="L3" s="7" t="s">
        <v>15</v>
      </c>
      <c r="M3" s="5" t="s">
        <v>16</v>
      </c>
      <c r="N3" s="7" t="s">
        <v>17</v>
      </c>
      <c r="O3" s="5" t="s">
        <v>18</v>
      </c>
      <c r="P3" s="6" t="s">
        <v>17</v>
      </c>
      <c r="Q3" s="9" t="s">
        <v>19</v>
      </c>
      <c r="R3" s="10" t="s">
        <v>20</v>
      </c>
      <c r="S3" s="6" t="s">
        <v>21</v>
      </c>
      <c r="T3" s="5" t="s">
        <v>16</v>
      </c>
      <c r="U3" s="7" t="s">
        <v>17</v>
      </c>
      <c r="V3" s="5" t="s">
        <v>22</v>
      </c>
      <c r="W3" s="7" t="s">
        <v>17</v>
      </c>
      <c r="X3" s="11" t="s">
        <v>23</v>
      </c>
      <c r="Y3" s="12" t="s">
        <v>24</v>
      </c>
      <c r="Z3" s="6" t="s">
        <v>25</v>
      </c>
      <c r="AA3" s="5" t="s">
        <v>26</v>
      </c>
      <c r="AB3" s="5" t="s">
        <v>16</v>
      </c>
      <c r="AC3" s="6" t="s">
        <v>27</v>
      </c>
      <c r="AD3" s="5" t="s">
        <v>28</v>
      </c>
      <c r="AE3" s="5" t="s">
        <v>22</v>
      </c>
      <c r="AF3" s="6" t="s">
        <v>27</v>
      </c>
      <c r="AG3" s="13" t="s">
        <v>29</v>
      </c>
      <c r="AH3" s="14" t="s">
        <v>30</v>
      </c>
      <c r="AI3" s="5" t="s">
        <v>31</v>
      </c>
      <c r="AJ3" s="15" t="s">
        <v>32</v>
      </c>
      <c r="AK3" s="16" t="s">
        <v>33</v>
      </c>
      <c r="AL3" s="17" t="s">
        <v>34</v>
      </c>
      <c r="AM3" s="15" t="s">
        <v>35</v>
      </c>
      <c r="AN3" s="18" t="s">
        <v>36</v>
      </c>
      <c r="AO3" s="5" t="s">
        <v>31</v>
      </c>
    </row>
    <row r="4" spans="2:41" s="6" customFormat="1" ht="16" x14ac:dyDescent="0.2">
      <c r="B4" s="108" t="s">
        <v>37</v>
      </c>
      <c r="C4" s="19" t="s">
        <v>38</v>
      </c>
      <c r="D4" s="20">
        <v>340</v>
      </c>
      <c r="E4" s="21">
        <v>2</v>
      </c>
      <c r="F4" s="21">
        <v>1</v>
      </c>
      <c r="G4" s="21">
        <f>(2300+3)/3</f>
        <v>767.66666666666663</v>
      </c>
      <c r="H4" s="21">
        <f>8/8</f>
        <v>1</v>
      </c>
      <c r="I4" s="21">
        <f>(1000+3)/3</f>
        <v>334.33333333333331</v>
      </c>
      <c r="J4" s="21">
        <f>8/8</f>
        <v>1</v>
      </c>
      <c r="K4" s="21">
        <v>2</v>
      </c>
      <c r="L4" s="22">
        <v>187908.61</v>
      </c>
      <c r="M4" s="23">
        <v>319</v>
      </c>
      <c r="N4" s="24">
        <f>3*E4*G4*H4*K4*L4*M4/10^9</f>
        <v>552.19350278707998</v>
      </c>
      <c r="O4" s="23">
        <v>614</v>
      </c>
      <c r="P4" s="25">
        <f>3*F4*I4*J4*K4*L4*O4/10^9</f>
        <v>231.44402839923998</v>
      </c>
      <c r="Q4" s="26">
        <f>(N4+P4)*4</f>
        <v>3134.5501247452798</v>
      </c>
      <c r="R4" s="27">
        <f t="shared" ref="R4:R12" si="0">Q4/D4</f>
        <v>9.2192650727802352</v>
      </c>
      <c r="S4" s="28">
        <v>31318.1</v>
      </c>
      <c r="T4" s="23">
        <v>51</v>
      </c>
      <c r="U4" s="24">
        <f>3*E4*G4*H4*K4*S4*T4/10^9</f>
        <v>14.713619197199998</v>
      </c>
      <c r="V4" s="23">
        <v>120</v>
      </c>
      <c r="W4" s="24">
        <f>3*F4*I4*J4*K4*S4*V4/10^9</f>
        <v>7.5388930319999989</v>
      </c>
      <c r="X4" s="29">
        <f>(U4+W4)*4</f>
        <v>89.010048916799988</v>
      </c>
      <c r="Y4" s="30">
        <f t="shared" ref="Y4:Y12" si="1">X4/D4</f>
        <v>0.26179426151999996</v>
      </c>
      <c r="Z4" s="28">
        <v>44.16</v>
      </c>
      <c r="AA4" s="23">
        <v>79</v>
      </c>
      <c r="AB4" s="23">
        <v>59</v>
      </c>
      <c r="AC4" s="31">
        <f>(2*AA4*U4*10^9/(Z4*AB4))/10^6</f>
        <v>892.26842036569644</v>
      </c>
      <c r="AD4" s="23">
        <v>146</v>
      </c>
      <c r="AE4" s="23">
        <v>101</v>
      </c>
      <c r="AF4" s="31">
        <f>(2*AD4*W4*10^9/(AE4*Z4))/10^6</f>
        <v>493.5600438872147</v>
      </c>
      <c r="AG4" s="32">
        <f>(AC4+AF4)*4</f>
        <v>5543.3138570116444</v>
      </c>
      <c r="AH4" s="33">
        <f t="shared" ref="AH4:AH12" si="2">AG4/D4</f>
        <v>16.303864285328366</v>
      </c>
      <c r="AI4" s="23">
        <f>AVERAGE(AH4:AH9)</f>
        <v>31.125233984724115</v>
      </c>
      <c r="AJ4" s="34">
        <v>1.4925574664916252</v>
      </c>
      <c r="AK4" s="35">
        <v>1.7583778653977191</v>
      </c>
      <c r="AL4" s="36">
        <f>AVERAGE(AK4:AK9)</f>
        <v>1.8962478871912047</v>
      </c>
      <c r="AM4" s="34">
        <f>AH4/AK4</f>
        <v>9.2721050498668962</v>
      </c>
      <c r="AN4" s="37">
        <f>AM4*10</f>
        <v>92.721050498668959</v>
      </c>
      <c r="AO4" s="23">
        <f>AVERAGE(AN4:AN9)</f>
        <v>196.07863131158703</v>
      </c>
    </row>
    <row r="5" spans="2:41" s="6" customFormat="1" ht="16" x14ac:dyDescent="0.2">
      <c r="B5" s="109"/>
      <c r="C5" s="38" t="s">
        <v>39</v>
      </c>
      <c r="D5" s="39">
        <v>360</v>
      </c>
      <c r="E5" s="40">
        <v>1</v>
      </c>
      <c r="F5" s="40">
        <v>2</v>
      </c>
      <c r="G5" s="40">
        <f>(1200+3)/3</f>
        <v>401</v>
      </c>
      <c r="H5" s="41">
        <f>8/8</f>
        <v>1</v>
      </c>
      <c r="I5" s="40">
        <f>(1700+3)/3</f>
        <v>567.66666666666663</v>
      </c>
      <c r="J5" s="42">
        <f>9/8</f>
        <v>1.125</v>
      </c>
      <c r="K5" s="40">
        <v>2</v>
      </c>
      <c r="L5" s="42">
        <v>187908.61</v>
      </c>
      <c r="M5" s="43">
        <v>577</v>
      </c>
      <c r="N5" s="41">
        <f t="shared" ref="N5:N9" si="3">3*E5*G5*H5*K5*L5*M5/10^9</f>
        <v>260.86638273581997</v>
      </c>
      <c r="O5" s="43">
        <v>296</v>
      </c>
      <c r="P5" s="44">
        <f t="shared" ref="P5:P8" si="4">3*F5*I5*J5*K5*L5*O5/10^9</f>
        <v>426.25113928956</v>
      </c>
      <c r="Q5" s="45">
        <f t="shared" ref="Q5:Q8" si="5">(N5+P5)*4</f>
        <v>2748.4700881015197</v>
      </c>
      <c r="R5" s="46">
        <f t="shared" si="0"/>
        <v>7.6346391336153321</v>
      </c>
      <c r="S5" s="47">
        <v>31318.1</v>
      </c>
      <c r="T5" s="43">
        <v>65</v>
      </c>
      <c r="U5" s="41">
        <f t="shared" ref="U5:U15" si="6">3*E5*G5*H5*K5*S5*T5/10^9</f>
        <v>4.8978376590000003</v>
      </c>
      <c r="V5" s="43">
        <v>21</v>
      </c>
      <c r="W5" s="41">
        <f t="shared" ref="W5:W15" si="7">3*F5*I5*J5*K5*S5*V5/10^9</f>
        <v>5.0401314463499993</v>
      </c>
      <c r="X5" s="48">
        <f t="shared" ref="X5:X8" si="8">(U5+W5)*4</f>
        <v>39.751876421399999</v>
      </c>
      <c r="Y5" s="49">
        <f t="shared" si="1"/>
        <v>0.11042187894833333</v>
      </c>
      <c r="Z5" s="47">
        <v>44.16</v>
      </c>
      <c r="AA5" s="43">
        <v>101</v>
      </c>
      <c r="AB5" s="43">
        <v>68</v>
      </c>
      <c r="AC5" s="50">
        <f t="shared" ref="AC5:AC9" si="9">(2*AA5*U5*10^9/(Z5*AB5))/10^6</f>
        <v>329.47144312060425</v>
      </c>
      <c r="AD5" s="43">
        <v>28</v>
      </c>
      <c r="AE5" s="43">
        <v>15</v>
      </c>
      <c r="AF5" s="50">
        <f t="shared" ref="AF5:AF8" si="10">(2*AD5*W5*10^9/(AE5*Z5))/10^6</f>
        <v>426.09806913586942</v>
      </c>
      <c r="AG5" s="51">
        <f t="shared" ref="AG5:AG8" si="11">(AC5+AF5)*4</f>
        <v>3022.2780490258947</v>
      </c>
      <c r="AH5" s="52">
        <f t="shared" si="2"/>
        <v>8.3952168028497081</v>
      </c>
      <c r="AI5" s="43">
        <f>STDEV(AH4:AH9)/SQRT(COUNT(AH4:AH9))</f>
        <v>11.20385839355758</v>
      </c>
      <c r="AJ5" s="34">
        <v>1.4571557027556146</v>
      </c>
      <c r="AK5" s="35">
        <v>1.7166711444526532</v>
      </c>
      <c r="AL5" s="36">
        <f>STDEV(AK4:AK9)/AL4</f>
        <v>0.23634697780210676</v>
      </c>
      <c r="AM5" s="34">
        <f t="shared" ref="AM5:AM15" si="12">AH5/AK5</f>
        <v>4.8904047988331829</v>
      </c>
      <c r="AN5" s="37">
        <f t="shared" ref="AN5:AN15" si="13">AM5*10</f>
        <v>48.904047988331826</v>
      </c>
      <c r="AO5" s="43">
        <f>STDEV(AN4:AN9)/SQRT(COUNT(AN4:AN9))</f>
        <v>79.888562013160822</v>
      </c>
    </row>
    <row r="6" spans="2:41" s="6" customFormat="1" ht="16" x14ac:dyDescent="0.2">
      <c r="B6" s="109"/>
      <c r="C6" s="38" t="s">
        <v>40</v>
      </c>
      <c r="D6" s="39">
        <v>340</v>
      </c>
      <c r="E6" s="40">
        <v>1</v>
      </c>
      <c r="F6" s="40">
        <v>2</v>
      </c>
      <c r="G6" s="40">
        <f>(1100+3)/3</f>
        <v>367.66666666666669</v>
      </c>
      <c r="H6" s="40">
        <f>8/7</f>
        <v>1.1428571428571428</v>
      </c>
      <c r="I6" s="40">
        <f>(2200+3)/3</f>
        <v>734.33333333333337</v>
      </c>
      <c r="J6" s="53">
        <f>8/8</f>
        <v>1</v>
      </c>
      <c r="K6" s="40">
        <v>2</v>
      </c>
      <c r="L6" s="53">
        <v>187908.61</v>
      </c>
      <c r="M6" s="5">
        <v>514</v>
      </c>
      <c r="N6" s="7">
        <f t="shared" si="3"/>
        <v>243.50464724713137</v>
      </c>
      <c r="O6" s="5">
        <v>242</v>
      </c>
      <c r="P6" s="6">
        <f t="shared" si="4"/>
        <v>400.71586245944002</v>
      </c>
      <c r="Q6" s="45">
        <f t="shared" si="5"/>
        <v>2576.8820388262857</v>
      </c>
      <c r="R6" s="46">
        <f t="shared" si="0"/>
        <v>7.5790648200773107</v>
      </c>
      <c r="S6" s="34">
        <v>31318.1</v>
      </c>
      <c r="T6" s="5">
        <v>112</v>
      </c>
      <c r="U6" s="7">
        <f t="shared" si="6"/>
        <v>8.8432292607999994</v>
      </c>
      <c r="V6" s="5">
        <v>54</v>
      </c>
      <c r="W6" s="7">
        <f t="shared" si="7"/>
        <v>14.902655248799999</v>
      </c>
      <c r="X6" s="48">
        <f t="shared" si="8"/>
        <v>94.983538038399985</v>
      </c>
      <c r="Y6" s="49">
        <f t="shared" si="1"/>
        <v>0.27936334717176464</v>
      </c>
      <c r="Z6" s="34">
        <v>44.16</v>
      </c>
      <c r="AA6" s="5">
        <v>213</v>
      </c>
      <c r="AB6" s="5">
        <v>112</v>
      </c>
      <c r="AC6" s="50">
        <f t="shared" si="9"/>
        <v>761.68147990683224</v>
      </c>
      <c r="AD6" s="5">
        <v>108</v>
      </c>
      <c r="AE6" s="5">
        <v>56</v>
      </c>
      <c r="AF6" s="50">
        <f t="shared" si="10"/>
        <v>1301.6682573680125</v>
      </c>
      <c r="AG6" s="51">
        <f t="shared" si="11"/>
        <v>8253.398949099379</v>
      </c>
      <c r="AH6" s="52">
        <f t="shared" si="2"/>
        <v>24.274702791468762</v>
      </c>
      <c r="AI6" s="5"/>
      <c r="AJ6" s="34">
        <v>1.5839340328512828</v>
      </c>
      <c r="AK6" s="35">
        <v>1.8660283480826814</v>
      </c>
      <c r="AL6" s="36">
        <f>STDEV(AK4:AK9)/SQRT(COUNT(AK4:AK9))</f>
        <v>0.20042881603375298</v>
      </c>
      <c r="AM6" s="34">
        <f t="shared" si="12"/>
        <v>13.008753493166751</v>
      </c>
      <c r="AN6" s="37">
        <f t="shared" si="13"/>
        <v>130.08753493166751</v>
      </c>
      <c r="AO6" s="5"/>
    </row>
    <row r="7" spans="2:41" s="59" customFormat="1" ht="16" x14ac:dyDescent="0.2">
      <c r="B7" s="109"/>
      <c r="C7" s="54" t="s">
        <v>41</v>
      </c>
      <c r="D7" s="39">
        <v>390</v>
      </c>
      <c r="E7" s="55">
        <v>2</v>
      </c>
      <c r="F7" s="55">
        <v>2</v>
      </c>
      <c r="G7" s="55">
        <f>(2500+3)/3</f>
        <v>834.33333333333337</v>
      </c>
      <c r="H7" s="55">
        <v>1</v>
      </c>
      <c r="I7" s="55">
        <f>(2000+3)/3</f>
        <v>667.66666666666663</v>
      </c>
      <c r="J7" s="56">
        <v>1</v>
      </c>
      <c r="K7" s="55">
        <v>2.5</v>
      </c>
      <c r="L7" s="56">
        <v>187908.61</v>
      </c>
      <c r="M7" s="57">
        <v>252</v>
      </c>
      <c r="N7" s="58">
        <f t="shared" si="3"/>
        <v>592.62241604579992</v>
      </c>
      <c r="O7" s="57"/>
      <c r="Q7" s="45">
        <f t="shared" ref="Q7:Q9" si="14">(N7)*8</f>
        <v>4740.9793283663994</v>
      </c>
      <c r="R7" s="46">
        <f t="shared" si="0"/>
        <v>12.156357252221538</v>
      </c>
      <c r="S7" s="60">
        <v>31318.1</v>
      </c>
      <c r="T7" s="57">
        <v>120</v>
      </c>
      <c r="U7" s="58">
        <f t="shared" si="6"/>
        <v>47.033522580000003</v>
      </c>
      <c r="V7" s="57"/>
      <c r="W7" s="58"/>
      <c r="X7" s="48">
        <f t="shared" ref="X7:X9" si="15">(U7)*8</f>
        <v>376.26818064000003</v>
      </c>
      <c r="Y7" s="49">
        <f t="shared" si="1"/>
        <v>0.96479020676923088</v>
      </c>
      <c r="Z7" s="34">
        <v>44.16</v>
      </c>
      <c r="AA7" s="57">
        <v>194</v>
      </c>
      <c r="AB7" s="57">
        <v>115</v>
      </c>
      <c r="AC7" s="50">
        <f t="shared" si="9"/>
        <v>3593.4559627126655</v>
      </c>
      <c r="AD7" s="57"/>
      <c r="AE7" s="57"/>
      <c r="AF7" s="61"/>
      <c r="AG7" s="51">
        <f t="shared" ref="AG7" si="16">(AC7)*8</f>
        <v>28747.647701701324</v>
      </c>
      <c r="AH7" s="52">
        <f t="shared" si="2"/>
        <v>73.71191718384955</v>
      </c>
      <c r="AI7" s="57"/>
      <c r="AJ7" s="60">
        <v>1.2582672880349686</v>
      </c>
      <c r="AK7" s="35">
        <v>1.4823612475272956</v>
      </c>
      <c r="AL7" s="36"/>
      <c r="AM7" s="34">
        <f t="shared" si="12"/>
        <v>49.726014699053479</v>
      </c>
      <c r="AN7" s="37">
        <f t="shared" si="13"/>
        <v>497.26014699053479</v>
      </c>
      <c r="AO7" s="57"/>
    </row>
    <row r="8" spans="2:41" s="6" customFormat="1" ht="16" x14ac:dyDescent="0.2">
      <c r="B8" s="109"/>
      <c r="C8" s="38" t="s">
        <v>42</v>
      </c>
      <c r="D8" s="39">
        <v>500</v>
      </c>
      <c r="E8" s="40">
        <v>2</v>
      </c>
      <c r="F8" s="40">
        <v>2</v>
      </c>
      <c r="G8" s="40">
        <f>(2800+3)/3</f>
        <v>934.33333333333337</v>
      </c>
      <c r="H8" s="40">
        <f>8/8</f>
        <v>1</v>
      </c>
      <c r="I8" s="40">
        <f>(2800+3)/3</f>
        <v>934.33333333333337</v>
      </c>
      <c r="J8" s="53">
        <f>8/8</f>
        <v>1</v>
      </c>
      <c r="K8" s="40">
        <v>2</v>
      </c>
      <c r="L8" s="53">
        <v>187908.61</v>
      </c>
      <c r="M8" s="5">
        <v>399</v>
      </c>
      <c r="N8" s="7">
        <f t="shared" si="3"/>
        <v>840.62570279267993</v>
      </c>
      <c r="O8" s="5">
        <v>335</v>
      </c>
      <c r="P8" s="6">
        <f t="shared" si="4"/>
        <v>705.7884973322</v>
      </c>
      <c r="Q8" s="45">
        <f t="shared" si="5"/>
        <v>6185.6568004995197</v>
      </c>
      <c r="R8" s="46">
        <f t="shared" si="0"/>
        <v>12.37131360099904</v>
      </c>
      <c r="S8" s="34">
        <v>31318.1</v>
      </c>
      <c r="T8" s="5">
        <v>157</v>
      </c>
      <c r="U8" s="7">
        <f t="shared" si="6"/>
        <v>55.128750340400003</v>
      </c>
      <c r="V8" s="5">
        <v>111</v>
      </c>
      <c r="W8" s="7">
        <f t="shared" si="7"/>
        <v>38.976377629199995</v>
      </c>
      <c r="X8" s="48">
        <f t="shared" si="8"/>
        <v>376.42051187840002</v>
      </c>
      <c r="Y8" s="49">
        <f t="shared" si="1"/>
        <v>0.75284102375680007</v>
      </c>
      <c r="Z8" s="34">
        <v>44.16</v>
      </c>
      <c r="AA8" s="5">
        <v>205</v>
      </c>
      <c r="AB8" s="5">
        <v>152</v>
      </c>
      <c r="AC8" s="50">
        <f t="shared" si="9"/>
        <v>3367.3584750971349</v>
      </c>
      <c r="AD8" s="5">
        <v>203</v>
      </c>
      <c r="AE8" s="5">
        <v>98</v>
      </c>
      <c r="AF8" s="50">
        <f t="shared" si="10"/>
        <v>3656.5571663004657</v>
      </c>
      <c r="AG8" s="51">
        <f t="shared" si="11"/>
        <v>28095.662565590403</v>
      </c>
      <c r="AH8" s="52">
        <f t="shared" si="2"/>
        <v>56.191325131180804</v>
      </c>
      <c r="AI8" s="5"/>
      <c r="AJ8" s="34">
        <v>2.2560113796170329</v>
      </c>
      <c r="AK8" s="35">
        <v>2.6578008304956748</v>
      </c>
      <c r="AL8" s="36"/>
      <c r="AM8" s="34">
        <f t="shared" si="12"/>
        <v>21.142037614873207</v>
      </c>
      <c r="AN8" s="37">
        <f t="shared" si="13"/>
        <v>211.42037614873206</v>
      </c>
      <c r="AO8" s="5"/>
    </row>
    <row r="9" spans="2:41" s="6" customFormat="1" ht="16" x14ac:dyDescent="0.2">
      <c r="B9" s="109"/>
      <c r="C9" s="38" t="s">
        <v>43</v>
      </c>
      <c r="D9" s="62">
        <v>400</v>
      </c>
      <c r="E9" s="40">
        <v>1</v>
      </c>
      <c r="F9" s="63"/>
      <c r="G9" s="63">
        <f>(1200+3)/3</f>
        <v>401</v>
      </c>
      <c r="H9" s="63">
        <f>7/7</f>
        <v>1</v>
      </c>
      <c r="I9" s="64"/>
      <c r="J9" s="65"/>
      <c r="K9" s="63">
        <v>2.5</v>
      </c>
      <c r="L9" s="53">
        <v>187908.61</v>
      </c>
      <c r="M9" s="43">
        <v>356</v>
      </c>
      <c r="N9" s="7">
        <f t="shared" si="3"/>
        <v>201.18811146869999</v>
      </c>
      <c r="O9" s="43"/>
      <c r="P9" s="44"/>
      <c r="Q9" s="45">
        <f t="shared" si="14"/>
        <v>1609.5048917495999</v>
      </c>
      <c r="R9" s="46">
        <f t="shared" si="0"/>
        <v>4.0237622293739994</v>
      </c>
      <c r="S9" s="34">
        <v>31318.1</v>
      </c>
      <c r="T9" s="43">
        <v>56</v>
      </c>
      <c r="U9" s="58">
        <f t="shared" si="6"/>
        <v>5.274594402</v>
      </c>
      <c r="V9" s="43"/>
      <c r="W9" s="41"/>
      <c r="X9" s="48">
        <f t="shared" si="15"/>
        <v>42.196755216</v>
      </c>
      <c r="Y9" s="49">
        <f t="shared" si="1"/>
        <v>0.10549188804</v>
      </c>
      <c r="Z9" s="34">
        <v>44.16</v>
      </c>
      <c r="AA9" s="43">
        <v>89</v>
      </c>
      <c r="AB9" s="43">
        <v>54</v>
      </c>
      <c r="AC9" s="50">
        <f t="shared" si="9"/>
        <v>393.71888568337363</v>
      </c>
      <c r="AD9" s="43"/>
      <c r="AE9" s="43"/>
      <c r="AF9" s="44"/>
      <c r="AG9" s="51">
        <f t="shared" ref="AG9" si="17">(AC9)*8</f>
        <v>3149.751085466989</v>
      </c>
      <c r="AH9" s="52">
        <f t="shared" si="2"/>
        <v>7.8743777136674726</v>
      </c>
      <c r="AI9" s="5"/>
      <c r="AJ9" s="66" t="s">
        <v>44</v>
      </c>
      <c r="AK9" s="67"/>
      <c r="AL9" s="68"/>
      <c r="AM9" s="69"/>
      <c r="AN9" s="70"/>
      <c r="AO9" s="5"/>
    </row>
    <row r="10" spans="2:41" x14ac:dyDescent="0.2">
      <c r="B10" s="108" t="s">
        <v>45</v>
      </c>
      <c r="C10" s="31" t="s">
        <v>46</v>
      </c>
      <c r="D10" s="71">
        <v>397.1</v>
      </c>
      <c r="E10" s="21">
        <v>2</v>
      </c>
      <c r="F10" s="40">
        <v>2</v>
      </c>
      <c r="G10" s="40">
        <f>(2400+3)/3</f>
        <v>801</v>
      </c>
      <c r="H10" s="40">
        <f>8/8</f>
        <v>1</v>
      </c>
      <c r="I10" s="40">
        <f>(2800+3)/3</f>
        <v>934.33333333333337</v>
      </c>
      <c r="J10" s="21">
        <f>8/7</f>
        <v>1.1428571428571428</v>
      </c>
      <c r="K10" s="40">
        <v>2</v>
      </c>
      <c r="L10" s="22">
        <v>187908.61</v>
      </c>
      <c r="M10" s="72">
        <v>359</v>
      </c>
      <c r="N10" s="24">
        <f>3*E10*G10*H10*K10*L10*M10/10^9</f>
        <v>648.41774379588003</v>
      </c>
      <c r="O10" s="72">
        <v>228</v>
      </c>
      <c r="P10" s="25">
        <f>3*F10*I10*J10*K10*L10*O10/10^9</f>
        <v>548.98005080338282</v>
      </c>
      <c r="Q10" s="26">
        <f>(N10+P10)*4</f>
        <v>4789.5911783970514</v>
      </c>
      <c r="R10" s="27">
        <f t="shared" si="0"/>
        <v>12.061423264661423</v>
      </c>
      <c r="S10" s="28">
        <v>31318.1</v>
      </c>
      <c r="T10" s="72">
        <v>287</v>
      </c>
      <c r="U10" s="24">
        <f t="shared" si="6"/>
        <v>86.395488656399991</v>
      </c>
      <c r="V10" s="72">
        <v>222</v>
      </c>
      <c r="W10" s="24">
        <f t="shared" si="7"/>
        <v>89.088863152457122</v>
      </c>
      <c r="X10" s="29">
        <f>(U10+W10)*4</f>
        <v>701.93740723542851</v>
      </c>
      <c r="Y10" s="30">
        <f t="shared" si="1"/>
        <v>1.7676590461733277</v>
      </c>
      <c r="Z10" s="28">
        <v>44.16</v>
      </c>
      <c r="AA10" s="72">
        <v>630</v>
      </c>
      <c r="AB10" s="73">
        <v>366</v>
      </c>
      <c r="AC10" s="31">
        <f>(2*AA10*U10*10^9/(Z10*AB10))/10^6</f>
        <v>6735.2149478216315</v>
      </c>
      <c r="AD10" s="72">
        <v>391</v>
      </c>
      <c r="AE10" s="72">
        <v>206</v>
      </c>
      <c r="AF10" s="31">
        <f>(2*AD10*W10*10^9/(AE10*Z10))/10^6</f>
        <v>7658.3266261719828</v>
      </c>
      <c r="AG10" s="32">
        <f>(AC10+AF10)*4</f>
        <v>57574.166295974457</v>
      </c>
      <c r="AH10" s="33">
        <f t="shared" si="2"/>
        <v>144.98656836055011</v>
      </c>
      <c r="AI10" s="23">
        <f>AVERAGE(AH10:AH15)</f>
        <v>103.9970486593722</v>
      </c>
      <c r="AJ10">
        <v>1.0089935570573285</v>
      </c>
      <c r="AK10" s="74">
        <v>1.1886925474493761</v>
      </c>
      <c r="AL10" s="36">
        <f>AVERAGE(AK10:AK15)</f>
        <v>1.4338375966324202</v>
      </c>
      <c r="AM10" s="34">
        <f t="shared" si="12"/>
        <v>121.97146240350664</v>
      </c>
      <c r="AN10" s="37">
        <f t="shared" si="13"/>
        <v>1219.7146240350664</v>
      </c>
      <c r="AO10" s="23">
        <f>AVERAGE(AN10:AN15)</f>
        <v>808.05736785914553</v>
      </c>
    </row>
    <row r="11" spans="2:41" ht="16" x14ac:dyDescent="0.2">
      <c r="B11" s="109"/>
      <c r="C11" s="54" t="s">
        <v>47</v>
      </c>
      <c r="D11" s="71">
        <v>586.79999999999995</v>
      </c>
      <c r="E11" s="40">
        <v>2</v>
      </c>
      <c r="F11" s="40">
        <v>2</v>
      </c>
      <c r="G11" s="40">
        <f>(3000+3)/3</f>
        <v>1001</v>
      </c>
      <c r="H11" s="40">
        <f>8/8</f>
        <v>1</v>
      </c>
      <c r="I11" s="40">
        <f>(2800+3)/3</f>
        <v>934.33333333333337</v>
      </c>
      <c r="J11" s="40">
        <f>8/8</f>
        <v>1</v>
      </c>
      <c r="K11" s="71">
        <v>2.5</v>
      </c>
      <c r="L11" s="42">
        <v>187908.61</v>
      </c>
      <c r="M11" s="75">
        <v>277</v>
      </c>
      <c r="N11" s="41">
        <f t="shared" ref="N11:N15" si="18">3*E11*G11*H11*K11*L11*M11/10^9</f>
        <v>781.54103482454991</v>
      </c>
      <c r="O11" s="75">
        <v>281</v>
      </c>
      <c r="P11" s="44">
        <f t="shared" ref="P11:P15" si="19">3*F11*I11*J11*K11*L11*O11/10^9</f>
        <v>740.02450653114988</v>
      </c>
      <c r="Q11" s="45">
        <f>(N11+P11)*4</f>
        <v>6086.2621654227987</v>
      </c>
      <c r="R11" s="46">
        <f t="shared" si="0"/>
        <v>10.371953247141784</v>
      </c>
      <c r="S11" s="47">
        <v>31318.1</v>
      </c>
      <c r="T11" s="75">
        <v>264</v>
      </c>
      <c r="U11" s="41">
        <f t="shared" si="6"/>
        <v>124.14369567599999</v>
      </c>
      <c r="V11" s="75">
        <v>313</v>
      </c>
      <c r="W11" s="41">
        <f t="shared" si="7"/>
        <v>137.38295267949999</v>
      </c>
      <c r="X11" s="48">
        <f>(U11+W11)*4</f>
        <v>1046.1065934220001</v>
      </c>
      <c r="Y11" s="49">
        <f t="shared" si="1"/>
        <v>1.7827310726346288</v>
      </c>
      <c r="Z11" s="47">
        <v>44.16</v>
      </c>
      <c r="AA11" s="75">
        <v>623</v>
      </c>
      <c r="AB11" s="76">
        <v>306</v>
      </c>
      <c r="AC11" s="50">
        <f t="shared" ref="AC11:AC15" si="20">(2*AA11*U11*10^9/(Z11*AB11))/10^6</f>
        <v>11447.014185810955</v>
      </c>
      <c r="AD11" s="75">
        <v>655</v>
      </c>
      <c r="AE11" s="75">
        <v>300</v>
      </c>
      <c r="AF11" s="50">
        <f t="shared" ref="AF11:AF15" si="21">(2*AD11*W11*10^9/(AE11*Z11))/10^6</f>
        <v>13584.817935548386</v>
      </c>
      <c r="AG11" s="51">
        <f>(AC11+AF11)*4</f>
        <v>100127.32848543736</v>
      </c>
      <c r="AH11" s="52">
        <f t="shared" si="2"/>
        <v>170.63280246325388</v>
      </c>
      <c r="AI11" s="43">
        <f>STDEV(AH10:AH15)/SQRT(COUNT(AH10:AH15))</f>
        <v>22.514397866249197</v>
      </c>
      <c r="AJ11">
        <v>1.0449125150764558</v>
      </c>
      <c r="AK11" s="74">
        <v>1.2310085735635625</v>
      </c>
      <c r="AL11" s="36">
        <f>STDEV(AK10:AK15)/AL10</f>
        <v>0.17675461981748899</v>
      </c>
      <c r="AM11" s="34">
        <f t="shared" si="12"/>
        <v>138.61219663913522</v>
      </c>
      <c r="AN11" s="37">
        <f t="shared" si="13"/>
        <v>1386.1219663913521</v>
      </c>
      <c r="AO11" s="43">
        <f>STDEV(AN10:AN15)/SQRT(COUNT(AN10:AN15))</f>
        <v>206.74620656172323</v>
      </c>
    </row>
    <row r="12" spans="2:41" s="61" customFormat="1" ht="16" x14ac:dyDescent="0.2">
      <c r="B12" s="109"/>
      <c r="C12" s="54" t="s">
        <v>48</v>
      </c>
      <c r="D12" s="71">
        <v>615</v>
      </c>
      <c r="E12" s="55">
        <v>2</v>
      </c>
      <c r="F12" s="40">
        <v>1</v>
      </c>
      <c r="G12" s="55">
        <f>(2400+3)/3</f>
        <v>801</v>
      </c>
      <c r="H12" s="55">
        <f>8/6</f>
        <v>1.3333333333333333</v>
      </c>
      <c r="I12" s="55">
        <f>(1100+3)/3</f>
        <v>367.66666666666669</v>
      </c>
      <c r="J12" s="40">
        <f>8/7</f>
        <v>1.1428571428571428</v>
      </c>
      <c r="K12" s="71">
        <v>2</v>
      </c>
      <c r="L12" s="53">
        <v>187908.61</v>
      </c>
      <c r="M12" s="76">
        <v>315</v>
      </c>
      <c r="N12" s="7">
        <f t="shared" si="18"/>
        <v>758.59457491439991</v>
      </c>
      <c r="O12" s="76">
        <v>422</v>
      </c>
      <c r="P12" s="6">
        <f t="shared" si="19"/>
        <v>199.92015785659424</v>
      </c>
      <c r="Q12" s="45">
        <f>(N12+P12)*4</f>
        <v>3834.0589310839769</v>
      </c>
      <c r="R12" s="46">
        <f t="shared" si="0"/>
        <v>6.2342421643641899</v>
      </c>
      <c r="S12" s="34">
        <v>31318.1</v>
      </c>
      <c r="T12" s="76">
        <v>236</v>
      </c>
      <c r="U12" s="7">
        <f t="shared" si="6"/>
        <v>94.723973625599996</v>
      </c>
      <c r="V12" s="76">
        <v>173</v>
      </c>
      <c r="W12" s="7">
        <f t="shared" si="7"/>
        <v>13.659630911771426</v>
      </c>
      <c r="X12" s="48">
        <f>(U12+W12)*4</f>
        <v>433.5344181494857</v>
      </c>
      <c r="Y12" s="49">
        <f t="shared" si="1"/>
        <v>0.70493401325119631</v>
      </c>
      <c r="Z12" s="34">
        <v>44.16</v>
      </c>
      <c r="AA12" s="76">
        <v>363</v>
      </c>
      <c r="AB12" s="76">
        <v>186</v>
      </c>
      <c r="AC12" s="50">
        <f t="shared" si="20"/>
        <v>8372.4877342636755</v>
      </c>
      <c r="AD12" s="76">
        <v>295</v>
      </c>
      <c r="AE12" s="76">
        <v>154</v>
      </c>
      <c r="AF12" s="50">
        <f t="shared" si="21"/>
        <v>1185.0623232438627</v>
      </c>
      <c r="AG12" s="51">
        <f>(AC12+AF12)*4</f>
        <v>38230.200230030154</v>
      </c>
      <c r="AH12" s="52">
        <f t="shared" si="2"/>
        <v>62.162927203301066</v>
      </c>
      <c r="AI12" s="76"/>
      <c r="AJ12">
        <v>1.386649135587986</v>
      </c>
      <c r="AK12" s="74">
        <v>1.6336075506841974</v>
      </c>
      <c r="AL12" s="36">
        <f>STDEV(AK10:AK15)/SQRT(COUNT(AK10:AK15))</f>
        <v>0.103465393157688</v>
      </c>
      <c r="AM12" s="34">
        <f t="shared" si="12"/>
        <v>38.052546449889761</v>
      </c>
      <c r="AN12" s="37">
        <f t="shared" si="13"/>
        <v>380.52546449889758</v>
      </c>
      <c r="AO12" s="76"/>
    </row>
    <row r="13" spans="2:41" s="61" customFormat="1" ht="16" x14ac:dyDescent="0.2">
      <c r="B13" s="109"/>
      <c r="C13" s="54" t="s">
        <v>49</v>
      </c>
      <c r="D13" s="71">
        <v>500</v>
      </c>
      <c r="E13" s="55">
        <v>1</v>
      </c>
      <c r="F13" s="40">
        <v>2</v>
      </c>
      <c r="G13" s="40">
        <f>(1100+3)/3</f>
        <v>367.66666666666669</v>
      </c>
      <c r="H13" s="40">
        <f t="shared" ref="H13:H15" si="22">8/8</f>
        <v>1</v>
      </c>
      <c r="I13" s="40">
        <f>(2200+3)/3</f>
        <v>734.33333333333337</v>
      </c>
      <c r="J13" s="40"/>
      <c r="K13" s="71">
        <v>2.5</v>
      </c>
      <c r="L13" s="53">
        <v>187908.61</v>
      </c>
      <c r="M13" s="76"/>
      <c r="N13" s="7"/>
      <c r="O13" s="76"/>
      <c r="P13" s="6"/>
      <c r="Q13" s="45"/>
      <c r="R13" s="46"/>
      <c r="S13" s="34">
        <v>31318.1</v>
      </c>
      <c r="T13" s="76"/>
      <c r="U13" s="7"/>
      <c r="V13" s="76"/>
      <c r="W13" s="40"/>
      <c r="X13" s="48"/>
      <c r="Y13" s="49"/>
      <c r="Z13" s="34">
        <v>44.16</v>
      </c>
      <c r="AA13" s="76"/>
      <c r="AB13" s="76"/>
      <c r="AC13" s="50"/>
      <c r="AD13" s="76"/>
      <c r="AE13" s="76"/>
      <c r="AF13" s="50"/>
      <c r="AG13" s="51"/>
      <c r="AH13" s="52"/>
      <c r="AI13" s="76"/>
      <c r="AJ13">
        <v>1.5597555277067909</v>
      </c>
      <c r="AK13" s="74">
        <v>1.8375437173606133</v>
      </c>
      <c r="AL13" s="77"/>
      <c r="AM13" s="34"/>
      <c r="AN13" s="37"/>
      <c r="AO13" s="76"/>
    </row>
    <row r="14" spans="2:41" s="61" customFormat="1" x14ac:dyDescent="0.2">
      <c r="B14" s="109"/>
      <c r="C14" s="50" t="s">
        <v>50</v>
      </c>
      <c r="D14" s="71">
        <v>340</v>
      </c>
      <c r="E14" s="55">
        <v>2</v>
      </c>
      <c r="F14" s="40">
        <v>2</v>
      </c>
      <c r="G14" s="40">
        <f>(2300+3)/3</f>
        <v>767.66666666666663</v>
      </c>
      <c r="H14" s="40">
        <f t="shared" si="22"/>
        <v>1</v>
      </c>
      <c r="I14" s="40">
        <f>(2200+3)/3</f>
        <v>734.33333333333337</v>
      </c>
      <c r="J14" s="40">
        <f>8/8</f>
        <v>1</v>
      </c>
      <c r="K14" s="71">
        <v>2.5</v>
      </c>
      <c r="L14" s="53">
        <v>187908.61</v>
      </c>
      <c r="M14" s="76">
        <v>218</v>
      </c>
      <c r="N14" s="7">
        <f t="shared" si="18"/>
        <v>471.70134642469986</v>
      </c>
      <c r="O14" s="76">
        <v>223</v>
      </c>
      <c r="P14" s="6">
        <f t="shared" si="19"/>
        <v>461.56837463044997</v>
      </c>
      <c r="Q14" s="45">
        <f t="shared" ref="Q14:Q15" si="23">(N14)*8</f>
        <v>3773.6107713975989</v>
      </c>
      <c r="R14" s="46">
        <f>Q14/D14</f>
        <v>11.098855209992937</v>
      </c>
      <c r="S14" s="34">
        <v>31318.1</v>
      </c>
      <c r="T14" s="76">
        <v>103</v>
      </c>
      <c r="U14" s="7">
        <f t="shared" si="6"/>
        <v>37.144675914499999</v>
      </c>
      <c r="V14" s="76">
        <v>114</v>
      </c>
      <c r="W14" s="7">
        <f t="shared" si="7"/>
        <v>39.326451351000003</v>
      </c>
      <c r="X14" s="48">
        <f>(U14+W14)*4</f>
        <v>305.88450906200001</v>
      </c>
      <c r="Y14" s="49">
        <f>X14/D14</f>
        <v>0.89966032077058822</v>
      </c>
      <c r="Z14" s="34">
        <v>44.16</v>
      </c>
      <c r="AA14" s="76">
        <v>223</v>
      </c>
      <c r="AB14" s="76">
        <v>108</v>
      </c>
      <c r="AC14" s="50">
        <f t="shared" si="20"/>
        <v>3473.5904492642499</v>
      </c>
      <c r="AD14" s="76">
        <v>200</v>
      </c>
      <c r="AE14" s="76">
        <v>112</v>
      </c>
      <c r="AF14" s="50">
        <f t="shared" si="21"/>
        <v>3180.5165753590841</v>
      </c>
      <c r="AG14" s="51">
        <f>(AC14+AF14)*4</f>
        <v>26616.428098493336</v>
      </c>
      <c r="AH14" s="52">
        <f>AG14/D14</f>
        <v>78.283612054392165</v>
      </c>
      <c r="AI14" s="76"/>
      <c r="AJ14">
        <v>1.1088969168307108</v>
      </c>
      <c r="AK14" s="74">
        <v>1.3063884221129505</v>
      </c>
      <c r="AL14" s="77"/>
      <c r="AM14" s="34">
        <f t="shared" si="12"/>
        <v>59.923687878201171</v>
      </c>
      <c r="AN14" s="37">
        <f t="shared" si="13"/>
        <v>599.23687878201167</v>
      </c>
      <c r="AO14" s="76"/>
    </row>
    <row r="15" spans="2:41" s="61" customFormat="1" ht="16" x14ac:dyDescent="0.2">
      <c r="B15" s="110"/>
      <c r="C15" s="78" t="s">
        <v>51</v>
      </c>
      <c r="D15" s="79">
        <v>430</v>
      </c>
      <c r="E15" s="79">
        <v>2</v>
      </c>
      <c r="F15" s="63">
        <v>2</v>
      </c>
      <c r="G15" s="63">
        <f>(2400+3)/3</f>
        <v>801</v>
      </c>
      <c r="H15" s="63">
        <f t="shared" si="22"/>
        <v>1</v>
      </c>
      <c r="I15" s="63">
        <f>(2600+3)/3</f>
        <v>867.66666666666663</v>
      </c>
      <c r="J15" s="63">
        <f>8/8</f>
        <v>1</v>
      </c>
      <c r="K15" s="63">
        <v>2.5</v>
      </c>
      <c r="L15" s="80">
        <v>187908.61</v>
      </c>
      <c r="M15" s="81">
        <v>248</v>
      </c>
      <c r="N15" s="7">
        <f t="shared" si="18"/>
        <v>559.91504338919992</v>
      </c>
      <c r="O15" s="81">
        <v>213</v>
      </c>
      <c r="P15" s="15">
        <f t="shared" si="19"/>
        <v>520.91930909894984</v>
      </c>
      <c r="Q15" s="45">
        <f t="shared" si="23"/>
        <v>4479.3203471135994</v>
      </c>
      <c r="R15" s="46">
        <f>Q15/D15</f>
        <v>10.417024063054882</v>
      </c>
      <c r="S15" s="34">
        <v>31318.1</v>
      </c>
      <c r="T15" s="76">
        <v>167</v>
      </c>
      <c r="U15" s="7">
        <f t="shared" si="6"/>
        <v>62.839924240499997</v>
      </c>
      <c r="V15" s="76">
        <v>83</v>
      </c>
      <c r="W15" s="7">
        <f t="shared" si="7"/>
        <v>33.831220934500003</v>
      </c>
      <c r="X15" s="48">
        <f>(U15+W15)*4</f>
        <v>386.68458069999997</v>
      </c>
      <c r="Y15" s="49">
        <f>X15/D15</f>
        <v>0.89926646674418598</v>
      </c>
      <c r="Z15" s="34">
        <v>44.16</v>
      </c>
      <c r="AA15" s="76">
        <v>279</v>
      </c>
      <c r="AB15" s="76">
        <v>182</v>
      </c>
      <c r="AC15" s="50">
        <f t="shared" si="20"/>
        <v>4362.8411329181354</v>
      </c>
      <c r="AD15" s="76">
        <v>185</v>
      </c>
      <c r="AE15" s="76">
        <v>113</v>
      </c>
      <c r="AF15" s="50">
        <f t="shared" si="21"/>
        <v>2508.4871877334631</v>
      </c>
      <c r="AG15" s="51">
        <f>(AC15+AF15)*4</f>
        <v>27485.313282606396</v>
      </c>
      <c r="AH15" s="52">
        <f>AG15/D15</f>
        <v>63.919333215363714</v>
      </c>
      <c r="AI15" s="82"/>
      <c r="AJ15" s="83">
        <v>1.1932671549042149</v>
      </c>
      <c r="AK15" s="84">
        <v>1.405784768623819</v>
      </c>
      <c r="AL15" s="68"/>
      <c r="AM15" s="69">
        <f t="shared" si="12"/>
        <v>45.468790558839956</v>
      </c>
      <c r="AN15" s="70">
        <f t="shared" si="13"/>
        <v>454.68790558839953</v>
      </c>
      <c r="AO15" s="82"/>
    </row>
    <row r="16" spans="2:41" x14ac:dyDescent="0.2">
      <c r="G16" s="86"/>
      <c r="N16" s="21"/>
      <c r="Q16" s="88"/>
      <c r="R16" s="88"/>
      <c r="S16" s="31"/>
      <c r="T16" s="72"/>
      <c r="U16" s="31"/>
      <c r="V16" s="72"/>
      <c r="W16" s="31"/>
      <c r="X16" s="88"/>
      <c r="Y16" s="89"/>
      <c r="Z16" s="31"/>
      <c r="AA16" s="72"/>
      <c r="AB16" s="72"/>
      <c r="AC16" s="31"/>
      <c r="AD16" s="72"/>
      <c r="AE16" s="72"/>
      <c r="AF16" s="31"/>
      <c r="AG16" s="88"/>
      <c r="AH16" s="88"/>
      <c r="AI16" s="73"/>
      <c r="AJ16" s="50"/>
      <c r="AK16" s="50"/>
      <c r="AL16" s="75"/>
      <c r="AO16" s="73"/>
    </row>
    <row r="17" spans="2:41" x14ac:dyDescent="0.2">
      <c r="B17"/>
      <c r="E17"/>
      <c r="F17"/>
      <c r="G17" s="86"/>
      <c r="Q17" s="90"/>
      <c r="R17" s="90"/>
      <c r="S17" s="50"/>
      <c r="T17" s="75"/>
      <c r="U17" s="50"/>
      <c r="V17" s="75"/>
      <c r="W17" s="50"/>
      <c r="X17" s="90"/>
      <c r="Y17" s="91"/>
      <c r="Z17" s="50"/>
      <c r="AA17" s="75"/>
      <c r="AB17" s="75"/>
      <c r="AD17" s="75"/>
      <c r="AE17" s="75"/>
      <c r="AF17" s="50"/>
      <c r="AG17" s="50">
        <f>_xlfn.T.TEST(AG4:AG8,AG10:AG15,2,2)</f>
        <v>4.4688713920924085E-2</v>
      </c>
      <c r="AH17" s="50">
        <f>_xlfn.T.TEST(AH4:AH8,AH10:AH15,2,2)</f>
        <v>2.9255552959499581E-2</v>
      </c>
      <c r="AI17" s="75"/>
      <c r="AJ17" s="50">
        <f>_xlfn.T.TEST(AJ4:AJ8,AJ10:AJ15,2,2)</f>
        <v>5.9037448379236336E-2</v>
      </c>
      <c r="AK17" s="50">
        <f>_xlfn.T.TEST(AK4:AK8,AK10:AK15,2,2)</f>
        <v>5.90374483792366E-2</v>
      </c>
      <c r="AL17" s="75"/>
      <c r="AO17" s="75"/>
    </row>
    <row r="18" spans="2:41" x14ac:dyDescent="0.2">
      <c r="B18"/>
      <c r="E18"/>
      <c r="F18"/>
      <c r="G18" s="86"/>
      <c r="Y18" s="91"/>
      <c r="AJ18" s="50"/>
      <c r="AK18" s="50"/>
      <c r="AL18" s="75"/>
    </row>
    <row r="19" spans="2:41" x14ac:dyDescent="0.2">
      <c r="B19"/>
      <c r="E19"/>
      <c r="F19"/>
      <c r="AJ19" s="50"/>
      <c r="AK19" s="50"/>
      <c r="AL19" s="75"/>
    </row>
    <row r="20" spans="2:41" x14ac:dyDescent="0.2">
      <c r="B20"/>
      <c r="E20"/>
      <c r="F20"/>
      <c r="AJ20" s="50"/>
      <c r="AK20" s="50"/>
      <c r="AL20" s="75"/>
    </row>
    <row r="21" spans="2:41" x14ac:dyDescent="0.2">
      <c r="B21"/>
      <c r="E21"/>
      <c r="F21"/>
      <c r="AJ21" s="50"/>
      <c r="AK21" s="50"/>
      <c r="AL21" s="75"/>
    </row>
    <row r="22" spans="2:41" x14ac:dyDescent="0.2">
      <c r="B22"/>
      <c r="E22"/>
      <c r="F22"/>
      <c r="M22" s="86">
        <v>1</v>
      </c>
      <c r="N22" s="71">
        <v>1</v>
      </c>
      <c r="O22" s="86">
        <v>2</v>
      </c>
      <c r="Q22"/>
      <c r="AJ22" s="50"/>
      <c r="AK22" s="50"/>
      <c r="AL22" s="75"/>
    </row>
    <row r="23" spans="2:41" x14ac:dyDescent="0.2">
      <c r="B23"/>
      <c r="E23"/>
      <c r="F23"/>
      <c r="M23" s="86">
        <v>2</v>
      </c>
      <c r="N23" s="71">
        <v>3</v>
      </c>
      <c r="O23" s="86">
        <v>4</v>
      </c>
      <c r="Q23"/>
      <c r="AJ23" s="50"/>
      <c r="AK23" s="50"/>
      <c r="AL23" s="75"/>
    </row>
    <row r="24" spans="2:41" x14ac:dyDescent="0.2">
      <c r="B24"/>
      <c r="E24"/>
      <c r="F24"/>
      <c r="M24" s="86">
        <v>3</v>
      </c>
      <c r="N24" s="71">
        <v>5</v>
      </c>
      <c r="O24" s="86">
        <v>6</v>
      </c>
      <c r="Q24"/>
      <c r="AJ24" s="50"/>
      <c r="AK24" s="50"/>
      <c r="AL24" s="75"/>
    </row>
    <row r="25" spans="2:41" x14ac:dyDescent="0.2">
      <c r="B25"/>
      <c r="E25"/>
      <c r="F25"/>
      <c r="G25" s="86"/>
      <c r="M25" s="86">
        <v>4</v>
      </c>
      <c r="N25" s="71">
        <v>7</v>
      </c>
      <c r="O25" s="86">
        <v>8</v>
      </c>
      <c r="Q25"/>
      <c r="AJ25" s="50"/>
      <c r="AK25" s="50"/>
      <c r="AL25" s="76"/>
    </row>
    <row r="26" spans="2:41" x14ac:dyDescent="0.2">
      <c r="B26"/>
      <c r="E26"/>
      <c r="F26"/>
      <c r="G26" s="86"/>
      <c r="M26" s="86">
        <v>5</v>
      </c>
      <c r="N26" s="71">
        <v>9</v>
      </c>
      <c r="O26" s="86">
        <v>10</v>
      </c>
      <c r="Q26"/>
      <c r="AJ26" s="50"/>
      <c r="AK26" s="50"/>
      <c r="AL26" s="75"/>
    </row>
    <row r="27" spans="2:41" x14ac:dyDescent="0.2">
      <c r="B27"/>
      <c r="E27"/>
      <c r="F27"/>
      <c r="G27" s="86"/>
      <c r="AJ27" s="50"/>
      <c r="AK27" s="50"/>
      <c r="AL27" s="75"/>
    </row>
    <row r="28" spans="2:41" x14ac:dyDescent="0.2">
      <c r="B28"/>
      <c r="E28"/>
      <c r="F28"/>
      <c r="AJ28" s="61"/>
      <c r="AK28" s="61"/>
      <c r="AL28" s="75"/>
    </row>
    <row r="34" spans="7:38" customFormat="1" x14ac:dyDescent="0.2">
      <c r="G34" s="86"/>
      <c r="AL34" s="86"/>
    </row>
    <row r="35" spans="7:38" customFormat="1" x14ac:dyDescent="0.2">
      <c r="G35" s="86"/>
      <c r="AL35" s="86"/>
    </row>
  </sheetData>
  <mergeCells count="10">
    <mergeCell ref="AJ2:AL2"/>
    <mergeCell ref="AM2:AN2"/>
    <mergeCell ref="B4:B9"/>
    <mergeCell ref="B10:B15"/>
    <mergeCell ref="B2:B3"/>
    <mergeCell ref="C2:C3"/>
    <mergeCell ref="D2:D3"/>
    <mergeCell ref="G2:Q2"/>
    <mergeCell ref="S2:X2"/>
    <mergeCell ref="Z2:A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9D8E6-5E6D-1446-906F-599CAAEA8E34}">
  <dimension ref="A1:G13"/>
  <sheetViews>
    <sheetView tabSelected="1" workbookViewId="0">
      <selection activeCell="G2" sqref="G2"/>
    </sheetView>
  </sheetViews>
  <sheetFormatPr baseColWidth="10" defaultRowHeight="15" x14ac:dyDescent="0.2"/>
  <sheetData>
    <row r="1" spans="1:7" x14ac:dyDescent="0.2">
      <c r="A1" s="105" t="s">
        <v>147</v>
      </c>
      <c r="B1" t="s">
        <v>1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</row>
    <row r="2" spans="1:7" x14ac:dyDescent="0.2">
      <c r="A2" t="s">
        <v>137</v>
      </c>
      <c r="B2" t="s">
        <v>38</v>
      </c>
      <c r="C2">
        <v>5543.3138570116444</v>
      </c>
      <c r="D2">
        <v>16.303864285328366</v>
      </c>
      <c r="E2">
        <v>1.7583778653977191</v>
      </c>
      <c r="F2">
        <v>92.721050498668959</v>
      </c>
      <c r="G2">
        <v>340</v>
      </c>
    </row>
    <row r="3" spans="1:7" x14ac:dyDescent="0.2">
      <c r="A3" t="s">
        <v>137</v>
      </c>
      <c r="B3" t="s">
        <v>39</v>
      </c>
      <c r="C3">
        <v>3022.2780490258947</v>
      </c>
      <c r="D3">
        <v>8.3952168028497081</v>
      </c>
      <c r="E3">
        <v>1.7166711444526532</v>
      </c>
      <c r="F3">
        <v>48.904047988331826</v>
      </c>
      <c r="G3">
        <v>360</v>
      </c>
    </row>
    <row r="4" spans="1:7" x14ac:dyDescent="0.2">
      <c r="A4" t="s">
        <v>137</v>
      </c>
      <c r="B4" t="s">
        <v>40</v>
      </c>
      <c r="C4">
        <v>8253.398949099379</v>
      </c>
      <c r="D4">
        <v>24.274702791468762</v>
      </c>
      <c r="E4">
        <v>1.8660283480826814</v>
      </c>
      <c r="F4">
        <v>130.08753493166751</v>
      </c>
      <c r="G4">
        <v>340</v>
      </c>
    </row>
    <row r="5" spans="1:7" x14ac:dyDescent="0.2">
      <c r="A5" t="s">
        <v>137</v>
      </c>
      <c r="B5" t="s">
        <v>41</v>
      </c>
      <c r="C5">
        <v>28747.647701701324</v>
      </c>
      <c r="D5">
        <v>73.71191718384955</v>
      </c>
      <c r="E5">
        <v>1.4823612475272956</v>
      </c>
      <c r="F5">
        <v>497.26014699053479</v>
      </c>
      <c r="G5">
        <v>390</v>
      </c>
    </row>
    <row r="6" spans="1:7" x14ac:dyDescent="0.2">
      <c r="A6" t="s">
        <v>137</v>
      </c>
      <c r="B6" t="s">
        <v>42</v>
      </c>
      <c r="C6">
        <v>28095.662565590403</v>
      </c>
      <c r="D6">
        <v>56.191325131180804</v>
      </c>
      <c r="E6">
        <v>2.6578008304956748</v>
      </c>
      <c r="F6">
        <v>211.42037614873206</v>
      </c>
      <c r="G6">
        <v>500</v>
      </c>
    </row>
    <row r="7" spans="1:7" x14ac:dyDescent="0.2">
      <c r="A7" t="s">
        <v>137</v>
      </c>
      <c r="B7" t="s">
        <v>43</v>
      </c>
      <c r="C7">
        <v>3149.751085466989</v>
      </c>
      <c r="D7">
        <v>7.8743777136674726</v>
      </c>
      <c r="G7">
        <v>400</v>
      </c>
    </row>
    <row r="8" spans="1:7" x14ac:dyDescent="0.2">
      <c r="A8" t="s">
        <v>146</v>
      </c>
      <c r="B8" t="s">
        <v>46</v>
      </c>
      <c r="C8">
        <v>57574.166295974457</v>
      </c>
      <c r="D8">
        <v>144.98656836055011</v>
      </c>
      <c r="E8">
        <v>1.1886925474493761</v>
      </c>
      <c r="F8">
        <v>1219.7146240350664</v>
      </c>
      <c r="G8">
        <v>397.1</v>
      </c>
    </row>
    <row r="9" spans="1:7" x14ac:dyDescent="0.2">
      <c r="A9" t="s">
        <v>146</v>
      </c>
      <c r="B9" t="s">
        <v>47</v>
      </c>
      <c r="C9">
        <v>100127.32848543736</v>
      </c>
      <c r="D9">
        <v>170.63280246325388</v>
      </c>
      <c r="E9">
        <v>1.2310085735635625</v>
      </c>
      <c r="F9">
        <v>1386.1219663913521</v>
      </c>
      <c r="G9">
        <v>586.79999999999995</v>
      </c>
    </row>
    <row r="10" spans="1:7" x14ac:dyDescent="0.2">
      <c r="A10" t="s">
        <v>146</v>
      </c>
      <c r="B10" t="s">
        <v>48</v>
      </c>
      <c r="C10">
        <v>38230.200230030154</v>
      </c>
      <c r="D10">
        <v>62.162927203301066</v>
      </c>
      <c r="E10">
        <v>1.6336075506841974</v>
      </c>
      <c r="F10">
        <v>380.52546449889758</v>
      </c>
      <c r="G10">
        <v>615</v>
      </c>
    </row>
    <row r="11" spans="1:7" x14ac:dyDescent="0.2">
      <c r="A11" t="s">
        <v>146</v>
      </c>
      <c r="B11" t="s">
        <v>49</v>
      </c>
      <c r="E11">
        <v>1.8375437173606133</v>
      </c>
      <c r="G11">
        <v>500</v>
      </c>
    </row>
    <row r="12" spans="1:7" x14ac:dyDescent="0.2">
      <c r="A12" t="s">
        <v>146</v>
      </c>
      <c r="B12" t="s">
        <v>50</v>
      </c>
      <c r="C12">
        <v>26616.428098493336</v>
      </c>
      <c r="D12">
        <v>78.283612054392165</v>
      </c>
      <c r="E12">
        <v>1.3063884221129505</v>
      </c>
      <c r="F12">
        <v>599.23687878201167</v>
      </c>
      <c r="G12">
        <v>340</v>
      </c>
    </row>
    <row r="13" spans="1:7" x14ac:dyDescent="0.2">
      <c r="A13" t="s">
        <v>146</v>
      </c>
      <c r="B13" t="s">
        <v>51</v>
      </c>
      <c r="C13">
        <v>27485.313282606396</v>
      </c>
      <c r="D13">
        <v>63.919333215363714</v>
      </c>
      <c r="E13">
        <v>1.405784768623819</v>
      </c>
      <c r="F13">
        <v>454.68790558839953</v>
      </c>
      <c r="G13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opLeftCell="A3" workbookViewId="0">
      <selection activeCell="D40" sqref="D40"/>
    </sheetView>
  </sheetViews>
  <sheetFormatPr baseColWidth="10" defaultColWidth="8.83203125" defaultRowHeight="15" x14ac:dyDescent="0.2"/>
  <cols>
    <col min="1" max="1" width="10" bestFit="1" customWidth="1"/>
    <col min="3" max="3" width="8.83203125" customWidth="1"/>
    <col min="4" max="4" width="7" bestFit="1" customWidth="1"/>
    <col min="5" max="5" width="13.1640625" customWidth="1"/>
    <col min="6" max="6" width="14" customWidth="1"/>
    <col min="7" max="7" width="9.1640625" bestFit="1" customWidth="1"/>
    <col min="8" max="8" width="10.5" bestFit="1" customWidth="1"/>
    <col min="9" max="9" width="15.33203125" customWidth="1"/>
    <col min="10" max="10" width="8.5" customWidth="1"/>
  </cols>
  <sheetData>
    <row r="1" spans="1:10" x14ac:dyDescent="0.2">
      <c r="A1" t="s">
        <v>138</v>
      </c>
      <c r="B1" t="s">
        <v>135</v>
      </c>
      <c r="C1" t="s">
        <v>136</v>
      </c>
      <c r="D1" t="s">
        <v>145</v>
      </c>
      <c r="E1" t="s">
        <v>144</v>
      </c>
      <c r="F1" t="s">
        <v>143</v>
      </c>
      <c r="G1" t="s">
        <v>142</v>
      </c>
      <c r="H1" t="s">
        <v>141</v>
      </c>
      <c r="I1" t="s">
        <v>140</v>
      </c>
      <c r="J1" t="s">
        <v>139</v>
      </c>
    </row>
    <row r="2" spans="1:10" x14ac:dyDescent="0.2">
      <c r="A2" t="s">
        <v>137</v>
      </c>
      <c r="B2" t="s">
        <v>38</v>
      </c>
      <c r="C2">
        <v>0</v>
      </c>
      <c r="E2">
        <v>7.6016165000000004</v>
      </c>
      <c r="F2">
        <v>11.04310646242104</v>
      </c>
      <c r="G2">
        <v>17.988301468521854</v>
      </c>
      <c r="H2">
        <v>254</v>
      </c>
      <c r="I2">
        <v>121.74137931034481</v>
      </c>
      <c r="J2">
        <v>97</v>
      </c>
    </row>
    <row r="3" spans="1:10" x14ac:dyDescent="0.2">
      <c r="A3" t="s">
        <v>137</v>
      </c>
      <c r="B3" t="s">
        <v>39</v>
      </c>
      <c r="C3">
        <v>0</v>
      </c>
      <c r="E3">
        <v>7.6319360000000005</v>
      </c>
      <c r="F3">
        <v>11.190347881919987</v>
      </c>
      <c r="G3">
        <v>19.699971288619523</v>
      </c>
      <c r="H3">
        <v>234</v>
      </c>
      <c r="I3">
        <v>118.86781609195401</v>
      </c>
      <c r="J3">
        <v>96</v>
      </c>
    </row>
    <row r="4" spans="1:10" x14ac:dyDescent="0.2">
      <c r="A4" t="s">
        <v>137</v>
      </c>
      <c r="B4" t="s">
        <v>40</v>
      </c>
      <c r="C4">
        <v>0</v>
      </c>
      <c r="E4">
        <v>7.7103485000000003</v>
      </c>
      <c r="F4">
        <v>11.484830720917881</v>
      </c>
      <c r="G4">
        <v>24.715052390324182</v>
      </c>
      <c r="H4">
        <v>231</v>
      </c>
      <c r="I4">
        <v>123.89655172413792</v>
      </c>
      <c r="J4">
        <v>100</v>
      </c>
    </row>
    <row r="5" spans="1:10" x14ac:dyDescent="0.2">
      <c r="A5" t="s">
        <v>137</v>
      </c>
      <c r="B5" t="s">
        <v>41</v>
      </c>
      <c r="C5">
        <v>0</v>
      </c>
      <c r="E5">
        <v>7.7260309999999999</v>
      </c>
      <c r="F5">
        <v>10.601382203924199</v>
      </c>
      <c r="G5">
        <v>23.748840760981714</v>
      </c>
      <c r="H5">
        <v>236</v>
      </c>
      <c r="I5">
        <v>131.08045977011491</v>
      </c>
      <c r="J5">
        <v>103</v>
      </c>
    </row>
    <row r="6" spans="1:10" x14ac:dyDescent="0.2">
      <c r="A6" t="s">
        <v>137</v>
      </c>
      <c r="B6" t="s">
        <v>42</v>
      </c>
      <c r="C6">
        <v>0</v>
      </c>
      <c r="E6">
        <v>7.7103485000000003</v>
      </c>
      <c r="F6">
        <v>10.306899364926304</v>
      </c>
      <c r="G6">
        <v>22.180175222085804</v>
      </c>
      <c r="H6">
        <v>231</v>
      </c>
      <c r="I6">
        <v>124.51231527093596</v>
      </c>
      <c r="J6">
        <v>111</v>
      </c>
    </row>
    <row r="7" spans="1:10" x14ac:dyDescent="0.2">
      <c r="A7" t="s">
        <v>137</v>
      </c>
      <c r="B7" t="s">
        <v>43</v>
      </c>
      <c r="C7">
        <v>0</v>
      </c>
      <c r="E7">
        <v>7.7741240000000005</v>
      </c>
      <c r="F7">
        <v>10.675002913673673</v>
      </c>
      <c r="G7">
        <v>27.048286037188575</v>
      </c>
      <c r="H7">
        <v>253</v>
      </c>
      <c r="I7">
        <v>132.72249589490968</v>
      </c>
      <c r="J7">
        <v>108</v>
      </c>
    </row>
    <row r="8" spans="1:10" x14ac:dyDescent="0.2">
      <c r="A8" t="s">
        <v>137</v>
      </c>
      <c r="B8" t="s">
        <v>38</v>
      </c>
      <c r="C8">
        <v>4</v>
      </c>
      <c r="E8">
        <v>7.4479280000000001</v>
      </c>
      <c r="F8">
        <v>28.270352543797863</v>
      </c>
      <c r="G8">
        <v>30.131575664226197</v>
      </c>
      <c r="H8">
        <v>255</v>
      </c>
      <c r="I8">
        <v>127.28325123152709</v>
      </c>
      <c r="J8">
        <v>86</v>
      </c>
    </row>
    <row r="9" spans="1:10" x14ac:dyDescent="0.2">
      <c r="A9" t="s">
        <v>137</v>
      </c>
      <c r="B9" t="s">
        <v>39</v>
      </c>
      <c r="C9">
        <v>4</v>
      </c>
      <c r="E9">
        <v>7.3841524999999999</v>
      </c>
      <c r="F9">
        <v>27.018800478056814</v>
      </c>
      <c r="G9">
        <v>24.632525642497107</v>
      </c>
      <c r="H9">
        <v>265</v>
      </c>
      <c r="I9">
        <v>132.61986863710999</v>
      </c>
      <c r="J9">
        <v>101</v>
      </c>
    </row>
    <row r="10" spans="1:10" x14ac:dyDescent="0.2">
      <c r="A10" t="s">
        <v>137</v>
      </c>
      <c r="B10" t="s">
        <v>40</v>
      </c>
      <c r="C10">
        <v>4</v>
      </c>
      <c r="E10">
        <v>7.4447915</v>
      </c>
      <c r="F10">
        <v>27.313283317054708</v>
      </c>
      <c r="G10">
        <v>28.888683704871102</v>
      </c>
      <c r="H10">
        <v>253</v>
      </c>
      <c r="I10">
        <v>124.40968801313629</v>
      </c>
      <c r="J10">
        <v>90</v>
      </c>
    </row>
    <row r="11" spans="1:10" x14ac:dyDescent="0.2">
      <c r="A11" t="s">
        <v>137</v>
      </c>
      <c r="B11" t="s">
        <v>41</v>
      </c>
      <c r="C11">
        <v>4</v>
      </c>
      <c r="E11">
        <v>7.3862435</v>
      </c>
      <c r="F11">
        <v>28.049490414549442</v>
      </c>
      <c r="G11">
        <v>26.31925113036278</v>
      </c>
      <c r="H11">
        <v>241</v>
      </c>
      <c r="I11">
        <v>115.17323481116584</v>
      </c>
      <c r="J11">
        <v>81</v>
      </c>
    </row>
    <row r="12" spans="1:10" x14ac:dyDescent="0.2">
      <c r="A12" t="s">
        <v>137</v>
      </c>
      <c r="B12" t="s">
        <v>42</v>
      </c>
      <c r="C12">
        <v>4</v>
      </c>
      <c r="E12">
        <v>7.4207450000000001</v>
      </c>
      <c r="F12">
        <v>25.546386283067342</v>
      </c>
      <c r="G12">
        <v>26.185001137680384</v>
      </c>
      <c r="H12">
        <v>260</v>
      </c>
      <c r="I12">
        <v>146.37192118226599</v>
      </c>
      <c r="J12">
        <v>106</v>
      </c>
    </row>
    <row r="13" spans="1:10" x14ac:dyDescent="0.2">
      <c r="A13" t="s">
        <v>137</v>
      </c>
      <c r="B13" t="s">
        <v>43</v>
      </c>
      <c r="C13">
        <v>4</v>
      </c>
      <c r="E13">
        <v>7.4792930000000002</v>
      </c>
      <c r="F13">
        <v>27.313283317054708</v>
      </c>
      <c r="G13">
        <v>32.525015659699832</v>
      </c>
      <c r="H13">
        <v>246</v>
      </c>
      <c r="I13">
        <v>136.3144499178982</v>
      </c>
      <c r="J13">
        <v>101</v>
      </c>
    </row>
    <row r="14" spans="1:10" x14ac:dyDescent="0.2">
      <c r="A14" t="s">
        <v>137</v>
      </c>
      <c r="B14" t="s">
        <v>38</v>
      </c>
      <c r="C14">
        <v>8</v>
      </c>
      <c r="E14">
        <v>7.5064760000000001</v>
      </c>
      <c r="F14">
        <v>28.859318221793654</v>
      </c>
      <c r="G14">
        <v>35.502843199629687</v>
      </c>
      <c r="H14">
        <v>238</v>
      </c>
      <c r="I14">
        <v>129.33579638752053</v>
      </c>
      <c r="J14">
        <v>80</v>
      </c>
    </row>
    <row r="15" spans="1:10" x14ac:dyDescent="0.2">
      <c r="A15" t="s">
        <v>137</v>
      </c>
      <c r="B15" t="s">
        <v>39</v>
      </c>
      <c r="C15">
        <v>8</v>
      </c>
      <c r="E15">
        <v>7.4510645000000002</v>
      </c>
      <c r="F15">
        <v>28.049490414549442</v>
      </c>
      <c r="G15">
        <v>30.12675586332691</v>
      </c>
      <c r="H15">
        <v>250</v>
      </c>
      <c r="I15">
        <v>123.69129720853859</v>
      </c>
      <c r="J15">
        <v>94</v>
      </c>
    </row>
    <row r="16" spans="1:10" x14ac:dyDescent="0.2">
      <c r="A16" t="s">
        <v>137</v>
      </c>
      <c r="B16" t="s">
        <v>40</v>
      </c>
      <c r="C16">
        <v>8</v>
      </c>
      <c r="E16">
        <v>7.4855660000000004</v>
      </c>
      <c r="F16">
        <v>26.356214090311546</v>
      </c>
      <c r="G16">
        <v>30.804554591914307</v>
      </c>
      <c r="H16">
        <v>233</v>
      </c>
      <c r="I16">
        <v>117.73891625615764</v>
      </c>
      <c r="J16">
        <v>87</v>
      </c>
    </row>
    <row r="17" spans="1:10" x14ac:dyDescent="0.2">
      <c r="A17" t="s">
        <v>137</v>
      </c>
      <c r="B17" t="s">
        <v>41</v>
      </c>
      <c r="C17">
        <v>8</v>
      </c>
      <c r="E17">
        <v>7.4604740000000005</v>
      </c>
      <c r="F17">
        <v>29.227421770541021</v>
      </c>
      <c r="G17">
        <v>33.166720264430062</v>
      </c>
      <c r="H17">
        <v>246</v>
      </c>
      <c r="I17">
        <v>135.1855500821018</v>
      </c>
      <c r="J17">
        <v>95</v>
      </c>
    </row>
    <row r="18" spans="1:10" x14ac:dyDescent="0.2">
      <c r="A18" t="s">
        <v>137</v>
      </c>
      <c r="B18" t="s">
        <v>42</v>
      </c>
      <c r="C18">
        <v>8</v>
      </c>
      <c r="E18">
        <v>7.4981119999999999</v>
      </c>
      <c r="F18">
        <v>24.662937766073657</v>
      </c>
      <c r="G18">
        <v>30.819103077926059</v>
      </c>
      <c r="H18">
        <v>265</v>
      </c>
      <c r="I18">
        <v>123.99917898193759</v>
      </c>
      <c r="J18">
        <v>99</v>
      </c>
    </row>
    <row r="19" spans="1:10" x14ac:dyDescent="0.2">
      <c r="A19" t="s">
        <v>137</v>
      </c>
      <c r="B19" t="s">
        <v>43</v>
      </c>
      <c r="C19">
        <v>8</v>
      </c>
      <c r="E19">
        <v>7.5388865000000003</v>
      </c>
      <c r="F19">
        <v>26.282593380562076</v>
      </c>
      <c r="G19">
        <v>36.458195463137486</v>
      </c>
      <c r="H19">
        <v>258</v>
      </c>
      <c r="I19">
        <v>125.74384236453201</v>
      </c>
      <c r="J19">
        <v>85</v>
      </c>
    </row>
    <row r="20" spans="1:10" x14ac:dyDescent="0.2">
      <c r="A20" t="s">
        <v>137</v>
      </c>
      <c r="B20" t="s">
        <v>38</v>
      </c>
      <c r="C20">
        <v>18</v>
      </c>
      <c r="E20">
        <v>7.5211130000000006</v>
      </c>
      <c r="F20">
        <v>28.491214673046287</v>
      </c>
      <c r="G20">
        <v>36.329518726453983</v>
      </c>
      <c r="H20">
        <v>236</v>
      </c>
      <c r="I20">
        <v>138.67487684729062</v>
      </c>
      <c r="J20">
        <v>82</v>
      </c>
    </row>
    <row r="21" spans="1:10" x14ac:dyDescent="0.2">
      <c r="A21" t="s">
        <v>137</v>
      </c>
      <c r="B21" t="s">
        <v>39</v>
      </c>
      <c r="C21">
        <v>18</v>
      </c>
      <c r="E21">
        <v>7.4939300000000006</v>
      </c>
      <c r="F21">
        <v>29.080180351042074</v>
      </c>
      <c r="G21">
        <v>34.691818593538137</v>
      </c>
      <c r="H21">
        <v>257</v>
      </c>
      <c r="I21">
        <v>125.23070607553366</v>
      </c>
      <c r="J21">
        <v>99</v>
      </c>
    </row>
    <row r="22" spans="1:10" x14ac:dyDescent="0.2">
      <c r="A22" t="s">
        <v>137</v>
      </c>
      <c r="B22" t="s">
        <v>40</v>
      </c>
      <c r="C22">
        <v>18</v>
      </c>
      <c r="E22">
        <v>7.5054305000000001</v>
      </c>
      <c r="F22">
        <v>26.871559058557864</v>
      </c>
      <c r="G22">
        <v>32.972940111574822</v>
      </c>
      <c r="H22">
        <v>236</v>
      </c>
      <c r="I22">
        <v>127.79638752052544</v>
      </c>
      <c r="J22">
        <v>101</v>
      </c>
    </row>
    <row r="23" spans="1:10" x14ac:dyDescent="0.2">
      <c r="A23" t="s">
        <v>137</v>
      </c>
      <c r="B23" t="s">
        <v>41</v>
      </c>
      <c r="C23">
        <v>18</v>
      </c>
      <c r="E23">
        <v>7.5232040000000007</v>
      </c>
      <c r="F23">
        <v>29.153801060791547</v>
      </c>
      <c r="G23">
        <v>38.848938116479474</v>
      </c>
      <c r="H23">
        <v>264</v>
      </c>
      <c r="I23">
        <v>117.63628899835795</v>
      </c>
      <c r="J23">
        <v>96</v>
      </c>
    </row>
    <row r="24" spans="1:10" x14ac:dyDescent="0.2">
      <c r="A24" t="s">
        <v>137</v>
      </c>
      <c r="B24" t="s">
        <v>42</v>
      </c>
      <c r="C24">
        <v>18</v>
      </c>
      <c r="E24">
        <v>7.5827975000000007</v>
      </c>
      <c r="F24">
        <v>25.620006992816812</v>
      </c>
      <c r="G24">
        <v>39.769172880657464</v>
      </c>
      <c r="H24">
        <v>250</v>
      </c>
      <c r="I24">
        <v>127.79638752052544</v>
      </c>
      <c r="J24">
        <v>86</v>
      </c>
    </row>
    <row r="25" spans="1:10" x14ac:dyDescent="0.2">
      <c r="A25" t="s">
        <v>137</v>
      </c>
      <c r="B25" t="s">
        <v>43</v>
      </c>
      <c r="C25">
        <v>18</v>
      </c>
      <c r="E25">
        <v>7.5765245000000006</v>
      </c>
      <c r="F25">
        <v>27.681386865802075</v>
      </c>
      <c r="G25">
        <v>42.284185077353953</v>
      </c>
      <c r="H25">
        <v>259</v>
      </c>
      <c r="J25">
        <v>99</v>
      </c>
    </row>
    <row r="26" spans="1:10" x14ac:dyDescent="0.2">
      <c r="A26" t="s">
        <v>137</v>
      </c>
      <c r="B26" t="s">
        <v>38</v>
      </c>
      <c r="C26">
        <v>24</v>
      </c>
      <c r="E26">
        <v>7.5744335000000005</v>
      </c>
      <c r="F26">
        <v>30.110870287534702</v>
      </c>
      <c r="G26">
        <v>43.751923044066558</v>
      </c>
      <c r="H26">
        <v>261</v>
      </c>
      <c r="I26">
        <v>119.17569786535303</v>
      </c>
      <c r="J26">
        <v>100</v>
      </c>
    </row>
    <row r="27" spans="1:10" x14ac:dyDescent="0.2">
      <c r="A27" t="s">
        <v>137</v>
      </c>
      <c r="B27" t="s">
        <v>39</v>
      </c>
      <c r="C27">
        <v>24</v>
      </c>
      <c r="E27">
        <v>7.4761565000000001</v>
      </c>
      <c r="F27">
        <v>27.166041897555758</v>
      </c>
      <c r="G27">
        <v>31.027583354025865</v>
      </c>
      <c r="H27">
        <v>235</v>
      </c>
      <c r="I27">
        <v>129.0279146141215</v>
      </c>
      <c r="J27">
        <v>96</v>
      </c>
    </row>
    <row r="28" spans="1:10" x14ac:dyDescent="0.2">
      <c r="A28" t="s">
        <v>137</v>
      </c>
      <c r="B28" t="s">
        <v>40</v>
      </c>
      <c r="C28">
        <v>24</v>
      </c>
      <c r="E28">
        <v>7.5451595000000005</v>
      </c>
      <c r="F28">
        <v>28.932938931543124</v>
      </c>
      <c r="G28">
        <v>39.131199833590657</v>
      </c>
      <c r="H28">
        <v>236</v>
      </c>
      <c r="I28">
        <v>110.9655172413793</v>
      </c>
      <c r="J28">
        <v>95</v>
      </c>
    </row>
    <row r="29" spans="1:10" x14ac:dyDescent="0.2">
      <c r="A29" t="s">
        <v>137</v>
      </c>
      <c r="B29" t="s">
        <v>41</v>
      </c>
      <c r="C29">
        <v>24</v>
      </c>
      <c r="E29">
        <v>7.5273859999999999</v>
      </c>
      <c r="F29">
        <v>30.773456675279963</v>
      </c>
      <c r="G29">
        <v>41.448776109424003</v>
      </c>
      <c r="H29">
        <v>245</v>
      </c>
      <c r="I29">
        <v>135.9039408866995</v>
      </c>
      <c r="J29">
        <v>89</v>
      </c>
    </row>
    <row r="30" spans="1:10" x14ac:dyDescent="0.2">
      <c r="A30" t="s">
        <v>137</v>
      </c>
      <c r="B30" t="s">
        <v>42</v>
      </c>
      <c r="C30">
        <v>24</v>
      </c>
      <c r="E30">
        <v>7.6078895000000006</v>
      </c>
      <c r="F30">
        <v>28.123111124298916</v>
      </c>
      <c r="G30">
        <v>46.552119149703039</v>
      </c>
      <c r="H30">
        <v>259</v>
      </c>
      <c r="I30">
        <v>133.95402298850573</v>
      </c>
      <c r="J30">
        <v>94</v>
      </c>
    </row>
    <row r="31" spans="1:10" x14ac:dyDescent="0.2">
      <c r="A31" t="s">
        <v>137</v>
      </c>
      <c r="B31" t="s">
        <v>43</v>
      </c>
      <c r="C31">
        <v>24</v>
      </c>
      <c r="E31">
        <v>7.617299</v>
      </c>
      <c r="F31">
        <v>27.166041897555758</v>
      </c>
      <c r="G31">
        <v>46.064700391425298</v>
      </c>
      <c r="H31">
        <v>261</v>
      </c>
      <c r="J31">
        <v>88</v>
      </c>
    </row>
    <row r="32" spans="1:10" x14ac:dyDescent="0.2">
      <c r="A32" t="s">
        <v>146</v>
      </c>
      <c r="B32" t="s">
        <v>46</v>
      </c>
      <c r="C32">
        <v>0</v>
      </c>
      <c r="D32">
        <v>29.72972972972973</v>
      </c>
      <c r="E32">
        <v>7.8222170000000002</v>
      </c>
      <c r="F32">
        <v>5.0062082629642051</v>
      </c>
      <c r="G32">
        <v>14.347376191992938</v>
      </c>
      <c r="J32">
        <v>90</v>
      </c>
    </row>
    <row r="33" spans="1:10" x14ac:dyDescent="0.2">
      <c r="A33" t="s">
        <v>146</v>
      </c>
      <c r="B33" t="s">
        <v>47</v>
      </c>
      <c r="C33">
        <v>0</v>
      </c>
      <c r="D33">
        <v>9.375</v>
      </c>
      <c r="E33">
        <v>7.6978024999999999</v>
      </c>
      <c r="F33">
        <v>8.2455194919410424</v>
      </c>
      <c r="G33">
        <v>17.183062534634441</v>
      </c>
      <c r="H33">
        <v>228</v>
      </c>
      <c r="I33">
        <v>115.48111658456486</v>
      </c>
      <c r="J33">
        <v>103</v>
      </c>
    </row>
    <row r="34" spans="1:10" x14ac:dyDescent="0.2">
      <c r="A34" t="s">
        <v>146</v>
      </c>
      <c r="B34" t="s">
        <v>48</v>
      </c>
      <c r="C34">
        <v>0</v>
      </c>
      <c r="J34">
        <v>106</v>
      </c>
    </row>
    <row r="35" spans="1:10" x14ac:dyDescent="0.2">
      <c r="A35" t="s">
        <v>146</v>
      </c>
      <c r="B35" t="s">
        <v>49</v>
      </c>
      <c r="C35">
        <v>0</v>
      </c>
      <c r="D35">
        <v>32.142857142857146</v>
      </c>
      <c r="E35">
        <v>7.7406680000000003</v>
      </c>
      <c r="F35">
        <v>8.0982780724420955</v>
      </c>
      <c r="G35">
        <v>18.834440746377194</v>
      </c>
      <c r="H35">
        <v>187</v>
      </c>
      <c r="I35">
        <v>109.01559934318554</v>
      </c>
      <c r="J35">
        <v>100</v>
      </c>
    </row>
    <row r="36" spans="1:10" x14ac:dyDescent="0.2">
      <c r="A36" t="s">
        <v>146</v>
      </c>
      <c r="B36" t="s">
        <v>50</v>
      </c>
      <c r="C36">
        <v>0</v>
      </c>
      <c r="D36">
        <v>30.188679245283023</v>
      </c>
      <c r="E36">
        <v>7.7218490000000006</v>
      </c>
      <c r="F36">
        <v>7.6565538139452549</v>
      </c>
      <c r="G36">
        <v>16.969216854511515</v>
      </c>
      <c r="H36">
        <v>233</v>
      </c>
      <c r="I36">
        <v>118.66256157635466</v>
      </c>
      <c r="J36">
        <v>96</v>
      </c>
    </row>
    <row r="37" spans="1:10" x14ac:dyDescent="0.2">
      <c r="A37" t="s">
        <v>146</v>
      </c>
      <c r="B37" t="s">
        <v>51</v>
      </c>
      <c r="C37">
        <v>0</v>
      </c>
      <c r="D37">
        <v>29.411764705882355</v>
      </c>
      <c r="E37">
        <v>7.8284900000000004</v>
      </c>
      <c r="F37">
        <v>5.1534496824631519</v>
      </c>
      <c r="G37">
        <v>15.008552461837786</v>
      </c>
      <c r="H37">
        <v>217</v>
      </c>
      <c r="I37">
        <v>124.92282430213464</v>
      </c>
      <c r="J37">
        <v>85</v>
      </c>
    </row>
    <row r="38" spans="1:10" x14ac:dyDescent="0.2">
      <c r="A38" t="s">
        <v>146</v>
      </c>
      <c r="B38" t="s">
        <v>46</v>
      </c>
      <c r="C38">
        <v>4</v>
      </c>
      <c r="D38">
        <v>13.888888888888889</v>
      </c>
      <c r="E38">
        <v>7.3214225000000006</v>
      </c>
      <c r="F38">
        <v>23.337764990583132</v>
      </c>
      <c r="G38">
        <v>18.548557368524573</v>
      </c>
      <c r="J38">
        <v>99</v>
      </c>
    </row>
    <row r="39" spans="1:10" x14ac:dyDescent="0.2">
      <c r="A39" t="s">
        <v>146</v>
      </c>
      <c r="B39" t="s">
        <v>47</v>
      </c>
      <c r="C39">
        <v>4</v>
      </c>
      <c r="D39">
        <v>23.80952380952381</v>
      </c>
      <c r="E39">
        <v>7.3862435</v>
      </c>
      <c r="F39">
        <v>26.503455509810497</v>
      </c>
      <c r="G39">
        <v>24.868583745224676</v>
      </c>
      <c r="H39">
        <v>222</v>
      </c>
      <c r="I39">
        <v>127.79638752052544</v>
      </c>
      <c r="J39">
        <v>105</v>
      </c>
    </row>
    <row r="40" spans="1:10" x14ac:dyDescent="0.2">
      <c r="A40" t="s">
        <v>146</v>
      </c>
      <c r="B40" t="s">
        <v>48</v>
      </c>
      <c r="C40">
        <v>4</v>
      </c>
      <c r="D40">
        <v>29.230769230769226</v>
      </c>
      <c r="E40">
        <v>7.4688380000000008</v>
      </c>
      <c r="F40">
        <v>19.951212342107347</v>
      </c>
      <c r="G40">
        <v>23.130458309715991</v>
      </c>
      <c r="H40">
        <v>230</v>
      </c>
      <c r="I40">
        <v>129.64367816091954</v>
      </c>
      <c r="J40">
        <v>97</v>
      </c>
    </row>
    <row r="41" spans="1:10" x14ac:dyDescent="0.2">
      <c r="A41" t="s">
        <v>146</v>
      </c>
      <c r="B41" t="s">
        <v>49</v>
      </c>
      <c r="C41">
        <v>4</v>
      </c>
      <c r="D41">
        <v>28.813559322033896</v>
      </c>
      <c r="E41">
        <v>7.2963305000000007</v>
      </c>
      <c r="F41">
        <v>28.63845609254523</v>
      </c>
      <c r="G41">
        <v>21.344780768495628</v>
      </c>
      <c r="H41">
        <v>231</v>
      </c>
      <c r="I41">
        <v>126.97536945812806</v>
      </c>
      <c r="J41">
        <v>102</v>
      </c>
    </row>
    <row r="42" spans="1:10" x14ac:dyDescent="0.2">
      <c r="A42" t="s">
        <v>146</v>
      </c>
      <c r="B42" t="s">
        <v>50</v>
      </c>
      <c r="C42">
        <v>4</v>
      </c>
      <c r="D42">
        <v>22.222222222222221</v>
      </c>
      <c r="E42">
        <v>7.2513740000000002</v>
      </c>
      <c r="F42">
        <v>31.730525902023121</v>
      </c>
      <c r="G42">
        <v>21.077356433024296</v>
      </c>
      <c r="H42">
        <v>252</v>
      </c>
      <c r="I42">
        <v>133.54351395730706</v>
      </c>
      <c r="J42">
        <v>107</v>
      </c>
    </row>
    <row r="43" spans="1:10" x14ac:dyDescent="0.2">
      <c r="A43" t="s">
        <v>146</v>
      </c>
      <c r="B43" t="s">
        <v>51</v>
      </c>
      <c r="C43">
        <v>4</v>
      </c>
      <c r="D43">
        <v>22.058823529411764</v>
      </c>
      <c r="E43">
        <v>7.2377825000000007</v>
      </c>
      <c r="F43">
        <v>30.920698094778913</v>
      </c>
      <c r="G43">
        <v>19.836767594741019</v>
      </c>
      <c r="H43">
        <v>259</v>
      </c>
      <c r="I43">
        <v>123.99917898193759</v>
      </c>
      <c r="J43">
        <v>96</v>
      </c>
    </row>
    <row r="44" spans="1:10" x14ac:dyDescent="0.2">
      <c r="A44" t="s">
        <v>146</v>
      </c>
      <c r="B44" t="s">
        <v>46</v>
      </c>
      <c r="C44">
        <v>8</v>
      </c>
      <c r="D44">
        <v>4.4117647058823533</v>
      </c>
      <c r="E44">
        <v>7.2471920000000001</v>
      </c>
      <c r="F44">
        <v>21.497247246846293</v>
      </c>
      <c r="G44">
        <v>14.127660766473664</v>
      </c>
      <c r="J44">
        <v>97</v>
      </c>
    </row>
    <row r="45" spans="1:10" x14ac:dyDescent="0.2">
      <c r="A45" t="s">
        <v>146</v>
      </c>
      <c r="B45" t="s">
        <v>47</v>
      </c>
      <c r="C45">
        <v>8</v>
      </c>
      <c r="D45">
        <v>28.813559322033893</v>
      </c>
      <c r="E45">
        <v>7.4667469999999998</v>
      </c>
      <c r="F45">
        <v>25.472765573317869</v>
      </c>
      <c r="G45">
        <v>29.374150415607126</v>
      </c>
      <c r="H45">
        <v>183</v>
      </c>
      <c r="I45">
        <v>98.342364532019701</v>
      </c>
      <c r="J45">
        <v>96</v>
      </c>
    </row>
    <row r="46" spans="1:10" x14ac:dyDescent="0.2">
      <c r="A46" t="s">
        <v>146</v>
      </c>
      <c r="B46" t="s">
        <v>48</v>
      </c>
      <c r="C46">
        <v>8</v>
      </c>
      <c r="D46">
        <v>26.530612244897959</v>
      </c>
      <c r="E46">
        <v>7.5096125000000002</v>
      </c>
      <c r="F46">
        <v>24.000351378328396</v>
      </c>
      <c r="G46">
        <v>30.887610474893233</v>
      </c>
      <c r="I46">
        <v>79.664203612479469</v>
      </c>
      <c r="J46">
        <v>92</v>
      </c>
    </row>
    <row r="47" spans="1:10" x14ac:dyDescent="0.2">
      <c r="A47" t="s">
        <v>146</v>
      </c>
      <c r="B47" t="s">
        <v>49</v>
      </c>
      <c r="C47">
        <v>8</v>
      </c>
      <c r="D47">
        <v>29.032258064516132</v>
      </c>
      <c r="E47">
        <v>7.3621970000000001</v>
      </c>
      <c r="F47">
        <v>33.865526484757858</v>
      </c>
      <c r="G47">
        <v>29.87861564463018</v>
      </c>
      <c r="H47">
        <v>248</v>
      </c>
      <c r="I47">
        <v>126.87274220032839</v>
      </c>
      <c r="J47">
        <v>89</v>
      </c>
    </row>
    <row r="48" spans="1:10" x14ac:dyDescent="0.2">
      <c r="A48" t="s">
        <v>146</v>
      </c>
      <c r="B48" t="s">
        <v>50</v>
      </c>
      <c r="C48">
        <v>8</v>
      </c>
      <c r="D48">
        <v>22.72727272727273</v>
      </c>
      <c r="E48">
        <v>7.2900575000000005</v>
      </c>
      <c r="F48">
        <v>35.264319969997857</v>
      </c>
      <c r="G48">
        <v>25.864281363599343</v>
      </c>
      <c r="H48">
        <v>251</v>
      </c>
      <c r="I48">
        <v>131.69622331691298</v>
      </c>
      <c r="J48">
        <v>96</v>
      </c>
    </row>
    <row r="49" spans="1:10" x14ac:dyDescent="0.2">
      <c r="A49" t="s">
        <v>146</v>
      </c>
      <c r="B49" t="s">
        <v>51</v>
      </c>
      <c r="C49">
        <v>8</v>
      </c>
      <c r="D49">
        <v>22.058823529411764</v>
      </c>
      <c r="E49">
        <v>7.3266500000000008</v>
      </c>
      <c r="F49">
        <v>35.55880280899575</v>
      </c>
      <c r="G49">
        <v>28.642593200439556</v>
      </c>
      <c r="H49">
        <v>248</v>
      </c>
      <c r="I49">
        <v>123.17816091954022</v>
      </c>
      <c r="J49">
        <v>106</v>
      </c>
    </row>
    <row r="50" spans="1:10" x14ac:dyDescent="0.2">
      <c r="A50" t="s">
        <v>146</v>
      </c>
      <c r="B50" t="s">
        <v>46</v>
      </c>
      <c r="C50">
        <v>18</v>
      </c>
      <c r="J50">
        <v>93</v>
      </c>
    </row>
    <row r="51" spans="1:10" x14ac:dyDescent="0.2">
      <c r="A51" t="s">
        <v>146</v>
      </c>
      <c r="B51" t="s">
        <v>47</v>
      </c>
      <c r="C51">
        <v>18</v>
      </c>
      <c r="D51">
        <v>30.303030303030305</v>
      </c>
      <c r="E51">
        <v>7.562933000000001</v>
      </c>
      <c r="F51">
        <v>27.755007575551549</v>
      </c>
      <c r="G51">
        <v>40.946257710128954</v>
      </c>
      <c r="H51">
        <v>173</v>
      </c>
      <c r="I51">
        <v>95.160919540229884</v>
      </c>
      <c r="J51">
        <v>93</v>
      </c>
    </row>
    <row r="52" spans="1:10" x14ac:dyDescent="0.2">
      <c r="A52" t="s">
        <v>146</v>
      </c>
      <c r="B52" t="s">
        <v>48</v>
      </c>
      <c r="C52">
        <v>18</v>
      </c>
      <c r="D52">
        <v>37.5</v>
      </c>
      <c r="E52">
        <v>7.5336590000000001</v>
      </c>
      <c r="F52">
        <v>26.208972670812603</v>
      </c>
      <c r="G52">
        <v>35.872580765733566</v>
      </c>
      <c r="H52">
        <v>247</v>
      </c>
      <c r="I52">
        <v>103.88423645320196</v>
      </c>
      <c r="J52">
        <v>93</v>
      </c>
    </row>
    <row r="53" spans="1:10" x14ac:dyDescent="0.2">
      <c r="A53" t="s">
        <v>146</v>
      </c>
      <c r="B53" t="s">
        <v>49</v>
      </c>
      <c r="C53">
        <v>18</v>
      </c>
      <c r="D53">
        <v>24.561403508771928</v>
      </c>
      <c r="E53">
        <v>7.4897480000000005</v>
      </c>
      <c r="F53">
        <v>30.847077385029436</v>
      </c>
      <c r="G53">
        <v>37.729954828894712</v>
      </c>
      <c r="H53">
        <v>280</v>
      </c>
      <c r="I53">
        <v>125.64121510673235</v>
      </c>
      <c r="J53">
        <v>90</v>
      </c>
    </row>
    <row r="54" spans="1:10" x14ac:dyDescent="0.2">
      <c r="A54" t="s">
        <v>146</v>
      </c>
      <c r="B54" t="s">
        <v>50</v>
      </c>
      <c r="C54">
        <v>18</v>
      </c>
      <c r="D54">
        <v>22.388059701492537</v>
      </c>
      <c r="E54">
        <v>7.4866115000000004</v>
      </c>
      <c r="F54">
        <v>31.951388031271541</v>
      </c>
      <c r="G54">
        <v>38.767999797900963</v>
      </c>
      <c r="H54">
        <v>232</v>
      </c>
      <c r="I54">
        <v>131.79885057471265</v>
      </c>
      <c r="J54">
        <v>93</v>
      </c>
    </row>
    <row r="55" spans="1:10" x14ac:dyDescent="0.2">
      <c r="A55" t="s">
        <v>146</v>
      </c>
      <c r="B55" t="s">
        <v>51</v>
      </c>
      <c r="C55">
        <v>18</v>
      </c>
      <c r="D55">
        <v>15.789473684210526</v>
      </c>
      <c r="E55">
        <v>7.7542595000000007</v>
      </c>
      <c r="F55">
        <v>16.638280403381035</v>
      </c>
      <c r="G55">
        <v>40.066899620704113</v>
      </c>
      <c r="H55">
        <v>252</v>
      </c>
      <c r="I55">
        <v>128.61740558292283</v>
      </c>
      <c r="J55">
        <v>81</v>
      </c>
    </row>
    <row r="56" spans="1:10" x14ac:dyDescent="0.2">
      <c r="A56" t="s">
        <v>146</v>
      </c>
      <c r="B56" t="s">
        <v>46</v>
      </c>
      <c r="C56">
        <v>24</v>
      </c>
      <c r="J56">
        <v>98</v>
      </c>
    </row>
    <row r="57" spans="1:10" x14ac:dyDescent="0.2">
      <c r="A57" t="s">
        <v>146</v>
      </c>
      <c r="B57" t="s">
        <v>47</v>
      </c>
      <c r="C57">
        <v>24</v>
      </c>
      <c r="D57">
        <v>30.612244897959183</v>
      </c>
      <c r="E57">
        <v>7.5577055000000009</v>
      </c>
      <c r="F57">
        <v>29.816387448536808</v>
      </c>
      <c r="G57">
        <v>43.402381470087512</v>
      </c>
      <c r="H57">
        <v>211</v>
      </c>
      <c r="I57">
        <v>111.68390804597701</v>
      </c>
      <c r="J57">
        <v>75</v>
      </c>
    </row>
    <row r="58" spans="1:10" x14ac:dyDescent="0.2">
      <c r="A58" t="s">
        <v>146</v>
      </c>
      <c r="B58" t="s">
        <v>48</v>
      </c>
      <c r="C58">
        <v>24</v>
      </c>
      <c r="D58">
        <v>21.739130434782609</v>
      </c>
      <c r="E58">
        <v>7.5430685000000004</v>
      </c>
      <c r="F58">
        <v>27.975869704799969</v>
      </c>
      <c r="G58">
        <v>39.224915123941372</v>
      </c>
      <c r="H58">
        <v>225</v>
      </c>
      <c r="I58">
        <v>123.99917898193759</v>
      </c>
      <c r="J58">
        <v>98</v>
      </c>
    </row>
    <row r="59" spans="1:10" x14ac:dyDescent="0.2">
      <c r="A59" t="s">
        <v>146</v>
      </c>
      <c r="B59" t="s">
        <v>49</v>
      </c>
      <c r="C59">
        <v>24</v>
      </c>
      <c r="D59">
        <v>22.222222222222221</v>
      </c>
      <c r="E59">
        <v>7.4887024999999996</v>
      </c>
      <c r="F59">
        <v>33.718285065258904</v>
      </c>
      <c r="G59">
        <v>41.131530942525131</v>
      </c>
      <c r="H59">
        <v>257</v>
      </c>
      <c r="I59">
        <v>134.46715927750409</v>
      </c>
      <c r="J59">
        <v>84</v>
      </c>
    </row>
    <row r="60" spans="1:10" x14ac:dyDescent="0.2">
      <c r="A60" t="s">
        <v>146</v>
      </c>
      <c r="B60" t="s">
        <v>50</v>
      </c>
      <c r="C60">
        <v>24</v>
      </c>
      <c r="D60">
        <v>20</v>
      </c>
      <c r="E60">
        <v>7.4447915</v>
      </c>
      <c r="F60">
        <v>35.19069926024838</v>
      </c>
      <c r="G60">
        <v>38.361619322296754</v>
      </c>
      <c r="H60">
        <v>200</v>
      </c>
      <c r="I60">
        <v>106.34729064039408</v>
      </c>
      <c r="J60">
        <v>79</v>
      </c>
    </row>
    <row r="61" spans="1:10" x14ac:dyDescent="0.2">
      <c r="A61" t="s">
        <v>146</v>
      </c>
      <c r="B61" t="s">
        <v>51</v>
      </c>
      <c r="C61">
        <v>24</v>
      </c>
      <c r="D61">
        <v>17.142857142857142</v>
      </c>
      <c r="E61">
        <v>7.4907935000000005</v>
      </c>
      <c r="F61">
        <v>34.160009323755752</v>
      </c>
      <c r="G61">
        <v>41.894123496730344</v>
      </c>
      <c r="H61">
        <v>237</v>
      </c>
      <c r="I61">
        <v>132.82512315270935</v>
      </c>
      <c r="J61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6"/>
  <sheetViews>
    <sheetView topLeftCell="A40" workbookViewId="0">
      <selection activeCell="L59" sqref="L59"/>
    </sheetView>
  </sheetViews>
  <sheetFormatPr baseColWidth="10" defaultColWidth="8.83203125" defaultRowHeight="15" x14ac:dyDescent="0.2"/>
  <cols>
    <col min="2" max="3" width="13.83203125" customWidth="1"/>
    <col min="5" max="5" width="9.1640625" style="94"/>
    <col min="6" max="6" width="12" bestFit="1" customWidth="1"/>
    <col min="10" max="10" width="9.1640625" style="95"/>
    <col min="16" max="16" width="12.83203125" bestFit="1" customWidth="1"/>
    <col min="17" max="17" width="9.6640625" bestFit="1" customWidth="1"/>
  </cols>
  <sheetData>
    <row r="1" spans="1:10" x14ac:dyDescent="0.2">
      <c r="A1" t="s">
        <v>84</v>
      </c>
      <c r="B1" t="s">
        <v>85</v>
      </c>
      <c r="E1" s="94" t="s">
        <v>86</v>
      </c>
      <c r="F1" t="s">
        <v>87</v>
      </c>
      <c r="G1" t="s">
        <v>88</v>
      </c>
      <c r="H1" t="s">
        <v>89</v>
      </c>
    </row>
    <row r="2" spans="1:10" x14ac:dyDescent="0.2">
      <c r="A2">
        <v>0</v>
      </c>
      <c r="B2">
        <v>2.4</v>
      </c>
      <c r="C2" s="93" t="s">
        <v>52</v>
      </c>
      <c r="D2" s="93" t="s">
        <v>53</v>
      </c>
      <c r="G2">
        <f>AVERAGE(F2:F10)</f>
        <v>120.61247947454844</v>
      </c>
      <c r="H2">
        <f>STDEV(F2:F10)/SQRT(COUNT(F2:F10))</f>
        <v>2.4566316099314087</v>
      </c>
      <c r="J2" s="96"/>
    </row>
    <row r="3" spans="1:10" x14ac:dyDescent="0.2">
      <c r="A3">
        <v>20</v>
      </c>
      <c r="B3">
        <v>27.5</v>
      </c>
      <c r="C3" s="93" t="s">
        <v>52</v>
      </c>
      <c r="D3" s="93" t="s">
        <v>54</v>
      </c>
      <c r="E3" s="94">
        <v>118.5</v>
      </c>
      <c r="F3">
        <f>(E3-5.9752)/0.9744</f>
        <v>115.48111658456486</v>
      </c>
      <c r="J3" s="96"/>
    </row>
    <row r="4" spans="1:10" x14ac:dyDescent="0.2">
      <c r="A4">
        <v>40</v>
      </c>
      <c r="B4">
        <v>47</v>
      </c>
      <c r="C4" s="93" t="s">
        <v>52</v>
      </c>
      <c r="D4" s="93" t="s">
        <v>55</v>
      </c>
      <c r="J4" s="96"/>
    </row>
    <row r="5" spans="1:10" x14ac:dyDescent="0.2">
      <c r="A5">
        <v>60</v>
      </c>
      <c r="B5">
        <v>65</v>
      </c>
      <c r="C5" s="93" t="s">
        <v>52</v>
      </c>
      <c r="D5" s="93" t="s">
        <v>56</v>
      </c>
      <c r="E5" s="94">
        <v>112.2</v>
      </c>
      <c r="F5">
        <f t="shared" ref="F5:F68" si="0">(E5-5.9752)/0.9744</f>
        <v>109.01559934318554</v>
      </c>
      <c r="J5" s="96"/>
    </row>
    <row r="6" spans="1:10" x14ac:dyDescent="0.2">
      <c r="A6">
        <v>80</v>
      </c>
      <c r="B6">
        <v>85.3</v>
      </c>
      <c r="C6" s="93" t="s">
        <v>52</v>
      </c>
      <c r="D6" s="93" t="s">
        <v>57</v>
      </c>
      <c r="E6" s="94">
        <v>121.6</v>
      </c>
      <c r="F6">
        <f t="shared" si="0"/>
        <v>118.66256157635466</v>
      </c>
      <c r="J6" s="96"/>
    </row>
    <row r="7" spans="1:10" x14ac:dyDescent="0.2">
      <c r="A7">
        <v>100</v>
      </c>
      <c r="B7">
        <v>101.4</v>
      </c>
      <c r="C7" s="93" t="s">
        <v>52</v>
      </c>
      <c r="D7" s="93" t="s">
        <v>58</v>
      </c>
      <c r="E7" s="94">
        <v>127.7</v>
      </c>
      <c r="F7">
        <f t="shared" si="0"/>
        <v>124.92282430213464</v>
      </c>
      <c r="J7" s="96"/>
    </row>
    <row r="8" spans="1:10" x14ac:dyDescent="0.2">
      <c r="A8">
        <v>150</v>
      </c>
      <c r="B8">
        <v>151.69999999999999</v>
      </c>
      <c r="C8" s="93" t="s">
        <v>52</v>
      </c>
      <c r="D8" s="97" t="s">
        <v>90</v>
      </c>
      <c r="E8" s="98">
        <v>127.9</v>
      </c>
      <c r="F8" s="86">
        <f t="shared" si="0"/>
        <v>125.12807881773399</v>
      </c>
      <c r="J8" s="96"/>
    </row>
    <row r="9" spans="1:10" x14ac:dyDescent="0.2">
      <c r="C9" s="93" t="s">
        <v>52</v>
      </c>
      <c r="D9" s="97" t="s">
        <v>91</v>
      </c>
      <c r="E9" s="98">
        <v>127.5</v>
      </c>
      <c r="F9" s="86">
        <f t="shared" si="0"/>
        <v>124.71756978653529</v>
      </c>
      <c r="J9" s="96"/>
    </row>
    <row r="10" spans="1:10" x14ac:dyDescent="0.2">
      <c r="C10" s="93" t="s">
        <v>52</v>
      </c>
      <c r="D10" s="97" t="s">
        <v>92</v>
      </c>
      <c r="E10" s="98">
        <v>129.1</v>
      </c>
      <c r="F10" s="86">
        <f t="shared" si="0"/>
        <v>126.35960591133004</v>
      </c>
      <c r="J10" s="96"/>
    </row>
    <row r="11" spans="1:10" x14ac:dyDescent="0.2">
      <c r="C11" s="93" t="s">
        <v>52</v>
      </c>
      <c r="D11" s="93" t="s">
        <v>59</v>
      </c>
      <c r="G11">
        <f>AVERAGE(F11:F19)</f>
        <v>129.79761904761904</v>
      </c>
      <c r="H11">
        <f>STDEV(F11:F19)/SQRT(COUNT(F11:F19))</f>
        <v>1.8889709070630185</v>
      </c>
      <c r="J11" s="96"/>
    </row>
    <row r="12" spans="1:10" x14ac:dyDescent="0.2">
      <c r="C12" s="93" t="s">
        <v>52</v>
      </c>
      <c r="D12" s="93" t="s">
        <v>60</v>
      </c>
      <c r="E12" s="94">
        <v>130.5</v>
      </c>
      <c r="F12">
        <f t="shared" si="0"/>
        <v>127.79638752052544</v>
      </c>
      <c r="J12" s="96"/>
    </row>
    <row r="13" spans="1:10" x14ac:dyDescent="0.2">
      <c r="C13" s="93" t="s">
        <v>52</v>
      </c>
      <c r="D13" s="93" t="s">
        <v>61</v>
      </c>
      <c r="E13" s="94">
        <v>132.30000000000001</v>
      </c>
      <c r="F13">
        <f t="shared" si="0"/>
        <v>129.64367816091954</v>
      </c>
      <c r="J13" s="96"/>
    </row>
    <row r="14" spans="1:10" x14ac:dyDescent="0.2">
      <c r="C14" s="93" t="s">
        <v>52</v>
      </c>
      <c r="D14" s="93" t="s">
        <v>62</v>
      </c>
      <c r="E14" s="94">
        <v>129.69999999999999</v>
      </c>
      <c r="F14">
        <f t="shared" si="0"/>
        <v>126.97536945812806</v>
      </c>
      <c r="J14" s="96"/>
    </row>
    <row r="15" spans="1:10" x14ac:dyDescent="0.2">
      <c r="C15" s="93" t="s">
        <v>52</v>
      </c>
      <c r="D15" s="93" t="s">
        <v>63</v>
      </c>
      <c r="E15" s="94">
        <v>136.1</v>
      </c>
      <c r="F15">
        <f t="shared" si="0"/>
        <v>133.54351395730706</v>
      </c>
      <c r="J15" s="96"/>
    </row>
    <row r="16" spans="1:10" x14ac:dyDescent="0.2">
      <c r="C16" s="93" t="s">
        <v>52</v>
      </c>
      <c r="D16" s="93" t="s">
        <v>64</v>
      </c>
      <c r="E16" s="94">
        <v>126.8</v>
      </c>
      <c r="F16">
        <f t="shared" si="0"/>
        <v>123.99917898193759</v>
      </c>
      <c r="J16" s="96"/>
    </row>
    <row r="17" spans="3:10" x14ac:dyDescent="0.2">
      <c r="C17" s="93" t="s">
        <v>52</v>
      </c>
      <c r="D17" s="97" t="s">
        <v>93</v>
      </c>
      <c r="E17" s="98">
        <v>125.9</v>
      </c>
      <c r="F17" s="86">
        <f t="shared" si="0"/>
        <v>123.07553366174056</v>
      </c>
      <c r="J17" s="96"/>
    </row>
    <row r="18" spans="3:10" x14ac:dyDescent="0.2">
      <c r="C18" s="93" t="s">
        <v>52</v>
      </c>
      <c r="D18" s="97" t="s">
        <v>94</v>
      </c>
      <c r="E18" s="98">
        <v>138.69999999999999</v>
      </c>
      <c r="F18" s="86">
        <f t="shared" si="0"/>
        <v>136.21182266009851</v>
      </c>
      <c r="J18" s="96"/>
    </row>
    <row r="19" spans="3:10" x14ac:dyDescent="0.2">
      <c r="C19" s="93" t="s">
        <v>52</v>
      </c>
      <c r="D19" s="97" t="s">
        <v>95</v>
      </c>
      <c r="E19" s="98">
        <v>139.6</v>
      </c>
      <c r="F19" s="86">
        <f t="shared" si="0"/>
        <v>137.13546798029554</v>
      </c>
      <c r="J19" s="96"/>
    </row>
    <row r="20" spans="3:10" x14ac:dyDescent="0.2">
      <c r="C20" s="93" t="s">
        <v>52</v>
      </c>
      <c r="D20" s="93" t="s">
        <v>65</v>
      </c>
      <c r="G20">
        <f>AVERAGE(F20:F28)</f>
        <v>119.98388752052544</v>
      </c>
      <c r="H20">
        <f>STDEV(F20:F28)/SQRT(COUNT(F20:F28))</f>
        <v>7.1677742425475959</v>
      </c>
      <c r="J20" s="96"/>
    </row>
    <row r="21" spans="3:10" x14ac:dyDescent="0.2">
      <c r="C21" s="93" t="s">
        <v>52</v>
      </c>
      <c r="D21" s="93" t="s">
        <v>66</v>
      </c>
      <c r="E21" s="99">
        <v>101.8</v>
      </c>
      <c r="F21">
        <f t="shared" si="0"/>
        <v>98.342364532019701</v>
      </c>
    </row>
    <row r="22" spans="3:10" x14ac:dyDescent="0.2">
      <c r="C22" s="93" t="s">
        <v>52</v>
      </c>
      <c r="D22" s="93" t="s">
        <v>67</v>
      </c>
      <c r="E22" s="99">
        <v>83.6</v>
      </c>
      <c r="F22">
        <f t="shared" si="0"/>
        <v>79.664203612479469</v>
      </c>
    </row>
    <row r="23" spans="3:10" x14ac:dyDescent="0.2">
      <c r="C23" s="93" t="s">
        <v>52</v>
      </c>
      <c r="D23" s="93" t="s">
        <v>68</v>
      </c>
      <c r="E23" s="94">
        <v>129.6</v>
      </c>
      <c r="F23">
        <f t="shared" si="0"/>
        <v>126.87274220032839</v>
      </c>
      <c r="J23" s="96"/>
    </row>
    <row r="24" spans="3:10" x14ac:dyDescent="0.2">
      <c r="C24" s="93" t="s">
        <v>52</v>
      </c>
      <c r="D24" s="93" t="s">
        <v>69</v>
      </c>
      <c r="E24" s="94">
        <v>134.30000000000001</v>
      </c>
      <c r="F24">
        <f t="shared" si="0"/>
        <v>131.69622331691298</v>
      </c>
      <c r="J24" s="96"/>
    </row>
    <row r="25" spans="3:10" x14ac:dyDescent="0.2">
      <c r="C25" s="93" t="s">
        <v>52</v>
      </c>
      <c r="D25" s="93" t="s">
        <v>70</v>
      </c>
      <c r="E25" s="94">
        <v>126</v>
      </c>
      <c r="F25">
        <f t="shared" si="0"/>
        <v>123.17816091954022</v>
      </c>
      <c r="J25" s="96"/>
    </row>
    <row r="26" spans="3:10" x14ac:dyDescent="0.2">
      <c r="C26" s="93" t="s">
        <v>52</v>
      </c>
      <c r="D26" s="97" t="s">
        <v>96</v>
      </c>
      <c r="E26" s="98">
        <v>140</v>
      </c>
      <c r="F26" s="86">
        <f t="shared" si="0"/>
        <v>137.54597701149424</v>
      </c>
      <c r="J26" s="96"/>
    </row>
    <row r="27" spans="3:10" x14ac:dyDescent="0.2">
      <c r="C27" s="93" t="s">
        <v>52</v>
      </c>
      <c r="D27" s="97" t="s">
        <v>97</v>
      </c>
      <c r="E27" s="98">
        <v>130.5</v>
      </c>
      <c r="F27" s="86">
        <f t="shared" si="0"/>
        <v>127.79638752052544</v>
      </c>
      <c r="J27" s="96"/>
    </row>
    <row r="28" spans="3:10" x14ac:dyDescent="0.2">
      <c r="C28" s="93" t="s">
        <v>52</v>
      </c>
      <c r="D28" s="97" t="s">
        <v>98</v>
      </c>
      <c r="E28" s="98">
        <v>137.30000000000001</v>
      </c>
      <c r="F28" s="86">
        <f t="shared" si="0"/>
        <v>134.77504105090313</v>
      </c>
      <c r="J28" s="96"/>
    </row>
    <row r="29" spans="3:10" x14ac:dyDescent="0.2">
      <c r="C29" s="93" t="s">
        <v>52</v>
      </c>
      <c r="D29" s="93" t="s">
        <v>71</v>
      </c>
      <c r="G29">
        <f>AVERAGE(F29:F37)</f>
        <v>121.1897577996716</v>
      </c>
      <c r="H29">
        <f>STDEV(F29:F37)/SQRT(COUNT(F29:F37))</f>
        <v>4.9050238047438279</v>
      </c>
      <c r="J29" s="96"/>
    </row>
    <row r="30" spans="3:10" x14ac:dyDescent="0.2">
      <c r="C30" s="93" t="s">
        <v>52</v>
      </c>
      <c r="D30" s="93" t="s">
        <v>72</v>
      </c>
      <c r="E30" s="99">
        <v>98.7</v>
      </c>
      <c r="F30">
        <f t="shared" si="0"/>
        <v>95.160919540229884</v>
      </c>
    </row>
    <row r="31" spans="3:10" x14ac:dyDescent="0.2">
      <c r="C31" s="93" t="s">
        <v>52</v>
      </c>
      <c r="D31" s="93" t="s">
        <v>73</v>
      </c>
      <c r="E31" s="99">
        <v>107.2</v>
      </c>
      <c r="F31">
        <f t="shared" si="0"/>
        <v>103.88423645320196</v>
      </c>
    </row>
    <row r="32" spans="3:10" x14ac:dyDescent="0.2">
      <c r="C32" s="93" t="s">
        <v>52</v>
      </c>
      <c r="D32" s="93" t="s">
        <v>74</v>
      </c>
      <c r="E32" s="94">
        <v>128.4</v>
      </c>
      <c r="F32">
        <f t="shared" si="0"/>
        <v>125.64121510673235</v>
      </c>
      <c r="J32" s="96"/>
    </row>
    <row r="33" spans="3:10" x14ac:dyDescent="0.2">
      <c r="C33" s="93" t="s">
        <v>52</v>
      </c>
      <c r="D33" s="93" t="s">
        <v>75</v>
      </c>
      <c r="E33" s="94">
        <v>134.4</v>
      </c>
      <c r="F33">
        <f t="shared" si="0"/>
        <v>131.79885057471265</v>
      </c>
      <c r="J33" s="96"/>
    </row>
    <row r="34" spans="3:10" x14ac:dyDescent="0.2">
      <c r="C34" s="93" t="s">
        <v>52</v>
      </c>
      <c r="D34" s="93" t="s">
        <v>76</v>
      </c>
      <c r="E34" s="94">
        <v>131.30000000000001</v>
      </c>
      <c r="F34">
        <f t="shared" si="0"/>
        <v>128.61740558292283</v>
      </c>
      <c r="J34" s="96"/>
    </row>
    <row r="35" spans="3:10" x14ac:dyDescent="0.2">
      <c r="C35" s="93" t="s">
        <v>52</v>
      </c>
      <c r="D35" s="93" t="s">
        <v>99</v>
      </c>
      <c r="E35" s="98">
        <v>128.9</v>
      </c>
      <c r="F35" s="86">
        <f t="shared" si="0"/>
        <v>126.1543513957307</v>
      </c>
      <c r="J35" s="96"/>
    </row>
    <row r="36" spans="3:10" x14ac:dyDescent="0.2">
      <c r="C36" s="93" t="s">
        <v>52</v>
      </c>
      <c r="D36" s="93" t="s">
        <v>100</v>
      </c>
      <c r="E36" s="98">
        <v>135.69999999999999</v>
      </c>
      <c r="F36" s="86">
        <f t="shared" si="0"/>
        <v>133.13300492610836</v>
      </c>
      <c r="J36" s="96"/>
    </row>
    <row r="37" spans="3:10" x14ac:dyDescent="0.2">
      <c r="C37" s="93" t="s">
        <v>52</v>
      </c>
      <c r="D37" s="93" t="s">
        <v>101</v>
      </c>
      <c r="E37" s="98">
        <v>127.9</v>
      </c>
      <c r="F37" s="86">
        <f t="shared" si="0"/>
        <v>125.12807881773399</v>
      </c>
      <c r="J37" s="96"/>
    </row>
    <row r="38" spans="3:10" x14ac:dyDescent="0.2">
      <c r="C38" s="93" t="s">
        <v>52</v>
      </c>
      <c r="D38" s="93" t="s">
        <v>77</v>
      </c>
      <c r="E38" s="98"/>
      <c r="F38" s="86"/>
      <c r="G38">
        <f>AVERAGE(F38:F46)</f>
        <v>124.35837438423647</v>
      </c>
      <c r="H38">
        <f>STDEV(F38:F46)/SQRT(COUNT(F38:F46))</f>
        <v>3.6026198003092276</v>
      </c>
      <c r="J38" s="96"/>
    </row>
    <row r="39" spans="3:10" x14ac:dyDescent="0.2">
      <c r="C39" s="93" t="s">
        <v>52</v>
      </c>
      <c r="D39" s="93" t="s">
        <v>78</v>
      </c>
      <c r="E39" s="94">
        <v>114.8</v>
      </c>
      <c r="F39">
        <f t="shared" si="0"/>
        <v>111.68390804597701</v>
      </c>
      <c r="J39" s="96"/>
    </row>
    <row r="40" spans="3:10" x14ac:dyDescent="0.2">
      <c r="C40" s="93" t="s">
        <v>52</v>
      </c>
      <c r="D40" s="93" t="s">
        <v>79</v>
      </c>
      <c r="E40" s="94">
        <v>126.8</v>
      </c>
      <c r="F40">
        <f t="shared" si="0"/>
        <v>123.99917898193759</v>
      </c>
      <c r="J40" s="96"/>
    </row>
    <row r="41" spans="3:10" x14ac:dyDescent="0.2">
      <c r="C41" s="93" t="s">
        <v>52</v>
      </c>
      <c r="D41" s="93" t="s">
        <v>80</v>
      </c>
      <c r="E41" s="94">
        <v>137</v>
      </c>
      <c r="F41">
        <f t="shared" si="0"/>
        <v>134.46715927750409</v>
      </c>
      <c r="J41" s="96"/>
    </row>
    <row r="42" spans="3:10" x14ac:dyDescent="0.2">
      <c r="C42" s="93" t="s">
        <v>52</v>
      </c>
      <c r="D42" s="93" t="s">
        <v>81</v>
      </c>
      <c r="E42" s="99">
        <v>109.6</v>
      </c>
      <c r="F42">
        <f t="shared" si="0"/>
        <v>106.34729064039408</v>
      </c>
    </row>
    <row r="43" spans="3:10" x14ac:dyDescent="0.2">
      <c r="C43" s="93" t="s">
        <v>52</v>
      </c>
      <c r="D43" s="93" t="s">
        <v>82</v>
      </c>
      <c r="E43" s="94">
        <v>135.4</v>
      </c>
      <c r="F43">
        <f t="shared" si="0"/>
        <v>132.82512315270935</v>
      </c>
      <c r="J43" s="96"/>
    </row>
    <row r="44" spans="3:10" x14ac:dyDescent="0.2">
      <c r="C44" s="93" t="s">
        <v>52</v>
      </c>
      <c r="D44" s="93" t="s">
        <v>102</v>
      </c>
      <c r="E44" s="98">
        <v>128.4</v>
      </c>
      <c r="F44" s="86">
        <f t="shared" si="0"/>
        <v>125.64121510673235</v>
      </c>
      <c r="J44" s="96"/>
    </row>
    <row r="45" spans="3:10" x14ac:dyDescent="0.2">
      <c r="C45" s="93" t="s">
        <v>52</v>
      </c>
      <c r="D45" s="93" t="s">
        <v>103</v>
      </c>
      <c r="E45" s="98">
        <v>131.30000000000001</v>
      </c>
      <c r="F45" s="86">
        <f t="shared" si="0"/>
        <v>128.61740558292283</v>
      </c>
      <c r="J45" s="100"/>
    </row>
    <row r="46" spans="3:10" x14ac:dyDescent="0.2">
      <c r="C46" s="93" t="s">
        <v>52</v>
      </c>
      <c r="D46" s="93" t="s">
        <v>104</v>
      </c>
      <c r="E46" s="98">
        <v>133.9</v>
      </c>
      <c r="F46" s="86">
        <f t="shared" si="0"/>
        <v>131.28571428571428</v>
      </c>
      <c r="J46" s="100"/>
    </row>
    <row r="47" spans="3:10" x14ac:dyDescent="0.2">
      <c r="C47" s="101" t="s">
        <v>83</v>
      </c>
      <c r="D47" s="101" t="s">
        <v>105</v>
      </c>
      <c r="E47" s="102">
        <v>124.6</v>
      </c>
      <c r="F47" s="103">
        <f t="shared" si="0"/>
        <v>121.74137931034481</v>
      </c>
      <c r="G47" s="103">
        <f>AVERAGE(F47:F52)</f>
        <v>125.47016967706621</v>
      </c>
      <c r="H47" s="103">
        <f>STDEV(F47:F52)/SQRT(COUNT(F47:F52))</f>
        <v>2.198183336948186</v>
      </c>
      <c r="J47" s="100"/>
    </row>
    <row r="48" spans="3:10" x14ac:dyDescent="0.2">
      <c r="C48" s="101" t="s">
        <v>83</v>
      </c>
      <c r="D48" s="101" t="s">
        <v>106</v>
      </c>
      <c r="E48" s="102">
        <v>121.8</v>
      </c>
      <c r="F48" s="103">
        <f t="shared" si="0"/>
        <v>118.86781609195401</v>
      </c>
      <c r="G48" s="103"/>
      <c r="H48" s="103"/>
      <c r="J48" s="100"/>
    </row>
    <row r="49" spans="3:10" x14ac:dyDescent="0.2">
      <c r="C49" s="101" t="s">
        <v>83</v>
      </c>
      <c r="D49" s="101" t="s">
        <v>107</v>
      </c>
      <c r="E49" s="102">
        <v>126.7</v>
      </c>
      <c r="F49" s="103">
        <f t="shared" si="0"/>
        <v>123.89655172413792</v>
      </c>
      <c r="G49" s="103"/>
      <c r="H49" s="103"/>
      <c r="J49" s="100"/>
    </row>
    <row r="50" spans="3:10" x14ac:dyDescent="0.2">
      <c r="C50" s="101" t="s">
        <v>83</v>
      </c>
      <c r="D50" s="101" t="s">
        <v>108</v>
      </c>
      <c r="E50" s="102">
        <v>133.69999999999999</v>
      </c>
      <c r="F50" s="103">
        <f t="shared" si="0"/>
        <v>131.08045977011491</v>
      </c>
      <c r="G50" s="103"/>
      <c r="H50" s="103"/>
      <c r="J50" s="100"/>
    </row>
    <row r="51" spans="3:10" x14ac:dyDescent="0.2">
      <c r="C51" s="101" t="s">
        <v>83</v>
      </c>
      <c r="D51" s="101" t="s">
        <v>109</v>
      </c>
      <c r="E51" s="102">
        <v>127.3</v>
      </c>
      <c r="F51" s="103">
        <f t="shared" si="0"/>
        <v>124.51231527093596</v>
      </c>
      <c r="G51" s="103"/>
      <c r="H51" s="103"/>
      <c r="J51" s="100"/>
    </row>
    <row r="52" spans="3:10" x14ac:dyDescent="0.2">
      <c r="C52" s="101" t="s">
        <v>83</v>
      </c>
      <c r="D52" s="101" t="s">
        <v>110</v>
      </c>
      <c r="E52" s="102">
        <v>135.30000000000001</v>
      </c>
      <c r="F52" s="103">
        <f t="shared" si="0"/>
        <v>132.72249589490968</v>
      </c>
      <c r="G52" s="103"/>
      <c r="H52" s="103"/>
      <c r="J52" s="100"/>
    </row>
    <row r="53" spans="3:10" x14ac:dyDescent="0.2">
      <c r="C53" s="101" t="s">
        <v>83</v>
      </c>
      <c r="D53" s="101" t="s">
        <v>111</v>
      </c>
      <c r="E53" s="102">
        <v>130</v>
      </c>
      <c r="F53" s="103">
        <f t="shared" si="0"/>
        <v>127.28325123152709</v>
      </c>
      <c r="G53" s="103">
        <f>AVERAGE(F53:F58)</f>
        <v>130.36206896551724</v>
      </c>
      <c r="H53" s="103">
        <f>STDEV(F53:F58)/SQRT(COUNT(F53:F58))</f>
        <v>4.3682739038482099</v>
      </c>
      <c r="J53" s="100"/>
    </row>
    <row r="54" spans="3:10" x14ac:dyDescent="0.2">
      <c r="C54" s="101" t="s">
        <v>83</v>
      </c>
      <c r="D54" s="101" t="s">
        <v>112</v>
      </c>
      <c r="E54" s="102">
        <v>135.19999999999999</v>
      </c>
      <c r="F54" s="103">
        <f t="shared" si="0"/>
        <v>132.61986863710999</v>
      </c>
      <c r="G54" s="103"/>
      <c r="H54" s="103"/>
      <c r="J54" s="100"/>
    </row>
    <row r="55" spans="3:10" x14ac:dyDescent="0.2">
      <c r="C55" s="101" t="s">
        <v>83</v>
      </c>
      <c r="D55" s="101" t="s">
        <v>113</v>
      </c>
      <c r="E55" s="102">
        <v>127.2</v>
      </c>
      <c r="F55" s="103">
        <f t="shared" si="0"/>
        <v>124.40968801313629</v>
      </c>
      <c r="G55" s="103"/>
      <c r="H55" s="103"/>
      <c r="J55" s="100"/>
    </row>
    <row r="56" spans="3:10" x14ac:dyDescent="0.2">
      <c r="C56" s="101" t="s">
        <v>83</v>
      </c>
      <c r="D56" s="101" t="s">
        <v>114</v>
      </c>
      <c r="E56" s="102">
        <v>118.2</v>
      </c>
      <c r="F56" s="103">
        <f t="shared" si="0"/>
        <v>115.17323481116584</v>
      </c>
      <c r="G56" s="103"/>
      <c r="H56" s="103"/>
      <c r="J56" s="96"/>
    </row>
    <row r="57" spans="3:10" x14ac:dyDescent="0.2">
      <c r="C57" s="101" t="s">
        <v>83</v>
      </c>
      <c r="D57" s="101" t="s">
        <v>115</v>
      </c>
      <c r="E57" s="102">
        <v>148.6</v>
      </c>
      <c r="F57" s="103">
        <f t="shared" si="0"/>
        <v>146.37192118226599</v>
      </c>
      <c r="G57" s="103"/>
      <c r="H57" s="103"/>
      <c r="J57" s="96"/>
    </row>
    <row r="58" spans="3:10" x14ac:dyDescent="0.2">
      <c r="C58" s="101" t="s">
        <v>83</v>
      </c>
      <c r="D58" s="101" t="s">
        <v>116</v>
      </c>
      <c r="E58" s="102">
        <v>138.80000000000001</v>
      </c>
      <c r="F58" s="103">
        <f t="shared" si="0"/>
        <v>136.3144499178982</v>
      </c>
      <c r="G58" s="103"/>
      <c r="H58" s="103"/>
      <c r="J58" s="96"/>
    </row>
    <row r="59" spans="3:10" x14ac:dyDescent="0.2">
      <c r="C59" s="101" t="s">
        <v>83</v>
      </c>
      <c r="D59" s="101" t="s">
        <v>117</v>
      </c>
      <c r="E59" s="102">
        <v>132</v>
      </c>
      <c r="F59" s="103">
        <f t="shared" si="0"/>
        <v>129.33579638752053</v>
      </c>
      <c r="G59" s="103">
        <f>AVERAGE(F59:F64)</f>
        <v>125.94909688013136</v>
      </c>
      <c r="H59" s="103">
        <f>STDEV(F59:F64)/SQRT(COUNT(F59:F64))</f>
        <v>2.402296371993045</v>
      </c>
      <c r="J59" s="96"/>
    </row>
    <row r="60" spans="3:10" x14ac:dyDescent="0.2">
      <c r="C60" s="101" t="s">
        <v>83</v>
      </c>
      <c r="D60" s="101" t="s">
        <v>118</v>
      </c>
      <c r="E60" s="102">
        <v>126.5</v>
      </c>
      <c r="F60" s="103">
        <f t="shared" si="0"/>
        <v>123.69129720853859</v>
      </c>
      <c r="G60" s="103"/>
      <c r="H60" s="103"/>
      <c r="J60" s="96"/>
    </row>
    <row r="61" spans="3:10" x14ac:dyDescent="0.2">
      <c r="C61" s="101" t="s">
        <v>83</v>
      </c>
      <c r="D61" s="101" t="s">
        <v>119</v>
      </c>
      <c r="E61" s="102">
        <v>120.7</v>
      </c>
      <c r="F61" s="103">
        <f t="shared" si="0"/>
        <v>117.73891625615764</v>
      </c>
      <c r="G61" s="103"/>
      <c r="H61" s="103"/>
      <c r="J61" s="96"/>
    </row>
    <row r="62" spans="3:10" x14ac:dyDescent="0.2">
      <c r="C62" s="101" t="s">
        <v>83</v>
      </c>
      <c r="D62" s="101" t="s">
        <v>120</v>
      </c>
      <c r="E62" s="102">
        <v>137.69999999999999</v>
      </c>
      <c r="F62" s="103">
        <f t="shared" si="0"/>
        <v>135.1855500821018</v>
      </c>
      <c r="G62" s="103"/>
      <c r="H62" s="103"/>
      <c r="J62" s="96"/>
    </row>
    <row r="63" spans="3:10" x14ac:dyDescent="0.2">
      <c r="C63" s="101" t="s">
        <v>83</v>
      </c>
      <c r="D63" s="101" t="s">
        <v>121</v>
      </c>
      <c r="E63" s="102">
        <v>126.8</v>
      </c>
      <c r="F63" s="103">
        <f t="shared" si="0"/>
        <v>123.99917898193759</v>
      </c>
      <c r="G63" s="103"/>
      <c r="H63" s="103"/>
      <c r="J63" s="96"/>
    </row>
    <row r="64" spans="3:10" x14ac:dyDescent="0.2">
      <c r="C64" s="101" t="s">
        <v>83</v>
      </c>
      <c r="D64" s="101" t="s">
        <v>122</v>
      </c>
      <c r="E64" s="102">
        <v>128.5</v>
      </c>
      <c r="F64" s="103">
        <f t="shared" si="0"/>
        <v>125.74384236453201</v>
      </c>
      <c r="G64" s="103"/>
      <c r="H64" s="103"/>
      <c r="J64" s="96"/>
    </row>
    <row r="65" spans="3:10" x14ac:dyDescent="0.2">
      <c r="C65" s="101" t="s">
        <v>83</v>
      </c>
      <c r="D65" s="101" t="s">
        <v>123</v>
      </c>
      <c r="E65" s="102">
        <v>141.1</v>
      </c>
      <c r="F65" s="103">
        <f t="shared" si="0"/>
        <v>138.67487684729062</v>
      </c>
      <c r="G65" s="103">
        <f>AVERAGE(F65:F70)</f>
        <v>127.42692939244662</v>
      </c>
      <c r="H65" s="103">
        <f>STDEV(F65:F70)/SQRT(COUNT(F65:F70))</f>
        <v>3.3724572402615531</v>
      </c>
      <c r="J65" s="96"/>
    </row>
    <row r="66" spans="3:10" x14ac:dyDescent="0.2">
      <c r="C66" s="101" t="s">
        <v>83</v>
      </c>
      <c r="D66" s="101" t="s">
        <v>124</v>
      </c>
      <c r="E66" s="102">
        <v>128</v>
      </c>
      <c r="F66" s="103">
        <f t="shared" si="0"/>
        <v>125.23070607553366</v>
      </c>
      <c r="G66" s="103"/>
      <c r="H66" s="103"/>
      <c r="J66" s="96"/>
    </row>
    <row r="67" spans="3:10" x14ac:dyDescent="0.2">
      <c r="C67" s="101" t="s">
        <v>83</v>
      </c>
      <c r="D67" s="101" t="s">
        <v>125</v>
      </c>
      <c r="E67" s="102">
        <v>130.5</v>
      </c>
      <c r="F67" s="103">
        <f t="shared" si="0"/>
        <v>127.79638752052544</v>
      </c>
      <c r="G67" s="103"/>
      <c r="H67" s="103"/>
      <c r="J67" s="96"/>
    </row>
    <row r="68" spans="3:10" x14ac:dyDescent="0.2">
      <c r="C68" s="101" t="s">
        <v>83</v>
      </c>
      <c r="D68" s="101" t="s">
        <v>126</v>
      </c>
      <c r="E68" s="102">
        <v>120.6</v>
      </c>
      <c r="F68" s="103">
        <f t="shared" si="0"/>
        <v>117.63628899835795</v>
      </c>
      <c r="G68" s="103"/>
      <c r="H68" s="103"/>
      <c r="J68" s="96"/>
    </row>
    <row r="69" spans="3:10" x14ac:dyDescent="0.2">
      <c r="C69" s="101" t="s">
        <v>83</v>
      </c>
      <c r="D69" s="101" t="s">
        <v>127</v>
      </c>
      <c r="E69" s="102">
        <v>130.5</v>
      </c>
      <c r="F69" s="103">
        <f t="shared" ref="F69:F75" si="1">(E69-5.9752)/0.9744</f>
        <v>127.79638752052544</v>
      </c>
      <c r="G69" s="103"/>
      <c r="H69" s="103"/>
      <c r="J69" s="96"/>
    </row>
    <row r="70" spans="3:10" x14ac:dyDescent="0.2">
      <c r="C70" s="101" t="s">
        <v>83</v>
      </c>
      <c r="D70" s="101" t="s">
        <v>128</v>
      </c>
      <c r="E70" s="104">
        <v>165.4</v>
      </c>
      <c r="F70" s="103"/>
      <c r="G70" s="103"/>
      <c r="H70" s="103"/>
    </row>
    <row r="71" spans="3:10" x14ac:dyDescent="0.2">
      <c r="C71" s="101" t="s">
        <v>83</v>
      </c>
      <c r="D71" s="101" t="s">
        <v>129</v>
      </c>
      <c r="E71" s="102">
        <v>122.1</v>
      </c>
      <c r="F71" s="103">
        <f t="shared" si="1"/>
        <v>119.17569786535303</v>
      </c>
      <c r="G71" s="103">
        <f>AVERAGE(F71:F76)</f>
        <v>125.80541871921181</v>
      </c>
      <c r="H71" s="103">
        <f>STDEV(F71:F76)/SQRT(COUNT(F71:F76))</f>
        <v>4.7060612818437164</v>
      </c>
      <c r="J71" s="96"/>
    </row>
    <row r="72" spans="3:10" x14ac:dyDescent="0.2">
      <c r="C72" s="101" t="s">
        <v>83</v>
      </c>
      <c r="D72" s="101" t="s">
        <v>130</v>
      </c>
      <c r="E72" s="102">
        <v>131.69999999999999</v>
      </c>
      <c r="F72" s="103">
        <f t="shared" si="1"/>
        <v>129.0279146141215</v>
      </c>
      <c r="G72" s="103"/>
      <c r="H72" s="103"/>
      <c r="J72" s="96"/>
    </row>
    <row r="73" spans="3:10" x14ac:dyDescent="0.2">
      <c r="C73" s="101" t="s">
        <v>83</v>
      </c>
      <c r="D73" s="101" t="s">
        <v>131</v>
      </c>
      <c r="E73" s="102">
        <v>114.1</v>
      </c>
      <c r="F73" s="103">
        <f t="shared" si="1"/>
        <v>110.9655172413793</v>
      </c>
      <c r="G73" s="103"/>
      <c r="H73" s="103"/>
      <c r="J73" s="96"/>
    </row>
    <row r="74" spans="3:10" x14ac:dyDescent="0.2">
      <c r="C74" s="101" t="s">
        <v>83</v>
      </c>
      <c r="D74" s="101" t="s">
        <v>132</v>
      </c>
      <c r="E74" s="102">
        <v>138.4</v>
      </c>
      <c r="F74" s="103">
        <f t="shared" si="1"/>
        <v>135.9039408866995</v>
      </c>
      <c r="G74" s="103"/>
      <c r="H74" s="103"/>
      <c r="J74" s="96"/>
    </row>
    <row r="75" spans="3:10" x14ac:dyDescent="0.2">
      <c r="C75" s="101" t="s">
        <v>83</v>
      </c>
      <c r="D75" s="101" t="s">
        <v>133</v>
      </c>
      <c r="E75" s="102">
        <v>136.5</v>
      </c>
      <c r="F75" s="103">
        <f t="shared" si="1"/>
        <v>133.95402298850573</v>
      </c>
      <c r="G75" s="103"/>
      <c r="H75" s="103"/>
      <c r="J75" s="96"/>
    </row>
    <row r="76" spans="3:10" x14ac:dyDescent="0.2">
      <c r="C76" s="101" t="s">
        <v>83</v>
      </c>
      <c r="D76" s="101" t="s">
        <v>134</v>
      </c>
      <c r="E76" s="104">
        <v>166.6</v>
      </c>
      <c r="F76" s="103"/>
      <c r="G76" s="103"/>
      <c r="H76" s="103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Morphometric Data</vt:lpstr>
      <vt:lpstr>Gill</vt:lpstr>
      <vt:lpstr>Ion regulation</vt:lpstr>
      <vt:lpstr>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LMP</dc:creator>
  <cp:lastModifiedBy>Microsoft Office User</cp:lastModifiedBy>
  <dcterms:created xsi:type="dcterms:W3CDTF">2020-09-27T02:14:42Z</dcterms:created>
  <dcterms:modified xsi:type="dcterms:W3CDTF">2020-10-19T10:09:37Z</dcterms:modified>
</cp:coreProperties>
</file>