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2"/>
  <workbookPr/>
  <mc:AlternateContent xmlns:mc="http://schemas.openxmlformats.org/markup-compatibility/2006">
    <mc:Choice Requires="x15">
      <x15ac:absPath xmlns:x15ac="http://schemas.microsoft.com/office/spreadsheetml/2010/11/ac" url="https://ebserhnet-my.sharepoint.com/personal/christian_pacheco_ebserh_gov_br/Documents/Licitação e contratos/Meus contratos/Impressoras - WA/Impressoes/"/>
    </mc:Choice>
  </mc:AlternateContent>
  <xr:revisionPtr revIDLastSave="0" documentId="11_572ABB22DF471DD28BAD33BFF7455D1AC103FBCE" xr6:coauthVersionLast="47" xr6:coauthVersionMax="47" xr10:uidLastSave="{00000000-0000-0000-0000-000000000000}"/>
  <bookViews>
    <workbookView xWindow="0" yWindow="0" windowWidth="24000" windowHeight="9600" xr2:uid="{00000000-000D-0000-FFFF-FFFF00000000}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BASE!$A$1:$Q$54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47" i="4"/>
  <c r="F66" i="4" l="1"/>
  <c r="I66" i="4" s="1"/>
  <c r="F65" i="4"/>
  <c r="H65" i="4" s="1"/>
  <c r="H66" i="4" l="1"/>
  <c r="J66" i="4"/>
  <c r="J65" i="4"/>
  <c r="G65" i="4"/>
  <c r="G66" i="4"/>
  <c r="I65" i="4"/>
  <c r="I67" i="4" s="1"/>
  <c r="D5" i="8"/>
  <c r="F62" i="4"/>
  <c r="H62" i="4" s="1"/>
  <c r="F63" i="4"/>
  <c r="F64" i="4"/>
  <c r="F61" i="4"/>
  <c r="D3" i="8" l="1"/>
  <c r="B10" i="8" s="1"/>
  <c r="C8" i="5"/>
  <c r="J67" i="4"/>
  <c r="C9" i="5" s="1"/>
  <c r="F67" i="4"/>
  <c r="H61" i="4"/>
  <c r="G61" i="4"/>
  <c r="G64" i="4"/>
  <c r="H64" i="4"/>
  <c r="H63" i="4"/>
  <c r="G63" i="4"/>
  <c r="G62" i="4"/>
  <c r="E10" i="8"/>
  <c r="B8" i="8"/>
  <c r="E8" i="8" s="1"/>
  <c r="B9" i="8"/>
  <c r="E9" i="8" s="1"/>
  <c r="B12" i="8"/>
  <c r="E12" i="8" s="1"/>
  <c r="B11" i="8"/>
  <c r="E11" i="8" s="1"/>
  <c r="B7" i="8"/>
  <c r="D15" i="5" l="1"/>
  <c r="D13" i="5"/>
  <c r="G67" i="4"/>
  <c r="C6" i="5" s="1"/>
  <c r="H67" i="4"/>
  <c r="C7" i="5" s="1"/>
  <c r="B13" i="8"/>
  <c r="C7" i="8" l="1"/>
  <c r="C13" i="8" l="1"/>
  <c r="C14" i="8" s="1"/>
  <c r="C15" i="8" s="1"/>
  <c r="E7" i="8"/>
  <c r="E13" i="8" l="1"/>
  <c r="G12" i="8" s="1"/>
  <c r="J26" i="4" l="1"/>
  <c r="K26" i="4" s="1"/>
  <c r="J21" i="4"/>
  <c r="K21" i="4" s="1"/>
  <c r="J5" i="4"/>
  <c r="K5" i="4" s="1"/>
  <c r="J32" i="4"/>
  <c r="K32" i="4" s="1"/>
  <c r="J22" i="4"/>
  <c r="K22" i="4" s="1"/>
  <c r="J3" i="4"/>
  <c r="K3" i="4" s="1"/>
  <c r="J29" i="4"/>
  <c r="K29" i="4" s="1"/>
  <c r="J33" i="4"/>
  <c r="K33" i="4" s="1"/>
  <c r="J11" i="4"/>
  <c r="K11" i="4" s="1"/>
  <c r="J23" i="4"/>
  <c r="K23" i="4" s="1"/>
  <c r="J40" i="4"/>
  <c r="K40" i="4" s="1"/>
  <c r="J44" i="4"/>
  <c r="K44" i="4" s="1"/>
  <c r="J27" i="4"/>
  <c r="K27" i="4" s="1"/>
  <c r="J12" i="4"/>
  <c r="K12" i="4" s="1"/>
  <c r="J31" i="4"/>
  <c r="K31" i="4" s="1"/>
  <c r="J39" i="4"/>
  <c r="K39" i="4" s="1"/>
  <c r="J8" i="4"/>
  <c r="K8" i="4" s="1"/>
  <c r="J34" i="4"/>
  <c r="K34" i="4" s="1"/>
  <c r="J48" i="4"/>
  <c r="K48" i="4" s="1"/>
  <c r="J46" i="4"/>
  <c r="K46" i="4" s="1"/>
  <c r="J19" i="4"/>
  <c r="K19" i="4" s="1"/>
  <c r="J13" i="4"/>
  <c r="K13" i="4" s="1"/>
  <c r="J15" i="4"/>
  <c r="K15" i="4" s="1"/>
  <c r="J10" i="4"/>
  <c r="K10" i="4" s="1"/>
  <c r="J36" i="4"/>
  <c r="K36" i="4" s="1"/>
  <c r="J37" i="4"/>
  <c r="K37" i="4" s="1"/>
  <c r="J16" i="4"/>
  <c r="K16" i="4" s="1"/>
  <c r="J41" i="4"/>
  <c r="K41" i="4" s="1"/>
  <c r="J2" i="4"/>
  <c r="K2" i="4" s="1"/>
  <c r="J50" i="4"/>
  <c r="K50" i="4" s="1"/>
  <c r="J20" i="4"/>
  <c r="K20" i="4" s="1"/>
  <c r="J42" i="4"/>
  <c r="K42" i="4" s="1"/>
  <c r="J4" i="4"/>
  <c r="K4" i="4" s="1"/>
  <c r="J24" i="4"/>
  <c r="K24" i="4" s="1"/>
  <c r="J35" i="4"/>
  <c r="K35" i="4" s="1"/>
  <c r="J18" i="4"/>
  <c r="K18" i="4" s="1"/>
  <c r="J30" i="4"/>
  <c r="K30" i="4" s="1"/>
  <c r="J25" i="4"/>
  <c r="K25" i="4" s="1"/>
  <c r="J43" i="4"/>
  <c r="K43" i="4" s="1"/>
  <c r="J38" i="4"/>
  <c r="K38" i="4" s="1"/>
  <c r="J51" i="4"/>
  <c r="K51" i="4" s="1"/>
  <c r="J7" i="4"/>
  <c r="K7" i="4" s="1"/>
  <c r="J47" i="4"/>
  <c r="K47" i="4" s="1"/>
  <c r="J49" i="4"/>
  <c r="K49" i="4" s="1"/>
  <c r="J53" i="4"/>
  <c r="K53" i="4" s="1"/>
  <c r="J52" i="4"/>
  <c r="K52" i="4" s="1"/>
  <c r="J54" i="4"/>
  <c r="J45" i="4"/>
  <c r="K45" i="4" s="1"/>
  <c r="K54" i="4" l="1"/>
  <c r="D12" i="7"/>
  <c r="B12" i="7"/>
  <c r="E12" i="7" s="1"/>
  <c r="F12" i="7" s="1"/>
  <c r="D11" i="7"/>
  <c r="B11" i="7"/>
  <c r="E11" i="7" s="1"/>
  <c r="D10" i="7"/>
  <c r="B10" i="7"/>
  <c r="E10" i="7" s="1"/>
  <c r="D9" i="7"/>
  <c r="B9" i="7"/>
  <c r="E9" i="7" s="1"/>
  <c r="F9" i="7" s="1"/>
  <c r="D8" i="7"/>
  <c r="B8" i="7"/>
  <c r="E8" i="7" s="1"/>
  <c r="D7" i="7"/>
  <c r="D13" i="7" s="1"/>
  <c r="B7" i="7"/>
  <c r="F11" i="7" l="1"/>
  <c r="F8" i="7"/>
  <c r="F10" i="7"/>
  <c r="B13" i="7"/>
  <c r="D6" i="5" l="1"/>
  <c r="B14" i="5" s="1"/>
  <c r="J14" i="4"/>
  <c r="K14" i="4" s="1"/>
  <c r="D16" i="5"/>
  <c r="A26" i="5"/>
  <c r="D9" i="5"/>
  <c r="D7" i="5"/>
  <c r="D8" i="5"/>
  <c r="J9" i="4"/>
  <c r="K9" i="4" s="1"/>
  <c r="J17" i="4"/>
  <c r="K17" i="4" s="1"/>
  <c r="J6" i="4"/>
  <c r="J28" i="4"/>
  <c r="K28" i="4" s="1"/>
  <c r="K6" i="4" l="1"/>
  <c r="J55" i="4"/>
  <c r="D14" i="5"/>
  <c r="D4" i="8"/>
  <c r="A27" i="5"/>
  <c r="C18" i="5"/>
  <c r="B15" i="5" l="1"/>
  <c r="B16" i="5" s="1"/>
  <c r="B13" i="5"/>
  <c r="D7" i="8"/>
  <c r="D12" i="8"/>
  <c r="F12" i="8" s="1"/>
  <c r="H12" i="8" s="1"/>
  <c r="D11" i="8"/>
  <c r="F11" i="8" s="1"/>
  <c r="D10" i="8"/>
  <c r="F10" i="8" s="1"/>
  <c r="D9" i="8"/>
  <c r="F9" i="8" s="1"/>
  <c r="D8" i="8"/>
  <c r="F8" i="8" s="1"/>
  <c r="C7" i="7" l="1"/>
  <c r="A25" i="5"/>
  <c r="A28" i="5"/>
  <c r="A18" i="5"/>
  <c r="C23" i="5" s="1"/>
  <c r="D13" i="8"/>
  <c r="F7" i="8"/>
  <c r="H13" i="8" s="1"/>
  <c r="C13" i="7" l="1"/>
  <c r="C14" i="7" s="1"/>
  <c r="C15" i="7" s="1"/>
  <c r="E7" i="7"/>
  <c r="E13" i="7" l="1"/>
  <c r="F7" i="7"/>
  <c r="G12" i="7"/>
  <c r="H12" i="7" s="1"/>
  <c r="H13" i="7" s="1"/>
  <c r="E2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<sst xmlns="http://schemas.openxmlformats.org/spreadsheetml/2006/main" count="417" uniqueCount="264">
  <si>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</si>
  <si>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</si>
  <si>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</si>
  <si>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</si>
  <si>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</si>
  <si>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</si>
  <si>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</si>
  <si>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</si>
  <si>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</si>
  <si>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</si>
  <si>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</si>
  <si>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</si>
  <si>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</si>
  <si>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</si>
  <si>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</si>
  <si>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</si>
  <si>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</si>
  <si>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FARMACIA</t>
  </si>
  <si>
    <t>TIPO 2M</t>
  </si>
  <si>
    <t>Brother MFC-L6902DW</t>
  </si>
  <si>
    <t>U64210B0N382718</t>
  </si>
  <si>
    <t>10.42.205.34</t>
  </si>
  <si>
    <t>PAM POSTO ENF</t>
  </si>
  <si>
    <t>U64210B0N382654</t>
  </si>
  <si>
    <t>10.42.205.71</t>
  </si>
  <si>
    <t>UTI NEO</t>
  </si>
  <si>
    <t>U64210B0N382684</t>
  </si>
  <si>
    <t>10.42.205.58</t>
  </si>
  <si>
    <t>ENFERMARIA CLINICA MEDICA</t>
  </si>
  <si>
    <t>U64210B0N382692</t>
  </si>
  <si>
    <t>10.42.205.22</t>
  </si>
  <si>
    <t>CTI ADULTO</t>
  </si>
  <si>
    <t>U64210B0N382713</t>
  </si>
  <si>
    <t>10.42.205.25</t>
  </si>
  <si>
    <t>MATERNIDADE</t>
  </si>
  <si>
    <t>TIPO 2</t>
  </si>
  <si>
    <t>Brother HL-L6202DW</t>
  </si>
  <si>
    <t>U64182J9N675412</t>
  </si>
  <si>
    <t>10.42.205.40</t>
  </si>
  <si>
    <t>MAT PRE PARTO</t>
  </si>
  <si>
    <t>U64210B0N382772</t>
  </si>
  <si>
    <t>10.42.205.93</t>
  </si>
  <si>
    <t>CCII</t>
  </si>
  <si>
    <t>TIPO 1M</t>
  </si>
  <si>
    <t>U64210B0N382743</t>
  </si>
  <si>
    <t>10.42.205.18</t>
  </si>
  <si>
    <t>UCO</t>
  </si>
  <si>
    <t>U64210B0N382704</t>
  </si>
  <si>
    <t>10.42.205.59</t>
  </si>
  <si>
    <t>PAM RECEPCAO</t>
  </si>
  <si>
    <t>U64210B0N382871</t>
  </si>
  <si>
    <t>10.42.205.72</t>
  </si>
  <si>
    <t>CTI COVID</t>
  </si>
  <si>
    <t>U64210B0N382647</t>
  </si>
  <si>
    <t>10.42.205.94</t>
  </si>
  <si>
    <t>RENAL</t>
  </si>
  <si>
    <t>U64210B0N382788</t>
  </si>
  <si>
    <t>10.42.205.52</t>
  </si>
  <si>
    <t>PROTOCOLO</t>
  </si>
  <si>
    <t>TIPO 5MA3</t>
  </si>
  <si>
    <t>Xerox AltaLink C8035</t>
  </si>
  <si>
    <t>2TX074066</t>
  </si>
  <si>
    <t>10.42.205.78</t>
  </si>
  <si>
    <t>LAC_RECEPCAO</t>
  </si>
  <si>
    <t>U64210B0N382744</t>
  </si>
  <si>
    <t>10.42.205.51</t>
  </si>
  <si>
    <t>HDIA</t>
  </si>
  <si>
    <t>U64210B0N382705</t>
  </si>
  <si>
    <t>10.42.205.37</t>
  </si>
  <si>
    <t>ENFERMARIA PEDIATRIA</t>
  </si>
  <si>
    <t>U64210B0N382703</t>
  </si>
  <si>
    <t>10.42.205.32</t>
  </si>
  <si>
    <t>PAM NIR</t>
  </si>
  <si>
    <t>U64210B0N382712</t>
  </si>
  <si>
    <t>10.42.205.70</t>
  </si>
  <si>
    <t>AMB_ARQUIVO_MEDICO</t>
  </si>
  <si>
    <t>U64210B0N382813</t>
  </si>
  <si>
    <t>10.42.205.3</t>
  </si>
  <si>
    <t>AMB_ORTOPEDIA</t>
  </si>
  <si>
    <t>U64210B0N382740</t>
  </si>
  <si>
    <t>10.42.205.10</t>
  </si>
  <si>
    <t>DIP</t>
  </si>
  <si>
    <t>U64210B0N382708</t>
  </si>
  <si>
    <t>10.42.205.27</t>
  </si>
  <si>
    <t>AMB_PEDIATRIA</t>
  </si>
  <si>
    <t>U64210B0N382849</t>
  </si>
  <si>
    <t>10.42.205.61</t>
  </si>
  <si>
    <t>CENTRO_CIRURGICO</t>
  </si>
  <si>
    <t>U64210B0N382815</t>
  </si>
  <si>
    <t>10.42.205.82</t>
  </si>
  <si>
    <t>RAIOX</t>
  </si>
  <si>
    <t>U64210B0N382806</t>
  </si>
  <si>
    <t>10.42.205.50</t>
  </si>
  <si>
    <t>FATURAMENTO</t>
  </si>
  <si>
    <t>U64210B0N382700</t>
  </si>
  <si>
    <t>10.42.205.97</t>
  </si>
  <si>
    <t>CCI</t>
  </si>
  <si>
    <t>U64210B0N382699</t>
  </si>
  <si>
    <t>10.42.205.16</t>
  </si>
  <si>
    <t>PAM_PED</t>
  </si>
  <si>
    <t>U64210B0N382706</t>
  </si>
  <si>
    <t>10.42.205.87</t>
  </si>
  <si>
    <t>CTI PEDIATRICO</t>
  </si>
  <si>
    <t>U64210B0N382790</t>
  </si>
  <si>
    <t>10.42.205.26</t>
  </si>
  <si>
    <t>NUTRICAO</t>
  </si>
  <si>
    <t>U64210B0N382645</t>
  </si>
  <si>
    <t>10.42.205.91</t>
  </si>
  <si>
    <t>CCIH</t>
  </si>
  <si>
    <t>U64210B0N382707</t>
  </si>
  <si>
    <t>10.42.205.96</t>
  </si>
  <si>
    <t>SOST</t>
  </si>
  <si>
    <t>U64210B0N382720</t>
  </si>
  <si>
    <t>10.42.205.69</t>
  </si>
  <si>
    <t>SUPRIMENTOS</t>
  </si>
  <si>
    <t>U64210B0N382663</t>
  </si>
  <si>
    <t>10.42.205.56</t>
  </si>
  <si>
    <t>HEMODINAMICA</t>
  </si>
  <si>
    <t>U64210B0N382666</t>
  </si>
  <si>
    <t>10.42.205.62</t>
  </si>
  <si>
    <t>PULSOTERAPIA</t>
  </si>
  <si>
    <t>U64210B0N382701</t>
  </si>
  <si>
    <t>10.42.205.79</t>
  </si>
  <si>
    <t>BANCO LEITE</t>
  </si>
  <si>
    <t>U64210B0N382698</t>
  </si>
  <si>
    <t>10.42.205.15</t>
  </si>
  <si>
    <t>COREME</t>
  </si>
  <si>
    <t>U64210B0N382809</t>
  </si>
  <si>
    <t>10.42.205.23</t>
  </si>
  <si>
    <t>ENGENHARIA</t>
  </si>
  <si>
    <t>U64210B0N382660</t>
  </si>
  <si>
    <t>10.42.205.33</t>
  </si>
  <si>
    <t>EPIDEMIOLOGIA</t>
  </si>
  <si>
    <t>U64210B0N382658</t>
  </si>
  <si>
    <t>10.42.205.55</t>
  </si>
  <si>
    <t>SERVICO_SOCIAL</t>
  </si>
  <si>
    <t>U64210B0N382878</t>
  </si>
  <si>
    <t>10.42.205.89</t>
  </si>
  <si>
    <t>AMB_ONCOLOGIA</t>
  </si>
  <si>
    <t>U64210B0N382778</t>
  </si>
  <si>
    <t>10.42.205.92</t>
  </si>
  <si>
    <t>ORTESE E PROTESE</t>
  </si>
  <si>
    <t>U64210B0N382736</t>
  </si>
  <si>
    <t>10.42.205.44</t>
  </si>
  <si>
    <t>DIVGP</t>
  </si>
  <si>
    <t>U64210B0N382811</t>
  </si>
  <si>
    <t>10.42.205.30</t>
  </si>
  <si>
    <t>ENDOSCOPIA</t>
  </si>
  <si>
    <t>TIPO 1</t>
  </si>
  <si>
    <t>U64182J9N677001</t>
  </si>
  <si>
    <t>10.42.205.76</t>
  </si>
  <si>
    <t>UAF</t>
  </si>
  <si>
    <t>U64210B0N382738</t>
  </si>
  <si>
    <t>10.42.205.67</t>
  </si>
  <si>
    <t>AMB UROLOGIA - INISA</t>
  </si>
  <si>
    <t>U64210B0N382662</t>
  </si>
  <si>
    <t>200.129.210.80</t>
  </si>
  <si>
    <t>PATOLOGIA</t>
  </si>
  <si>
    <t>U64210B0N382668</t>
  </si>
  <si>
    <t>10.42.205.48</t>
  </si>
  <si>
    <t>DIRECAO</t>
  </si>
  <si>
    <t>TIPO 5M</t>
  </si>
  <si>
    <t>Xerox VersaLink C505</t>
  </si>
  <si>
    <t>3RB706855</t>
  </si>
  <si>
    <t>10.42.205.29</t>
  </si>
  <si>
    <t>JURIDICO</t>
  </si>
  <si>
    <t>U64210B0N382745</t>
  </si>
  <si>
    <t>10.42.205.60</t>
  </si>
  <si>
    <t>AUDITORIA_MEDICA</t>
  </si>
  <si>
    <t>U64210B0N382714</t>
  </si>
  <si>
    <t>10.42.205.65</t>
  </si>
  <si>
    <t>FARMACIA_MANIPULACAO</t>
  </si>
  <si>
    <t>U64210B0N382656</t>
  </si>
  <si>
    <t>10.42.205.84</t>
  </si>
  <si>
    <t>AMB_ELETRO</t>
  </si>
  <si>
    <t>U64182J9N675229</t>
  </si>
  <si>
    <t>10.42.205.41</t>
  </si>
  <si>
    <t>HEMONUCLEO</t>
  </si>
  <si>
    <t>U64210B0N382734</t>
  </si>
  <si>
    <t>10.42.205.38</t>
  </si>
  <si>
    <t>RECEPCAO_CENTRAL</t>
  </si>
  <si>
    <t>U64210B0N382696</t>
  </si>
  <si>
    <t>10.42.205.90</t>
  </si>
  <si>
    <t>CME</t>
  </si>
  <si>
    <t>U64210B0N382781</t>
  </si>
  <si>
    <t>10.42.205.88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</si>
  <si>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</si>
  <si>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</si>
  <si>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</si>
  <si>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</si>
  <si>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</si>
  <si>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</si>
  <si>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</si>
  <si>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</si>
  <si>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</si>
  <si>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</si>
  <si>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</si>
  <si>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</si>
  <si>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</si>
  <si>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</si>
  <si>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</si>
  <si>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</si>
  <si>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</si>
  <si>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</si>
  <si>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</si>
  <si>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</si>
  <si>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</si>
  <si>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</si>
  <si>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</si>
  <si>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</si>
  <si>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</si>
  <si>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</si>
  <si>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</si>
  <si>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</si>
  <si>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</si>
  <si>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</si>
  <si>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</si>
  <si>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</si>
  <si>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</si>
  <si>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</si>
  <si>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</si>
  <si>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</si>
  <si>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</si>
  <si>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</si>
  <si>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</si>
  <si>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</si>
  <si>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</si>
  <si>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</si>
  <si>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</si>
  <si>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</si>
  <si>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</si>
  <si>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</si>
  <si>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Mês 1</t>
  </si>
  <si>
    <t>5 - O valor a ser pago mensalmente estará na coluna "Valor Mensal"</t>
  </si>
  <si>
    <t>Mês 2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</si>
  <si>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</si>
  <si>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3</t>
  </si>
  <si>
    <t>Mês 4</t>
  </si>
  <si>
    <t>Mês 5</t>
  </si>
  <si>
    <t>Redução</t>
  </si>
  <si>
    <t>Novo Valor Pago</t>
  </si>
  <si>
    <t>Mês 6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</si>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</sst>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[$R$-416]\ #,##0.0000;\-[$R$-416]\ #,##0.0000"/>
    <numFmt numFmtId="166" formatCode="_(&quot;$&quot;* #,##0.00_);_(&quot;$&quot;* \(#,##0.00\);_(&quot;$&quot;* &quot;-&quot;??_);_(@_)"/>
    <numFmt numFmtId="167" formatCode="_(\$* #,##0.00_);_(\$* \(#,##0.00\);_(\$* \-??_);_(@_)"/>
    <numFmt numFmtId="168" formatCode="_-&quot;R$&quot;\ * #,##0.0000_-;\-&quot;R$&quot;\ * #,##0.0000_-;_-&quot;R$&quot;\ * &quot;-&quot;??_-;_-@_-"/>
    <numFmt numFmtId="169" formatCode="_-&quot;R$&quot;\ * #,##0.00_-;\-&quot;R$&quot;\ * #,##0.00_-;_-&quot;R$&quot;\ * &quot;-&quot;????_-;_-@_-"/>
    <numFmt numFmtId="170" formatCode="mmmm\,\ yyyy;@"/>
    <numFmt numFmtId="171" formatCode="_-&quot;R$&quot;\ * #,##0.00_-;\-&quot;R$&quot;\ * #,##0.00_-;_-&quot;R$&quot;\ * &quot;-&quot;???_-;_-@_-"/>
    <numFmt numFmtId="172" formatCode="_-&quot;R$&quot;\ * #,##0.000_-;\-&quot;R$&quot;\ * #,##0.000_-;_-&quot;R$&quot;\ * &quot;-&quot;?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165" fontId="1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4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9" xfId="3" applyNumberFormat="1" applyFont="1" applyFill="1" applyBorder="1" applyAlignment="1">
      <alignment horizontal="center" vertical="center" shrinkToFit="1"/>
    </xf>
    <xf numFmtId="3" fontId="3" fillId="0" borderId="9" xfId="3" applyNumberFormat="1" applyFont="1" applyFill="1" applyBorder="1" applyAlignment="1">
      <alignment horizontal="center"/>
    </xf>
    <xf numFmtId="165" fontId="4" fillId="4" borderId="9" xfId="1" applyFont="1" applyFill="1" applyBorder="1" applyAlignment="1" applyProtection="1">
      <alignment horizontal="center" vertical="center" wrapText="1"/>
    </xf>
    <xf numFmtId="165" fontId="4" fillId="5" borderId="16" xfId="1" applyFont="1" applyFill="1" applyBorder="1" applyAlignment="1" applyProtection="1">
      <alignment horizontal="center" vertical="center" wrapText="1"/>
    </xf>
    <xf numFmtId="0" fontId="5" fillId="0" borderId="16" xfId="3" applyFont="1" applyBorder="1" applyAlignment="1">
      <alignment horizontal="left"/>
    </xf>
    <xf numFmtId="165" fontId="4" fillId="5" borderId="10" xfId="1" applyFont="1" applyFill="1" applyBorder="1" applyAlignment="1" applyProtection="1">
      <alignment horizontal="center" vertical="center" wrapText="1"/>
    </xf>
    <xf numFmtId="164" fontId="5" fillId="0" borderId="14" xfId="3" applyNumberFormat="1" applyFont="1" applyBorder="1" applyAlignment="1">
      <alignment horizontal="center" vertical="center"/>
    </xf>
    <xf numFmtId="164" fontId="5" fillId="0" borderId="17" xfId="3" applyNumberFormat="1" applyFont="1" applyBorder="1" applyAlignment="1">
      <alignment horizontal="center" vertical="center"/>
    </xf>
    <xf numFmtId="164" fontId="5" fillId="0" borderId="18" xfId="3" applyNumberFormat="1" applyFont="1" applyBorder="1" applyAlignment="1">
      <alignment horizontal="center" vertical="center"/>
    </xf>
    <xf numFmtId="0" fontId="5" fillId="0" borderId="21" xfId="3" applyFont="1" applyBorder="1" applyAlignment="1">
      <alignment horizontal="left"/>
    </xf>
    <xf numFmtId="0" fontId="5" fillId="0" borderId="23" xfId="3" applyFont="1" applyBorder="1" applyAlignment="1">
      <alignment horizontal="left"/>
    </xf>
    <xf numFmtId="3" fontId="5" fillId="0" borderId="17" xfId="3" applyNumberFormat="1" applyFont="1" applyBorder="1" applyAlignment="1">
      <alignment horizontal="right"/>
    </xf>
    <xf numFmtId="164" fontId="5" fillId="0" borderId="17" xfId="3" applyNumberFormat="1" applyFont="1" applyBorder="1" applyAlignment="1">
      <alignment horizontal="right"/>
    </xf>
    <xf numFmtId="0" fontId="5" fillId="0" borderId="19" xfId="3" applyFont="1" applyBorder="1" applyAlignment="1">
      <alignment horizontal="left"/>
    </xf>
    <xf numFmtId="3" fontId="5" fillId="0" borderId="20" xfId="3" applyNumberFormat="1" applyFont="1" applyBorder="1" applyAlignment="1">
      <alignment horizontal="right"/>
    </xf>
    <xf numFmtId="0" fontId="5" fillId="0" borderId="24" xfId="3" applyFont="1" applyBorder="1" applyAlignment="1">
      <alignment horizontal="left"/>
    </xf>
    <xf numFmtId="168" fontId="5" fillId="0" borderId="11" xfId="3" applyNumberFormat="1" applyFont="1" applyBorder="1" applyAlignment="1" applyProtection="1">
      <alignment horizontal="center" vertical="center"/>
      <protection locked="0"/>
    </xf>
    <xf numFmtId="168" fontId="5" fillId="0" borderId="9" xfId="3" applyNumberFormat="1" applyFont="1" applyBorder="1" applyAlignment="1" applyProtection="1">
      <alignment horizontal="center" vertical="center"/>
      <protection locked="0"/>
    </xf>
    <xf numFmtId="168" fontId="5" fillId="0" borderId="13" xfId="3" applyNumberFormat="1" applyFont="1" applyBorder="1" applyAlignment="1" applyProtection="1">
      <alignment horizontal="center" vertical="center"/>
      <protection locked="0"/>
    </xf>
    <xf numFmtId="165" fontId="2" fillId="6" borderId="16" xfId="1" applyFont="1" applyFill="1" applyBorder="1" applyAlignment="1" applyProtection="1">
      <alignment horizontal="center" vertical="center" wrapText="1"/>
    </xf>
    <xf numFmtId="165" fontId="2" fillId="6" borderId="12" xfId="1" applyFont="1" applyFill="1" applyBorder="1" applyAlignment="1" applyProtection="1">
      <alignment horizontal="center" vertical="center" wrapText="1"/>
    </xf>
    <xf numFmtId="169" fontId="5" fillId="0" borderId="17" xfId="3" applyNumberFormat="1" applyFont="1" applyBorder="1" applyAlignment="1">
      <alignment horizontal="right"/>
    </xf>
    <xf numFmtId="164" fontId="8" fillId="2" borderId="0" xfId="3" applyNumberFormat="1" applyFont="1" applyFill="1" applyBorder="1" applyAlignment="1">
      <alignment horizontal="center" vertical="center"/>
    </xf>
    <xf numFmtId="165" fontId="4" fillId="4" borderId="25" xfId="1" applyFont="1" applyFill="1" applyBorder="1" applyAlignment="1" applyProtection="1">
      <alignment horizontal="center" vertical="center"/>
    </xf>
    <xf numFmtId="165" fontId="4" fillId="4" borderId="26" xfId="1" applyFont="1" applyFill="1" applyBorder="1" applyAlignment="1" applyProtection="1">
      <alignment horizontal="center" vertical="center"/>
    </xf>
    <xf numFmtId="165" fontId="4" fillId="4" borderId="27" xfId="1" applyFont="1" applyFill="1" applyBorder="1" applyAlignment="1" applyProtection="1">
      <alignment horizontal="center" vertical="center"/>
    </xf>
    <xf numFmtId="169" fontId="5" fillId="0" borderId="18" xfId="3" applyNumberFormat="1" applyFont="1" applyBorder="1" applyAlignment="1">
      <alignment horizontal="right"/>
    </xf>
    <xf numFmtId="0" fontId="15" fillId="0" borderId="0" xfId="0" applyFont="1"/>
    <xf numFmtId="170" fontId="15" fillId="0" borderId="0" xfId="0" applyNumberFormat="1" applyFont="1" applyAlignment="1" applyProtection="1">
      <alignment horizontal="left"/>
      <protection locked="0"/>
    </xf>
    <xf numFmtId="0" fontId="0" fillId="0" borderId="9" xfId="0" applyBorder="1"/>
    <xf numFmtId="0" fontId="17" fillId="0" borderId="0" xfId="0" applyFont="1"/>
    <xf numFmtId="0" fontId="18" fillId="0" borderId="0" xfId="0" applyFont="1"/>
    <xf numFmtId="0" fontId="0" fillId="2" borderId="21" xfId="0" applyFill="1" applyBorder="1" applyProtection="1">
      <protection locked="0"/>
    </xf>
    <xf numFmtId="164" fontId="0" fillId="2" borderId="21" xfId="9" applyFont="1" applyFill="1" applyBorder="1" applyProtection="1">
      <protection locked="0"/>
    </xf>
    <xf numFmtId="0" fontId="0" fillId="2" borderId="32" xfId="0" applyFill="1" applyBorder="1" applyProtection="1">
      <protection locked="0"/>
    </xf>
    <xf numFmtId="0" fontId="10" fillId="8" borderId="33" xfId="0" applyFont="1" applyFill="1" applyBorder="1" applyAlignment="1">
      <alignment horizontal="center"/>
    </xf>
    <xf numFmtId="0" fontId="10" fillId="8" borderId="33" xfId="0" applyFont="1" applyFill="1" applyBorder="1" applyAlignment="1">
      <alignment horizontal="center" wrapText="1"/>
    </xf>
    <xf numFmtId="0" fontId="10" fillId="0" borderId="33" xfId="0" applyFont="1" applyBorder="1" applyAlignment="1">
      <alignment horizontal="center"/>
    </xf>
    <xf numFmtId="0" fontId="10" fillId="8" borderId="9" xfId="0" applyFont="1" applyFill="1" applyBorder="1" applyAlignment="1">
      <alignment horizontal="center" wrapText="1"/>
    </xf>
    <xf numFmtId="0" fontId="10" fillId="8" borderId="9" xfId="0" applyFont="1" applyFill="1" applyBorder="1"/>
    <xf numFmtId="164" fontId="0" fillId="8" borderId="9" xfId="9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22" xfId="0" applyFont="1" applyFill="1" applyBorder="1"/>
    <xf numFmtId="164" fontId="0" fillId="8" borderId="22" xfId="9" applyFont="1" applyFill="1" applyBorder="1"/>
    <xf numFmtId="164" fontId="11" fillId="5" borderId="28" xfId="9" applyFont="1" applyFill="1" applyBorder="1"/>
    <xf numFmtId="164" fontId="0" fillId="9" borderId="15" xfId="0" applyNumberFormat="1" applyFill="1" applyBorder="1"/>
    <xf numFmtId="164" fontId="0" fillId="10" borderId="15" xfId="0" applyNumberFormat="1" applyFill="1" applyBorder="1"/>
    <xf numFmtId="0" fontId="10" fillId="8" borderId="15" xfId="0" applyFont="1" applyFill="1" applyBorder="1"/>
    <xf numFmtId="0" fontId="0" fillId="11" borderId="15" xfId="0" applyFill="1" applyBorder="1"/>
    <xf numFmtId="0" fontId="0" fillId="12" borderId="15" xfId="0" applyFill="1" applyBorder="1"/>
    <xf numFmtId="164" fontId="0" fillId="8" borderId="15" xfId="9" applyFont="1" applyFill="1" applyBorder="1"/>
    <xf numFmtId="164" fontId="0" fillId="13" borderId="15" xfId="9" applyFont="1" applyFill="1" applyBorder="1"/>
    <xf numFmtId="164" fontId="16" fillId="14" borderId="6" xfId="0" applyNumberFormat="1" applyFont="1" applyFill="1" applyBorder="1"/>
    <xf numFmtId="0" fontId="0" fillId="15" borderId="15" xfId="0" applyFill="1" applyBorder="1"/>
    <xf numFmtId="164" fontId="0" fillId="0" borderId="0" xfId="0" applyNumberFormat="1"/>
    <xf numFmtId="171" fontId="0" fillId="16" borderId="15" xfId="0" applyNumberFormat="1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13" borderId="15" xfId="0" applyFill="1" applyBorder="1"/>
    <xf numFmtId="0" fontId="19" fillId="0" borderId="36" xfId="0" applyFont="1" applyBorder="1"/>
    <xf numFmtId="0" fontId="0" fillId="0" borderId="35" xfId="0" quotePrefix="1" applyBorder="1"/>
    <xf numFmtId="172" fontId="0" fillId="16" borderId="15" xfId="0" applyNumberFormat="1" applyFill="1" applyBorder="1"/>
    <xf numFmtId="0" fontId="0" fillId="9" borderId="15" xfId="0" applyFill="1" applyBorder="1"/>
    <xf numFmtId="0" fontId="0" fillId="0" borderId="37" xfId="0" quotePrefix="1" applyBorder="1"/>
    <xf numFmtId="0" fontId="0" fillId="10" borderId="15" xfId="0" applyFill="1" applyBorder="1"/>
    <xf numFmtId="0" fontId="7" fillId="0" borderId="9" xfId="3" applyFont="1" applyFill="1" applyBorder="1" applyAlignment="1">
      <alignment horizontal="center" vertical="center"/>
    </xf>
    <xf numFmtId="3" fontId="0" fillId="8" borderId="9" xfId="0" applyNumberFormat="1" applyFill="1" applyBorder="1"/>
    <xf numFmtId="3" fontId="0" fillId="8" borderId="22" xfId="0" applyNumberFormat="1" applyFill="1" applyBorder="1"/>
    <xf numFmtId="3" fontId="0" fillId="11" borderId="15" xfId="0" applyNumberFormat="1" applyFill="1" applyBorder="1"/>
    <xf numFmtId="3" fontId="0" fillId="0" borderId="9" xfId="0" applyNumberFormat="1" applyBorder="1" applyProtection="1">
      <protection locked="0"/>
    </xf>
    <xf numFmtId="3" fontId="0" fillId="12" borderId="15" xfId="0" applyNumberFormat="1" applyFill="1" applyBorder="1"/>
    <xf numFmtId="3" fontId="0" fillId="15" borderId="15" xfId="0" applyNumberFormat="1" applyFill="1" applyBorder="1"/>
    <xf numFmtId="1" fontId="0" fillId="2" borderId="21" xfId="0" applyNumberFormat="1" applyFill="1" applyBorder="1" applyProtection="1"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9" xfId="3" applyNumberFormat="1" applyFont="1" applyBorder="1" applyAlignment="1" applyProtection="1">
      <alignment horizontal="center" vertical="center"/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165" fontId="4" fillId="4" borderId="22" xfId="1" applyFont="1" applyFill="1" applyBorder="1" applyAlignment="1" applyProtection="1">
      <alignment horizontal="center" vertical="center" wrapText="1"/>
    </xf>
    <xf numFmtId="165" fontId="4" fillId="4" borderId="22" xfId="1" applyFont="1" applyFill="1" applyBorder="1" applyAlignment="1" applyProtection="1">
      <alignment horizontal="center" vertical="center"/>
    </xf>
    <xf numFmtId="165" fontId="4" fillId="4" borderId="28" xfId="1" applyFont="1" applyFill="1" applyBorder="1" applyAlignment="1" applyProtection="1">
      <alignment horizontal="center" vertical="center" wrapText="1"/>
    </xf>
    <xf numFmtId="165" fontId="4" fillId="5" borderId="25" xfId="1" applyFont="1" applyFill="1" applyBorder="1" applyAlignment="1" applyProtection="1">
      <alignment horizontal="center" wrapText="1"/>
    </xf>
    <xf numFmtId="0" fontId="0" fillId="2" borderId="9" xfId="0" applyFont="1" applyFill="1" applyBorder="1"/>
    <xf numFmtId="3" fontId="6" fillId="3" borderId="9" xfId="3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9" xfId="0" applyFill="1" applyBorder="1"/>
    <xf numFmtId="0" fontId="5" fillId="0" borderId="9" xfId="3" applyFont="1" applyBorder="1" applyAlignment="1">
      <alignment horizontal="left" vertical="center"/>
    </xf>
    <xf numFmtId="3" fontId="0" fillId="0" borderId="9" xfId="0" applyNumberFormat="1" applyBorder="1"/>
    <xf numFmtId="165" fontId="4" fillId="5" borderId="27" xfId="1" applyFont="1" applyFill="1" applyBorder="1" applyAlignment="1" applyProtection="1">
      <alignment horizontal="center" wrapText="1"/>
    </xf>
    <xf numFmtId="165" fontId="2" fillId="6" borderId="25" xfId="1" applyFont="1" applyFill="1" applyBorder="1" applyAlignment="1" applyProtection="1">
      <alignment horizontal="center" vertical="center" wrapText="1"/>
    </xf>
    <xf numFmtId="165" fontId="2" fillId="6" borderId="38" xfId="1" applyFont="1" applyFill="1" applyBorder="1" applyAlignment="1" applyProtection="1">
      <alignment horizontal="center" vertical="center" wrapText="1"/>
    </xf>
    <xf numFmtId="165" fontId="4" fillId="4" borderId="32" xfId="1" applyFont="1" applyFill="1" applyBorder="1" applyAlignment="1" applyProtection="1">
      <alignment horizontal="center" vertic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10" fillId="0" borderId="13" xfId="0" applyNumberFormat="1" applyFont="1" applyBorder="1" applyAlignment="1">
      <alignment horizontal="center"/>
    </xf>
    <xf numFmtId="3" fontId="10" fillId="0" borderId="18" xfId="0" applyNumberFormat="1" applyFont="1" applyBorder="1" applyAlignment="1">
      <alignment horizontal="center"/>
    </xf>
    <xf numFmtId="3" fontId="0" fillId="0" borderId="0" xfId="0" applyNumberFormat="1"/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164" fontId="9" fillId="0" borderId="5" xfId="3" applyNumberFormat="1" applyFont="1" applyBorder="1" applyAlignment="1">
      <alignment horizontal="center" vertical="center"/>
    </xf>
    <xf numFmtId="164" fontId="9" fillId="0" borderId="6" xfId="3" applyNumberFormat="1" applyFont="1" applyBorder="1" applyAlignment="1">
      <alignment horizontal="center" vertical="center"/>
    </xf>
    <xf numFmtId="164" fontId="8" fillId="7" borderId="4" xfId="3" applyNumberFormat="1" applyFont="1" applyFill="1" applyBorder="1" applyAlignment="1">
      <alignment horizontal="left" vertical="center"/>
    </xf>
    <xf numFmtId="164" fontId="8" fillId="7" borderId="6" xfId="3" applyNumberFormat="1" applyFont="1" applyFill="1" applyBorder="1" applyAlignment="1">
      <alignment horizontal="left" vertical="center"/>
    </xf>
    <xf numFmtId="164" fontId="13" fillId="7" borderId="4" xfId="3" applyNumberFormat="1" applyFont="1" applyFill="1" applyBorder="1" applyAlignment="1" applyProtection="1">
      <alignment horizontal="center" vertical="center"/>
      <protection locked="0"/>
    </xf>
    <xf numFmtId="164" fontId="13" fillId="7" borderId="6" xfId="3" applyNumberFormat="1" applyFont="1" applyFill="1" applyBorder="1" applyAlignment="1" applyProtection="1">
      <alignment horizontal="center" vertical="center"/>
      <protection locked="0"/>
    </xf>
    <xf numFmtId="164" fontId="14" fillId="7" borderId="4" xfId="3" applyNumberFormat="1" applyFont="1" applyFill="1" applyBorder="1" applyAlignment="1" applyProtection="1">
      <alignment horizontal="center" vertical="center"/>
      <protection locked="0"/>
    </xf>
    <xf numFmtId="164" fontId="14" fillId="7" borderId="6" xfId="3" applyNumberFormat="1" applyFont="1" applyFill="1" applyBorder="1" applyAlignment="1" applyProtection="1">
      <alignment horizontal="center" vertical="center"/>
      <protection locked="0"/>
    </xf>
    <xf numFmtId="165" fontId="4" fillId="5" borderId="4" xfId="1" applyFont="1" applyFill="1" applyBorder="1" applyAlignment="1" applyProtection="1">
      <alignment horizontal="center" wrapText="1"/>
    </xf>
    <xf numFmtId="165" fontId="4" fillId="5" borderId="6" xfId="1" applyFont="1" applyFill="1" applyBorder="1" applyAlignment="1" applyProtection="1">
      <alignment horizontal="center" wrapText="1"/>
    </xf>
    <xf numFmtId="165" fontId="2" fillId="6" borderId="5" xfId="1" applyFont="1" applyFill="1" applyBorder="1" applyAlignment="1" applyProtection="1">
      <alignment horizontal="center" vertical="center" wrapText="1"/>
    </xf>
    <xf numFmtId="165" fontId="2" fillId="6" borderId="6" xfId="1" applyFont="1" applyFill="1" applyBorder="1" applyAlignment="1" applyProtection="1">
      <alignment horizontal="center" vertical="center" wrapText="1"/>
    </xf>
    <xf numFmtId="165" fontId="4" fillId="5" borderId="7" xfId="1" applyFont="1" applyFill="1" applyBorder="1" applyAlignment="1" applyProtection="1">
      <alignment horizontal="center" wrapText="1"/>
    </xf>
    <xf numFmtId="165" fontId="4" fillId="5" borderId="8" xfId="1" applyFont="1" applyFill="1" applyBorder="1" applyAlignment="1" applyProtection="1">
      <alignment horizontal="center" wrapText="1"/>
    </xf>
    <xf numFmtId="165" fontId="2" fillId="6" borderId="2" xfId="1" applyFont="1" applyFill="1" applyBorder="1" applyAlignment="1" applyProtection="1">
      <alignment horizontal="center" vertical="center" wrapText="1"/>
    </xf>
    <xf numFmtId="165" fontId="2" fillId="6" borderId="3" xfId="1" applyFont="1" applyFill="1" applyBorder="1" applyAlignment="1" applyProtection="1">
      <alignment horizontal="center" vertical="center" wrapText="1"/>
    </xf>
    <xf numFmtId="164" fontId="8" fillId="2" borderId="4" xfId="3" applyNumberFormat="1" applyFont="1" applyFill="1" applyBorder="1" applyAlignment="1">
      <alignment horizontal="center" vertical="center"/>
    </xf>
    <xf numFmtId="164" fontId="8" fillId="2" borderId="6" xfId="3" applyNumberFormat="1" applyFont="1" applyFill="1" applyBorder="1" applyAlignment="1">
      <alignment horizontal="center" vertical="center"/>
    </xf>
    <xf numFmtId="16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29" xfId="0" applyFont="1" applyFill="1" applyBorder="1" applyAlignment="1">
      <alignment horizontal="left"/>
    </xf>
    <xf numFmtId="0" fontId="10" fillId="8" borderId="30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164" fontId="10" fillId="14" borderId="4" xfId="9" applyFont="1" applyFill="1" applyBorder="1" applyAlignment="1">
      <alignment horizontal="center"/>
    </xf>
    <xf numFmtId="16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 xr:uid="{00000000-0005-0000-0000-000001000000}"/>
    <cellStyle name="Moeda 3" xfId="2" xr:uid="{00000000-0005-0000-0000-000002000000}"/>
    <cellStyle name="Moeda 3 2 2" xfId="8" xr:uid="{00000000-0005-0000-0000-000003000000}"/>
    <cellStyle name="Normal" xfId="0" builtinId="0"/>
    <cellStyle name="Normal 15 14" xfId="4" xr:uid="{00000000-0005-0000-0000-000005000000}"/>
    <cellStyle name="Normal 2" xfId="1" xr:uid="{00000000-0005-0000-0000-000006000000}"/>
    <cellStyle name="Normal 3 13" xfId="3" xr:uid="{00000000-0005-0000-0000-000007000000}"/>
    <cellStyle name="Normal 3 3 11" xfId="6" xr:uid="{00000000-0005-0000-0000-000008000000}"/>
    <cellStyle name="Vírgula 2 2" xfId="5" xr:uid="{00000000-0005-0000-0000-000009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topLeftCell="A19" zoomScaleNormal="100" workbookViewId="0">
      <selection activeCell="M15" sqref="M15"/>
    </sheetView>
  </sheetViews>
  <sheetFormatPr defaultRowHeight="1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1.140625" customWidth="1"/>
    <col min="12" max="12" width="19.85546875" customWidth="1"/>
    <col min="13" max="14" width="18.5703125" customWidth="1"/>
    <col min="15" max="15" width="48.85546875" customWidth="1"/>
  </cols>
  <sheetData>
    <row r="1" spans="1:17" ht="45">
      <c r="A1" s="4" t="s">
        <v>0</v>
      </c>
      <c r="B1" s="4" t="s">
        <v>1</v>
      </c>
      <c r="C1" s="80" t="s">
        <v>2</v>
      </c>
      <c r="D1" s="80" t="s">
        <v>3</v>
      </c>
      <c r="E1" s="81" t="s">
        <v>4</v>
      </c>
      <c r="F1" s="81" t="s">
        <v>5</v>
      </c>
      <c r="G1" s="81" t="s">
        <v>6</v>
      </c>
      <c r="H1" s="80" t="s">
        <v>7</v>
      </c>
      <c r="I1" s="80" t="s">
        <v>8</v>
      </c>
      <c r="J1" s="82" t="s">
        <v>9</v>
      </c>
      <c r="K1" s="83" t="s">
        <v>10</v>
      </c>
      <c r="L1" s="90" t="s">
        <v>11</v>
      </c>
      <c r="M1" s="91" t="s">
        <v>12</v>
      </c>
      <c r="N1" s="92" t="s">
        <v>13</v>
      </c>
      <c r="O1" s="93" t="s">
        <v>14</v>
      </c>
      <c r="P1" s="93" t="s">
        <v>15</v>
      </c>
      <c r="Q1" s="93" t="s">
        <v>16</v>
      </c>
    </row>
    <row r="2" spans="1:17">
      <c r="A2" s="31" t="s">
        <v>17</v>
      </c>
      <c r="B2" s="69">
        <v>34</v>
      </c>
      <c r="C2" s="2">
        <v>44041</v>
      </c>
      <c r="D2" s="84" t="s">
        <v>18</v>
      </c>
      <c r="E2" s="31" t="s">
        <v>19</v>
      </c>
      <c r="F2" s="31" t="s">
        <v>20</v>
      </c>
      <c r="G2" s="31" t="s">
        <v>21</v>
      </c>
      <c r="H2" s="3">
        <v>5</v>
      </c>
      <c r="I2" s="31">
        <v>18690</v>
      </c>
      <c r="J2" s="85">
        <f t="shared" ref="J2:J33" si="0">I2-H2</f>
        <v>18685</v>
      </c>
      <c r="K2" s="3">
        <f>J2</f>
        <v>18685</v>
      </c>
      <c r="L2" s="31"/>
      <c r="M2" s="31"/>
      <c r="N2" s="31"/>
      <c r="O2" s="31"/>
      <c r="P2" s="31">
        <v>8</v>
      </c>
      <c r="Q2" s="31">
        <v>2020</v>
      </c>
    </row>
    <row r="3" spans="1:17">
      <c r="A3" s="31" t="s">
        <v>22</v>
      </c>
      <c r="B3" s="69">
        <v>11</v>
      </c>
      <c r="C3" s="2">
        <v>44040</v>
      </c>
      <c r="D3" s="84" t="s">
        <v>18</v>
      </c>
      <c r="E3" s="31" t="s">
        <v>19</v>
      </c>
      <c r="F3" s="31" t="s">
        <v>23</v>
      </c>
      <c r="G3" s="31" t="s">
        <v>24</v>
      </c>
      <c r="H3" s="3">
        <v>5</v>
      </c>
      <c r="I3" s="31">
        <v>18683</v>
      </c>
      <c r="J3" s="85">
        <f t="shared" si="0"/>
        <v>18678</v>
      </c>
      <c r="K3" s="3">
        <f t="shared" ref="K3:K54" si="1">J3</f>
        <v>18678</v>
      </c>
      <c r="L3" s="31"/>
      <c r="M3" s="31"/>
      <c r="N3" s="31"/>
      <c r="O3" s="31"/>
      <c r="P3" s="31">
        <v>8</v>
      </c>
      <c r="Q3" s="31">
        <v>2020</v>
      </c>
    </row>
    <row r="4" spans="1:17">
      <c r="A4" s="31" t="s">
        <v>25</v>
      </c>
      <c r="B4" s="69">
        <v>38</v>
      </c>
      <c r="C4" s="2">
        <v>44040</v>
      </c>
      <c r="D4" s="84" t="s">
        <v>18</v>
      </c>
      <c r="E4" s="31" t="s">
        <v>19</v>
      </c>
      <c r="F4" s="31" t="s">
        <v>26</v>
      </c>
      <c r="G4" s="31" t="s">
        <v>27</v>
      </c>
      <c r="H4" s="3">
        <v>5</v>
      </c>
      <c r="I4" s="31">
        <v>14551</v>
      </c>
      <c r="J4" s="85">
        <f t="shared" si="0"/>
        <v>14546</v>
      </c>
      <c r="K4" s="3">
        <f t="shared" si="1"/>
        <v>14546</v>
      </c>
      <c r="L4" s="31"/>
      <c r="M4" s="31"/>
      <c r="N4" s="31"/>
      <c r="O4" s="31"/>
      <c r="P4" s="31">
        <v>8</v>
      </c>
      <c r="Q4" s="31">
        <v>2020</v>
      </c>
    </row>
    <row r="5" spans="1:17">
      <c r="A5" s="31" t="s">
        <v>28</v>
      </c>
      <c r="B5" s="69">
        <v>8</v>
      </c>
      <c r="C5" s="2">
        <v>44041</v>
      </c>
      <c r="D5" s="84" t="s">
        <v>18</v>
      </c>
      <c r="E5" s="31" t="s">
        <v>19</v>
      </c>
      <c r="F5" s="31" t="s">
        <v>29</v>
      </c>
      <c r="G5" s="31" t="s">
        <v>30</v>
      </c>
      <c r="H5" s="3">
        <v>5</v>
      </c>
      <c r="I5" s="31">
        <v>12845</v>
      </c>
      <c r="J5" s="85">
        <f t="shared" si="0"/>
        <v>12840</v>
      </c>
      <c r="K5" s="3">
        <f t="shared" si="1"/>
        <v>12840</v>
      </c>
      <c r="L5" s="31"/>
      <c r="M5" s="31"/>
      <c r="N5" s="31"/>
      <c r="O5" s="31"/>
      <c r="P5" s="31">
        <v>8</v>
      </c>
      <c r="Q5" s="31">
        <v>2020</v>
      </c>
    </row>
    <row r="6" spans="1:17">
      <c r="A6" s="31" t="s">
        <v>31</v>
      </c>
      <c r="B6" s="69">
        <v>3</v>
      </c>
      <c r="C6" s="2">
        <v>44040</v>
      </c>
      <c r="D6" s="84" t="s">
        <v>18</v>
      </c>
      <c r="E6" s="31" t="s">
        <v>19</v>
      </c>
      <c r="F6" s="31" t="s">
        <v>32</v>
      </c>
      <c r="G6" s="31" t="s">
        <v>33</v>
      </c>
      <c r="H6" s="3">
        <v>5</v>
      </c>
      <c r="I6" s="31">
        <v>12242</v>
      </c>
      <c r="J6" s="85">
        <f t="shared" si="0"/>
        <v>12237</v>
      </c>
      <c r="K6" s="3">
        <f t="shared" si="1"/>
        <v>12237</v>
      </c>
      <c r="L6" s="3"/>
      <c r="M6" s="3"/>
      <c r="N6" s="3"/>
      <c r="O6" s="88"/>
      <c r="P6" s="31">
        <v>8</v>
      </c>
      <c r="Q6" s="31">
        <v>2020</v>
      </c>
    </row>
    <row r="7" spans="1:17">
      <c r="A7" s="31" t="s">
        <v>34</v>
      </c>
      <c r="B7" s="69">
        <v>47</v>
      </c>
      <c r="C7" s="2">
        <v>44040</v>
      </c>
      <c r="D7" s="84" t="s">
        <v>35</v>
      </c>
      <c r="E7" s="31" t="s">
        <v>36</v>
      </c>
      <c r="F7" s="31" t="s">
        <v>37</v>
      </c>
      <c r="G7" s="31" t="s">
        <v>38</v>
      </c>
      <c r="H7" s="3">
        <v>5</v>
      </c>
      <c r="I7" s="31">
        <v>11923</v>
      </c>
      <c r="J7" s="85">
        <f t="shared" si="0"/>
        <v>11918</v>
      </c>
      <c r="K7" s="3">
        <f t="shared" si="1"/>
        <v>11918</v>
      </c>
      <c r="L7" s="31"/>
      <c r="M7" s="31"/>
      <c r="N7" s="31"/>
      <c r="O7" s="31"/>
      <c r="P7" s="31">
        <v>8</v>
      </c>
      <c r="Q7" s="31">
        <v>2020</v>
      </c>
    </row>
    <row r="8" spans="1:17">
      <c r="A8" s="31" t="s">
        <v>39</v>
      </c>
      <c r="B8" s="69">
        <v>22</v>
      </c>
      <c r="C8" s="2">
        <v>44040</v>
      </c>
      <c r="D8" s="84" t="s">
        <v>18</v>
      </c>
      <c r="E8" s="31" t="s">
        <v>19</v>
      </c>
      <c r="F8" s="31" t="s">
        <v>40</v>
      </c>
      <c r="G8" s="31" t="s">
        <v>41</v>
      </c>
      <c r="H8" s="3">
        <v>5</v>
      </c>
      <c r="I8" s="31">
        <v>11340</v>
      </c>
      <c r="J8" s="85">
        <f t="shared" si="0"/>
        <v>11335</v>
      </c>
      <c r="K8" s="3">
        <f t="shared" si="1"/>
        <v>11335</v>
      </c>
      <c r="L8" s="31"/>
      <c r="M8" s="31"/>
      <c r="N8" s="31"/>
      <c r="O8" s="31"/>
      <c r="P8" s="31">
        <v>8</v>
      </c>
      <c r="Q8" s="31">
        <v>2020</v>
      </c>
    </row>
    <row r="9" spans="1:17">
      <c r="A9" s="31" t="s">
        <v>42</v>
      </c>
      <c r="B9" s="69">
        <v>5</v>
      </c>
      <c r="C9" s="2">
        <v>44040</v>
      </c>
      <c r="D9" s="84" t="s">
        <v>43</v>
      </c>
      <c r="E9" s="31" t="s">
        <v>19</v>
      </c>
      <c r="F9" s="31" t="s">
        <v>44</v>
      </c>
      <c r="G9" s="31" t="s">
        <v>45</v>
      </c>
      <c r="H9" s="3">
        <v>5</v>
      </c>
      <c r="I9" s="31">
        <v>9826</v>
      </c>
      <c r="J9" s="85">
        <f t="shared" si="0"/>
        <v>9821</v>
      </c>
      <c r="K9" s="3">
        <f t="shared" si="1"/>
        <v>9821</v>
      </c>
      <c r="L9" s="3"/>
      <c r="M9" s="3"/>
      <c r="N9" s="3"/>
      <c r="O9" s="88"/>
      <c r="P9" s="31">
        <v>8</v>
      </c>
      <c r="Q9" s="31">
        <v>2020</v>
      </c>
    </row>
    <row r="10" spans="1:17">
      <c r="A10" s="31" t="s">
        <v>46</v>
      </c>
      <c r="B10" s="69">
        <v>29</v>
      </c>
      <c r="C10" s="2">
        <v>44040</v>
      </c>
      <c r="D10" s="84" t="s">
        <v>43</v>
      </c>
      <c r="E10" s="31" t="s">
        <v>19</v>
      </c>
      <c r="F10" s="31" t="s">
        <v>47</v>
      </c>
      <c r="G10" s="31" t="s">
        <v>48</v>
      </c>
      <c r="H10" s="3">
        <v>5</v>
      </c>
      <c r="I10" s="31">
        <v>9673</v>
      </c>
      <c r="J10" s="85">
        <f t="shared" si="0"/>
        <v>9668</v>
      </c>
      <c r="K10" s="3">
        <f t="shared" si="1"/>
        <v>9668</v>
      </c>
      <c r="L10" s="31"/>
      <c r="M10" s="31"/>
      <c r="N10" s="31"/>
      <c r="O10" s="31"/>
      <c r="P10" s="31">
        <v>8</v>
      </c>
      <c r="Q10" s="31">
        <v>2020</v>
      </c>
    </row>
    <row r="11" spans="1:17">
      <c r="A11" s="31" t="s">
        <v>49</v>
      </c>
      <c r="B11" s="69">
        <v>14</v>
      </c>
      <c r="C11" s="2">
        <v>44040</v>
      </c>
      <c r="D11" s="84" t="s">
        <v>18</v>
      </c>
      <c r="E11" s="31" t="s">
        <v>19</v>
      </c>
      <c r="F11" s="31" t="s">
        <v>50</v>
      </c>
      <c r="G11" s="31" t="s">
        <v>51</v>
      </c>
      <c r="H11" s="3">
        <v>5</v>
      </c>
      <c r="I11" s="31">
        <v>7932</v>
      </c>
      <c r="J11" s="85">
        <f t="shared" si="0"/>
        <v>7927</v>
      </c>
      <c r="K11" s="3">
        <f t="shared" si="1"/>
        <v>7927</v>
      </c>
      <c r="L11" s="31"/>
      <c r="M11" s="31"/>
      <c r="N11" s="31"/>
      <c r="O11" s="31"/>
      <c r="P11" s="31">
        <v>8</v>
      </c>
      <c r="Q11" s="31">
        <v>2020</v>
      </c>
    </row>
    <row r="12" spans="1:17">
      <c r="A12" s="31" t="s">
        <v>52</v>
      </c>
      <c r="B12" s="69">
        <v>19</v>
      </c>
      <c r="C12" s="2">
        <v>44040</v>
      </c>
      <c r="D12" s="84" t="s">
        <v>43</v>
      </c>
      <c r="E12" s="31" t="s">
        <v>19</v>
      </c>
      <c r="F12" s="31" t="s">
        <v>53</v>
      </c>
      <c r="G12" s="31" t="s">
        <v>54</v>
      </c>
      <c r="H12" s="3">
        <v>5</v>
      </c>
      <c r="I12" s="31">
        <v>7846</v>
      </c>
      <c r="J12" s="85">
        <f t="shared" si="0"/>
        <v>7841</v>
      </c>
      <c r="K12" s="3">
        <f t="shared" si="1"/>
        <v>7841</v>
      </c>
      <c r="L12" s="31"/>
      <c r="M12" s="31"/>
      <c r="N12" s="31"/>
      <c r="O12" s="31"/>
      <c r="P12" s="31">
        <v>8</v>
      </c>
      <c r="Q12" s="31">
        <v>2020</v>
      </c>
    </row>
    <row r="13" spans="1:17">
      <c r="A13" s="31" t="s">
        <v>55</v>
      </c>
      <c r="B13" s="69">
        <v>27</v>
      </c>
      <c r="C13" s="2">
        <v>44041</v>
      </c>
      <c r="D13" s="84" t="s">
        <v>18</v>
      </c>
      <c r="E13" s="31" t="s">
        <v>19</v>
      </c>
      <c r="F13" s="31" t="s">
        <v>56</v>
      </c>
      <c r="G13" s="31" t="s">
        <v>57</v>
      </c>
      <c r="H13" s="3">
        <v>5</v>
      </c>
      <c r="I13" s="31">
        <v>7783</v>
      </c>
      <c r="J13" s="85">
        <f t="shared" si="0"/>
        <v>7778</v>
      </c>
      <c r="K13" s="3">
        <f t="shared" si="1"/>
        <v>7778</v>
      </c>
      <c r="L13" s="31"/>
      <c r="M13" s="31"/>
      <c r="N13" s="31"/>
      <c r="O13" s="31"/>
      <c r="P13" s="31">
        <v>8</v>
      </c>
      <c r="Q13" s="31">
        <v>2020</v>
      </c>
    </row>
    <row r="14" spans="1:17">
      <c r="A14" s="31" t="s">
        <v>58</v>
      </c>
      <c r="B14" s="69">
        <v>1</v>
      </c>
      <c r="C14" s="2">
        <v>44046</v>
      </c>
      <c r="D14" s="84" t="s">
        <v>59</v>
      </c>
      <c r="E14" s="31" t="s">
        <v>60</v>
      </c>
      <c r="F14" s="31" t="s">
        <v>61</v>
      </c>
      <c r="G14" s="31" t="s">
        <v>62</v>
      </c>
      <c r="H14" s="3">
        <v>0</v>
      </c>
      <c r="I14" s="31">
        <v>0</v>
      </c>
      <c r="J14" s="85">
        <f t="shared" si="0"/>
        <v>0</v>
      </c>
      <c r="K14" s="3">
        <f t="shared" si="1"/>
        <v>0</v>
      </c>
      <c r="L14" s="3">
        <v>0</v>
      </c>
      <c r="M14" s="3">
        <f>13166-5</f>
        <v>13161</v>
      </c>
      <c r="N14" s="3"/>
      <c r="O14" s="88"/>
      <c r="P14" s="31">
        <v>8</v>
      </c>
      <c r="Q14" s="31">
        <v>2020</v>
      </c>
    </row>
    <row r="15" spans="1:17">
      <c r="A15" s="31" t="s">
        <v>63</v>
      </c>
      <c r="B15" s="69">
        <v>28</v>
      </c>
      <c r="C15" s="2">
        <v>44046</v>
      </c>
      <c r="D15" s="84" t="s">
        <v>18</v>
      </c>
      <c r="E15" s="31" t="s">
        <v>19</v>
      </c>
      <c r="F15" s="31" t="s">
        <v>64</v>
      </c>
      <c r="G15" s="31" t="s">
        <v>65</v>
      </c>
      <c r="H15" s="3">
        <v>5</v>
      </c>
      <c r="I15" s="31">
        <v>7390</v>
      </c>
      <c r="J15" s="85">
        <f t="shared" si="0"/>
        <v>7385</v>
      </c>
      <c r="K15" s="3">
        <f t="shared" si="1"/>
        <v>7385</v>
      </c>
      <c r="L15" s="31"/>
      <c r="M15" s="31"/>
      <c r="N15" s="31"/>
      <c r="O15" s="31"/>
      <c r="P15" s="31">
        <v>8</v>
      </c>
      <c r="Q15" s="31">
        <v>2020</v>
      </c>
    </row>
    <row r="16" spans="1:17">
      <c r="A16" s="31" t="s">
        <v>66</v>
      </c>
      <c r="B16" s="69">
        <v>32</v>
      </c>
      <c r="C16" s="94">
        <v>44043</v>
      </c>
      <c r="D16" s="84" t="s">
        <v>18</v>
      </c>
      <c r="E16" s="31" t="s">
        <v>19</v>
      </c>
      <c r="F16" s="31" t="s">
        <v>67</v>
      </c>
      <c r="G16" s="31" t="s">
        <v>68</v>
      </c>
      <c r="H16" s="3">
        <v>5</v>
      </c>
      <c r="I16" s="31">
        <v>7106</v>
      </c>
      <c r="J16" s="85">
        <f t="shared" si="0"/>
        <v>7101</v>
      </c>
      <c r="K16" s="3">
        <f t="shared" si="1"/>
        <v>7101</v>
      </c>
      <c r="L16" s="31"/>
      <c r="M16" s="31"/>
      <c r="N16" s="31"/>
      <c r="O16" s="31"/>
      <c r="P16" s="31">
        <v>8</v>
      </c>
      <c r="Q16" s="31">
        <v>2020</v>
      </c>
    </row>
    <row r="17" spans="1:17">
      <c r="A17" s="31" t="s">
        <v>69</v>
      </c>
      <c r="B17" s="69">
        <v>4</v>
      </c>
      <c r="C17" s="2">
        <v>44040</v>
      </c>
      <c r="D17" s="84" t="s">
        <v>43</v>
      </c>
      <c r="E17" s="31" t="s">
        <v>19</v>
      </c>
      <c r="F17" s="31" t="s">
        <v>70</v>
      </c>
      <c r="G17" s="31" t="s">
        <v>71</v>
      </c>
      <c r="H17" s="3">
        <v>5</v>
      </c>
      <c r="I17" s="31">
        <v>6130</v>
      </c>
      <c r="J17" s="85">
        <f t="shared" si="0"/>
        <v>6125</v>
      </c>
      <c r="K17" s="3">
        <f t="shared" si="1"/>
        <v>6125</v>
      </c>
      <c r="L17" s="3"/>
      <c r="M17" s="3"/>
      <c r="N17" s="3"/>
      <c r="O17" s="88"/>
      <c r="P17" s="31">
        <v>8</v>
      </c>
      <c r="Q17" s="31">
        <v>2020</v>
      </c>
    </row>
    <row r="18" spans="1:17">
      <c r="A18" s="31" t="s">
        <v>72</v>
      </c>
      <c r="B18" s="69">
        <v>41</v>
      </c>
      <c r="C18" s="2">
        <v>44040</v>
      </c>
      <c r="D18" s="84" t="s">
        <v>18</v>
      </c>
      <c r="E18" s="31" t="s">
        <v>19</v>
      </c>
      <c r="F18" s="31" t="s">
        <v>73</v>
      </c>
      <c r="G18" s="31" t="s">
        <v>74</v>
      </c>
      <c r="H18" s="3">
        <v>5</v>
      </c>
      <c r="I18" s="31">
        <v>6007</v>
      </c>
      <c r="J18" s="85">
        <f t="shared" si="0"/>
        <v>6002</v>
      </c>
      <c r="K18" s="3">
        <f t="shared" si="1"/>
        <v>6002</v>
      </c>
      <c r="L18" s="31"/>
      <c r="M18" s="31"/>
      <c r="N18" s="31"/>
      <c r="O18" s="31"/>
      <c r="P18" s="31">
        <v>8</v>
      </c>
      <c r="Q18" s="31">
        <v>2020</v>
      </c>
    </row>
    <row r="19" spans="1:17">
      <c r="A19" s="31" t="s">
        <v>75</v>
      </c>
      <c r="B19" s="69">
        <v>26</v>
      </c>
      <c r="C19" s="94">
        <v>44043</v>
      </c>
      <c r="D19" s="84" t="s">
        <v>43</v>
      </c>
      <c r="E19" s="31" t="s">
        <v>19</v>
      </c>
      <c r="F19" s="31" t="s">
        <v>76</v>
      </c>
      <c r="G19" s="31" t="s">
        <v>77</v>
      </c>
      <c r="H19" s="3">
        <v>5</v>
      </c>
      <c r="I19" s="31">
        <v>5810</v>
      </c>
      <c r="J19" s="85">
        <f t="shared" si="0"/>
        <v>5805</v>
      </c>
      <c r="K19" s="3">
        <f t="shared" si="1"/>
        <v>5805</v>
      </c>
      <c r="L19" s="31"/>
      <c r="M19" s="31"/>
      <c r="N19" s="31"/>
      <c r="O19" s="31"/>
      <c r="P19" s="31">
        <v>8</v>
      </c>
      <c r="Q19" s="31">
        <v>2020</v>
      </c>
    </row>
    <row r="20" spans="1:17">
      <c r="A20" s="31" t="s">
        <v>78</v>
      </c>
      <c r="B20" s="69">
        <v>36</v>
      </c>
      <c r="C20" s="94">
        <v>44042</v>
      </c>
      <c r="D20" s="84" t="s">
        <v>18</v>
      </c>
      <c r="E20" s="31" t="s">
        <v>19</v>
      </c>
      <c r="F20" s="31" t="s">
        <v>79</v>
      </c>
      <c r="G20" s="31" t="s">
        <v>80</v>
      </c>
      <c r="H20" s="3">
        <v>5</v>
      </c>
      <c r="I20" s="31">
        <v>5681</v>
      </c>
      <c r="J20" s="85">
        <f t="shared" si="0"/>
        <v>5676</v>
      </c>
      <c r="K20" s="3">
        <f t="shared" si="1"/>
        <v>5676</v>
      </c>
      <c r="L20" s="31"/>
      <c r="M20" s="31"/>
      <c r="N20" s="31"/>
      <c r="O20" s="31"/>
      <c r="P20" s="31">
        <v>8</v>
      </c>
      <c r="Q20" s="31">
        <v>2020</v>
      </c>
    </row>
    <row r="21" spans="1:17">
      <c r="A21" s="31" t="s">
        <v>81</v>
      </c>
      <c r="B21" s="69">
        <v>7</v>
      </c>
      <c r="C21" s="2">
        <v>44040</v>
      </c>
      <c r="D21" s="84" t="s">
        <v>43</v>
      </c>
      <c r="E21" s="31" t="s">
        <v>19</v>
      </c>
      <c r="F21" s="31" t="s">
        <v>82</v>
      </c>
      <c r="G21" s="31" t="s">
        <v>83</v>
      </c>
      <c r="H21" s="3">
        <v>5</v>
      </c>
      <c r="I21" s="31">
        <v>5457</v>
      </c>
      <c r="J21" s="85">
        <f t="shared" si="0"/>
        <v>5452</v>
      </c>
      <c r="K21" s="3">
        <f t="shared" si="1"/>
        <v>5452</v>
      </c>
      <c r="L21" s="31"/>
      <c r="M21" s="31"/>
      <c r="N21" s="31"/>
      <c r="O21" s="31"/>
      <c r="P21" s="31">
        <v>8</v>
      </c>
      <c r="Q21" s="31">
        <v>2020</v>
      </c>
    </row>
    <row r="22" spans="1:17">
      <c r="A22" s="31" t="s">
        <v>84</v>
      </c>
      <c r="B22" s="69">
        <v>10</v>
      </c>
      <c r="C22" s="94">
        <v>44042</v>
      </c>
      <c r="D22" s="84" t="s">
        <v>43</v>
      </c>
      <c r="E22" s="31" t="s">
        <v>19</v>
      </c>
      <c r="F22" s="31" t="s">
        <v>85</v>
      </c>
      <c r="G22" s="31" t="s">
        <v>86</v>
      </c>
      <c r="H22" s="3">
        <v>5</v>
      </c>
      <c r="I22" s="31">
        <v>5266</v>
      </c>
      <c r="J22" s="85">
        <f t="shared" si="0"/>
        <v>5261</v>
      </c>
      <c r="K22" s="3">
        <f t="shared" si="1"/>
        <v>5261</v>
      </c>
      <c r="L22" s="31"/>
      <c r="M22" s="31"/>
      <c r="N22" s="31"/>
      <c r="O22" s="31"/>
      <c r="P22" s="31">
        <v>8</v>
      </c>
      <c r="Q22" s="31">
        <v>2020</v>
      </c>
    </row>
    <row r="23" spans="1:17">
      <c r="A23" s="31" t="s">
        <v>87</v>
      </c>
      <c r="B23" s="69">
        <v>15</v>
      </c>
      <c r="C23" s="94">
        <v>44042</v>
      </c>
      <c r="D23" s="84" t="s">
        <v>18</v>
      </c>
      <c r="E23" s="31" t="s">
        <v>19</v>
      </c>
      <c r="F23" s="31" t="s">
        <v>88</v>
      </c>
      <c r="G23" s="31" t="s">
        <v>89</v>
      </c>
      <c r="H23" s="3">
        <v>5</v>
      </c>
      <c r="I23" s="31">
        <v>5063</v>
      </c>
      <c r="J23" s="85">
        <f t="shared" si="0"/>
        <v>5058</v>
      </c>
      <c r="K23" s="3">
        <f t="shared" si="1"/>
        <v>5058</v>
      </c>
      <c r="L23" s="31"/>
      <c r="M23" s="31"/>
      <c r="N23" s="31"/>
      <c r="O23" s="31"/>
      <c r="P23" s="31">
        <v>8</v>
      </c>
      <c r="Q23" s="31">
        <v>2020</v>
      </c>
    </row>
    <row r="24" spans="1:17">
      <c r="A24" s="31" t="s">
        <v>90</v>
      </c>
      <c r="B24" s="69">
        <v>39</v>
      </c>
      <c r="C24" s="2">
        <v>44041</v>
      </c>
      <c r="D24" s="84" t="s">
        <v>43</v>
      </c>
      <c r="E24" s="31" t="s">
        <v>19</v>
      </c>
      <c r="F24" s="31" t="s">
        <v>91</v>
      </c>
      <c r="G24" s="31" t="s">
        <v>92</v>
      </c>
      <c r="H24" s="3">
        <v>5</v>
      </c>
      <c r="I24" s="31">
        <v>4744</v>
      </c>
      <c r="J24" s="85">
        <f t="shared" si="0"/>
        <v>4739</v>
      </c>
      <c r="K24" s="3">
        <f t="shared" si="1"/>
        <v>4739</v>
      </c>
      <c r="L24" s="31"/>
      <c r="M24" s="31"/>
      <c r="N24" s="31"/>
      <c r="O24" s="31"/>
      <c r="P24" s="31">
        <v>8</v>
      </c>
      <c r="Q24" s="31">
        <v>2020</v>
      </c>
    </row>
    <row r="25" spans="1:17">
      <c r="A25" s="31" t="s">
        <v>93</v>
      </c>
      <c r="B25" s="69">
        <v>43</v>
      </c>
      <c r="C25" s="2">
        <v>44041</v>
      </c>
      <c r="D25" s="84" t="s">
        <v>43</v>
      </c>
      <c r="E25" s="31" t="s">
        <v>19</v>
      </c>
      <c r="F25" s="31" t="s">
        <v>94</v>
      </c>
      <c r="G25" s="31" t="s">
        <v>95</v>
      </c>
      <c r="H25" s="3">
        <v>5</v>
      </c>
      <c r="I25" s="31">
        <v>4110</v>
      </c>
      <c r="J25" s="85">
        <f t="shared" si="0"/>
        <v>4105</v>
      </c>
      <c r="K25" s="3">
        <f t="shared" si="1"/>
        <v>4105</v>
      </c>
      <c r="L25" s="31"/>
      <c r="M25" s="31"/>
      <c r="N25" s="31"/>
      <c r="O25" s="31"/>
      <c r="P25" s="31">
        <v>8</v>
      </c>
      <c r="Q25" s="31">
        <v>2020</v>
      </c>
    </row>
    <row r="26" spans="1:17">
      <c r="A26" s="31" t="s">
        <v>96</v>
      </c>
      <c r="B26" s="69">
        <v>6</v>
      </c>
      <c r="C26" s="94">
        <v>44042</v>
      </c>
      <c r="D26" s="84" t="s">
        <v>43</v>
      </c>
      <c r="E26" s="31" t="s">
        <v>19</v>
      </c>
      <c r="F26" s="31" t="s">
        <v>97</v>
      </c>
      <c r="G26" s="31" t="s">
        <v>98</v>
      </c>
      <c r="H26" s="3">
        <v>5</v>
      </c>
      <c r="I26" s="31">
        <v>4032</v>
      </c>
      <c r="J26" s="85">
        <f t="shared" si="0"/>
        <v>4027</v>
      </c>
      <c r="K26" s="3">
        <f t="shared" si="1"/>
        <v>4027</v>
      </c>
      <c r="L26" s="89"/>
      <c r="M26" s="89"/>
      <c r="N26" s="89"/>
      <c r="O26" s="31"/>
      <c r="P26" s="31">
        <v>8</v>
      </c>
      <c r="Q26" s="31">
        <v>2020</v>
      </c>
    </row>
    <row r="27" spans="1:17">
      <c r="A27" s="31" t="s">
        <v>99</v>
      </c>
      <c r="B27" s="69">
        <v>18</v>
      </c>
      <c r="C27" s="94">
        <v>44042</v>
      </c>
      <c r="D27" s="84" t="s">
        <v>43</v>
      </c>
      <c r="E27" s="31" t="s">
        <v>19</v>
      </c>
      <c r="F27" s="31" t="s">
        <v>100</v>
      </c>
      <c r="G27" s="31" t="s">
        <v>101</v>
      </c>
      <c r="H27" s="3">
        <v>5</v>
      </c>
      <c r="I27" s="31">
        <v>3949</v>
      </c>
      <c r="J27" s="85">
        <f t="shared" si="0"/>
        <v>3944</v>
      </c>
      <c r="K27" s="3">
        <f t="shared" si="1"/>
        <v>3944</v>
      </c>
      <c r="L27" s="31"/>
      <c r="M27" s="31"/>
      <c r="N27" s="31"/>
      <c r="O27" s="31"/>
      <c r="P27" s="31">
        <v>8</v>
      </c>
      <c r="Q27" s="31">
        <v>2020</v>
      </c>
    </row>
    <row r="28" spans="1:17">
      <c r="A28" s="31" t="s">
        <v>102</v>
      </c>
      <c r="B28" s="69">
        <v>2</v>
      </c>
      <c r="C28" s="2">
        <v>44040</v>
      </c>
      <c r="D28" s="84" t="s">
        <v>43</v>
      </c>
      <c r="E28" s="31" t="s">
        <v>19</v>
      </c>
      <c r="F28" s="31" t="s">
        <v>103</v>
      </c>
      <c r="G28" s="31" t="s">
        <v>104</v>
      </c>
      <c r="H28" s="3">
        <v>5</v>
      </c>
      <c r="I28" s="31">
        <v>3589</v>
      </c>
      <c r="J28" s="85">
        <f t="shared" si="0"/>
        <v>3584</v>
      </c>
      <c r="K28" s="3">
        <f t="shared" si="1"/>
        <v>3584</v>
      </c>
      <c r="L28" s="3">
        <v>0</v>
      </c>
      <c r="M28" s="3"/>
      <c r="N28" s="3"/>
      <c r="O28" s="88"/>
      <c r="P28" s="31">
        <v>8</v>
      </c>
      <c r="Q28" s="31">
        <v>2020</v>
      </c>
    </row>
    <row r="29" spans="1:17">
      <c r="A29" s="31" t="s">
        <v>105</v>
      </c>
      <c r="B29" s="69">
        <v>12</v>
      </c>
      <c r="C29" s="94">
        <v>44043</v>
      </c>
      <c r="D29" s="84" t="s">
        <v>43</v>
      </c>
      <c r="E29" s="31" t="s">
        <v>19</v>
      </c>
      <c r="F29" s="31" t="s">
        <v>106</v>
      </c>
      <c r="G29" s="31" t="s">
        <v>107</v>
      </c>
      <c r="H29" s="3">
        <v>5</v>
      </c>
      <c r="I29" s="31">
        <v>3223</v>
      </c>
      <c r="J29" s="85">
        <f t="shared" si="0"/>
        <v>3218</v>
      </c>
      <c r="K29" s="3">
        <f t="shared" si="1"/>
        <v>3218</v>
      </c>
      <c r="L29" s="31"/>
      <c r="M29" s="31"/>
      <c r="N29" s="31"/>
      <c r="O29" s="31"/>
      <c r="P29" s="31">
        <v>8</v>
      </c>
      <c r="Q29" s="31">
        <v>2020</v>
      </c>
    </row>
    <row r="30" spans="1:17">
      <c r="A30" s="31" t="s">
        <v>108</v>
      </c>
      <c r="B30" s="69">
        <v>42</v>
      </c>
      <c r="C30" s="94">
        <v>44043</v>
      </c>
      <c r="D30" s="84" t="s">
        <v>43</v>
      </c>
      <c r="E30" s="31" t="s">
        <v>19</v>
      </c>
      <c r="F30" s="31" t="s">
        <v>109</v>
      </c>
      <c r="G30" s="31" t="s">
        <v>110</v>
      </c>
      <c r="H30" s="3">
        <v>5</v>
      </c>
      <c r="I30" s="31">
        <v>2866</v>
      </c>
      <c r="J30" s="85">
        <f t="shared" si="0"/>
        <v>2861</v>
      </c>
      <c r="K30" s="3">
        <f t="shared" si="1"/>
        <v>2861</v>
      </c>
      <c r="L30" s="31"/>
      <c r="M30" s="31"/>
      <c r="N30" s="31"/>
      <c r="O30" s="31"/>
      <c r="P30" s="31">
        <v>8</v>
      </c>
      <c r="Q30" s="31">
        <v>2020</v>
      </c>
    </row>
    <row r="31" spans="1:17">
      <c r="A31" s="31" t="s">
        <v>111</v>
      </c>
      <c r="B31" s="69">
        <v>20</v>
      </c>
      <c r="C31" s="94">
        <v>44043</v>
      </c>
      <c r="D31" s="84" t="s">
        <v>43</v>
      </c>
      <c r="E31" s="31" t="s">
        <v>19</v>
      </c>
      <c r="F31" s="31" t="s">
        <v>112</v>
      </c>
      <c r="G31" s="31" t="s">
        <v>113</v>
      </c>
      <c r="H31" s="3">
        <v>5</v>
      </c>
      <c r="I31" s="31">
        <v>2772</v>
      </c>
      <c r="J31" s="85">
        <f t="shared" si="0"/>
        <v>2767</v>
      </c>
      <c r="K31" s="3">
        <f t="shared" si="1"/>
        <v>2767</v>
      </c>
      <c r="L31" s="31"/>
      <c r="M31" s="31"/>
      <c r="N31" s="31"/>
      <c r="O31" s="31"/>
      <c r="P31" s="31">
        <v>8</v>
      </c>
      <c r="Q31" s="31">
        <v>2020</v>
      </c>
    </row>
    <row r="32" spans="1:17">
      <c r="A32" s="31" t="s">
        <v>114</v>
      </c>
      <c r="B32" s="69">
        <v>9</v>
      </c>
      <c r="C32" s="2">
        <v>44041</v>
      </c>
      <c r="D32" s="84" t="s">
        <v>43</v>
      </c>
      <c r="E32" s="31" t="s">
        <v>19</v>
      </c>
      <c r="F32" s="31" t="s">
        <v>115</v>
      </c>
      <c r="G32" s="31" t="s">
        <v>116</v>
      </c>
      <c r="H32" s="3">
        <v>5</v>
      </c>
      <c r="I32" s="31">
        <v>2572</v>
      </c>
      <c r="J32" s="85">
        <f t="shared" si="0"/>
        <v>2567</v>
      </c>
      <c r="K32" s="3">
        <f t="shared" si="1"/>
        <v>2567</v>
      </c>
      <c r="L32" s="31"/>
      <c r="M32" s="31"/>
      <c r="N32" s="31"/>
      <c r="O32" s="31"/>
      <c r="P32" s="31">
        <v>8</v>
      </c>
      <c r="Q32" s="31">
        <v>2020</v>
      </c>
    </row>
    <row r="33" spans="1:17">
      <c r="A33" s="31" t="s">
        <v>117</v>
      </c>
      <c r="B33" s="69">
        <v>13</v>
      </c>
      <c r="C33" s="2">
        <v>44041</v>
      </c>
      <c r="D33" s="84" t="s">
        <v>43</v>
      </c>
      <c r="E33" s="31" t="s">
        <v>19</v>
      </c>
      <c r="F33" s="31" t="s">
        <v>118</v>
      </c>
      <c r="G33" s="31" t="s">
        <v>119</v>
      </c>
      <c r="H33" s="3">
        <v>5</v>
      </c>
      <c r="I33" s="31">
        <v>2438</v>
      </c>
      <c r="J33" s="85">
        <f t="shared" si="0"/>
        <v>2433</v>
      </c>
      <c r="K33" s="3">
        <f t="shared" si="1"/>
        <v>2433</v>
      </c>
      <c r="L33" s="31"/>
      <c r="M33" s="31"/>
      <c r="N33" s="31"/>
      <c r="O33" s="31"/>
      <c r="P33" s="31">
        <v>8</v>
      </c>
      <c r="Q33" s="31">
        <v>2020</v>
      </c>
    </row>
    <row r="34" spans="1:17">
      <c r="A34" s="31" t="s">
        <v>120</v>
      </c>
      <c r="B34" s="69">
        <v>23</v>
      </c>
      <c r="C34" s="2">
        <v>44041</v>
      </c>
      <c r="D34" s="84" t="s">
        <v>43</v>
      </c>
      <c r="E34" s="31" t="s">
        <v>19</v>
      </c>
      <c r="F34" s="31" t="s">
        <v>121</v>
      </c>
      <c r="G34" s="31" t="s">
        <v>122</v>
      </c>
      <c r="H34" s="3">
        <v>5</v>
      </c>
      <c r="I34" s="31">
        <v>2302</v>
      </c>
      <c r="J34" s="85">
        <f t="shared" ref="J34:J54" si="2">I34-H34</f>
        <v>2297</v>
      </c>
      <c r="K34" s="3">
        <f t="shared" si="1"/>
        <v>2297</v>
      </c>
      <c r="L34" s="31"/>
      <c r="M34" s="31"/>
      <c r="N34" s="31"/>
      <c r="O34" s="31"/>
      <c r="P34" s="31">
        <v>8</v>
      </c>
      <c r="Q34" s="31">
        <v>2020</v>
      </c>
    </row>
    <row r="35" spans="1:17">
      <c r="A35" s="31" t="s">
        <v>123</v>
      </c>
      <c r="B35" s="69">
        <v>40</v>
      </c>
      <c r="C35" s="2">
        <v>44040</v>
      </c>
      <c r="D35" s="84" t="s">
        <v>43</v>
      </c>
      <c r="E35" s="31" t="s">
        <v>19</v>
      </c>
      <c r="F35" s="31" t="s">
        <v>124</v>
      </c>
      <c r="G35" s="31" t="s">
        <v>125</v>
      </c>
      <c r="H35" s="3">
        <v>5</v>
      </c>
      <c r="I35" s="31">
        <v>2287</v>
      </c>
      <c r="J35" s="85">
        <f t="shared" si="2"/>
        <v>2282</v>
      </c>
      <c r="K35" s="3">
        <f t="shared" si="1"/>
        <v>2282</v>
      </c>
      <c r="L35" s="31"/>
      <c r="M35" s="31"/>
      <c r="N35" s="31"/>
      <c r="O35" s="31"/>
      <c r="P35" s="31">
        <v>8</v>
      </c>
      <c r="Q35" s="31">
        <v>2020</v>
      </c>
    </row>
    <row r="36" spans="1:17">
      <c r="A36" s="31" t="s">
        <v>126</v>
      </c>
      <c r="B36" s="69">
        <v>30</v>
      </c>
      <c r="C36" s="94">
        <v>44043</v>
      </c>
      <c r="D36" s="84" t="s">
        <v>43</v>
      </c>
      <c r="E36" s="31" t="s">
        <v>19</v>
      </c>
      <c r="F36" s="31" t="s">
        <v>127</v>
      </c>
      <c r="G36" s="31" t="s">
        <v>128</v>
      </c>
      <c r="H36" s="3">
        <v>5</v>
      </c>
      <c r="I36" s="31">
        <v>2250</v>
      </c>
      <c r="J36" s="85">
        <f t="shared" si="2"/>
        <v>2245</v>
      </c>
      <c r="K36" s="3">
        <f t="shared" si="1"/>
        <v>2245</v>
      </c>
      <c r="L36" s="31"/>
      <c r="M36" s="31"/>
      <c r="N36" s="31"/>
      <c r="O36" s="31"/>
      <c r="P36" s="31">
        <v>8</v>
      </c>
      <c r="Q36" s="31">
        <v>2020</v>
      </c>
    </row>
    <row r="37" spans="1:17">
      <c r="A37" s="31" t="s">
        <v>129</v>
      </c>
      <c r="B37" s="69">
        <v>31</v>
      </c>
      <c r="C37" s="94">
        <v>44043</v>
      </c>
      <c r="D37" s="84" t="s">
        <v>43</v>
      </c>
      <c r="E37" s="31" t="s">
        <v>19</v>
      </c>
      <c r="F37" s="31" t="s">
        <v>130</v>
      </c>
      <c r="G37" s="31" t="s">
        <v>131</v>
      </c>
      <c r="H37" s="3">
        <v>5</v>
      </c>
      <c r="I37" s="31">
        <v>2232</v>
      </c>
      <c r="J37" s="85">
        <f t="shared" si="2"/>
        <v>2227</v>
      </c>
      <c r="K37" s="3">
        <f t="shared" si="1"/>
        <v>2227</v>
      </c>
      <c r="L37" s="31"/>
      <c r="M37" s="31"/>
      <c r="N37" s="31"/>
      <c r="O37" s="31"/>
      <c r="P37" s="31">
        <v>8</v>
      </c>
      <c r="Q37" s="31">
        <v>2020</v>
      </c>
    </row>
    <row r="38" spans="1:17">
      <c r="A38" s="31" t="s">
        <v>132</v>
      </c>
      <c r="B38" s="69">
        <v>45</v>
      </c>
      <c r="C38" s="94">
        <v>44043</v>
      </c>
      <c r="D38" s="84" t="s">
        <v>43</v>
      </c>
      <c r="E38" s="31" t="s">
        <v>19</v>
      </c>
      <c r="F38" s="31" t="s">
        <v>133</v>
      </c>
      <c r="G38" s="31" t="s">
        <v>134</v>
      </c>
      <c r="H38" s="3">
        <v>5</v>
      </c>
      <c r="I38" s="31">
        <v>2144</v>
      </c>
      <c r="J38" s="85">
        <f t="shared" si="2"/>
        <v>2139</v>
      </c>
      <c r="K38" s="3">
        <f t="shared" si="1"/>
        <v>2139</v>
      </c>
      <c r="L38" s="31"/>
      <c r="M38" s="31"/>
      <c r="N38" s="31"/>
      <c r="O38" s="31"/>
      <c r="P38" s="31">
        <v>8</v>
      </c>
      <c r="Q38" s="31">
        <v>2020</v>
      </c>
    </row>
    <row r="39" spans="1:17">
      <c r="A39" s="31" t="s">
        <v>135</v>
      </c>
      <c r="B39" s="69">
        <v>21</v>
      </c>
      <c r="C39" s="94">
        <v>44042</v>
      </c>
      <c r="D39" s="84" t="s">
        <v>43</v>
      </c>
      <c r="E39" s="31" t="s">
        <v>19</v>
      </c>
      <c r="F39" s="31" t="s">
        <v>136</v>
      </c>
      <c r="G39" s="31" t="s">
        <v>137</v>
      </c>
      <c r="H39" s="3">
        <v>5</v>
      </c>
      <c r="I39" s="31">
        <v>2103</v>
      </c>
      <c r="J39" s="85">
        <f t="shared" si="2"/>
        <v>2098</v>
      </c>
      <c r="K39" s="3">
        <f t="shared" si="1"/>
        <v>2098</v>
      </c>
      <c r="L39" s="31"/>
      <c r="M39" s="31"/>
      <c r="N39" s="31"/>
      <c r="O39" s="31"/>
      <c r="P39" s="31">
        <v>8</v>
      </c>
      <c r="Q39" s="31">
        <v>2020</v>
      </c>
    </row>
    <row r="40" spans="1:17">
      <c r="A40" s="31" t="s">
        <v>138</v>
      </c>
      <c r="B40" s="69">
        <v>16</v>
      </c>
      <c r="C40" s="2">
        <v>44046</v>
      </c>
      <c r="D40" s="84" t="s">
        <v>43</v>
      </c>
      <c r="E40" s="31" t="s">
        <v>19</v>
      </c>
      <c r="F40" s="31" t="s">
        <v>139</v>
      </c>
      <c r="G40" s="31" t="s">
        <v>140</v>
      </c>
      <c r="H40" s="3">
        <v>5</v>
      </c>
      <c r="I40" s="31">
        <v>1920</v>
      </c>
      <c r="J40" s="85">
        <f t="shared" si="2"/>
        <v>1915</v>
      </c>
      <c r="K40" s="3">
        <f t="shared" si="1"/>
        <v>1915</v>
      </c>
      <c r="L40" s="31"/>
      <c r="M40" s="31"/>
      <c r="N40" s="31"/>
      <c r="O40" s="31"/>
      <c r="P40" s="31">
        <v>8</v>
      </c>
      <c r="Q40" s="31">
        <v>2020</v>
      </c>
    </row>
    <row r="41" spans="1:17">
      <c r="A41" s="31" t="s">
        <v>141</v>
      </c>
      <c r="B41" s="69">
        <v>33</v>
      </c>
      <c r="C41" s="2">
        <v>44041</v>
      </c>
      <c r="D41" s="84" t="s">
        <v>43</v>
      </c>
      <c r="E41" s="31" t="s">
        <v>19</v>
      </c>
      <c r="F41" s="31" t="s">
        <v>142</v>
      </c>
      <c r="G41" s="31" t="s">
        <v>143</v>
      </c>
      <c r="H41" s="3">
        <v>5</v>
      </c>
      <c r="I41" s="31">
        <v>1861</v>
      </c>
      <c r="J41" s="85">
        <f t="shared" si="2"/>
        <v>1856</v>
      </c>
      <c r="K41" s="3">
        <f t="shared" si="1"/>
        <v>1856</v>
      </c>
      <c r="L41" s="31"/>
      <c r="M41" s="31"/>
      <c r="N41" s="31"/>
      <c r="O41" s="31"/>
      <c r="P41" s="31">
        <v>8</v>
      </c>
      <c r="Q41" s="31">
        <v>2020</v>
      </c>
    </row>
    <row r="42" spans="1:17">
      <c r="A42" s="31" t="s">
        <v>144</v>
      </c>
      <c r="B42" s="69">
        <v>37</v>
      </c>
      <c r="C42" s="94">
        <v>44042</v>
      </c>
      <c r="D42" s="84" t="s">
        <v>43</v>
      </c>
      <c r="E42" s="31" t="s">
        <v>19</v>
      </c>
      <c r="F42" s="31" t="s">
        <v>145</v>
      </c>
      <c r="G42" s="31" t="s">
        <v>146</v>
      </c>
      <c r="H42" s="3">
        <v>5</v>
      </c>
      <c r="I42" s="31">
        <v>1551</v>
      </c>
      <c r="J42" s="85">
        <f t="shared" si="2"/>
        <v>1546</v>
      </c>
      <c r="K42" s="3">
        <f t="shared" si="1"/>
        <v>1546</v>
      </c>
      <c r="L42" s="31"/>
      <c r="M42" s="31"/>
      <c r="N42" s="31"/>
      <c r="O42" s="31"/>
      <c r="P42" s="31">
        <v>8</v>
      </c>
      <c r="Q42" s="31">
        <v>2020</v>
      </c>
    </row>
    <row r="43" spans="1:17">
      <c r="A43" s="31" t="s">
        <v>147</v>
      </c>
      <c r="B43" s="69">
        <v>44</v>
      </c>
      <c r="C43" s="2">
        <v>44041</v>
      </c>
      <c r="D43" s="86" t="s">
        <v>148</v>
      </c>
      <c r="E43" s="31" t="s">
        <v>36</v>
      </c>
      <c r="F43" s="31" t="s">
        <v>149</v>
      </c>
      <c r="G43" s="31" t="s">
        <v>150</v>
      </c>
      <c r="H43" s="3">
        <v>5</v>
      </c>
      <c r="I43" s="31">
        <v>1539</v>
      </c>
      <c r="J43" s="85">
        <f t="shared" si="2"/>
        <v>1534</v>
      </c>
      <c r="K43" s="3">
        <f t="shared" si="1"/>
        <v>1534</v>
      </c>
      <c r="L43" s="31"/>
      <c r="M43" s="31"/>
      <c r="N43" s="31"/>
      <c r="O43" s="31"/>
      <c r="P43" s="31">
        <v>8</v>
      </c>
      <c r="Q43" s="31">
        <v>2020</v>
      </c>
    </row>
    <row r="44" spans="1:17">
      <c r="A44" s="31" t="s">
        <v>151</v>
      </c>
      <c r="B44" s="69">
        <v>17</v>
      </c>
      <c r="C44" s="94">
        <v>44043</v>
      </c>
      <c r="D44" s="84" t="s">
        <v>43</v>
      </c>
      <c r="E44" s="31" t="s">
        <v>19</v>
      </c>
      <c r="F44" s="31" t="s">
        <v>152</v>
      </c>
      <c r="G44" s="31" t="s">
        <v>153</v>
      </c>
      <c r="H44" s="3">
        <v>5</v>
      </c>
      <c r="I44" s="31">
        <v>1477</v>
      </c>
      <c r="J44" s="85">
        <f t="shared" si="2"/>
        <v>1472</v>
      </c>
      <c r="K44" s="3">
        <f t="shared" si="1"/>
        <v>1472</v>
      </c>
      <c r="L44" s="31"/>
      <c r="M44" s="31"/>
      <c r="N44" s="31"/>
      <c r="O44" s="31"/>
      <c r="P44" s="31">
        <v>8</v>
      </c>
      <c r="Q44" s="31">
        <v>2020</v>
      </c>
    </row>
    <row r="45" spans="1:17">
      <c r="A45" s="31" t="s">
        <v>154</v>
      </c>
      <c r="B45" s="69">
        <v>56</v>
      </c>
      <c r="C45" s="2">
        <v>44046</v>
      </c>
      <c r="D45" s="84" t="s">
        <v>43</v>
      </c>
      <c r="E45" s="31" t="s">
        <v>19</v>
      </c>
      <c r="F45" s="31" t="s">
        <v>155</v>
      </c>
      <c r="G45" s="31" t="s">
        <v>156</v>
      </c>
      <c r="H45" s="3">
        <v>5</v>
      </c>
      <c r="I45" s="31">
        <v>1217</v>
      </c>
      <c r="J45" s="85">
        <f t="shared" si="2"/>
        <v>1212</v>
      </c>
      <c r="K45" s="3">
        <f t="shared" si="1"/>
        <v>1212</v>
      </c>
      <c r="L45" s="31"/>
      <c r="M45" s="31"/>
      <c r="N45" s="31"/>
      <c r="O45" s="31"/>
      <c r="P45" s="31">
        <v>8</v>
      </c>
      <c r="Q45" s="31">
        <v>2020</v>
      </c>
    </row>
    <row r="46" spans="1:17">
      <c r="A46" s="31" t="s">
        <v>157</v>
      </c>
      <c r="B46" s="69">
        <v>25</v>
      </c>
      <c r="C46" s="2">
        <v>44041</v>
      </c>
      <c r="D46" s="84" t="s">
        <v>43</v>
      </c>
      <c r="E46" s="31" t="s">
        <v>19</v>
      </c>
      <c r="F46" s="31" t="s">
        <v>158</v>
      </c>
      <c r="G46" s="31" t="s">
        <v>159</v>
      </c>
      <c r="H46" s="3">
        <v>5</v>
      </c>
      <c r="I46" s="31">
        <v>846</v>
      </c>
      <c r="J46" s="85">
        <f t="shared" si="2"/>
        <v>841</v>
      </c>
      <c r="K46" s="3">
        <f t="shared" si="1"/>
        <v>841</v>
      </c>
      <c r="L46" s="31"/>
      <c r="M46" s="31"/>
      <c r="N46" s="31"/>
      <c r="O46" s="31"/>
      <c r="P46" s="31">
        <v>8</v>
      </c>
      <c r="Q46" s="31">
        <v>2020</v>
      </c>
    </row>
    <row r="47" spans="1:17">
      <c r="A47" s="31" t="s">
        <v>160</v>
      </c>
      <c r="B47" s="69">
        <v>48</v>
      </c>
      <c r="C47" s="2">
        <v>44046</v>
      </c>
      <c r="D47" s="84" t="s">
        <v>161</v>
      </c>
      <c r="E47" s="31" t="s">
        <v>162</v>
      </c>
      <c r="F47" s="31" t="s">
        <v>163</v>
      </c>
      <c r="G47" s="31" t="s">
        <v>164</v>
      </c>
      <c r="H47" s="3">
        <v>0</v>
      </c>
      <c r="I47" s="31">
        <v>0</v>
      </c>
      <c r="J47" s="85">
        <f t="shared" si="2"/>
        <v>0</v>
      </c>
      <c r="K47" s="3">
        <f t="shared" si="1"/>
        <v>0</v>
      </c>
      <c r="L47" s="31"/>
      <c r="M47" s="31">
        <f>1639-7</f>
        <v>1632</v>
      </c>
      <c r="N47" s="31"/>
      <c r="O47" s="31"/>
      <c r="P47" s="31">
        <v>8</v>
      </c>
      <c r="Q47" s="31">
        <v>2020</v>
      </c>
    </row>
    <row r="48" spans="1:17">
      <c r="A48" s="31" t="s">
        <v>165</v>
      </c>
      <c r="B48" s="69">
        <v>24</v>
      </c>
      <c r="C48" s="94">
        <v>44043</v>
      </c>
      <c r="D48" s="84" t="s">
        <v>43</v>
      </c>
      <c r="E48" s="31" t="s">
        <v>19</v>
      </c>
      <c r="F48" s="31" t="s">
        <v>166</v>
      </c>
      <c r="G48" s="31" t="s">
        <v>167</v>
      </c>
      <c r="H48" s="3">
        <v>5</v>
      </c>
      <c r="I48" s="31">
        <v>617</v>
      </c>
      <c r="J48" s="85">
        <f t="shared" si="2"/>
        <v>612</v>
      </c>
      <c r="K48" s="3">
        <f t="shared" si="1"/>
        <v>612</v>
      </c>
      <c r="L48" s="31"/>
      <c r="M48" s="31"/>
      <c r="N48" s="31"/>
      <c r="O48" s="31"/>
      <c r="P48" s="31">
        <v>8</v>
      </c>
      <c r="Q48" s="31">
        <v>2020</v>
      </c>
    </row>
    <row r="49" spans="1:17">
      <c r="A49" s="31" t="s">
        <v>168</v>
      </c>
      <c r="B49" s="69">
        <v>49</v>
      </c>
      <c r="C49" s="94">
        <v>44043</v>
      </c>
      <c r="D49" s="84" t="s">
        <v>43</v>
      </c>
      <c r="E49" s="31" t="s">
        <v>19</v>
      </c>
      <c r="F49" s="31" t="s">
        <v>169</v>
      </c>
      <c r="G49" s="31" t="s">
        <v>170</v>
      </c>
      <c r="H49" s="3">
        <v>5</v>
      </c>
      <c r="I49" s="31">
        <v>485</v>
      </c>
      <c r="J49" s="85">
        <f t="shared" si="2"/>
        <v>480</v>
      </c>
      <c r="K49" s="3">
        <f t="shared" si="1"/>
        <v>480</v>
      </c>
      <c r="L49" s="31"/>
      <c r="M49" s="31"/>
      <c r="N49" s="31"/>
      <c r="O49" s="31"/>
      <c r="P49" s="31">
        <v>8</v>
      </c>
      <c r="Q49" s="31">
        <v>2020</v>
      </c>
    </row>
    <row r="50" spans="1:17">
      <c r="A50" s="31" t="s">
        <v>171</v>
      </c>
      <c r="B50" s="69">
        <v>35</v>
      </c>
      <c r="C50" s="2">
        <v>44046</v>
      </c>
      <c r="D50" s="84" t="s">
        <v>43</v>
      </c>
      <c r="E50" s="31" t="s">
        <v>19</v>
      </c>
      <c r="F50" s="31" t="s">
        <v>172</v>
      </c>
      <c r="G50" s="31" t="s">
        <v>173</v>
      </c>
      <c r="H50" s="3">
        <v>5</v>
      </c>
      <c r="I50" s="31">
        <v>413</v>
      </c>
      <c r="J50" s="85">
        <f t="shared" si="2"/>
        <v>408</v>
      </c>
      <c r="K50" s="3">
        <f t="shared" si="1"/>
        <v>408</v>
      </c>
      <c r="L50" s="31"/>
      <c r="M50" s="31"/>
      <c r="N50" s="31"/>
      <c r="O50" s="31"/>
      <c r="P50" s="31">
        <v>8</v>
      </c>
      <c r="Q50" s="31">
        <v>2020</v>
      </c>
    </row>
    <row r="51" spans="1:17">
      <c r="A51" s="31" t="s">
        <v>174</v>
      </c>
      <c r="B51" s="69">
        <v>46</v>
      </c>
      <c r="C51" s="94">
        <v>44042</v>
      </c>
      <c r="D51" s="86" t="s">
        <v>35</v>
      </c>
      <c r="E51" s="31" t="s">
        <v>36</v>
      </c>
      <c r="F51" s="31" t="s">
        <v>175</v>
      </c>
      <c r="G51" s="31" t="s">
        <v>176</v>
      </c>
      <c r="H51" s="3">
        <v>5</v>
      </c>
      <c r="I51" s="31">
        <v>402</v>
      </c>
      <c r="J51" s="85">
        <f t="shared" si="2"/>
        <v>397</v>
      </c>
      <c r="K51" s="3">
        <f t="shared" si="1"/>
        <v>397</v>
      </c>
      <c r="L51" s="31"/>
      <c r="M51" s="31"/>
      <c r="N51" s="31"/>
      <c r="O51" s="31"/>
      <c r="P51" s="31">
        <v>8</v>
      </c>
      <c r="Q51" s="31">
        <v>2020</v>
      </c>
    </row>
    <row r="52" spans="1:17">
      <c r="A52" s="31" t="s">
        <v>177</v>
      </c>
      <c r="B52" s="69">
        <v>51</v>
      </c>
      <c r="C52" s="94">
        <v>44064</v>
      </c>
      <c r="D52" s="87" t="s">
        <v>43</v>
      </c>
      <c r="E52" s="31" t="s">
        <v>19</v>
      </c>
      <c r="F52" s="31" t="s">
        <v>178</v>
      </c>
      <c r="G52" s="31" t="s">
        <v>179</v>
      </c>
      <c r="H52" s="3">
        <v>19</v>
      </c>
      <c r="I52" s="31">
        <v>347</v>
      </c>
      <c r="J52" s="85">
        <f t="shared" si="2"/>
        <v>328</v>
      </c>
      <c r="K52" s="3">
        <f t="shared" si="1"/>
        <v>328</v>
      </c>
      <c r="L52" s="31"/>
      <c r="M52" s="31"/>
      <c r="N52" s="31"/>
      <c r="O52" s="31"/>
      <c r="P52" s="31">
        <v>8</v>
      </c>
      <c r="Q52" s="31">
        <v>2020</v>
      </c>
    </row>
    <row r="53" spans="1:17">
      <c r="A53" s="31" t="s">
        <v>180</v>
      </c>
      <c r="B53" s="69">
        <v>50</v>
      </c>
      <c r="C53" s="94">
        <v>44042</v>
      </c>
      <c r="D53" s="87" t="s">
        <v>43</v>
      </c>
      <c r="E53" s="31" t="s">
        <v>19</v>
      </c>
      <c r="F53" s="31" t="s">
        <v>181</v>
      </c>
      <c r="G53" s="31" t="s">
        <v>182</v>
      </c>
      <c r="H53" s="3">
        <v>5</v>
      </c>
      <c r="I53" s="31">
        <v>274</v>
      </c>
      <c r="J53" s="85">
        <f t="shared" si="2"/>
        <v>269</v>
      </c>
      <c r="K53" s="3">
        <f t="shared" si="1"/>
        <v>269</v>
      </c>
      <c r="L53" s="31"/>
      <c r="M53" s="31"/>
      <c r="N53" s="31"/>
      <c r="O53" s="31"/>
      <c r="P53" s="31">
        <v>8</v>
      </c>
      <c r="Q53" s="31">
        <v>2020</v>
      </c>
    </row>
    <row r="54" spans="1:17">
      <c r="A54" s="31" t="s">
        <v>183</v>
      </c>
      <c r="B54" s="69">
        <v>52</v>
      </c>
      <c r="C54" s="94">
        <v>44064</v>
      </c>
      <c r="D54" s="87" t="s">
        <v>43</v>
      </c>
      <c r="E54" s="31" t="s">
        <v>19</v>
      </c>
      <c r="F54" s="31" t="s">
        <v>184</v>
      </c>
      <c r="G54" s="31" t="s">
        <v>185</v>
      </c>
      <c r="H54" s="3">
        <v>6</v>
      </c>
      <c r="I54" s="31">
        <v>166</v>
      </c>
      <c r="J54" s="85">
        <f t="shared" si="2"/>
        <v>160</v>
      </c>
      <c r="K54" s="3">
        <f t="shared" si="1"/>
        <v>160</v>
      </c>
      <c r="L54" s="31"/>
      <c r="M54" s="31"/>
      <c r="N54" s="31"/>
      <c r="O54" s="31"/>
      <c r="P54" s="31">
        <v>8</v>
      </c>
      <c r="Q54" s="31">
        <v>2020</v>
      </c>
    </row>
    <row r="55" spans="1:17">
      <c r="J55" s="106">
        <f>SUM(J2:J54)</f>
        <v>257702</v>
      </c>
    </row>
    <row r="59" spans="1:17" ht="15.75" thickBot="1"/>
    <row r="60" spans="1:17">
      <c r="E60" s="96" t="s">
        <v>186</v>
      </c>
      <c r="F60" s="97" t="s">
        <v>187</v>
      </c>
      <c r="G60" s="97" t="s">
        <v>188</v>
      </c>
      <c r="H60" s="97" t="s">
        <v>189</v>
      </c>
      <c r="I60" s="97" t="s">
        <v>190</v>
      </c>
      <c r="J60" s="98" t="s">
        <v>191</v>
      </c>
    </row>
    <row r="61" spans="1:17">
      <c r="E61" s="99" t="s">
        <v>148</v>
      </c>
      <c r="F61" s="95">
        <f t="shared" ref="F61:F66" si="3">COUNTIF($D$2:$D$57,E61)</f>
        <v>1</v>
      </c>
      <c r="G61" s="102">
        <f>2052*F61</f>
        <v>2052</v>
      </c>
      <c r="H61" s="102">
        <f>1368*F61</f>
        <v>1368</v>
      </c>
      <c r="I61" s="102"/>
      <c r="J61" s="103"/>
    </row>
    <row r="62" spans="1:17">
      <c r="E62" s="99" t="s">
        <v>35</v>
      </c>
      <c r="F62" s="95">
        <f t="shared" si="3"/>
        <v>2</v>
      </c>
      <c r="G62" s="102">
        <f>5290*F62</f>
        <v>10580</v>
      </c>
      <c r="H62" s="102">
        <f>3527*F62</f>
        <v>7054</v>
      </c>
      <c r="I62" s="102"/>
      <c r="J62" s="103"/>
    </row>
    <row r="63" spans="1:17">
      <c r="E63" s="99" t="s">
        <v>43</v>
      </c>
      <c r="F63" s="95">
        <f t="shared" si="3"/>
        <v>35</v>
      </c>
      <c r="G63" s="102">
        <f>3048*F63</f>
        <v>106680</v>
      </c>
      <c r="H63" s="102">
        <f>2032*F63</f>
        <v>71120</v>
      </c>
      <c r="I63" s="102"/>
      <c r="J63" s="103"/>
    </row>
    <row r="64" spans="1:17">
      <c r="E64" s="99" t="s">
        <v>18</v>
      </c>
      <c r="F64" s="95">
        <f t="shared" si="3"/>
        <v>13</v>
      </c>
      <c r="G64" s="102">
        <f>6198*F64</f>
        <v>80574</v>
      </c>
      <c r="H64" s="102">
        <f>4132*F64</f>
        <v>53716</v>
      </c>
      <c r="I64" s="102"/>
      <c r="J64" s="103"/>
    </row>
    <row r="65" spans="5:10">
      <c r="E65" s="99" t="s">
        <v>192</v>
      </c>
      <c r="F65" s="95">
        <f t="shared" si="3"/>
        <v>1</v>
      </c>
      <c r="G65" s="102">
        <f>6780*F65</f>
        <v>6780</v>
      </c>
      <c r="H65" s="102">
        <f>4520*F65</f>
        <v>4520</v>
      </c>
      <c r="I65" s="102">
        <f>6600*F65</f>
        <v>6600</v>
      </c>
      <c r="J65" s="103">
        <f>4400*F65</f>
        <v>4400</v>
      </c>
    </row>
    <row r="66" spans="5:10">
      <c r="E66" s="99" t="s">
        <v>59</v>
      </c>
      <c r="F66" s="95">
        <f t="shared" si="3"/>
        <v>1</v>
      </c>
      <c r="G66" s="102">
        <f>8582*F65</f>
        <v>8582</v>
      </c>
      <c r="H66" s="102">
        <f>5722*F66</f>
        <v>5722</v>
      </c>
      <c r="I66" s="102">
        <f>6600*F66</f>
        <v>6600</v>
      </c>
      <c r="J66" s="103">
        <f>4400*F66</f>
        <v>4400</v>
      </c>
    </row>
    <row r="67" spans="5:10" ht="15.75" thickBot="1">
      <c r="E67" s="100" t="s">
        <v>193</v>
      </c>
      <c r="F67" s="101">
        <f>SUM(F61:F66)</f>
        <v>53</v>
      </c>
      <c r="G67" s="104">
        <f t="shared" ref="G67:H67" si="4">SUM(G61:G66)</f>
        <v>215248</v>
      </c>
      <c r="H67" s="104">
        <f t="shared" si="4"/>
        <v>143500</v>
      </c>
      <c r="I67" s="104">
        <f>SUM(I61:I66)</f>
        <v>13200</v>
      </c>
      <c r="J67" s="105">
        <f>SUM(J61:J66)</f>
        <v>8800</v>
      </c>
    </row>
  </sheetData>
  <autoFilter ref="A1:Q54" xr:uid="{00000000-0009-0000-0000-000000000000}"/>
  <conditionalFormatting sqref="K2:N2 K3:K54">
    <cfRule type="cellIs" dxfId="2" priority="2" operator="lessThan">
      <formula>0</formula>
    </cfRule>
  </conditionalFormatting>
  <conditionalFormatting sqref="L3:N6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C15" sqref="C15"/>
    </sheetView>
  </sheetViews>
  <sheetFormatPr defaultRowHeight="15"/>
  <cols>
    <col min="1" max="1" width="36.42578125" customWidth="1"/>
    <col min="2" max="2" width="20.140625" customWidth="1"/>
    <col min="3" max="3" width="33" customWidth="1"/>
    <col min="4" max="4" width="30.5703125" customWidth="1"/>
  </cols>
  <sheetData>
    <row r="1" spans="1:4" ht="23.25">
      <c r="A1" s="29" t="s">
        <v>194</v>
      </c>
      <c r="B1" s="29" t="s">
        <v>195</v>
      </c>
    </row>
    <row r="2" spans="1:4" ht="23.25">
      <c r="A2" s="29" t="s">
        <v>196</v>
      </c>
      <c r="B2" s="29" t="s">
        <v>197</v>
      </c>
    </row>
    <row r="3" spans="1:4" ht="23.25">
      <c r="A3" s="29" t="s">
        <v>198</v>
      </c>
      <c r="B3" s="30">
        <v>44044</v>
      </c>
    </row>
    <row r="4" spans="1:4" ht="15.75" thickBot="1"/>
    <row r="5" spans="1:4" ht="15.75" thickBot="1">
      <c r="A5" s="25" t="s">
        <v>186</v>
      </c>
      <c r="B5" s="26" t="s">
        <v>199</v>
      </c>
      <c r="C5" s="26" t="s">
        <v>200</v>
      </c>
      <c r="D5" s="27" t="s">
        <v>201</v>
      </c>
    </row>
    <row r="6" spans="1:4" ht="30">
      <c r="A6" s="7" t="s">
        <v>202</v>
      </c>
      <c r="B6" s="18">
        <v>7.0000000000000007E-2</v>
      </c>
      <c r="C6" s="77">
        <f>SUM(BASE!G67)</f>
        <v>215248</v>
      </c>
      <c r="D6" s="8">
        <f>C6*B6</f>
        <v>15067.36</v>
      </c>
    </row>
    <row r="7" spans="1:4" ht="30">
      <c r="A7" s="5" t="s">
        <v>203</v>
      </c>
      <c r="B7" s="19">
        <v>2.5000000000000001E-2</v>
      </c>
      <c r="C7" s="78">
        <f>SUM(BASE!H67)</f>
        <v>143500</v>
      </c>
      <c r="D7" s="9">
        <f>C7*B7</f>
        <v>3587.5</v>
      </c>
    </row>
    <row r="8" spans="1:4" ht="30">
      <c r="A8" s="21" t="s">
        <v>204</v>
      </c>
      <c r="B8" s="19">
        <v>0.7</v>
      </c>
      <c r="C8" s="78">
        <f>SUM(BASE!I67)</f>
        <v>13200</v>
      </c>
      <c r="D8" s="9">
        <f>C8*B8</f>
        <v>9240</v>
      </c>
    </row>
    <row r="9" spans="1:4" ht="30.75" thickBot="1">
      <c r="A9" s="22" t="s">
        <v>205</v>
      </c>
      <c r="B9" s="20">
        <v>0.25</v>
      </c>
      <c r="C9" s="79">
        <f>SUM(BASE!J67)</f>
        <v>8800</v>
      </c>
      <c r="D9" s="10">
        <f>C9*B9</f>
        <v>2200</v>
      </c>
    </row>
    <row r="11" spans="1:4" ht="15.75" thickBot="1"/>
    <row r="12" spans="1:4" ht="15.75" thickBot="1">
      <c r="A12" s="118" t="s">
        <v>206</v>
      </c>
      <c r="B12" s="119"/>
      <c r="C12" s="120" t="s">
        <v>207</v>
      </c>
      <c r="D12" s="121"/>
    </row>
    <row r="13" spans="1:4">
      <c r="A13" s="15" t="s">
        <v>208</v>
      </c>
      <c r="B13" s="16">
        <f>IF((SUM(BASE!$K2:$K60)+(SUM(BASE!$L2:$L60)*2))&gt;=$C$6,$C$6,(SUM(BASE!$K2:$K60)+(SUM(BASE!$L2:$L60)*2)))</f>
        <v>215248</v>
      </c>
      <c r="C13" s="17" t="s">
        <v>208</v>
      </c>
      <c r="D13" s="16">
        <f>IF((SUM(BASE!$M2:$M54)+(SUM(BASE!$N2:$N60)*2))&gt;=$C$8,$C$8,(SUM(BASE!$M2:$M60)+(SUM(BASE!$N2:$N60)*2)))</f>
        <v>13200</v>
      </c>
    </row>
    <row r="14" spans="1:4">
      <c r="A14" s="6" t="s">
        <v>209</v>
      </c>
      <c r="B14" s="14">
        <f>$D$6</f>
        <v>15067.36</v>
      </c>
      <c r="C14" s="11" t="s">
        <v>209</v>
      </c>
      <c r="D14" s="14">
        <f>$D$8</f>
        <v>9240</v>
      </c>
    </row>
    <row r="15" spans="1:4">
      <c r="A15" s="6" t="s">
        <v>210</v>
      </c>
      <c r="B15" s="13">
        <f>IF((SUM(BASE!$K2:$K60)+(SUM(BASE!$L2:$L60)*2))&gt;$C$6,(SUM(BASE!$K2:$K60)+(SUM(BASE!$L2:$L60)*2))-$C$6,0)</f>
        <v>42454</v>
      </c>
      <c r="C15" s="11" t="s">
        <v>210</v>
      </c>
      <c r="D15" s="13">
        <f>IF((SUM(BASE!$M2:$M60)+(SUM(BASE!$N2:$N60)*2))&gt;$C$8,(SUM(BASE!$M2:$M60)+(SUM(BASE!$N2:$N60)*2))-$C$8,0)</f>
        <v>1593</v>
      </c>
    </row>
    <row r="16" spans="1:4" ht="15.75" thickBot="1">
      <c r="A16" s="6" t="s">
        <v>211</v>
      </c>
      <c r="B16" s="23">
        <f>$B$15*$B$7</f>
        <v>1061.3500000000001</v>
      </c>
      <c r="C16" s="12" t="s">
        <v>211</v>
      </c>
      <c r="D16" s="28">
        <f>$D$15*$B$9</f>
        <v>398.25</v>
      </c>
    </row>
    <row r="17" spans="1:10" ht="15.75" thickBot="1">
      <c r="A17" s="122" t="s">
        <v>212</v>
      </c>
      <c r="B17" s="123"/>
      <c r="C17" s="124" t="s">
        <v>213</v>
      </c>
      <c r="D17" s="125"/>
    </row>
    <row r="18" spans="1:10" ht="16.5" thickBot="1">
      <c r="A18" s="126">
        <f>SUM($B$14,$B$16)</f>
        <v>16128.710000000001</v>
      </c>
      <c r="B18" s="127"/>
      <c r="C18" s="128">
        <f>SUM($D$14,$D$16)</f>
        <v>9638.25</v>
      </c>
      <c r="D18" s="127"/>
    </row>
    <row r="19" spans="1:10" ht="16.5" thickBot="1">
      <c r="A19" s="24"/>
      <c r="B19" s="24"/>
      <c r="C19" s="24"/>
      <c r="D19" s="24"/>
    </row>
    <row r="20" spans="1:10" ht="16.5" thickBot="1">
      <c r="A20" s="112" t="s">
        <v>214</v>
      </c>
      <c r="B20" s="113"/>
      <c r="C20" s="114"/>
      <c r="D20" s="115"/>
    </row>
    <row r="21" spans="1:10" ht="16.5" thickBot="1">
      <c r="A21" s="112" t="s">
        <v>215</v>
      </c>
      <c r="B21" s="113"/>
      <c r="C21" s="116"/>
      <c r="D21" s="117"/>
    </row>
    <row r="22" spans="1:10" ht="15.75" thickBot="1">
      <c r="A22" s="1"/>
      <c r="B22" s="1"/>
      <c r="C22" s="1"/>
      <c r="D22" s="1"/>
    </row>
    <row r="23" spans="1:10" ht="28.5" thickBot="1">
      <c r="A23" s="108" t="s">
        <v>216</v>
      </c>
      <c r="B23" s="109"/>
      <c r="C23" s="110">
        <f>SUM(A18:D18)+C21-C20</f>
        <v>25766.959999999999</v>
      </c>
      <c r="D23" s="111"/>
    </row>
    <row r="25" spans="1:10">
      <c r="A25" s="107" t="str">
        <f>IF(B13&lt;C6,"Favor atentar para o correto dimensionamento do recurso de impressão, pois o volume impresso está abaixo da franquia monocromática contratada!","")</f>
        <v/>
      </c>
      <c r="B25" s="107"/>
      <c r="C25" s="107"/>
      <c r="D25" s="107"/>
      <c r="E25" s="107"/>
      <c r="F25" s="107"/>
      <c r="G25" s="107"/>
      <c r="H25" s="107"/>
      <c r="I25" s="107"/>
      <c r="J25" s="107"/>
    </row>
    <row r="26" spans="1:10">
      <c r="A26" s="107" t="str">
        <f>IF(D13&lt;C8,"Favor atentar para o correto dimensionamento do recurso de impressão, pois o volume impresso está abaixo da franquia color contratada!","")</f>
        <v/>
      </c>
      <c r="B26" s="107"/>
      <c r="C26" s="107"/>
      <c r="D26" s="107"/>
      <c r="E26" s="107"/>
      <c r="F26" s="107"/>
      <c r="G26" s="107"/>
      <c r="H26" s="107"/>
      <c r="I26" s="107"/>
      <c r="J26" s="107"/>
    </row>
    <row r="27" spans="1:10">
      <c r="A27" s="107" t="str">
        <f>IF(D15&gt;C9,"Favor atentar para o uso do recurso de impressão, pois o volume policromático impresso está acima da volumetria total contratada!","")</f>
        <v/>
      </c>
      <c r="B27" s="107"/>
      <c r="C27" s="107"/>
      <c r="D27" s="107"/>
      <c r="E27" s="107"/>
      <c r="F27" s="107"/>
      <c r="G27" s="107"/>
      <c r="H27" s="107"/>
      <c r="I27" s="107"/>
      <c r="J27" s="107"/>
    </row>
    <row r="28" spans="1:10">
      <c r="A28" s="107" t="str">
        <f>IF(B16&gt;C8,"Favor atentar para o uso do recurso de impressão, pois o volume monocromático impresso está acima da volumetria total contratada!","")</f>
        <v/>
      </c>
      <c r="B28" s="107"/>
      <c r="C28" s="107"/>
      <c r="D28" s="107"/>
      <c r="E28" s="107"/>
      <c r="F28" s="107"/>
      <c r="G28" s="107"/>
      <c r="H28" s="107"/>
      <c r="I28" s="107"/>
      <c r="J28" s="107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7"/>
  <sheetViews>
    <sheetView showGridLines="0" workbookViewId="0">
      <selection activeCell="E25" sqref="E25"/>
    </sheetView>
  </sheetViews>
  <sheetFormatPr defaultRowHeight="1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>
      <c r="A1" s="131" t="s">
        <v>217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1:15" ht="16.5" thickBot="1">
      <c r="A2" s="32" t="s">
        <v>218</v>
      </c>
      <c r="H2" s="33" t="s">
        <v>219</v>
      </c>
      <c r="I2" s="33"/>
      <c r="J2" s="33"/>
      <c r="K2" s="33"/>
      <c r="L2" s="33"/>
      <c r="M2" s="33"/>
      <c r="N2" s="33"/>
      <c r="O2" s="33"/>
    </row>
    <row r="3" spans="1:15">
      <c r="A3" s="132" t="s">
        <v>220</v>
      </c>
      <c r="B3" s="133"/>
      <c r="C3" s="134"/>
      <c r="D3" s="34">
        <v>215248</v>
      </c>
      <c r="H3" s="33" t="s">
        <v>221</v>
      </c>
      <c r="I3" s="33"/>
      <c r="J3" s="33"/>
      <c r="K3" s="33"/>
      <c r="L3" s="33"/>
      <c r="M3" s="33"/>
      <c r="N3" s="33"/>
      <c r="O3" s="33"/>
    </row>
    <row r="4" spans="1:15">
      <c r="A4" s="135" t="s">
        <v>222</v>
      </c>
      <c r="B4" s="136"/>
      <c r="C4" s="137"/>
      <c r="D4" s="35">
        <v>14640.64</v>
      </c>
      <c r="H4" s="33" t="s">
        <v>223</v>
      </c>
      <c r="I4" s="33"/>
      <c r="J4" s="33"/>
      <c r="K4" s="33"/>
      <c r="L4" s="33"/>
      <c r="M4" s="33"/>
      <c r="N4" s="33"/>
      <c r="O4" s="33"/>
    </row>
    <row r="5" spans="1:15" ht="15.75" thickBot="1">
      <c r="A5" s="138" t="s">
        <v>224</v>
      </c>
      <c r="B5" s="139"/>
      <c r="C5" s="140"/>
      <c r="D5" s="36">
        <v>0.02</v>
      </c>
      <c r="H5" s="33" t="s">
        <v>225</v>
      </c>
      <c r="I5" s="33"/>
      <c r="J5" s="33"/>
      <c r="K5" s="33"/>
      <c r="L5" s="33"/>
      <c r="M5" s="33"/>
      <c r="N5" s="33"/>
      <c r="O5" s="33"/>
    </row>
    <row r="6" spans="1:15" ht="15" customHeight="1">
      <c r="A6" s="37"/>
      <c r="B6" s="38" t="s">
        <v>226</v>
      </c>
      <c r="C6" s="39" t="s">
        <v>227</v>
      </c>
      <c r="D6" s="40" t="s">
        <v>228</v>
      </c>
      <c r="E6" s="40" t="s">
        <v>229</v>
      </c>
      <c r="F6" s="40" t="s">
        <v>230</v>
      </c>
      <c r="H6" s="33" t="s">
        <v>231</v>
      </c>
      <c r="I6" s="33"/>
      <c r="J6" s="33"/>
      <c r="K6" s="33"/>
      <c r="L6" s="33"/>
      <c r="M6" s="33"/>
      <c r="N6" s="33"/>
      <c r="O6" s="33"/>
    </row>
    <row r="7" spans="1:15">
      <c r="A7" s="41" t="s">
        <v>232</v>
      </c>
      <c r="B7" s="70">
        <f>$D$3</f>
        <v>215248</v>
      </c>
      <c r="C7" s="73">
        <f>SUM(CONSOLIDADO!B13,CONSOLIDADO!B15)</f>
        <v>257702</v>
      </c>
      <c r="D7" s="42">
        <f>$D$4</f>
        <v>14640.64</v>
      </c>
      <c r="E7" s="42">
        <f>IF(C7-B7&lt;0,0,(C7-B7)*$D$5)</f>
        <v>849.08</v>
      </c>
      <c r="F7" s="42">
        <f>E7+D7</f>
        <v>15489.72</v>
      </c>
      <c r="H7" s="33" t="s">
        <v>233</v>
      </c>
      <c r="I7" s="33"/>
      <c r="J7" s="33"/>
      <c r="K7" s="33"/>
      <c r="L7" s="33"/>
      <c r="M7" s="33"/>
      <c r="N7" s="33"/>
      <c r="O7" s="33"/>
    </row>
    <row r="8" spans="1:15">
      <c r="A8" s="41" t="s">
        <v>234</v>
      </c>
      <c r="B8" s="70">
        <f t="shared" ref="B8:B12" si="0">$D$3</f>
        <v>215248</v>
      </c>
      <c r="C8" s="73">
        <v>252000</v>
      </c>
      <c r="D8" s="42">
        <f t="shared" ref="D8:D12" si="1">$D$4</f>
        <v>14640.64</v>
      </c>
      <c r="E8" s="42">
        <f t="shared" ref="E8:E12" si="2">IF(C8-B8&lt;0,0,(C8-B8)*$D$5)</f>
        <v>735.04</v>
      </c>
      <c r="F8" s="42">
        <f t="shared" ref="F8:F11" si="3">E8+D8</f>
        <v>15375.68</v>
      </c>
      <c r="H8" s="141" t="s">
        <v>235</v>
      </c>
      <c r="I8" s="141"/>
      <c r="J8" s="141"/>
      <c r="K8" s="141"/>
      <c r="L8" s="141"/>
      <c r="M8" s="141"/>
      <c r="N8" s="141"/>
      <c r="O8" s="141"/>
    </row>
    <row r="9" spans="1:15">
      <c r="A9" s="41" t="s">
        <v>236</v>
      </c>
      <c r="B9" s="70">
        <f t="shared" si="0"/>
        <v>215248</v>
      </c>
      <c r="C9" s="73">
        <v>10000</v>
      </c>
      <c r="D9" s="42">
        <f t="shared" si="1"/>
        <v>14640.64</v>
      </c>
      <c r="E9" s="42">
        <f t="shared" si="2"/>
        <v>0</v>
      </c>
      <c r="F9" s="42">
        <f t="shared" si="3"/>
        <v>14640.64</v>
      </c>
      <c r="H9" s="141"/>
      <c r="I9" s="141"/>
      <c r="J9" s="141"/>
      <c r="K9" s="141"/>
      <c r="L9" s="141"/>
      <c r="M9" s="141"/>
      <c r="N9" s="141"/>
      <c r="O9" s="141"/>
    </row>
    <row r="10" spans="1:15">
      <c r="A10" s="41" t="s">
        <v>237</v>
      </c>
      <c r="B10" s="70">
        <f t="shared" si="0"/>
        <v>215248</v>
      </c>
      <c r="C10" s="73">
        <v>252000</v>
      </c>
      <c r="D10" s="42">
        <f t="shared" si="1"/>
        <v>14640.64</v>
      </c>
      <c r="E10" s="42">
        <f t="shared" si="2"/>
        <v>735.04</v>
      </c>
      <c r="F10" s="42">
        <f t="shared" si="3"/>
        <v>15375.68</v>
      </c>
      <c r="H10" s="141"/>
      <c r="I10" s="141"/>
      <c r="J10" s="141"/>
      <c r="K10" s="141"/>
      <c r="L10" s="141"/>
      <c r="M10" s="141"/>
      <c r="N10" s="141"/>
      <c r="O10" s="141"/>
    </row>
    <row r="11" spans="1:15" ht="15.75" thickBot="1">
      <c r="A11" s="41" t="s">
        <v>238</v>
      </c>
      <c r="B11" s="70">
        <f t="shared" si="0"/>
        <v>215248</v>
      </c>
      <c r="C11" s="73">
        <v>252000</v>
      </c>
      <c r="D11" s="42">
        <f t="shared" si="1"/>
        <v>14640.64</v>
      </c>
      <c r="E11" s="42">
        <f t="shared" si="2"/>
        <v>735.04</v>
      </c>
      <c r="F11" s="42">
        <f t="shared" si="3"/>
        <v>15375.68</v>
      </c>
      <c r="G11" s="43" t="s">
        <v>239</v>
      </c>
      <c r="H11" s="43" t="s">
        <v>240</v>
      </c>
    </row>
    <row r="12" spans="1:15" ht="15.75" thickBot="1">
      <c r="A12" s="44" t="s">
        <v>241</v>
      </c>
      <c r="B12" s="71">
        <f t="shared" si="0"/>
        <v>215248</v>
      </c>
      <c r="C12" s="73">
        <v>300000</v>
      </c>
      <c r="D12" s="45">
        <f t="shared" si="1"/>
        <v>14640.64</v>
      </c>
      <c r="E12" s="45">
        <f t="shared" si="2"/>
        <v>1695.04</v>
      </c>
      <c r="F12" s="46">
        <f>E12+D12</f>
        <v>16335.68</v>
      </c>
      <c r="G12" s="47">
        <f>IF(C13&gt;B13,E13-C15,E13)</f>
        <v>4104.96</v>
      </c>
      <c r="H12" s="48">
        <f>F12-G12</f>
        <v>12230.720000000001</v>
      </c>
    </row>
    <row r="13" spans="1:15" ht="19.5" thickBot="1">
      <c r="A13" s="49" t="s">
        <v>242</v>
      </c>
      <c r="B13" s="72">
        <f>SUM(B7:B12)</f>
        <v>1291488</v>
      </c>
      <c r="C13" s="74">
        <f>SUM(C7:C12)</f>
        <v>1323702</v>
      </c>
      <c r="D13" s="52">
        <f>SUM(D7:D12)</f>
        <v>87843.839999999997</v>
      </c>
      <c r="E13" s="53">
        <f>SUM(E7:E12)</f>
        <v>4749.24</v>
      </c>
      <c r="F13" s="142" t="s">
        <v>243</v>
      </c>
      <c r="G13" s="143"/>
      <c r="H13" s="54">
        <f>SUM(F7:F11)+H12</f>
        <v>88488.12</v>
      </c>
    </row>
    <row r="14" spans="1:15" ht="15.75" thickBot="1">
      <c r="A14" s="129" t="s">
        <v>244</v>
      </c>
      <c r="B14" s="130"/>
      <c r="C14" s="75">
        <f>C13-B13</f>
        <v>32214</v>
      </c>
      <c r="G14" s="56"/>
    </row>
    <row r="15" spans="1:15" ht="15.75" thickBot="1">
      <c r="C15" s="57">
        <f>IF(C14&lt;0,0,C14*$D$5)</f>
        <v>644.28</v>
      </c>
    </row>
    <row r="16" spans="1:15" ht="15.75" thickBot="1"/>
    <row r="17" spans="1:10" ht="15.75" thickBot="1">
      <c r="A17" s="50"/>
      <c r="B17" s="58" t="s">
        <v>245</v>
      </c>
      <c r="C17" s="59" t="s">
        <v>246</v>
      </c>
      <c r="F17" s="33" t="s">
        <v>247</v>
      </c>
    </row>
    <row r="18" spans="1:10" ht="15.75" thickBot="1">
      <c r="A18" s="51"/>
      <c r="B18" s="60" t="s">
        <v>248</v>
      </c>
      <c r="C18" s="61" t="s">
        <v>249</v>
      </c>
    </row>
    <row r="19" spans="1:10" ht="15.75" thickBot="1">
      <c r="A19" s="62"/>
      <c r="B19" s="60" t="s">
        <v>250</v>
      </c>
      <c r="C19" s="61" t="s">
        <v>251</v>
      </c>
    </row>
    <row r="20" spans="1:10" ht="15.75" thickBot="1">
      <c r="A20" s="55"/>
      <c r="B20" s="63" t="s">
        <v>252</v>
      </c>
      <c r="C20" s="61" t="s">
        <v>253</v>
      </c>
      <c r="E20" s="64" t="s">
        <v>254</v>
      </c>
    </row>
    <row r="21" spans="1:10" ht="15.75" thickBot="1">
      <c r="A21" s="65"/>
      <c r="B21" s="63" t="s">
        <v>255</v>
      </c>
      <c r="C21" s="61" t="s">
        <v>256</v>
      </c>
      <c r="E21" s="64" t="s">
        <v>257</v>
      </c>
      <c r="F21" s="59"/>
      <c r="G21" s="59"/>
    </row>
    <row r="22" spans="1:10" ht="15.75" thickBot="1">
      <c r="A22" s="66"/>
      <c r="B22" s="63" t="s">
        <v>239</v>
      </c>
      <c r="C22" s="61" t="s">
        <v>258</v>
      </c>
      <c r="E22" s="67" t="s">
        <v>259</v>
      </c>
      <c r="F22" s="61"/>
      <c r="G22" s="61"/>
    </row>
    <row r="23" spans="1:10" ht="15.75" thickBot="1">
      <c r="A23" s="68"/>
      <c r="B23" s="63" t="s">
        <v>240</v>
      </c>
      <c r="C23" s="61" t="s">
        <v>260</v>
      </c>
      <c r="E23" s="59" t="s">
        <v>261</v>
      </c>
      <c r="F23" s="59"/>
      <c r="G23" s="59"/>
      <c r="H23" s="59"/>
      <c r="I23" s="59"/>
      <c r="J23" s="59"/>
    </row>
    <row r="27" spans="1:10">
      <c r="E27" s="56">
        <f>H13/C13</f>
        <v>6.6848973560514377E-2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44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>
      <selection activeCell="D4" sqref="D4"/>
    </sheetView>
  </sheetViews>
  <sheetFormatPr defaultRowHeight="1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>
      <c r="A1" s="131" t="s">
        <v>217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1:15" ht="16.5" thickBot="1">
      <c r="A2" s="32" t="s">
        <v>218</v>
      </c>
      <c r="H2" s="33" t="s">
        <v>219</v>
      </c>
      <c r="I2" s="33"/>
      <c r="J2" s="33"/>
      <c r="K2" s="33"/>
      <c r="L2" s="33"/>
      <c r="M2" s="33"/>
      <c r="N2" s="33"/>
      <c r="O2" s="33"/>
    </row>
    <row r="3" spans="1:15">
      <c r="A3" s="132" t="s">
        <v>220</v>
      </c>
      <c r="B3" s="133"/>
      <c r="C3" s="134"/>
      <c r="D3" s="76">
        <f>SUM(BASE!I67)</f>
        <v>13200</v>
      </c>
      <c r="H3" s="33" t="s">
        <v>221</v>
      </c>
      <c r="I3" s="33"/>
      <c r="J3" s="33"/>
      <c r="K3" s="33"/>
      <c r="L3" s="33"/>
      <c r="M3" s="33"/>
      <c r="N3" s="33"/>
      <c r="O3" s="33"/>
    </row>
    <row r="4" spans="1:15">
      <c r="A4" s="135" t="s">
        <v>222</v>
      </c>
      <c r="B4" s="136"/>
      <c r="C4" s="137"/>
      <c r="D4" s="35">
        <f>SUM(CONSOLIDADO!D8)</f>
        <v>9240</v>
      </c>
      <c r="H4" s="33" t="s">
        <v>223</v>
      </c>
      <c r="I4" s="33"/>
      <c r="J4" s="33"/>
      <c r="K4" s="33"/>
      <c r="L4" s="33"/>
      <c r="M4" s="33"/>
      <c r="N4" s="33"/>
      <c r="O4" s="33"/>
    </row>
    <row r="5" spans="1:15" ht="15.75" thickBot="1">
      <c r="A5" s="138" t="s">
        <v>224</v>
      </c>
      <c r="B5" s="139"/>
      <c r="C5" s="140"/>
      <c r="D5" s="36">
        <f>SUM(CONSOLIDADO!B9)</f>
        <v>0.25</v>
      </c>
      <c r="H5" s="33" t="s">
        <v>225</v>
      </c>
      <c r="I5" s="33"/>
      <c r="J5" s="33"/>
      <c r="K5" s="33"/>
      <c r="L5" s="33"/>
      <c r="M5" s="33"/>
      <c r="N5" s="33"/>
      <c r="O5" s="33"/>
    </row>
    <row r="6" spans="1:15" ht="18" customHeight="1">
      <c r="A6" s="37"/>
      <c r="B6" s="38" t="s">
        <v>262</v>
      </c>
      <c r="C6" s="39" t="s">
        <v>263</v>
      </c>
      <c r="D6" s="40" t="s">
        <v>228</v>
      </c>
      <c r="E6" s="40" t="s">
        <v>229</v>
      </c>
      <c r="F6" s="40" t="s">
        <v>230</v>
      </c>
      <c r="H6" s="33" t="s">
        <v>231</v>
      </c>
      <c r="I6" s="33"/>
      <c r="J6" s="33"/>
      <c r="K6" s="33"/>
      <c r="L6" s="33"/>
      <c r="M6" s="33"/>
      <c r="N6" s="33"/>
      <c r="O6" s="33"/>
    </row>
    <row r="7" spans="1:15">
      <c r="A7" s="41" t="s">
        <v>232</v>
      </c>
      <c r="B7" s="70">
        <f>$D$3</f>
        <v>13200</v>
      </c>
      <c r="C7" s="73">
        <f>SUM(CONSOLIDADO!D13,CONSOLIDADO!D15)</f>
        <v>14793</v>
      </c>
      <c r="D7" s="42">
        <f>$D$4</f>
        <v>9240</v>
      </c>
      <c r="E7" s="42">
        <f>IF(C7-B7&lt;0,0,(C7-B7)*$D$5)</f>
        <v>398.25</v>
      </c>
      <c r="F7" s="42">
        <f>E7+D7</f>
        <v>9638.25</v>
      </c>
      <c r="H7" s="33" t="s">
        <v>233</v>
      </c>
      <c r="I7" s="33"/>
      <c r="J7" s="33"/>
      <c r="K7" s="33"/>
      <c r="L7" s="33"/>
      <c r="M7" s="33"/>
      <c r="N7" s="33"/>
      <c r="O7" s="33"/>
    </row>
    <row r="8" spans="1:15">
      <c r="A8" s="41" t="s">
        <v>234</v>
      </c>
      <c r="B8" s="70">
        <f t="shared" ref="B8:B12" si="0">$D$3</f>
        <v>13200</v>
      </c>
      <c r="C8" s="73">
        <v>15000</v>
      </c>
      <c r="D8" s="42">
        <f t="shared" ref="D8:D12" si="1">$D$4</f>
        <v>9240</v>
      </c>
      <c r="E8" s="42">
        <f t="shared" ref="E8:E12" si="2">IF(C8-B8&lt;0,0,(C8-B8)*$D$5)</f>
        <v>450</v>
      </c>
      <c r="F8" s="42">
        <f t="shared" ref="F8:F11" si="3">E8+D8</f>
        <v>9690</v>
      </c>
      <c r="H8" s="141" t="s">
        <v>235</v>
      </c>
      <c r="I8" s="141"/>
      <c r="J8" s="141"/>
      <c r="K8" s="141"/>
      <c r="L8" s="141"/>
      <c r="M8" s="141"/>
      <c r="N8" s="141"/>
      <c r="O8" s="141"/>
    </row>
    <row r="9" spans="1:15">
      <c r="A9" s="41" t="s">
        <v>236</v>
      </c>
      <c r="B9" s="70">
        <f t="shared" si="0"/>
        <v>13200</v>
      </c>
      <c r="C9" s="73">
        <v>15000</v>
      </c>
      <c r="D9" s="42">
        <f t="shared" si="1"/>
        <v>9240</v>
      </c>
      <c r="E9" s="42">
        <f t="shared" si="2"/>
        <v>450</v>
      </c>
      <c r="F9" s="42">
        <f t="shared" si="3"/>
        <v>9690</v>
      </c>
      <c r="H9" s="141"/>
      <c r="I9" s="141"/>
      <c r="J9" s="141"/>
      <c r="K9" s="141"/>
      <c r="L9" s="141"/>
      <c r="M9" s="141"/>
      <c r="N9" s="141"/>
      <c r="O9" s="141"/>
    </row>
    <row r="10" spans="1:15">
      <c r="A10" s="41" t="s">
        <v>237</v>
      </c>
      <c r="B10" s="70">
        <f t="shared" si="0"/>
        <v>13200</v>
      </c>
      <c r="C10" s="73">
        <v>14000</v>
      </c>
      <c r="D10" s="42">
        <f t="shared" si="1"/>
        <v>9240</v>
      </c>
      <c r="E10" s="42">
        <f t="shared" si="2"/>
        <v>200</v>
      </c>
      <c r="F10" s="42">
        <f t="shared" si="3"/>
        <v>9440</v>
      </c>
      <c r="H10" s="141"/>
      <c r="I10" s="141"/>
      <c r="J10" s="141"/>
      <c r="K10" s="141"/>
      <c r="L10" s="141"/>
      <c r="M10" s="141"/>
      <c r="N10" s="141"/>
      <c r="O10" s="141"/>
    </row>
    <row r="11" spans="1:15" ht="15.75" thickBot="1">
      <c r="A11" s="41" t="s">
        <v>238</v>
      </c>
      <c r="B11" s="70">
        <f t="shared" si="0"/>
        <v>13200</v>
      </c>
      <c r="C11" s="73">
        <v>15000</v>
      </c>
      <c r="D11" s="42">
        <f t="shared" si="1"/>
        <v>9240</v>
      </c>
      <c r="E11" s="42">
        <f t="shared" si="2"/>
        <v>450</v>
      </c>
      <c r="F11" s="42">
        <f t="shared" si="3"/>
        <v>9690</v>
      </c>
      <c r="G11" s="43" t="s">
        <v>239</v>
      </c>
      <c r="H11" s="43" t="s">
        <v>240</v>
      </c>
    </row>
    <row r="12" spans="1:15" ht="15.75" thickBot="1">
      <c r="A12" s="44" t="s">
        <v>241</v>
      </c>
      <c r="B12" s="71">
        <f t="shared" si="0"/>
        <v>13200</v>
      </c>
      <c r="C12" s="73">
        <v>9700</v>
      </c>
      <c r="D12" s="45">
        <f t="shared" si="1"/>
        <v>9240</v>
      </c>
      <c r="E12" s="45">
        <f t="shared" si="2"/>
        <v>0</v>
      </c>
      <c r="F12" s="46">
        <f>E12+D12</f>
        <v>9240</v>
      </c>
      <c r="G12" s="47">
        <f>IF(C13&gt;B13,E13-C15,E13)</f>
        <v>875</v>
      </c>
      <c r="H12" s="48">
        <f>F12-G12</f>
        <v>8365</v>
      </c>
    </row>
    <row r="13" spans="1:15" ht="19.5" thickBot="1">
      <c r="A13" s="49" t="s">
        <v>242</v>
      </c>
      <c r="B13" s="72">
        <f>SUM(B7:B12)</f>
        <v>79200</v>
      </c>
      <c r="C13" s="74">
        <f>SUM(C7:C12)</f>
        <v>83493</v>
      </c>
      <c r="D13" s="52">
        <f>SUM(D7:D12)</f>
        <v>55440</v>
      </c>
      <c r="E13" s="53">
        <f>SUM(E7:E12)</f>
        <v>1948.25</v>
      </c>
      <c r="F13" s="142" t="s">
        <v>243</v>
      </c>
      <c r="G13" s="143"/>
      <c r="H13" s="54">
        <f>SUM(F7:F11)+H12</f>
        <v>56513.25</v>
      </c>
    </row>
    <row r="14" spans="1:15" ht="15.75" thickBot="1">
      <c r="A14" s="129" t="s">
        <v>244</v>
      </c>
      <c r="B14" s="130"/>
      <c r="C14" s="75">
        <f>C13-B13</f>
        <v>4293</v>
      </c>
      <c r="G14" s="56"/>
    </row>
    <row r="15" spans="1:15" ht="15.75" thickBot="1">
      <c r="C15" s="57">
        <f>IF(C14&lt;0,0,C14*$D$5)</f>
        <v>1073.25</v>
      </c>
    </row>
    <row r="16" spans="1:15" ht="15.75" thickBot="1"/>
    <row r="17" spans="1:10" ht="15.75" thickBot="1">
      <c r="A17" s="50"/>
      <c r="B17" s="58" t="s">
        <v>245</v>
      </c>
      <c r="C17" s="59" t="s">
        <v>246</v>
      </c>
      <c r="F17" s="33" t="s">
        <v>247</v>
      </c>
    </row>
    <row r="18" spans="1:10" ht="15.75" thickBot="1">
      <c r="A18" s="51"/>
      <c r="B18" s="60" t="s">
        <v>248</v>
      </c>
      <c r="C18" s="61" t="s">
        <v>249</v>
      </c>
    </row>
    <row r="19" spans="1:10" ht="15.75" thickBot="1">
      <c r="A19" s="62"/>
      <c r="B19" s="60" t="s">
        <v>250</v>
      </c>
      <c r="C19" s="61" t="s">
        <v>251</v>
      </c>
    </row>
    <row r="20" spans="1:10" ht="15.75" thickBot="1">
      <c r="A20" s="55"/>
      <c r="B20" s="63" t="s">
        <v>252</v>
      </c>
      <c r="C20" s="61" t="s">
        <v>253</v>
      </c>
      <c r="E20" s="64" t="s">
        <v>254</v>
      </c>
    </row>
    <row r="21" spans="1:10" ht="15.75" thickBot="1">
      <c r="A21" s="65"/>
      <c r="B21" s="63" t="s">
        <v>255</v>
      </c>
      <c r="C21" s="61" t="s">
        <v>256</v>
      </c>
      <c r="E21" s="64" t="s">
        <v>257</v>
      </c>
      <c r="F21" s="59"/>
      <c r="G21" s="59"/>
    </row>
    <row r="22" spans="1:10" ht="15.75" thickBot="1">
      <c r="A22" s="66"/>
      <c r="B22" s="63" t="s">
        <v>239</v>
      </c>
      <c r="C22" s="61" t="s">
        <v>258</v>
      </c>
      <c r="E22" s="67" t="s">
        <v>259</v>
      </c>
      <c r="F22" s="61"/>
      <c r="G22" s="61"/>
    </row>
    <row r="23" spans="1:10" ht="15.75" thickBot="1">
      <c r="A23" s="68"/>
      <c r="B23" s="63" t="s">
        <v>240</v>
      </c>
      <c r="C23" s="61" t="s">
        <v>260</v>
      </c>
      <c r="E23" s="59" t="s">
        <v>261</v>
      </c>
      <c r="F23" s="59"/>
      <c r="G23" s="59"/>
      <c r="H23" s="59"/>
      <c r="I23" s="59"/>
      <c r="J23" s="59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C45C41-E8DF-422B-B7D8-A7ACB502A8B9}"/>
</file>

<file path=customXml/itemProps2.xml><?xml version="1.0" encoding="utf-8"?>
<ds:datastoreItem xmlns:ds="http://schemas.openxmlformats.org/officeDocument/2006/customXml" ds:itemID="{CBC45640-7C85-4954-9A4D-576C88A82A0C}"/>
</file>

<file path=customXml/itemProps3.xml><?xml version="1.0" encoding="utf-8"?>
<ds:datastoreItem xmlns:ds="http://schemas.openxmlformats.org/officeDocument/2006/customXml" ds:itemID="{D15BD394-332D-4C3D-98FC-C5BC288213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EBSERH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2021-06-08T22:13:16Z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