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.pacheco\Downloads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C12" i="7" l="1"/>
  <c r="J65" i="4" l="1"/>
  <c r="K65" i="4" s="1"/>
  <c r="J67" i="4"/>
  <c r="K67" i="4" s="1"/>
  <c r="J68" i="4"/>
  <c r="K68" i="4" s="1"/>
  <c r="J69" i="4"/>
  <c r="K69" i="4" s="1"/>
  <c r="J70" i="4"/>
  <c r="K70" i="4" s="1"/>
  <c r="J66" i="4"/>
  <c r="K66" i="4" s="1"/>
  <c r="J63" i="4" l="1"/>
  <c r="K63" i="4" s="1"/>
  <c r="J64" i="4"/>
  <c r="K64" i="4" s="1"/>
  <c r="J60" i="4"/>
  <c r="K60" i="4" s="1"/>
  <c r="J61" i="4"/>
  <c r="K61" i="4" s="1"/>
  <c r="J62" i="4"/>
  <c r="K62" i="4" s="1"/>
  <c r="J59" i="4"/>
  <c r="K59" i="4" s="1"/>
  <c r="M47" i="4" l="1"/>
  <c r="M2" i="4"/>
  <c r="K47" i="4"/>
  <c r="K2" i="4"/>
  <c r="J58" i="4"/>
  <c r="K58" i="4" s="1"/>
  <c r="J56" i="4" l="1"/>
  <c r="K56" i="4" s="1"/>
  <c r="F76" i="4" l="1"/>
  <c r="H76" i="4" s="1"/>
  <c r="F77" i="4"/>
  <c r="H77" i="4" s="1"/>
  <c r="F78" i="4"/>
  <c r="H78" i="4" s="1"/>
  <c r="F79" i="4"/>
  <c r="J79" i="4" s="1"/>
  <c r="F80" i="4"/>
  <c r="J80" i="4" s="1"/>
  <c r="F75" i="4"/>
  <c r="G75" i="4" s="1"/>
  <c r="J51" i="4"/>
  <c r="K51" i="4" s="1"/>
  <c r="J49" i="4"/>
  <c r="K49" i="4" s="1"/>
  <c r="J50" i="4"/>
  <c r="K50" i="4" s="1"/>
  <c r="J45" i="4"/>
  <c r="K45" i="4" s="1"/>
  <c r="J35" i="4"/>
  <c r="K35" i="4" s="1"/>
  <c r="J48" i="4"/>
  <c r="K48" i="4" s="1"/>
  <c r="J24" i="4"/>
  <c r="K24" i="4" s="1"/>
  <c r="J25" i="4"/>
  <c r="K25" i="4" s="1"/>
  <c r="J55" i="4"/>
  <c r="K55" i="4" s="1"/>
  <c r="J18" i="4"/>
  <c r="K18" i="4" s="1"/>
  <c r="J43" i="4"/>
  <c r="K43" i="4" s="1"/>
  <c r="J37" i="4"/>
  <c r="K37" i="4" s="1"/>
  <c r="J33" i="4"/>
  <c r="K33" i="4" s="1"/>
  <c r="J17" i="4"/>
  <c r="K17" i="4" s="1"/>
  <c r="J21" i="4"/>
  <c r="K21" i="4" s="1"/>
  <c r="J44" i="4"/>
  <c r="K44" i="4" s="1"/>
  <c r="J31" i="4"/>
  <c r="K31" i="4" s="1"/>
  <c r="J30" i="4"/>
  <c r="K30" i="4" s="1"/>
  <c r="J40" i="4"/>
  <c r="K40" i="4" s="1"/>
  <c r="J23" i="4"/>
  <c r="K23" i="4" s="1"/>
  <c r="J14" i="4"/>
  <c r="K14" i="4" s="1"/>
  <c r="J10" i="4"/>
  <c r="K10" i="4" s="1"/>
  <c r="J20" i="4"/>
  <c r="K20" i="4" s="1"/>
  <c r="J42" i="4"/>
  <c r="K42" i="4" s="1"/>
  <c r="J13" i="4"/>
  <c r="K13" i="4" s="1"/>
  <c r="J3" i="4"/>
  <c r="K3" i="4" s="1"/>
  <c r="J19" i="4"/>
  <c r="K19" i="4" s="1"/>
  <c r="J7" i="4"/>
  <c r="K7" i="4" s="1"/>
  <c r="J39" i="4"/>
  <c r="K39" i="4" s="1"/>
  <c r="J16" i="4"/>
  <c r="K16" i="4" s="1"/>
  <c r="J11" i="4"/>
  <c r="K11" i="4" s="1"/>
  <c r="J8" i="4"/>
  <c r="K8" i="4" s="1"/>
  <c r="J36" i="4"/>
  <c r="K36" i="4" s="1"/>
  <c r="J26" i="4"/>
  <c r="K26" i="4" s="1"/>
  <c r="J41" i="4"/>
  <c r="K41" i="4" s="1"/>
  <c r="J5" i="4"/>
  <c r="K5" i="4" s="1"/>
  <c r="J32" i="4"/>
  <c r="K32" i="4" s="1"/>
  <c r="J28" i="4"/>
  <c r="K28" i="4" s="1"/>
  <c r="J27" i="4"/>
  <c r="K27" i="4" s="1"/>
  <c r="J15" i="4"/>
  <c r="K15" i="4" s="1"/>
  <c r="J29" i="4"/>
  <c r="K29" i="4" s="1"/>
  <c r="J6" i="4"/>
  <c r="K6" i="4" s="1"/>
  <c r="J22" i="4"/>
  <c r="K22" i="4" s="1"/>
  <c r="J46" i="4"/>
  <c r="K46" i="4" s="1"/>
  <c r="J4" i="4"/>
  <c r="K4" i="4" s="1"/>
  <c r="J9" i="4"/>
  <c r="K9" i="4" s="1"/>
  <c r="J38" i="4"/>
  <c r="K38" i="4" s="1"/>
  <c r="J12" i="4"/>
  <c r="K12" i="4" s="1"/>
  <c r="J34" i="4"/>
  <c r="K34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57" i="4"/>
  <c r="K57" i="4" s="1"/>
  <c r="J54" i="4"/>
  <c r="K54" i="4" s="1"/>
  <c r="D5" i="8"/>
  <c r="D13" i="5" l="1"/>
  <c r="D15" i="5"/>
  <c r="B8" i="8"/>
  <c r="B9" i="8"/>
  <c r="E9" i="8" s="1"/>
  <c r="B12" i="8"/>
  <c r="E12" i="8" s="1"/>
  <c r="B11" i="8"/>
  <c r="B7" i="8"/>
  <c r="E11" i="8" l="1"/>
  <c r="E10" i="8"/>
  <c r="E8" i="8"/>
  <c r="B13" i="8"/>
  <c r="C13" i="8" l="1"/>
  <c r="C14" i="8" s="1"/>
  <c r="C15" i="8" s="1"/>
  <c r="E7" i="8"/>
  <c r="E13" i="8" l="1"/>
  <c r="G12" i="8" s="1"/>
  <c r="J52" i="4" l="1"/>
  <c r="K52" i="4" s="1"/>
  <c r="J53" i="4"/>
  <c r="K53" i="4" s="1"/>
  <c r="B15" i="5" l="1"/>
  <c r="B13" i="5"/>
  <c r="D12" i="7"/>
  <c r="B12" i="7"/>
  <c r="E12" i="7" s="1"/>
  <c r="F12" i="7" s="1"/>
  <c r="D11" i="7"/>
  <c r="B11" i="7"/>
  <c r="D10" i="7"/>
  <c r="B10" i="7"/>
  <c r="D9" i="7"/>
  <c r="B9" i="7"/>
  <c r="E9" i="7" s="1"/>
  <c r="F9" i="7" s="1"/>
  <c r="D8" i="7"/>
  <c r="B8" i="7"/>
  <c r="D7" i="7"/>
  <c r="D13" i="7" s="1"/>
  <c r="B7" i="7"/>
  <c r="E7" i="7" s="1"/>
  <c r="E11" i="7" l="1"/>
  <c r="F11" i="7" s="1"/>
  <c r="E10" i="7"/>
  <c r="F10" i="7" s="1"/>
  <c r="B13" i="7"/>
  <c r="F7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A2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<sst xmlns="http://schemas.openxmlformats.org/spreadsheetml/2006/main" count="495" uniqueCount="294">
  <si>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</si>
  <si>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</si>
  <si>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</si>
  <si>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</si>
  <si>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</si>
  <si>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</si>
  <si>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</si>
  <si>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</si>
  <si>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</si>
  <si>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</si>
  <si>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</si>
  <si>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</si>
  <si>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</si>
  <si>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</si>
  <si>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</si>
  <si>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</si>
  <si>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</si>
  <si>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</si>
  <si>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</si>
  <si>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</si>
  <si>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</si>
  <si>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</si>
  <si>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</si>
  <si>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</si>
  <si>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</si>
  <si>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</si>
  <si>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</si>
  <si>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</si>
  <si>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</si>
  <si>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</si>
  <si>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</si>
  <si>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</si>
  <si>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</si>
  <si>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</si>
  <si>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</si>
  <si>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</si>
  <si>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</si>
  <si>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</si>
  <si>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</si>
  <si>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</si>
  <si>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</si>
  <si>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</si>
  <si>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</si>
  <si>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</si>
  <si>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</si>
  <si>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</si>
  <si>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</si>
  <si>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</si>
  <si>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</si>
  <si>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</si>
  <si>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</si>
  <si>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Mês 1</t>
  </si>
  <si>
    <t>5 - O valor a ser pago mensalmente estará na coluna "Valor Mensal"</t>
  </si>
  <si>
    <t>Mês 2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</si>
  <si>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</si>
  <si>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Mês 3</t>
  </si>
  <si>
    <t>Mês 4</t>
  </si>
  <si>
    <t>Mês 5</t>
  </si>
  <si>
    <t>Redução</t>
  </si>
  <si>
    <t>Novo Valor Pago</t>
  </si>
  <si>
    <t>Mês 6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</si>
  <si>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</si>
  <si>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</si>
  <si>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</si>
  <si>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</si>
  <si>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</si>
  <si>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</si>
  <si>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</si>
  <si>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</si>
  <si>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</si>
  <si>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</si>
  <si>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</si>
  <si>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</si>
  <si>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</si>
  <si>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</si>
  <si>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</si>
  <si>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</si>
  <si>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</si>
  <si>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</si>
  <si>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</si>
  <si>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</si>
  <si>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</si>
  <si>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</si>
  <si>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</si>
  <si>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</si>
  <si>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</si>
  <si>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</si>
  <si>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</si>
  <si>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</si>
  <si>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</si>
  <si>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</si>
  <si>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</si>
  <si>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</si>
  <si>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</si>
  <si>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</si>
  <si>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</si>
  <si>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</si>
  <si>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</si>
  <si>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</si>
  <si>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</si>
  <si>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</si>
  <si>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</si>
  <si>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</si>
  <si>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</si>
  <si>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</si>
  <si>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</si>
  <si>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</si>
  <si>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</si>
  <si>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</si>
  <si>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</si>
  <si>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</si>
  <si>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</si>
  <si>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</si>
  <si>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</si>
  <si>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</si>
  <si>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</si>
  <si>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</si>
  <si>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</si>
  <si>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</si>
  <si>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</si>
  <si>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</si>
  <si>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</si>
  <si>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</si>
  <si>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</si>
  <si>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</si>
  <si>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</si>
  <si>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</si>
  <si>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</si>
  <si>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</si>
  <si>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</si>
  <si>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</si>
  <si>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</si>
  <si>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</si>
  <si>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</si>
  <si>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</si>
  <si>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</si>
  <si>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</si>
  <si>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</si>
  <si>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</si>
  <si>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</si>
  <si>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</si>
  <si>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</si>
  <si>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</si>
  <si>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</si>
  <si>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</si>
  <si>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</si>
  <si>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</si>
  <si>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</si>
  <si>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</si>
  <si>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</si>
  <si>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</si>
  <si>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</si>
  <si>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</si>
  <si>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</si>
  <si>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</si>
  <si>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</si>
  <si>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</si>
  <si>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</si>
  <si>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</si>
  <si>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</si>
  <si>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</si>
  <si>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</si>
  <si>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</si>
  <si>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</si>
  <si>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</si>
  <si>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</si>
  <si>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</si>
  <si>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</si>
  <si>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</si>
  <si>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</si>
  <si>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</si>
  <si>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</si>
  <si>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</si>
  <si>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</si>
  <si>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</si>
  <si>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</si>
  <si>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</si>
  <si>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</si>
  <si>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</si>
  <si>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</si>
  <si>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</si>
  <si>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</si>
  <si>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</si>
  <si>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</si>
  <si>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</si>
  <si>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</si>
  <si>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</si>
  <si>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</si>
  <si>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</si>
  <si>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</si>
  <si>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</si>
  <si>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</si>
  <si>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</si>
  <si>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</si>
  <si>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</si>
  <si>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</si>
  <si>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</si>
  <si>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</si>
  <si>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</si>
  <si>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</si>
  <si>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</si>
  <si>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</si>
  <si>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</si>
  <si>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</si>
  <si>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</si>
  <si>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</si>
  <si>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</si>
  <si>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</si>
  <si>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</si>
  <si>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</si>
  <si>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</si>
  <si>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</si>
  <si>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</si>
  <si>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</si>
  <si>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</si>
  <si>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</si>
  <si>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</si>
  <si>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</si>
  <si>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</si>
  <si>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</si>
  <si>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</si>
  <si>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</si>
  <si>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</si>
  <si>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</si>
  <si>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</si>
  <si>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</si>
  <si>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</si>
  <si>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</si>
  <si>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</si>
  <si>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</si>
  <si>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</si>
  <si>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</si>
  <si>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</si>
  <si>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</si>
  <si>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</si>
  <si>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</si>
  <si>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</si>
  <si>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</si>
  <si>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</si>
  <si>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</si>
  <si>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</si>
  <si>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</si>
  <si>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</si>
  <si>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</si>
  <si>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</si>
  <si>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</si>
  <si>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ENDOSCOPIA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</si>
  <si>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</si>
  <si>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</si>
  <si>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</si>
  <si>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</si>
  <si>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</si>
  <si>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</si>
  <si>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</si>
  <si>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</si>
  <si>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</si>
  <si>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</si>
  <si>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</si>
  <si>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</si>
  <si>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</si>
  <si>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</si>
  <si>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</si>
  <si>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</si>
  <si>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</si>
  <si>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</si>
  <si>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</si>
  <si>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</si>
  <si>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</si>
  <si>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</si>
  <si>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</si>
  <si>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AMB FATURAMENTO</t>
  </si>
  <si>
    <t>U64210B0N382783</t>
  </si>
  <si>
    <t>10.42.205.11</t>
  </si>
  <si>
    <t>10.42.205.8</t>
  </si>
  <si>
    <t>AMBULATORIO_GUICHE</t>
  </si>
  <si>
    <t>CETROGEN</t>
  </si>
  <si>
    <t>10.42.205.80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</si>
  <si>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</si>
  <si>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</si>
  <si>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</si>
  <si>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</si>
  <si>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</si>
  <si>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</si>
  <si>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</si>
  <si>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</si>
  <si>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</si>
  <si>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</si>
  <si>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</si>
  <si>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</si>
  <si>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</si>
  <si>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</si>
  <si>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-</t>
  </si>
  <si>
    <t>guardada</t>
  </si>
  <si>
    <t>U64210B0N382647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</si>
</sst>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[$R$-416]\ #,##0.0000;\-[$R$-416]\ #,##0.0000"/>
    <numFmt numFmtId="166" formatCode="_(&quot;$&quot;* #,##0.00_);_(&quot;$&quot;* \(#,##0.00\);_(&quot;$&quot;* &quot;-&quot;??_);_(@_)"/>
    <numFmt numFmtId="167" formatCode="_(\$* #,##0.00_);_(\$* \(#,##0.00\);_(\$* \-??_);_(@_)"/>
    <numFmt numFmtId="168" formatCode="_-&quot;R$&quot;\ * #,##0.0000_-;\-&quot;R$&quot;\ * #,##0.0000_-;_-&quot;R$&quot;\ * &quot;-&quot;??_-;_-@_-"/>
    <numFmt numFmtId="169" formatCode="_-&quot;R$&quot;\ * #,##0.00_-;\-&quot;R$&quot;\ * #,##0.00_-;_-&quot;R$&quot;\ * &quot;-&quot;????_-;_-@_-"/>
    <numFmt numFmtId="170" formatCode="mmmm\,\ yyyy;@"/>
    <numFmt numFmtId="171" formatCode="_-&quot;R$&quot;\ * #,##0.00_-;\-&quot;R$&quot;\ * #,##0.00_-;_-&quot;R$&quot;\ * &quot;-&quot;???_-;_-@_-"/>
    <numFmt numFmtId="172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5" fontId="1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166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6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5" fontId="4" fillId="4" borderId="11" xfId="1" applyFont="1" applyFill="1" applyBorder="1" applyAlignment="1" applyProtection="1">
      <alignment horizontal="center" vertical="center" wrapText="1"/>
    </xf>
    <xf numFmtId="165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5" fontId="4" fillId="5" borderId="12" xfId="1" applyFont="1" applyFill="1" applyBorder="1" applyAlignment="1" applyProtection="1">
      <alignment horizontal="center" vertical="center" wrapText="1"/>
    </xf>
    <xf numFmtId="164" fontId="5" fillId="0" borderId="16" xfId="3" applyNumberFormat="1" applyFont="1" applyBorder="1" applyAlignment="1">
      <alignment horizontal="center" vertical="center"/>
    </xf>
    <xf numFmtId="164" fontId="5" fillId="0" borderId="19" xfId="3" applyNumberFormat="1" applyFont="1" applyBorder="1" applyAlignment="1">
      <alignment horizontal="center" vertical="center"/>
    </xf>
    <xf numFmtId="164" fontId="5" fillId="0" borderId="20" xfId="3" applyNumberFormat="1" applyFont="1" applyBorder="1" applyAlignment="1">
      <alignment horizontal="center" vertical="center"/>
    </xf>
    <xf numFmtId="165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16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5" fontId="4" fillId="5" borderId="10" xfId="1" applyFont="1" applyFill="1" applyBorder="1" applyAlignment="1" applyProtection="1">
      <alignment horizontal="center" wrapText="1"/>
    </xf>
    <xf numFmtId="168" fontId="5" fillId="0" borderId="13" xfId="3" applyNumberFormat="1" applyFont="1" applyBorder="1" applyAlignment="1" applyProtection="1">
      <alignment horizontal="center" vertical="center"/>
      <protection locked="0"/>
    </xf>
    <xf numFmtId="168" fontId="5" fillId="0" borderId="11" xfId="3" applyNumberFormat="1" applyFont="1" applyBorder="1" applyAlignment="1" applyProtection="1">
      <alignment horizontal="center" vertical="center"/>
      <protection locked="0"/>
    </xf>
    <xf numFmtId="168" fontId="5" fillId="0" borderId="15" xfId="3" applyNumberFormat="1" applyFont="1" applyBorder="1" applyAlignment="1" applyProtection="1">
      <alignment horizontal="center" vertical="center"/>
      <protection locked="0"/>
    </xf>
    <xf numFmtId="165" fontId="2" fillId="6" borderId="18" xfId="1" applyFont="1" applyFill="1" applyBorder="1" applyAlignment="1" applyProtection="1">
      <alignment horizontal="center" vertical="center" wrapText="1"/>
    </xf>
    <xf numFmtId="165" fontId="2" fillId="6" borderId="14" xfId="1" applyFont="1" applyFill="1" applyBorder="1" applyAlignment="1" applyProtection="1">
      <alignment horizontal="center" vertical="center" wrapText="1"/>
    </xf>
    <xf numFmtId="165" fontId="2" fillId="6" borderId="9" xfId="1" applyFont="1" applyFill="1" applyBorder="1" applyAlignment="1" applyProtection="1">
      <alignment horizontal="center" vertical="center" wrapText="1"/>
    </xf>
    <xf numFmtId="165" fontId="2" fillId="6" borderId="17" xfId="1" applyFont="1" applyFill="1" applyBorder="1" applyAlignment="1" applyProtection="1">
      <alignment horizontal="center" vertical="center" wrapText="1"/>
    </xf>
    <xf numFmtId="169" fontId="5" fillId="0" borderId="19" xfId="3" applyNumberFormat="1" applyFont="1" applyBorder="1" applyAlignment="1">
      <alignment horizontal="right"/>
    </xf>
    <xf numFmtId="164" fontId="8" fillId="2" borderId="0" xfId="3" applyNumberFormat="1" applyFont="1" applyFill="1" applyBorder="1" applyAlignment="1">
      <alignment horizontal="center" vertical="center"/>
    </xf>
    <xf numFmtId="165" fontId="4" fillId="4" borderId="27" xfId="1" applyFont="1" applyFill="1" applyBorder="1" applyAlignment="1" applyProtection="1">
      <alignment horizontal="center" vertical="center"/>
    </xf>
    <xf numFmtId="165" fontId="4" fillId="4" borderId="28" xfId="1" applyFont="1" applyFill="1" applyBorder="1" applyAlignment="1" applyProtection="1">
      <alignment horizontal="center" vertical="center"/>
    </xf>
    <xf numFmtId="165" fontId="4" fillId="4" borderId="29" xfId="1" applyFont="1" applyFill="1" applyBorder="1" applyAlignment="1" applyProtection="1">
      <alignment horizontal="center" vertical="center"/>
    </xf>
    <xf numFmtId="169" fontId="5" fillId="0" borderId="20" xfId="3" applyNumberFormat="1" applyFont="1" applyBorder="1" applyAlignment="1">
      <alignment horizontal="right"/>
    </xf>
    <xf numFmtId="0" fontId="15" fillId="0" borderId="0" xfId="0" applyFont="1"/>
    <xf numFmtId="170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16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16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0" fontId="10" fillId="8" borderId="24" xfId="0" applyFont="1" applyFill="1" applyBorder="1"/>
    <xf numFmtId="164" fontId="0" fillId="8" borderId="24" xfId="9" applyFont="1" applyFill="1" applyBorder="1"/>
    <xf numFmtId="164" fontId="11" fillId="5" borderId="30" xfId="9" applyFont="1" applyFill="1" applyBorder="1"/>
    <xf numFmtId="164" fontId="0" fillId="9" borderId="17" xfId="0" applyNumberFormat="1" applyFill="1" applyBorder="1"/>
    <xf numFmtId="16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164" fontId="0" fillId="8" borderId="17" xfId="9" applyFont="1" applyFill="1" applyBorder="1"/>
    <xf numFmtId="164" fontId="0" fillId="13" borderId="17" xfId="9" applyFont="1" applyFill="1" applyBorder="1"/>
    <xf numFmtId="164" fontId="16" fillId="14" borderId="6" xfId="0" applyNumberFormat="1" applyFont="1" applyFill="1" applyBorder="1"/>
    <xf numFmtId="0" fontId="0" fillId="15" borderId="17" xfId="0" applyFill="1" applyBorder="1"/>
    <xf numFmtId="164" fontId="0" fillId="0" borderId="0" xfId="0" applyNumberFormat="1"/>
    <xf numFmtId="171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2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5" fontId="4" fillId="4" borderId="24" xfId="1" applyFont="1" applyFill="1" applyBorder="1" applyAlignment="1" applyProtection="1">
      <alignment horizontal="center" vertical="center" wrapText="1"/>
    </xf>
    <xf numFmtId="165" fontId="4" fillId="4" borderId="24" xfId="1" applyFont="1" applyFill="1" applyBorder="1" applyAlignment="1" applyProtection="1">
      <alignment horizontal="center" vertical="center"/>
    </xf>
    <xf numFmtId="165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164" fontId="9" fillId="0" borderId="5" xfId="3" applyNumberFormat="1" applyFont="1" applyBorder="1" applyAlignment="1">
      <alignment horizontal="center" vertical="center"/>
    </xf>
    <xf numFmtId="164" fontId="9" fillId="0" borderId="6" xfId="3" applyNumberFormat="1" applyFont="1" applyBorder="1" applyAlignment="1">
      <alignment horizontal="center" vertical="center"/>
    </xf>
    <xf numFmtId="164" fontId="8" fillId="7" borderId="4" xfId="3" applyNumberFormat="1" applyFont="1" applyFill="1" applyBorder="1" applyAlignment="1">
      <alignment horizontal="left" vertical="center"/>
    </xf>
    <xf numFmtId="164" fontId="8" fillId="7" borderId="6" xfId="3" applyNumberFormat="1" applyFont="1" applyFill="1" applyBorder="1" applyAlignment="1">
      <alignment horizontal="left" vertical="center"/>
    </xf>
    <xf numFmtId="164" fontId="13" fillId="7" borderId="4" xfId="3" applyNumberFormat="1" applyFont="1" applyFill="1" applyBorder="1" applyAlignment="1" applyProtection="1">
      <alignment horizontal="center" vertical="center"/>
      <protection locked="0"/>
    </xf>
    <xf numFmtId="164" fontId="13" fillId="7" borderId="6" xfId="3" applyNumberFormat="1" applyFont="1" applyFill="1" applyBorder="1" applyAlignment="1" applyProtection="1">
      <alignment horizontal="center" vertical="center"/>
      <protection locked="0"/>
    </xf>
    <xf numFmtId="164" fontId="14" fillId="7" borderId="4" xfId="3" applyNumberFormat="1" applyFont="1" applyFill="1" applyBorder="1" applyAlignment="1" applyProtection="1">
      <alignment horizontal="center" vertical="center"/>
      <protection locked="0"/>
    </xf>
    <xf numFmtId="164" fontId="14" fillId="7" borderId="6" xfId="3" applyNumberFormat="1" applyFont="1" applyFill="1" applyBorder="1" applyAlignment="1" applyProtection="1">
      <alignment horizontal="center" vertical="center"/>
      <protection locked="0"/>
    </xf>
    <xf numFmtId="165" fontId="4" fillId="5" borderId="4" xfId="1" applyFont="1" applyFill="1" applyBorder="1" applyAlignment="1" applyProtection="1">
      <alignment horizontal="center" wrapText="1"/>
    </xf>
    <xf numFmtId="165" fontId="4" fillId="5" borderId="6" xfId="1" applyFont="1" applyFill="1" applyBorder="1" applyAlignment="1" applyProtection="1">
      <alignment horizontal="center" wrapText="1"/>
    </xf>
    <xf numFmtId="165" fontId="2" fillId="6" borderId="5" xfId="1" applyFont="1" applyFill="1" applyBorder="1" applyAlignment="1" applyProtection="1">
      <alignment horizontal="center" vertical="center" wrapText="1"/>
    </xf>
    <xf numFmtId="165" fontId="2" fillId="6" borderId="6" xfId="1" applyFont="1" applyFill="1" applyBorder="1" applyAlignment="1" applyProtection="1">
      <alignment horizontal="center" vertical="center" wrapText="1"/>
    </xf>
    <xf numFmtId="165" fontId="4" fillId="5" borderId="7" xfId="1" applyFont="1" applyFill="1" applyBorder="1" applyAlignment="1" applyProtection="1">
      <alignment horizontal="center" wrapText="1"/>
    </xf>
    <xf numFmtId="165" fontId="4" fillId="5" borderId="8" xfId="1" applyFont="1" applyFill="1" applyBorder="1" applyAlignment="1" applyProtection="1">
      <alignment horizontal="center" wrapText="1"/>
    </xf>
    <xf numFmtId="165" fontId="2" fillId="6" borderId="2" xfId="1" applyFont="1" applyFill="1" applyBorder="1" applyAlignment="1" applyProtection="1">
      <alignment horizontal="center" vertical="center" wrapText="1"/>
    </xf>
    <xf numFmtId="165" fontId="2" fillId="6" borderId="3" xfId="1" applyFont="1" applyFill="1" applyBorder="1" applyAlignment="1" applyProtection="1">
      <alignment horizontal="center" vertical="center" wrapText="1"/>
    </xf>
    <xf numFmtId="164" fontId="8" fillId="2" borderId="4" xfId="3" applyNumberFormat="1" applyFont="1" applyFill="1" applyBorder="1" applyAlignment="1">
      <alignment horizontal="center" vertical="center"/>
    </xf>
    <xf numFmtId="164" fontId="8" fillId="2" borderId="6" xfId="3" applyNumberFormat="1" applyFont="1" applyFill="1" applyBorder="1" applyAlignment="1">
      <alignment horizontal="center" vertical="center"/>
    </xf>
    <xf numFmtId="16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164" fontId="10" fillId="14" borderId="4" xfId="9" applyFont="1" applyFill="1" applyBorder="1" applyAlignment="1">
      <alignment horizontal="center"/>
    </xf>
    <xf numFmtId="16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topLeftCell="A32" zoomScaleNormal="100" workbookViewId="0">
      <selection activeCell="J2" sqref="J2:J64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245</v>
      </c>
      <c r="C1" s="83" t="s">
        <v>23</v>
      </c>
      <c r="D1" s="83" t="s">
        <v>21</v>
      </c>
      <c r="E1" s="84" t="s">
        <v>10</v>
      </c>
      <c r="F1" s="84" t="s">
        <v>1</v>
      </c>
      <c r="G1" s="84" t="s">
        <v>2</v>
      </c>
      <c r="H1" s="83" t="s">
        <v>24</v>
      </c>
      <c r="I1" s="83" t="s">
        <v>25</v>
      </c>
      <c r="J1" s="85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83</v>
      </c>
      <c r="B2" s="72">
        <v>1</v>
      </c>
      <c r="C2" s="2">
        <v>44046</v>
      </c>
      <c r="D2" s="86" t="s">
        <v>247</v>
      </c>
      <c r="E2" s="35" t="s">
        <v>240</v>
      </c>
      <c r="F2" s="35" t="s">
        <v>134</v>
      </c>
      <c r="G2" s="35" t="s">
        <v>187</v>
      </c>
      <c r="H2" s="35">
        <v>79467</v>
      </c>
      <c r="I2">
        <v>96639</v>
      </c>
      <c r="J2" s="87">
        <v>0</v>
      </c>
      <c r="K2" s="87">
        <f>J2</f>
        <v>0</v>
      </c>
      <c r="L2" s="3"/>
      <c r="M2" s="3">
        <f>I2-H2</f>
        <v>17172</v>
      </c>
      <c r="N2" s="3"/>
      <c r="O2" s="89"/>
      <c r="P2" s="35">
        <v>9</v>
      </c>
      <c r="Q2" s="35">
        <v>2020</v>
      </c>
    </row>
    <row r="3" spans="1:17" x14ac:dyDescent="0.25">
      <c r="A3" s="35" t="s">
        <v>84</v>
      </c>
      <c r="B3" s="72">
        <v>2</v>
      </c>
      <c r="C3" s="2">
        <v>44040</v>
      </c>
      <c r="D3" s="86" t="s">
        <v>248</v>
      </c>
      <c r="E3" s="35" t="s">
        <v>241</v>
      </c>
      <c r="F3" s="35" t="s">
        <v>135</v>
      </c>
      <c r="G3" s="35" t="s">
        <v>188</v>
      </c>
      <c r="H3" s="35">
        <v>20799</v>
      </c>
      <c r="I3" s="35">
        <v>25477</v>
      </c>
      <c r="J3" s="87">
        <f>I3-H3</f>
        <v>4678</v>
      </c>
      <c r="K3" s="87">
        <f>J3</f>
        <v>4678</v>
      </c>
      <c r="L3" s="3">
        <v>0</v>
      </c>
      <c r="M3" s="3"/>
      <c r="N3" s="3"/>
      <c r="O3" s="89"/>
      <c r="P3" s="35">
        <v>9</v>
      </c>
      <c r="Q3" s="35">
        <v>2020</v>
      </c>
    </row>
    <row r="4" spans="1:17" x14ac:dyDescent="0.25">
      <c r="A4" s="35" t="s">
        <v>85</v>
      </c>
      <c r="B4" s="72">
        <v>3</v>
      </c>
      <c r="C4" s="2">
        <v>44040</v>
      </c>
      <c r="D4" s="86" t="s">
        <v>249</v>
      </c>
      <c r="E4" s="35" t="s">
        <v>241</v>
      </c>
      <c r="F4" s="35" t="s">
        <v>136</v>
      </c>
      <c r="G4" s="35" t="s">
        <v>189</v>
      </c>
      <c r="H4" s="35">
        <v>53227</v>
      </c>
      <c r="I4" s="35">
        <v>63266</v>
      </c>
      <c r="J4" s="87">
        <f>I4-H4</f>
        <v>10039</v>
      </c>
      <c r="K4" s="87">
        <f>J4</f>
        <v>10039</v>
      </c>
      <c r="L4" s="3"/>
      <c r="M4" s="3"/>
      <c r="N4" s="3"/>
      <c r="O4" s="89"/>
      <c r="P4" s="35">
        <v>9</v>
      </c>
      <c r="Q4" s="35">
        <v>2020</v>
      </c>
    </row>
    <row r="5" spans="1:17" x14ac:dyDescent="0.25">
      <c r="A5" s="35" t="s">
        <v>86</v>
      </c>
      <c r="B5" s="72">
        <v>4</v>
      </c>
      <c r="C5" s="2">
        <v>44040</v>
      </c>
      <c r="D5" s="86" t="s">
        <v>248</v>
      </c>
      <c r="E5" s="35" t="s">
        <v>241</v>
      </c>
      <c r="F5" s="35" t="s">
        <v>137</v>
      </c>
      <c r="G5" s="35" t="s">
        <v>190</v>
      </c>
      <c r="H5" s="35">
        <v>21987</v>
      </c>
      <c r="I5" s="35">
        <v>25330</v>
      </c>
      <c r="J5" s="87">
        <f>I5-H5</f>
        <v>3343</v>
      </c>
      <c r="K5" s="87">
        <f>J5</f>
        <v>3343</v>
      </c>
      <c r="L5" s="3"/>
      <c r="M5" s="3"/>
      <c r="N5" s="3"/>
      <c r="O5" s="89"/>
      <c r="P5" s="35">
        <v>9</v>
      </c>
      <c r="Q5" s="35">
        <v>2020</v>
      </c>
    </row>
    <row r="6" spans="1:17" x14ac:dyDescent="0.25">
      <c r="A6" s="35" t="s">
        <v>87</v>
      </c>
      <c r="B6" s="72">
        <v>5</v>
      </c>
      <c r="C6" s="2">
        <v>44040</v>
      </c>
      <c r="D6" s="86" t="s">
        <v>249</v>
      </c>
      <c r="E6" s="35" t="s">
        <v>241</v>
      </c>
      <c r="F6" s="35" t="s">
        <v>138</v>
      </c>
      <c r="G6" s="35" t="s">
        <v>191</v>
      </c>
      <c r="H6" s="35">
        <v>43694</v>
      </c>
      <c r="I6" s="35">
        <v>49725</v>
      </c>
      <c r="J6" s="87">
        <f>I6-H6</f>
        <v>6031</v>
      </c>
      <c r="K6" s="87">
        <f>J6</f>
        <v>6031</v>
      </c>
      <c r="L6" s="3"/>
      <c r="M6" s="3"/>
      <c r="N6" s="3"/>
      <c r="O6" s="89"/>
      <c r="P6" s="35">
        <v>9</v>
      </c>
      <c r="Q6" s="35">
        <v>2020</v>
      </c>
    </row>
    <row r="7" spans="1:17" x14ac:dyDescent="0.25">
      <c r="A7" s="35" t="s">
        <v>88</v>
      </c>
      <c r="B7" s="72">
        <v>6</v>
      </c>
      <c r="C7" s="90">
        <v>44042</v>
      </c>
      <c r="D7" s="86" t="s">
        <v>248</v>
      </c>
      <c r="E7" s="35" t="s">
        <v>241</v>
      </c>
      <c r="F7" s="35" t="s">
        <v>139</v>
      </c>
      <c r="G7" s="35" t="s">
        <v>192</v>
      </c>
      <c r="H7" s="35">
        <v>23533</v>
      </c>
      <c r="I7" s="35">
        <v>30622</v>
      </c>
      <c r="J7" s="87">
        <f>I7-H7</f>
        <v>7089</v>
      </c>
      <c r="K7" s="87">
        <f>J7</f>
        <v>7089</v>
      </c>
      <c r="L7" s="91"/>
      <c r="M7" s="91"/>
      <c r="N7" s="91"/>
      <c r="O7" s="35"/>
      <c r="P7" s="35">
        <v>9</v>
      </c>
      <c r="Q7" s="35">
        <v>2020</v>
      </c>
    </row>
    <row r="8" spans="1:17" x14ac:dyDescent="0.25">
      <c r="A8" s="35" t="s">
        <v>89</v>
      </c>
      <c r="B8" s="72">
        <v>7</v>
      </c>
      <c r="C8" s="2">
        <v>44040</v>
      </c>
      <c r="D8" s="86" t="s">
        <v>249</v>
      </c>
      <c r="E8" s="35" t="s">
        <v>241</v>
      </c>
      <c r="F8" s="35" t="s">
        <v>140</v>
      </c>
      <c r="G8" s="35" t="s">
        <v>193</v>
      </c>
      <c r="H8" s="35">
        <v>26585</v>
      </c>
      <c r="I8" s="35">
        <v>30946</v>
      </c>
      <c r="J8" s="87">
        <f>I8-H8</f>
        <v>4361</v>
      </c>
      <c r="K8" s="87">
        <f>J8</f>
        <v>4361</v>
      </c>
      <c r="L8" s="35"/>
      <c r="M8" s="35"/>
      <c r="N8" s="35"/>
      <c r="O8" s="35"/>
      <c r="P8" s="35">
        <v>9</v>
      </c>
      <c r="Q8" s="35">
        <v>2020</v>
      </c>
    </row>
    <row r="9" spans="1:17" x14ac:dyDescent="0.25">
      <c r="A9" s="35" t="s">
        <v>90</v>
      </c>
      <c r="B9" s="72">
        <v>8</v>
      </c>
      <c r="C9" s="2">
        <v>44041</v>
      </c>
      <c r="D9" s="86" t="s">
        <v>249</v>
      </c>
      <c r="E9" s="35" t="s">
        <v>241</v>
      </c>
      <c r="F9" s="35" t="s">
        <v>141</v>
      </c>
      <c r="G9" s="35" t="s">
        <v>194</v>
      </c>
      <c r="H9" s="35">
        <v>57575</v>
      </c>
      <c r="I9" s="35">
        <v>68285</v>
      </c>
      <c r="J9" s="87">
        <f>I9-H9</f>
        <v>10710</v>
      </c>
      <c r="K9" s="87">
        <f>J9</f>
        <v>10710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91</v>
      </c>
      <c r="B10" s="72">
        <v>9</v>
      </c>
      <c r="C10" s="2">
        <v>44041</v>
      </c>
      <c r="D10" s="86" t="s">
        <v>248</v>
      </c>
      <c r="E10" s="35" t="s">
        <v>241</v>
      </c>
      <c r="F10" s="35" t="s">
        <v>142</v>
      </c>
      <c r="G10" s="35" t="s">
        <v>195</v>
      </c>
      <c r="H10" s="35">
        <v>14814</v>
      </c>
      <c r="I10" s="35">
        <v>16721</v>
      </c>
      <c r="J10" s="87">
        <f>I10-H10</f>
        <v>1907</v>
      </c>
      <c r="K10" s="87">
        <f>J10</f>
        <v>1907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92</v>
      </c>
      <c r="B11" s="72">
        <v>10</v>
      </c>
      <c r="C11" s="90">
        <v>44042</v>
      </c>
      <c r="D11" s="86" t="s">
        <v>249</v>
      </c>
      <c r="E11" s="35" t="s">
        <v>241</v>
      </c>
      <c r="F11" s="35" t="s">
        <v>143</v>
      </c>
      <c r="G11" s="35" t="s">
        <v>196</v>
      </c>
      <c r="H11" s="35">
        <v>24878</v>
      </c>
      <c r="I11" s="35">
        <v>28323</v>
      </c>
      <c r="J11" s="87">
        <f>I11-H11</f>
        <v>3445</v>
      </c>
      <c r="K11" s="87">
        <f>J11</f>
        <v>3445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93</v>
      </c>
      <c r="B12" s="72">
        <v>11</v>
      </c>
      <c r="C12" s="2">
        <v>44040</v>
      </c>
      <c r="D12" s="86" t="s">
        <v>249</v>
      </c>
      <c r="E12" s="35" t="s">
        <v>241</v>
      </c>
      <c r="F12" s="35" t="s">
        <v>144</v>
      </c>
      <c r="G12" s="35" t="s">
        <v>197</v>
      </c>
      <c r="H12" s="35">
        <v>83900</v>
      </c>
      <c r="I12" s="35">
        <v>98873</v>
      </c>
      <c r="J12" s="87">
        <f>I12-H12</f>
        <v>14973</v>
      </c>
      <c r="K12" s="87">
        <f>J12</f>
        <v>14973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94</v>
      </c>
      <c r="B13" s="72">
        <v>12</v>
      </c>
      <c r="C13" s="90">
        <v>44043</v>
      </c>
      <c r="D13" s="86" t="s">
        <v>248</v>
      </c>
      <c r="E13" s="35" t="s">
        <v>241</v>
      </c>
      <c r="F13" s="35" t="s">
        <v>145</v>
      </c>
      <c r="G13" s="35" t="s">
        <v>198</v>
      </c>
      <c r="H13" s="35">
        <v>15946</v>
      </c>
      <c r="I13" s="35">
        <v>18511</v>
      </c>
      <c r="J13" s="87">
        <f>I13-H13</f>
        <v>2565</v>
      </c>
      <c r="K13" s="87">
        <f>J13</f>
        <v>2565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95</v>
      </c>
      <c r="B14" s="72">
        <v>13</v>
      </c>
      <c r="C14" s="2">
        <v>44041</v>
      </c>
      <c r="D14" s="86" t="s">
        <v>248</v>
      </c>
      <c r="E14" s="35" t="s">
        <v>241</v>
      </c>
      <c r="F14" s="35" t="s">
        <v>146</v>
      </c>
      <c r="G14" s="35" t="s">
        <v>199</v>
      </c>
      <c r="H14" s="35">
        <v>10638</v>
      </c>
      <c r="I14" s="35">
        <v>12742</v>
      </c>
      <c r="J14" s="87">
        <f>I14-H14</f>
        <v>2104</v>
      </c>
      <c r="K14" s="87">
        <f>J14</f>
        <v>2104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96</v>
      </c>
      <c r="B15" s="72">
        <v>14</v>
      </c>
      <c r="C15" s="2">
        <v>44040</v>
      </c>
      <c r="D15" s="86" t="s">
        <v>249</v>
      </c>
      <c r="E15" s="35" t="s">
        <v>241</v>
      </c>
      <c r="F15" s="35" t="s">
        <v>147</v>
      </c>
      <c r="G15" s="35" t="s">
        <v>200</v>
      </c>
      <c r="H15" s="35">
        <v>40127</v>
      </c>
      <c r="I15" s="35">
        <v>48336</v>
      </c>
      <c r="J15" s="87">
        <f>I15-H15</f>
        <v>8209</v>
      </c>
      <c r="K15" s="87">
        <f>J15</f>
        <v>8209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97</v>
      </c>
      <c r="B16" s="72">
        <v>15</v>
      </c>
      <c r="C16" s="90">
        <v>44042</v>
      </c>
      <c r="D16" s="86" t="s">
        <v>249</v>
      </c>
      <c r="E16" s="35" t="s">
        <v>241</v>
      </c>
      <c r="F16" s="35" t="s">
        <v>148</v>
      </c>
      <c r="G16" s="35" t="s">
        <v>201</v>
      </c>
      <c r="H16" s="35">
        <v>26570</v>
      </c>
      <c r="I16" s="35">
        <v>29768</v>
      </c>
      <c r="J16" s="87">
        <f>I16-H16</f>
        <v>3198</v>
      </c>
      <c r="K16" s="87">
        <f>J16</f>
        <v>3198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98</v>
      </c>
      <c r="B17" s="72">
        <v>16</v>
      </c>
      <c r="C17" s="2">
        <v>44046</v>
      </c>
      <c r="D17" s="86" t="s">
        <v>248</v>
      </c>
      <c r="E17" s="35" t="s">
        <v>241</v>
      </c>
      <c r="F17" s="35" t="s">
        <v>149</v>
      </c>
      <c r="G17" s="35" t="s">
        <v>202</v>
      </c>
      <c r="H17" s="35">
        <v>8302</v>
      </c>
      <c r="I17" s="35">
        <v>9089</v>
      </c>
      <c r="J17" s="87">
        <f>I17-H17</f>
        <v>787</v>
      </c>
      <c r="K17" s="87">
        <f>J17</f>
        <v>787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99</v>
      </c>
      <c r="B18" s="72">
        <v>17</v>
      </c>
      <c r="C18" s="90">
        <v>44043</v>
      </c>
      <c r="D18" s="86" t="s">
        <v>248</v>
      </c>
      <c r="E18" s="35" t="s">
        <v>241</v>
      </c>
      <c r="F18" s="35" t="s">
        <v>150</v>
      </c>
      <c r="G18" s="35" t="s">
        <v>203</v>
      </c>
      <c r="H18" s="35">
        <v>6842</v>
      </c>
      <c r="I18" s="35">
        <v>8121</v>
      </c>
      <c r="J18" s="87">
        <f>I18-H18</f>
        <v>1279</v>
      </c>
      <c r="K18" s="87">
        <f>J18</f>
        <v>1279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100</v>
      </c>
      <c r="B19" s="72">
        <v>18</v>
      </c>
      <c r="C19" s="90">
        <v>44042</v>
      </c>
      <c r="D19" s="86" t="s">
        <v>249</v>
      </c>
      <c r="E19" s="35" t="s">
        <v>241</v>
      </c>
      <c r="F19" s="35" t="s">
        <v>151</v>
      </c>
      <c r="G19" s="35" t="s">
        <v>204</v>
      </c>
      <c r="H19" s="35">
        <v>20506</v>
      </c>
      <c r="I19" s="35">
        <v>24412</v>
      </c>
      <c r="J19" s="87">
        <f>I19-H19</f>
        <v>3906</v>
      </c>
      <c r="K19" s="87">
        <f>J19</f>
        <v>3906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101</v>
      </c>
      <c r="B20" s="72">
        <v>20</v>
      </c>
      <c r="C20" s="90">
        <v>44043</v>
      </c>
      <c r="D20" s="86" t="s">
        <v>248</v>
      </c>
      <c r="E20" s="35" t="s">
        <v>241</v>
      </c>
      <c r="F20" s="35" t="s">
        <v>152</v>
      </c>
      <c r="G20" s="35" t="s">
        <v>205</v>
      </c>
      <c r="H20" s="35">
        <v>14911</v>
      </c>
      <c r="I20" s="35">
        <v>16946</v>
      </c>
      <c r="J20" s="87">
        <f>I20-H20</f>
        <v>2035</v>
      </c>
      <c r="K20" s="87">
        <f>J20</f>
        <v>2035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102</v>
      </c>
      <c r="B21" s="72">
        <v>21</v>
      </c>
      <c r="C21" s="90">
        <v>44042</v>
      </c>
      <c r="D21" s="86" t="s">
        <v>248</v>
      </c>
      <c r="E21" s="35" t="s">
        <v>241</v>
      </c>
      <c r="F21" s="35" t="s">
        <v>153</v>
      </c>
      <c r="G21" s="35" t="s">
        <v>206</v>
      </c>
      <c r="H21" s="35">
        <v>7898</v>
      </c>
      <c r="I21" s="35">
        <v>9273</v>
      </c>
      <c r="J21" s="87">
        <f>I21-H21</f>
        <v>1375</v>
      </c>
      <c r="K21" s="87">
        <f>J21</f>
        <v>1375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103</v>
      </c>
      <c r="B22" s="72">
        <v>22</v>
      </c>
      <c r="C22" s="2">
        <v>44040</v>
      </c>
      <c r="D22" s="86" t="s">
        <v>249</v>
      </c>
      <c r="E22" s="35" t="s">
        <v>241</v>
      </c>
      <c r="F22" s="35" t="s">
        <v>154</v>
      </c>
      <c r="G22" s="35" t="s">
        <v>207</v>
      </c>
      <c r="H22" s="35">
        <v>54739</v>
      </c>
      <c r="I22" s="35">
        <v>64823</v>
      </c>
      <c r="J22" s="87">
        <f>I22-H22</f>
        <v>10084</v>
      </c>
      <c r="K22" s="87">
        <f>J22</f>
        <v>10084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104</v>
      </c>
      <c r="B23" s="72">
        <v>23</v>
      </c>
      <c r="C23" s="2">
        <v>44041</v>
      </c>
      <c r="D23" s="86" t="s">
        <v>248</v>
      </c>
      <c r="E23" s="35" t="s">
        <v>241</v>
      </c>
      <c r="F23" s="35" t="s">
        <v>155</v>
      </c>
      <c r="G23" s="35" t="s">
        <v>208</v>
      </c>
      <c r="H23" s="35">
        <v>12782</v>
      </c>
      <c r="I23" s="35">
        <v>16530</v>
      </c>
      <c r="J23" s="87">
        <f>I23-H23</f>
        <v>3748</v>
      </c>
      <c r="K23" s="87">
        <f>J23</f>
        <v>3748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105</v>
      </c>
      <c r="B24" s="72">
        <v>24</v>
      </c>
      <c r="C24" s="90">
        <v>44043</v>
      </c>
      <c r="D24" s="86" t="s">
        <v>248</v>
      </c>
      <c r="E24" s="35" t="s">
        <v>241</v>
      </c>
      <c r="F24" s="35" t="s">
        <v>156</v>
      </c>
      <c r="G24" s="35" t="s">
        <v>209</v>
      </c>
      <c r="H24" s="35">
        <v>4991</v>
      </c>
      <c r="I24" s="35">
        <v>5992</v>
      </c>
      <c r="J24" s="87">
        <f>I24-H24</f>
        <v>1001</v>
      </c>
      <c r="K24" s="87">
        <f>J24</f>
        <v>1001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106</v>
      </c>
      <c r="B25" s="72">
        <v>25</v>
      </c>
      <c r="C25" s="2">
        <v>44041</v>
      </c>
      <c r="D25" s="86" t="s">
        <v>248</v>
      </c>
      <c r="E25" s="35" t="s">
        <v>241</v>
      </c>
      <c r="F25" s="35" t="s">
        <v>157</v>
      </c>
      <c r="G25" s="35" t="s">
        <v>210</v>
      </c>
      <c r="H25" s="35">
        <v>3841</v>
      </c>
      <c r="I25" s="35">
        <v>4545</v>
      </c>
      <c r="J25" s="87">
        <f>I25-H25</f>
        <v>704</v>
      </c>
      <c r="K25" s="87">
        <f>J25</f>
        <v>704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107</v>
      </c>
      <c r="B26" s="72">
        <v>26</v>
      </c>
      <c r="C26" s="90">
        <v>44043</v>
      </c>
      <c r="D26" s="86" t="s">
        <v>249</v>
      </c>
      <c r="E26" s="35" t="s">
        <v>241</v>
      </c>
      <c r="F26" s="35" t="s">
        <v>158</v>
      </c>
      <c r="G26" s="35" t="s">
        <v>211</v>
      </c>
      <c r="H26" s="35">
        <v>42982</v>
      </c>
      <c r="I26" s="35">
        <v>47749</v>
      </c>
      <c r="J26" s="87">
        <f>I26-H26</f>
        <v>4767</v>
      </c>
      <c r="K26" s="87">
        <f>J26</f>
        <v>4767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108</v>
      </c>
      <c r="B27" s="72">
        <v>27</v>
      </c>
      <c r="C27" s="2">
        <v>44041</v>
      </c>
      <c r="D27" s="86" t="s">
        <v>249</v>
      </c>
      <c r="E27" s="35" t="s">
        <v>241</v>
      </c>
      <c r="F27" s="35" t="s">
        <v>159</v>
      </c>
      <c r="G27" s="35" t="s">
        <v>212</v>
      </c>
      <c r="H27" s="35">
        <v>31815</v>
      </c>
      <c r="I27" s="35">
        <v>36951</v>
      </c>
      <c r="J27" s="87">
        <f>I27-H27</f>
        <v>5136</v>
      </c>
      <c r="K27" s="87">
        <f>J27</f>
        <v>5136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109</v>
      </c>
      <c r="B28" s="72">
        <v>28</v>
      </c>
      <c r="C28" s="2">
        <v>44046</v>
      </c>
      <c r="D28" s="86" t="s">
        <v>249</v>
      </c>
      <c r="E28" s="35" t="s">
        <v>241</v>
      </c>
      <c r="F28" s="35" t="s">
        <v>160</v>
      </c>
      <c r="G28" s="108" t="s">
        <v>213</v>
      </c>
      <c r="H28" s="35">
        <v>53668</v>
      </c>
      <c r="I28" s="35">
        <v>63926</v>
      </c>
      <c r="J28" s="87">
        <f>I28-H28</f>
        <v>10258</v>
      </c>
      <c r="K28" s="87">
        <f>J28</f>
        <v>10258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110</v>
      </c>
      <c r="B29" s="72">
        <v>29</v>
      </c>
      <c r="C29" s="2">
        <v>44040</v>
      </c>
      <c r="D29" s="86" t="s">
        <v>249</v>
      </c>
      <c r="E29" s="35" t="s">
        <v>241</v>
      </c>
      <c r="F29" s="35" t="s">
        <v>161</v>
      </c>
      <c r="G29" s="35" t="s">
        <v>214</v>
      </c>
      <c r="H29" s="35">
        <v>42403</v>
      </c>
      <c r="I29" s="35">
        <v>47903</v>
      </c>
      <c r="J29" s="87">
        <f>I29-H29</f>
        <v>5500</v>
      </c>
      <c r="K29" s="87">
        <f>J29</f>
        <v>5500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111</v>
      </c>
      <c r="B30" s="72">
        <v>30</v>
      </c>
      <c r="C30" s="90">
        <v>44043</v>
      </c>
      <c r="D30" s="86" t="s">
        <v>248</v>
      </c>
      <c r="E30" s="35" t="s">
        <v>241</v>
      </c>
      <c r="F30" s="35" t="s">
        <v>162</v>
      </c>
      <c r="G30" s="35" t="s">
        <v>215</v>
      </c>
      <c r="H30" s="35">
        <v>13240</v>
      </c>
      <c r="I30" s="35">
        <v>14478</v>
      </c>
      <c r="J30" s="87">
        <f>I30-H30</f>
        <v>1238</v>
      </c>
      <c r="K30" s="87">
        <f>J30</f>
        <v>1238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112</v>
      </c>
      <c r="B31" s="72">
        <v>31</v>
      </c>
      <c r="C31" s="90">
        <v>44043</v>
      </c>
      <c r="D31" s="86" t="s">
        <v>248</v>
      </c>
      <c r="E31" s="35" t="s">
        <v>241</v>
      </c>
      <c r="F31" s="35" t="s">
        <v>163</v>
      </c>
      <c r="G31" s="35" t="s">
        <v>216</v>
      </c>
      <c r="H31" s="35">
        <v>9919</v>
      </c>
      <c r="I31" s="35">
        <v>12010</v>
      </c>
      <c r="J31" s="87">
        <f>I31-H31</f>
        <v>2091</v>
      </c>
      <c r="K31" s="87">
        <f>J31</f>
        <v>2091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113</v>
      </c>
      <c r="B32" s="72">
        <v>32</v>
      </c>
      <c r="C32" s="90">
        <v>44043</v>
      </c>
      <c r="D32" s="86" t="s">
        <v>249</v>
      </c>
      <c r="E32" s="35" t="s">
        <v>241</v>
      </c>
      <c r="F32" s="35" t="s">
        <v>164</v>
      </c>
      <c r="G32" s="35" t="s">
        <v>217</v>
      </c>
      <c r="H32" s="35">
        <v>33959</v>
      </c>
      <c r="I32" s="35">
        <v>40318</v>
      </c>
      <c r="J32" s="87">
        <f>I32-H32</f>
        <v>6359</v>
      </c>
      <c r="K32" s="87">
        <f>J32</f>
        <v>6359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114</v>
      </c>
      <c r="B33" s="72">
        <v>33</v>
      </c>
      <c r="C33" s="2">
        <v>44041</v>
      </c>
      <c r="D33" s="86" t="s">
        <v>248</v>
      </c>
      <c r="E33" s="35" t="s">
        <v>241</v>
      </c>
      <c r="F33" s="35" t="s">
        <v>165</v>
      </c>
      <c r="G33" s="35" t="s">
        <v>218</v>
      </c>
      <c r="H33" s="35">
        <v>7332</v>
      </c>
      <c r="I33" s="35">
        <v>9322</v>
      </c>
      <c r="J33" s="87">
        <f>I33-H33</f>
        <v>1990</v>
      </c>
      <c r="K33" s="87">
        <f>J33</f>
        <v>1990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115</v>
      </c>
      <c r="B34" s="72">
        <v>34</v>
      </c>
      <c r="C34" s="2">
        <v>44041</v>
      </c>
      <c r="D34" s="86" t="s">
        <v>249</v>
      </c>
      <c r="E34" s="35" t="s">
        <v>241</v>
      </c>
      <c r="F34" s="35" t="s">
        <v>166</v>
      </c>
      <c r="G34" s="35" t="s">
        <v>219</v>
      </c>
      <c r="H34" s="35">
        <v>90311</v>
      </c>
      <c r="I34" s="35">
        <v>109189</v>
      </c>
      <c r="J34" s="87">
        <f>I34-H34</f>
        <v>18878</v>
      </c>
      <c r="K34" s="87">
        <f>J34</f>
        <v>18878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116</v>
      </c>
      <c r="B35" s="72">
        <v>35</v>
      </c>
      <c r="C35" s="2">
        <v>44046</v>
      </c>
      <c r="D35" s="86" t="s">
        <v>248</v>
      </c>
      <c r="E35" s="35" t="s">
        <v>241</v>
      </c>
      <c r="F35" s="35" t="s">
        <v>167</v>
      </c>
      <c r="G35" s="35" t="s">
        <v>220</v>
      </c>
      <c r="H35" s="35">
        <v>1551</v>
      </c>
      <c r="I35" s="35">
        <v>1852</v>
      </c>
      <c r="J35" s="87">
        <f>I35-H35</f>
        <v>301</v>
      </c>
      <c r="K35" s="87">
        <f>J35</f>
        <v>301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117</v>
      </c>
      <c r="B36" s="72">
        <v>36</v>
      </c>
      <c r="C36" s="90">
        <v>44042</v>
      </c>
      <c r="D36" s="86" t="s">
        <v>249</v>
      </c>
      <c r="E36" s="35" t="s">
        <v>241</v>
      </c>
      <c r="F36" s="35" t="s">
        <v>168</v>
      </c>
      <c r="G36" s="35" t="s">
        <v>221</v>
      </c>
      <c r="H36" s="35">
        <v>26370</v>
      </c>
      <c r="I36" s="35">
        <v>29988</v>
      </c>
      <c r="J36" s="87">
        <f>I36-H36</f>
        <v>3618</v>
      </c>
      <c r="K36" s="87">
        <f>J36</f>
        <v>3618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118</v>
      </c>
      <c r="B37" s="72">
        <v>37</v>
      </c>
      <c r="C37" s="90">
        <v>44042</v>
      </c>
      <c r="D37" s="86" t="s">
        <v>248</v>
      </c>
      <c r="E37" s="35" t="s">
        <v>241</v>
      </c>
      <c r="F37" s="35" t="s">
        <v>169</v>
      </c>
      <c r="G37" s="35" t="s">
        <v>222</v>
      </c>
      <c r="H37" s="35">
        <v>7234</v>
      </c>
      <c r="I37" s="35">
        <v>8258</v>
      </c>
      <c r="J37" s="87">
        <f>I37-H37</f>
        <v>1024</v>
      </c>
      <c r="K37" s="87">
        <f>J37</f>
        <v>1024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119</v>
      </c>
      <c r="B38" s="72">
        <v>38</v>
      </c>
      <c r="C38" s="2">
        <v>44040</v>
      </c>
      <c r="D38" s="86" t="s">
        <v>249</v>
      </c>
      <c r="E38" s="35" t="s">
        <v>241</v>
      </c>
      <c r="F38" s="35" t="s">
        <v>170</v>
      </c>
      <c r="G38" s="35" t="s">
        <v>223</v>
      </c>
      <c r="H38" s="35">
        <v>67701</v>
      </c>
      <c r="I38" s="35">
        <v>80281</v>
      </c>
      <c r="J38" s="87">
        <f>I38-H38</f>
        <v>12580</v>
      </c>
      <c r="K38" s="87">
        <f>J38</f>
        <v>12580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120</v>
      </c>
      <c r="B39" s="72">
        <v>39</v>
      </c>
      <c r="C39" s="2">
        <v>44041</v>
      </c>
      <c r="D39" s="86" t="s">
        <v>248</v>
      </c>
      <c r="E39" s="35" t="s">
        <v>241</v>
      </c>
      <c r="F39" s="35" t="s">
        <v>171</v>
      </c>
      <c r="G39" s="35" t="s">
        <v>224</v>
      </c>
      <c r="H39" s="35">
        <v>22367</v>
      </c>
      <c r="I39" s="35">
        <v>25823</v>
      </c>
      <c r="J39" s="87">
        <f>I39-H39</f>
        <v>3456</v>
      </c>
      <c r="K39" s="87">
        <f>J39</f>
        <v>3456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121</v>
      </c>
      <c r="B40" s="72">
        <v>40</v>
      </c>
      <c r="C40" s="2">
        <v>44040</v>
      </c>
      <c r="D40" s="86" t="s">
        <v>248</v>
      </c>
      <c r="E40" s="35" t="s">
        <v>241</v>
      </c>
      <c r="F40" s="35" t="s">
        <v>172</v>
      </c>
      <c r="G40" s="35" t="s">
        <v>225</v>
      </c>
      <c r="H40" s="35">
        <v>9608</v>
      </c>
      <c r="I40" s="35">
        <v>11343</v>
      </c>
      <c r="J40" s="87">
        <f>I40-H40</f>
        <v>1735</v>
      </c>
      <c r="K40" s="87">
        <f>J40</f>
        <v>1735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122</v>
      </c>
      <c r="B41" s="72">
        <v>41</v>
      </c>
      <c r="C41" s="2">
        <v>44040</v>
      </c>
      <c r="D41" s="86" t="s">
        <v>249</v>
      </c>
      <c r="E41" s="35" t="s">
        <v>241</v>
      </c>
      <c r="F41" s="35" t="s">
        <v>173</v>
      </c>
      <c r="G41" s="35" t="s">
        <v>226</v>
      </c>
      <c r="H41" s="35">
        <v>25546</v>
      </c>
      <c r="I41" s="35">
        <v>31267</v>
      </c>
      <c r="J41" s="87">
        <f>I41-H41</f>
        <v>5721</v>
      </c>
      <c r="K41" s="87">
        <f>J41</f>
        <v>5721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123</v>
      </c>
      <c r="B42" s="72">
        <v>42</v>
      </c>
      <c r="C42" s="90">
        <v>44043</v>
      </c>
      <c r="D42" s="86" t="s">
        <v>248</v>
      </c>
      <c r="E42" s="35" t="s">
        <v>241</v>
      </c>
      <c r="F42" s="35" t="s">
        <v>174</v>
      </c>
      <c r="G42" s="35" t="s">
        <v>227</v>
      </c>
      <c r="H42" s="35">
        <v>10527</v>
      </c>
      <c r="I42" s="35">
        <v>12135</v>
      </c>
      <c r="J42" s="87">
        <f>I42-H42</f>
        <v>1608</v>
      </c>
      <c r="K42" s="87">
        <f>J42</f>
        <v>1608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246</v>
      </c>
      <c r="B43" s="72">
        <v>43</v>
      </c>
      <c r="C43" s="2">
        <v>44041</v>
      </c>
      <c r="D43" s="88" t="s">
        <v>250</v>
      </c>
      <c r="E43" s="35" t="s">
        <v>242</v>
      </c>
      <c r="F43" s="35" t="s">
        <v>176</v>
      </c>
      <c r="G43" s="35" t="s">
        <v>229</v>
      </c>
      <c r="H43" s="35">
        <v>5485</v>
      </c>
      <c r="I43" s="35">
        <v>6658</v>
      </c>
      <c r="J43" s="87">
        <f>I43-H43</f>
        <v>1173</v>
      </c>
      <c r="K43" s="87">
        <f>J43</f>
        <v>1173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124</v>
      </c>
      <c r="B44" s="72">
        <v>44</v>
      </c>
      <c r="C44" s="90">
        <v>44043</v>
      </c>
      <c r="D44" s="86" t="s">
        <v>248</v>
      </c>
      <c r="E44" s="35" t="s">
        <v>241</v>
      </c>
      <c r="F44" s="35" t="s">
        <v>177</v>
      </c>
      <c r="G44" s="35" t="s">
        <v>230</v>
      </c>
      <c r="H44" s="35">
        <v>10835</v>
      </c>
      <c r="I44" s="35">
        <v>13202</v>
      </c>
      <c r="J44" s="87">
        <f>I44-H44</f>
        <v>2367</v>
      </c>
      <c r="K44" s="87">
        <f>J44</f>
        <v>2367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125</v>
      </c>
      <c r="B45" s="72">
        <v>45</v>
      </c>
      <c r="C45" s="90">
        <v>44042</v>
      </c>
      <c r="D45" s="88" t="s">
        <v>251</v>
      </c>
      <c r="E45" s="35" t="s">
        <v>242</v>
      </c>
      <c r="F45" s="35" t="s">
        <v>178</v>
      </c>
      <c r="G45" s="35" t="s">
        <v>231</v>
      </c>
      <c r="H45" s="35">
        <v>2283</v>
      </c>
      <c r="I45" s="35">
        <v>2515</v>
      </c>
      <c r="J45" s="87">
        <f>I45-H45</f>
        <v>232</v>
      </c>
      <c r="K45" s="87">
        <f>J45</f>
        <v>232</v>
      </c>
      <c r="L45" s="35"/>
      <c r="M45" s="97"/>
      <c r="N45" s="35"/>
      <c r="O45" s="35"/>
      <c r="P45" s="35">
        <v>9</v>
      </c>
      <c r="Q45" s="35">
        <v>2020</v>
      </c>
    </row>
    <row r="46" spans="1:17" x14ac:dyDescent="0.25">
      <c r="A46" s="35" t="s">
        <v>126</v>
      </c>
      <c r="B46" s="72">
        <v>46</v>
      </c>
      <c r="C46" s="2">
        <v>44040</v>
      </c>
      <c r="D46" s="86" t="s">
        <v>251</v>
      </c>
      <c r="E46" s="35" t="s">
        <v>242</v>
      </c>
      <c r="F46" s="35" t="s">
        <v>179</v>
      </c>
      <c r="G46" s="35" t="s">
        <v>232</v>
      </c>
      <c r="H46" s="35">
        <v>62625</v>
      </c>
      <c r="I46" s="35">
        <v>74714</v>
      </c>
      <c r="J46" s="87">
        <f>I46-H46</f>
        <v>12089</v>
      </c>
      <c r="K46" s="87">
        <f>J46</f>
        <v>12089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127</v>
      </c>
      <c r="B47" s="72">
        <v>47</v>
      </c>
      <c r="C47" s="2">
        <v>44046</v>
      </c>
      <c r="D47" s="86" t="s">
        <v>252</v>
      </c>
      <c r="E47" s="35" t="s">
        <v>243</v>
      </c>
      <c r="F47" s="35" t="s">
        <v>180</v>
      </c>
      <c r="G47" s="35" t="s">
        <v>233</v>
      </c>
      <c r="H47" s="35">
        <v>6293</v>
      </c>
      <c r="I47" s="35">
        <v>6293</v>
      </c>
      <c r="J47" s="87">
        <v>0</v>
      </c>
      <c r="K47" s="87">
        <f>J47</f>
        <v>0</v>
      </c>
      <c r="L47" s="35"/>
      <c r="M47" s="3">
        <f>I47-H47</f>
        <v>0</v>
      </c>
      <c r="N47" s="35"/>
      <c r="O47" s="35"/>
      <c r="P47" s="35">
        <v>9</v>
      </c>
      <c r="Q47" s="35">
        <v>2020</v>
      </c>
    </row>
    <row r="48" spans="1:17" x14ac:dyDescent="0.25">
      <c r="A48" s="35" t="s">
        <v>128</v>
      </c>
      <c r="B48" s="72">
        <v>48</v>
      </c>
      <c r="C48" s="90">
        <v>44043</v>
      </c>
      <c r="D48" s="86" t="s">
        <v>248</v>
      </c>
      <c r="E48" s="35" t="s">
        <v>241</v>
      </c>
      <c r="F48" s="35" t="s">
        <v>181</v>
      </c>
      <c r="G48" s="35" t="s">
        <v>234</v>
      </c>
      <c r="H48" s="35">
        <v>2653</v>
      </c>
      <c r="I48" s="35">
        <v>3896</v>
      </c>
      <c r="J48" s="87">
        <f>I48-H48</f>
        <v>1243</v>
      </c>
      <c r="K48" s="87">
        <f>J48</f>
        <v>1243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129</v>
      </c>
      <c r="B49" s="72">
        <v>49</v>
      </c>
      <c r="C49" s="90">
        <v>44042</v>
      </c>
      <c r="D49" s="92" t="s">
        <v>248</v>
      </c>
      <c r="E49" s="35" t="s">
        <v>241</v>
      </c>
      <c r="F49" s="35" t="s">
        <v>182</v>
      </c>
      <c r="G49" s="35" t="s">
        <v>235</v>
      </c>
      <c r="H49" s="35">
        <v>1685</v>
      </c>
      <c r="I49" s="35">
        <v>2099</v>
      </c>
      <c r="J49" s="87">
        <f>I49-H49</f>
        <v>414</v>
      </c>
      <c r="K49" s="87">
        <f>J49</f>
        <v>414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130</v>
      </c>
      <c r="B50" s="72">
        <v>50</v>
      </c>
      <c r="C50" s="90">
        <v>44064</v>
      </c>
      <c r="D50" s="92" t="s">
        <v>248</v>
      </c>
      <c r="E50" s="35" t="s">
        <v>241</v>
      </c>
      <c r="F50" s="35" t="s">
        <v>183</v>
      </c>
      <c r="G50" s="35" t="s">
        <v>236</v>
      </c>
      <c r="H50" s="35">
        <v>2978</v>
      </c>
      <c r="I50" s="35">
        <v>3519</v>
      </c>
      <c r="J50" s="87">
        <f>I50-H50</f>
        <v>541</v>
      </c>
      <c r="K50" s="87">
        <f>J50</f>
        <v>541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131</v>
      </c>
      <c r="B51" s="72">
        <v>51</v>
      </c>
      <c r="C51" s="90">
        <v>44064</v>
      </c>
      <c r="D51" s="92" t="s">
        <v>248</v>
      </c>
      <c r="E51" s="35" t="s">
        <v>241</v>
      </c>
      <c r="F51" s="35" t="s">
        <v>184</v>
      </c>
      <c r="G51" s="35" t="s">
        <v>237</v>
      </c>
      <c r="H51" s="35">
        <v>3456</v>
      </c>
      <c r="I51" s="35">
        <v>5118</v>
      </c>
      <c r="J51" s="87">
        <f>I51-H51</f>
        <v>1662</v>
      </c>
      <c r="K51" s="87">
        <f>J51</f>
        <v>1662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132</v>
      </c>
      <c r="B52" s="72">
        <v>52</v>
      </c>
      <c r="C52" s="90">
        <v>44074</v>
      </c>
      <c r="D52" s="86" t="s">
        <v>248</v>
      </c>
      <c r="E52" s="35" t="s">
        <v>241</v>
      </c>
      <c r="F52" s="35" t="s">
        <v>185</v>
      </c>
      <c r="G52" s="35" t="s">
        <v>238</v>
      </c>
      <c r="H52" s="35">
        <v>1069</v>
      </c>
      <c r="I52" s="35">
        <v>1518</v>
      </c>
      <c r="J52" s="87">
        <f>I52-H52</f>
        <v>449</v>
      </c>
      <c r="K52" s="87">
        <f>J52</f>
        <v>449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133</v>
      </c>
      <c r="B53" s="72">
        <v>53</v>
      </c>
      <c r="C53" s="90">
        <v>44074</v>
      </c>
      <c r="D53" s="88" t="s">
        <v>248</v>
      </c>
      <c r="E53" s="35" t="s">
        <v>241</v>
      </c>
      <c r="F53" s="35" t="s">
        <v>186</v>
      </c>
      <c r="G53" s="35" t="s">
        <v>239</v>
      </c>
      <c r="H53" s="35">
        <v>14100</v>
      </c>
      <c r="I53" s="35">
        <v>17868</v>
      </c>
      <c r="J53" s="87">
        <f>I53-H53</f>
        <v>3768</v>
      </c>
      <c r="K53" s="87">
        <f>J53</f>
        <v>3768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257</v>
      </c>
      <c r="B54" s="72">
        <v>54</v>
      </c>
      <c r="C54" s="90">
        <v>44074</v>
      </c>
      <c r="D54" s="35" t="s">
        <v>248</v>
      </c>
      <c r="E54" s="35" t="s">
        <v>241</v>
      </c>
      <c r="F54" s="35" t="s">
        <v>258</v>
      </c>
      <c r="G54" s="35" t="s">
        <v>259</v>
      </c>
      <c r="H54" s="35">
        <v>599</v>
      </c>
      <c r="I54" s="35">
        <v>729</v>
      </c>
      <c r="J54" s="87">
        <f>I54-H54</f>
        <v>130</v>
      </c>
      <c r="K54" s="87">
        <f>J54</f>
        <v>130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274</v>
      </c>
      <c r="B55" s="72">
        <v>55</v>
      </c>
      <c r="C55" s="2">
        <v>44046</v>
      </c>
      <c r="D55" s="86" t="s">
        <v>248</v>
      </c>
      <c r="E55" s="35" t="s">
        <v>241</v>
      </c>
      <c r="F55" s="35" t="s">
        <v>244</v>
      </c>
      <c r="G55" s="35" t="s">
        <v>273</v>
      </c>
      <c r="H55" s="35">
        <v>10388</v>
      </c>
      <c r="I55" s="35">
        <v>11957</v>
      </c>
      <c r="J55" s="87">
        <f>I55-H55</f>
        <v>1569</v>
      </c>
      <c r="K55" s="87">
        <f>J55</f>
        <v>1569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92" t="s">
        <v>270</v>
      </c>
      <c r="B56" s="72">
        <v>56</v>
      </c>
      <c r="C56" s="90">
        <v>44075</v>
      </c>
      <c r="D56" s="86" t="s">
        <v>248</v>
      </c>
      <c r="E56" s="35" t="s">
        <v>241</v>
      </c>
      <c r="F56" s="35" t="s">
        <v>175</v>
      </c>
      <c r="G56" s="35" t="s">
        <v>228</v>
      </c>
      <c r="H56" s="35">
        <v>19577</v>
      </c>
      <c r="I56" s="35">
        <v>24626</v>
      </c>
      <c r="J56" s="87">
        <f>I56-H56</f>
        <v>5049</v>
      </c>
      <c r="K56" s="87">
        <f>J56</f>
        <v>5049</v>
      </c>
      <c r="L56" s="35"/>
      <c r="M56" s="35"/>
      <c r="N56" s="35"/>
      <c r="O56" s="35"/>
      <c r="P56" s="35">
        <v>9</v>
      </c>
      <c r="Q56" s="35">
        <v>2020</v>
      </c>
    </row>
    <row r="57" spans="1:17" x14ac:dyDescent="0.25">
      <c r="A57" s="35" t="s">
        <v>262</v>
      </c>
      <c r="B57" s="72">
        <v>57</v>
      </c>
      <c r="C57" s="90">
        <v>44074</v>
      </c>
      <c r="D57" s="86" t="s">
        <v>248</v>
      </c>
      <c r="E57" s="35" t="s">
        <v>241</v>
      </c>
      <c r="F57" s="35" t="s">
        <v>260</v>
      </c>
      <c r="G57" s="35" t="s">
        <v>261</v>
      </c>
      <c r="H57" s="35">
        <v>1521</v>
      </c>
      <c r="I57" s="35">
        <v>1911</v>
      </c>
      <c r="J57" s="87">
        <f>I57-H57</f>
        <v>390</v>
      </c>
      <c r="K57" s="87">
        <f>J57</f>
        <v>390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290</v>
      </c>
      <c r="B58" s="72">
        <v>58</v>
      </c>
      <c r="C58" s="90"/>
      <c r="D58" s="92" t="s">
        <v>248</v>
      </c>
      <c r="E58" s="35" t="s">
        <v>241</v>
      </c>
      <c r="F58" s="35" t="s">
        <v>271</v>
      </c>
      <c r="G58" s="35" t="s">
        <v>272</v>
      </c>
      <c r="H58" s="35">
        <v>7341</v>
      </c>
      <c r="I58" s="35">
        <v>9719</v>
      </c>
      <c r="J58" s="87">
        <f>I58-H58</f>
        <v>2378</v>
      </c>
      <c r="K58" s="87">
        <f>J58</f>
        <v>2378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275</v>
      </c>
      <c r="B59" s="72">
        <v>59</v>
      </c>
      <c r="C59" s="2">
        <v>44137</v>
      </c>
      <c r="D59" s="86" t="s">
        <v>250</v>
      </c>
      <c r="E59" s="35" t="s">
        <v>242</v>
      </c>
      <c r="F59" s="35" t="s">
        <v>277</v>
      </c>
      <c r="G59" s="35" t="s">
        <v>276</v>
      </c>
      <c r="H59" s="35">
        <v>385</v>
      </c>
      <c r="I59" s="35">
        <v>511</v>
      </c>
      <c r="J59" s="87">
        <f>I59-H59</f>
        <v>126</v>
      </c>
      <c r="K59" s="87">
        <f>J59</f>
        <v>126</v>
      </c>
      <c r="L59" s="35"/>
      <c r="M59" s="3"/>
      <c r="N59" s="35"/>
      <c r="O59" s="35"/>
      <c r="P59" s="35">
        <v>9</v>
      </c>
      <c r="Q59" s="35">
        <v>2020</v>
      </c>
    </row>
    <row r="60" spans="1:17" x14ac:dyDescent="0.25">
      <c r="A60" s="35" t="s">
        <v>284</v>
      </c>
      <c r="B60" s="72">
        <v>60</v>
      </c>
      <c r="C60" s="2">
        <v>44137</v>
      </c>
      <c r="D60" s="86" t="s">
        <v>250</v>
      </c>
      <c r="E60" s="35" t="s">
        <v>242</v>
      </c>
      <c r="F60" s="35" t="s">
        <v>281</v>
      </c>
      <c r="G60" s="35" t="s">
        <v>278</v>
      </c>
      <c r="H60" s="35">
        <v>8001</v>
      </c>
      <c r="I60" s="35">
        <v>11668</v>
      </c>
      <c r="J60" s="87">
        <f>I60-H60</f>
        <v>3667</v>
      </c>
      <c r="K60" s="87">
        <f>J60</f>
        <v>3667</v>
      </c>
      <c r="L60" s="35"/>
      <c r="M60" s="3"/>
      <c r="N60" s="35"/>
      <c r="O60" s="35"/>
      <c r="P60" s="35">
        <v>9</v>
      </c>
      <c r="Q60" s="35">
        <v>2020</v>
      </c>
    </row>
    <row r="61" spans="1:17" x14ac:dyDescent="0.25">
      <c r="A61" s="35" t="s">
        <v>285</v>
      </c>
      <c r="B61" s="72">
        <v>61</v>
      </c>
      <c r="C61" s="2">
        <v>44137</v>
      </c>
      <c r="D61" s="86" t="s">
        <v>250</v>
      </c>
      <c r="E61" s="35" t="s">
        <v>242</v>
      </c>
      <c r="F61" s="35" t="s">
        <v>282</v>
      </c>
      <c r="G61" s="35" t="s">
        <v>279</v>
      </c>
      <c r="H61" s="35">
        <v>661</v>
      </c>
      <c r="I61" s="35">
        <v>716</v>
      </c>
      <c r="J61" s="87">
        <f>I61-H61</f>
        <v>55</v>
      </c>
      <c r="K61" s="87">
        <f>J61</f>
        <v>55</v>
      </c>
      <c r="L61" s="35"/>
      <c r="M61" s="3"/>
      <c r="N61" s="35"/>
      <c r="O61" s="35"/>
      <c r="P61" s="35">
        <v>9</v>
      </c>
      <c r="Q61" s="35">
        <v>2020</v>
      </c>
    </row>
    <row r="62" spans="1:17" x14ac:dyDescent="0.25">
      <c r="A62" s="35" t="s">
        <v>286</v>
      </c>
      <c r="B62" s="72">
        <v>62</v>
      </c>
      <c r="C62" s="2">
        <v>44137</v>
      </c>
      <c r="D62" s="86" t="s">
        <v>250</v>
      </c>
      <c r="E62" s="35" t="s">
        <v>242</v>
      </c>
      <c r="F62" s="35" t="s">
        <v>283</v>
      </c>
      <c r="G62" s="35" t="s">
        <v>280</v>
      </c>
      <c r="H62" s="35">
        <v>6329</v>
      </c>
      <c r="I62" s="35">
        <v>8243</v>
      </c>
      <c r="J62" s="87">
        <f>I62-H62</f>
        <v>1914</v>
      </c>
      <c r="K62" s="87">
        <f>J62</f>
        <v>1914</v>
      </c>
      <c r="L62" s="35"/>
      <c r="M62" s="3"/>
      <c r="N62" s="35"/>
      <c r="O62" s="35"/>
      <c r="P62" s="35">
        <v>9</v>
      </c>
      <c r="Q62" s="35">
        <v>2020</v>
      </c>
    </row>
    <row r="63" spans="1:17" x14ac:dyDescent="0.25">
      <c r="A63" s="35" t="s">
        <v>127</v>
      </c>
      <c r="B63" s="35">
        <v>63</v>
      </c>
      <c r="C63" s="2">
        <v>44137</v>
      </c>
      <c r="D63" s="86" t="s">
        <v>248</v>
      </c>
      <c r="E63" s="35" t="s">
        <v>241</v>
      </c>
      <c r="F63" s="92" t="s">
        <v>289</v>
      </c>
      <c r="G63" s="92" t="s">
        <v>233</v>
      </c>
      <c r="H63" s="35">
        <v>2108</v>
      </c>
      <c r="I63" s="35">
        <v>3653</v>
      </c>
      <c r="J63" s="87">
        <f>I63-H63</f>
        <v>1545</v>
      </c>
      <c r="K63" s="87">
        <f>J63</f>
        <v>1545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287</v>
      </c>
      <c r="B64" s="72">
        <v>64</v>
      </c>
      <c r="C64" s="2">
        <v>44137</v>
      </c>
      <c r="D64" s="86" t="s">
        <v>248</v>
      </c>
      <c r="E64" s="35" t="s">
        <v>241</v>
      </c>
      <c r="F64" s="35" t="s">
        <v>293</v>
      </c>
      <c r="G64" s="35" t="s">
        <v>288</v>
      </c>
      <c r="H64" s="35">
        <v>21874</v>
      </c>
      <c r="I64" s="35">
        <v>22550</v>
      </c>
      <c r="J64" s="87">
        <f>I64-H64</f>
        <v>676</v>
      </c>
      <c r="K64" s="87">
        <f>J64</f>
        <v>676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92" t="s">
        <v>292</v>
      </c>
      <c r="B65" s="35">
        <v>65</v>
      </c>
      <c r="C65" s="2"/>
      <c r="D65" s="86" t="s">
        <v>250</v>
      </c>
      <c r="E65" s="35" t="s">
        <v>242</v>
      </c>
      <c r="F65" s="35"/>
      <c r="G65" s="35"/>
      <c r="H65" s="35">
        <v>5</v>
      </c>
      <c r="I65" s="35">
        <v>5</v>
      </c>
      <c r="J65" s="87">
        <f>I65-H65</f>
        <v>0</v>
      </c>
      <c r="K65" s="87">
        <f>J65</f>
        <v>0</v>
      </c>
      <c r="L65" s="35"/>
      <c r="M65" s="35"/>
      <c r="N65" s="35"/>
      <c r="O65" s="35"/>
      <c r="P65" s="35"/>
      <c r="Q65" s="35"/>
    </row>
    <row r="66" spans="1:17" x14ac:dyDescent="0.25">
      <c r="A66" s="92" t="s">
        <v>292</v>
      </c>
      <c r="B66" s="72">
        <v>66</v>
      </c>
      <c r="C66" s="35"/>
      <c r="D66" s="86" t="s">
        <v>248</v>
      </c>
      <c r="E66" s="35" t="s">
        <v>241</v>
      </c>
      <c r="F66" s="92" t="s">
        <v>291</v>
      </c>
      <c r="G66" s="92" t="s">
        <v>291</v>
      </c>
      <c r="H66" s="92">
        <v>5</v>
      </c>
      <c r="I66" s="92">
        <v>5</v>
      </c>
      <c r="J66" s="87">
        <f>I66-H66</f>
        <v>0</v>
      </c>
      <c r="K66" s="87">
        <f>J66</f>
        <v>0</v>
      </c>
      <c r="L66" s="35"/>
      <c r="M66" s="35"/>
      <c r="N66" s="35"/>
      <c r="O66" s="35"/>
      <c r="P66" s="35"/>
      <c r="Q66" s="35"/>
    </row>
    <row r="67" spans="1:17" x14ac:dyDescent="0.25">
      <c r="A67" s="92" t="s">
        <v>292</v>
      </c>
      <c r="B67" s="35">
        <v>67</v>
      </c>
      <c r="C67" s="35"/>
      <c r="D67" s="86" t="s">
        <v>248</v>
      </c>
      <c r="E67" s="35" t="s">
        <v>241</v>
      </c>
      <c r="F67" s="92" t="s">
        <v>291</v>
      </c>
      <c r="G67" s="92" t="s">
        <v>291</v>
      </c>
      <c r="H67" s="92">
        <v>5</v>
      </c>
      <c r="I67" s="92">
        <v>5</v>
      </c>
      <c r="J67" s="87">
        <f>I67-H67</f>
        <v>0</v>
      </c>
      <c r="K67" s="87">
        <f>J67</f>
        <v>0</v>
      </c>
      <c r="L67" s="35"/>
      <c r="M67" s="35"/>
      <c r="N67" s="35"/>
      <c r="O67" s="35"/>
      <c r="P67" s="35"/>
      <c r="Q67" s="35"/>
    </row>
    <row r="68" spans="1:17" x14ac:dyDescent="0.25">
      <c r="A68" s="92" t="s">
        <v>292</v>
      </c>
      <c r="B68" s="72">
        <v>68</v>
      </c>
      <c r="C68" s="35"/>
      <c r="D68" s="86" t="s">
        <v>248</v>
      </c>
      <c r="E68" s="35" t="s">
        <v>241</v>
      </c>
      <c r="F68" s="92" t="s">
        <v>291</v>
      </c>
      <c r="G68" s="92" t="s">
        <v>291</v>
      </c>
      <c r="H68" s="92">
        <v>5</v>
      </c>
      <c r="I68" s="92">
        <v>5</v>
      </c>
      <c r="J68" s="87">
        <f>I68-H68</f>
        <v>0</v>
      </c>
      <c r="K68" s="87">
        <f>J68</f>
        <v>0</v>
      </c>
      <c r="L68" s="35"/>
      <c r="M68" s="35"/>
      <c r="N68" s="35"/>
      <c r="O68" s="35"/>
      <c r="P68" s="35"/>
      <c r="Q68" s="35"/>
    </row>
    <row r="69" spans="1:17" x14ac:dyDescent="0.25">
      <c r="A69" s="92" t="s">
        <v>292</v>
      </c>
      <c r="B69" s="35">
        <v>69</v>
      </c>
      <c r="C69" s="35"/>
      <c r="D69" s="86" t="s">
        <v>248</v>
      </c>
      <c r="E69" s="35" t="s">
        <v>241</v>
      </c>
      <c r="F69" s="92" t="s">
        <v>291</v>
      </c>
      <c r="G69" s="92" t="s">
        <v>291</v>
      </c>
      <c r="H69" s="92">
        <v>5</v>
      </c>
      <c r="I69" s="92">
        <v>5</v>
      </c>
      <c r="J69" s="87">
        <f>I69-H69</f>
        <v>0</v>
      </c>
      <c r="K69" s="87">
        <f>J69</f>
        <v>0</v>
      </c>
      <c r="L69" s="35"/>
      <c r="M69" s="35"/>
      <c r="N69" s="35"/>
      <c r="O69" s="35"/>
      <c r="P69" s="35"/>
      <c r="Q69" s="35"/>
    </row>
    <row r="70" spans="1:17" x14ac:dyDescent="0.25">
      <c r="A70" s="92" t="s">
        <v>292</v>
      </c>
      <c r="B70" s="72">
        <v>70</v>
      </c>
      <c r="C70" s="35"/>
      <c r="D70" s="86" t="s">
        <v>248</v>
      </c>
      <c r="E70" s="35" t="s">
        <v>241</v>
      </c>
      <c r="F70" s="92" t="s">
        <v>291</v>
      </c>
      <c r="G70" s="92" t="s">
        <v>291</v>
      </c>
      <c r="H70" s="92">
        <v>5</v>
      </c>
      <c r="I70" s="92">
        <v>5</v>
      </c>
      <c r="J70" s="87">
        <f>I70-H70</f>
        <v>0</v>
      </c>
      <c r="K70" s="87">
        <f>J70</f>
        <v>0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3" t="s">
        <v>0</v>
      </c>
      <c r="F74" s="94" t="s">
        <v>263</v>
      </c>
      <c r="G74" s="94" t="s">
        <v>264</v>
      </c>
      <c r="H74" s="94" t="s">
        <v>265</v>
      </c>
      <c r="I74" s="94" t="s">
        <v>266</v>
      </c>
      <c r="J74" s="95" t="s">
        <v>267</v>
      </c>
      <c r="K74" s="105"/>
    </row>
    <row r="75" spans="1:17" x14ac:dyDescent="0.25">
      <c r="E75" s="96" t="s">
        <v>250</v>
      </c>
      <c r="F75" s="97">
        <f t="shared" ref="F75:F80" si="0">COUNTIF($D$2:$D$72,E75)</f>
        <v>6</v>
      </c>
      <c r="G75" s="98">
        <f>2052*F75</f>
        <v>12312</v>
      </c>
      <c r="H75" s="98">
        <f>1368*F75</f>
        <v>8208</v>
      </c>
      <c r="I75" s="98"/>
      <c r="J75" s="99"/>
      <c r="K75" s="106"/>
    </row>
    <row r="76" spans="1:17" x14ac:dyDescent="0.25">
      <c r="E76" s="96" t="s">
        <v>251</v>
      </c>
      <c r="F76" s="97">
        <f t="shared" si="0"/>
        <v>2</v>
      </c>
      <c r="G76" s="98">
        <f>5290*F76</f>
        <v>10580</v>
      </c>
      <c r="H76" s="98">
        <f>3527*F76</f>
        <v>7054</v>
      </c>
      <c r="I76" s="98"/>
      <c r="J76" s="99"/>
      <c r="K76" s="106"/>
    </row>
    <row r="77" spans="1:17" x14ac:dyDescent="0.25">
      <c r="E77" s="96" t="s">
        <v>248</v>
      </c>
      <c r="F77" s="97">
        <f t="shared" si="0"/>
        <v>40</v>
      </c>
      <c r="G77" s="98">
        <f>3048*F77</f>
        <v>121920</v>
      </c>
      <c r="H77" s="98">
        <f>2032*F77</f>
        <v>81280</v>
      </c>
      <c r="I77" s="98"/>
      <c r="J77" s="99"/>
      <c r="K77" s="106"/>
    </row>
    <row r="78" spans="1:17" x14ac:dyDescent="0.25">
      <c r="E78" s="96" t="s">
        <v>249</v>
      </c>
      <c r="F78" s="97">
        <f t="shared" si="0"/>
        <v>19</v>
      </c>
      <c r="G78" s="98">
        <f>6198*F78</f>
        <v>117762</v>
      </c>
      <c r="H78" s="98">
        <f>4132*F78</f>
        <v>78508</v>
      </c>
      <c r="I78" s="98"/>
      <c r="J78" s="99"/>
      <c r="K78" s="106"/>
    </row>
    <row r="79" spans="1:17" x14ac:dyDescent="0.25">
      <c r="E79" s="96" t="s">
        <v>268</v>
      </c>
      <c r="F79" s="97">
        <f t="shared" si="0"/>
        <v>1</v>
      </c>
      <c r="G79" s="98">
        <f>6780*F79</f>
        <v>6780</v>
      </c>
      <c r="H79" s="98">
        <f>4520*F79</f>
        <v>4520</v>
      </c>
      <c r="I79" s="98">
        <f>6600*F79</f>
        <v>6600</v>
      </c>
      <c r="J79" s="99">
        <f>4400*F79</f>
        <v>4400</v>
      </c>
      <c r="K79" s="106"/>
    </row>
    <row r="80" spans="1:17" x14ac:dyDescent="0.25">
      <c r="E80" s="96" t="s">
        <v>247</v>
      </c>
      <c r="F80" s="97">
        <f t="shared" si="0"/>
        <v>1</v>
      </c>
      <c r="G80" s="98">
        <f>8582*F79</f>
        <v>8582</v>
      </c>
      <c r="H80" s="98">
        <f>5722*F80</f>
        <v>5722</v>
      </c>
      <c r="I80" s="98">
        <f>6600*F80</f>
        <v>6600</v>
      </c>
      <c r="J80" s="99">
        <f>4400*F80</f>
        <v>4400</v>
      </c>
      <c r="K80" s="106"/>
    </row>
    <row r="81" spans="5:11" ht="15.75" thickBot="1" x14ac:dyDescent="0.3">
      <c r="E81" s="100" t="s">
        <v>269</v>
      </c>
      <c r="F81" s="101">
        <f>SUM(F75:F80)</f>
        <v>69</v>
      </c>
      <c r="G81" s="102">
        <f t="shared" ref="G81:H81" si="1">SUM(G75:G80)</f>
        <v>277936</v>
      </c>
      <c r="H81" s="102">
        <f t="shared" si="1"/>
        <v>185292</v>
      </c>
      <c r="I81" s="102">
        <f>SUM(I75:I80)</f>
        <v>13200</v>
      </c>
      <c r="J81" s="103">
        <f>SUM(J75:J80)</f>
        <v>8800</v>
      </c>
      <c r="K81" s="107"/>
    </row>
  </sheetData>
  <autoFilter ref="A1:Q66">
    <sortState ref="A2:Q70">
      <sortCondition ref="B1:B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2" sqref="C2"/>
    </sheetView>
  </sheetViews>
  <sheetFormatPr defaultRowHeight="15" x14ac:dyDescent="0.25"/>
  <cols>
    <col min="1" max="1" width="36.42578125" customWidth="1"/>
    <col min="2" max="2" width="22.85546875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81</v>
      </c>
    </row>
    <row r="2" spans="1:4" ht="23.25" x14ac:dyDescent="0.35">
      <c r="A2" s="33" t="s">
        <v>34</v>
      </c>
      <c r="B2" s="33" t="s">
        <v>82</v>
      </c>
    </row>
    <row r="3" spans="1:4" ht="23.25" x14ac:dyDescent="0.35">
      <c r="A3" s="33" t="s">
        <v>35</v>
      </c>
      <c r="B3" s="34">
        <v>44197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80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1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1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2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20" t="s">
        <v>15</v>
      </c>
      <c r="B12" s="121"/>
      <c r="C12" s="122" t="s">
        <v>16</v>
      </c>
      <c r="D12" s="123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235268</v>
      </c>
      <c r="C13" s="18" t="s">
        <v>17</v>
      </c>
      <c r="D13" s="17">
        <f>IF((SUM(BASE!$M2:$M62)+(SUM(BASE!$N2:$N73)*2))&gt;=$C$8,$C$8,(SUM(BASE!$M2:$M70)+(SUM(BASE!$N2:$N70)*2)))</f>
        <v>13200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0</v>
      </c>
      <c r="C15" s="12" t="s">
        <v>19</v>
      </c>
      <c r="D15" s="14">
        <f>IF((SUM(BASE!$M2:$M70)+(SUM(BASE!$N2:$N70)*2))&gt;$C$8,(SUM(BASE!$M2:$M70)+(SUM(BASE!$N2:$N70)*2))-$C$8,0)</f>
        <v>3972</v>
      </c>
    </row>
    <row r="16" spans="1:4" ht="15.75" thickBot="1" x14ac:dyDescent="0.3">
      <c r="A16" s="6" t="s">
        <v>20</v>
      </c>
      <c r="B16" s="27">
        <f>$B$15*$B$7</f>
        <v>0</v>
      </c>
      <c r="C16" s="13" t="s">
        <v>20</v>
      </c>
      <c r="D16" s="32">
        <f>$D$15*$B$9</f>
        <v>993</v>
      </c>
    </row>
    <row r="17" spans="1:10" ht="15.75" thickBot="1" x14ac:dyDescent="0.3">
      <c r="A17" s="124" t="s">
        <v>30</v>
      </c>
      <c r="B17" s="125"/>
      <c r="C17" s="126" t="s">
        <v>31</v>
      </c>
      <c r="D17" s="127"/>
    </row>
    <row r="18" spans="1:10" ht="16.5" thickBot="1" x14ac:dyDescent="0.3">
      <c r="A18" s="128">
        <f>SUM($B$14,$B$16)</f>
        <v>19455.52</v>
      </c>
      <c r="B18" s="129"/>
      <c r="C18" s="130">
        <f>SUM($D$14,$D$16)</f>
        <v>10233</v>
      </c>
      <c r="D18" s="129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4" t="s">
        <v>26</v>
      </c>
      <c r="B20" s="115"/>
      <c r="C20" s="116"/>
      <c r="D20" s="117"/>
    </row>
    <row r="21" spans="1:10" ht="16.5" thickBot="1" x14ac:dyDescent="0.3">
      <c r="A21" s="114" t="s">
        <v>27</v>
      </c>
      <c r="B21" s="115"/>
      <c r="C21" s="118"/>
      <c r="D21" s="119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10" t="s">
        <v>32</v>
      </c>
      <c r="B23" s="111"/>
      <c r="C23" s="112">
        <f>SUM(A18:D18)+C21-C20</f>
        <v>29688.52</v>
      </c>
      <c r="D23" s="113"/>
    </row>
    <row r="25" spans="1:10" x14ac:dyDescent="0.25">
      <c r="A25" s="109" t="str">
        <f>IF(B13&lt;C6,"Favor atentar para o correto dimensionamento do recurso de impressão, pois o volume impresso está abaixo da franquia monocromática contratada!","")</f>
        <v>Favor atentar para o correto dimensionamento do recurso de impressão, pois o volume impresso está abaixo da franquia monocromática contratada!</v>
      </c>
      <c r="B25" s="109"/>
      <c r="C25" s="109"/>
      <c r="D25" s="109"/>
      <c r="E25" s="109"/>
      <c r="F25" s="109"/>
      <c r="G25" s="109"/>
      <c r="H25" s="109"/>
      <c r="I25" s="109"/>
      <c r="J25" s="109"/>
    </row>
    <row r="26" spans="1:10" x14ac:dyDescent="0.25">
      <c r="A26" s="109" t="str">
        <f>IF(D13&lt;C8,"Favor atentar para o correto dimensionamento do recurso de impressão, pois o volume impresso está abaixo da franquia color contratada!","")</f>
        <v/>
      </c>
      <c r="B26" s="109"/>
      <c r="C26" s="109"/>
      <c r="D26" s="109"/>
      <c r="E26" s="109"/>
      <c r="F26" s="109"/>
      <c r="G26" s="109"/>
      <c r="H26" s="109"/>
      <c r="I26" s="109"/>
      <c r="J26" s="109"/>
    </row>
    <row r="27" spans="1:10" x14ac:dyDescent="0.25">
      <c r="A27" s="109" t="str">
        <f>IF(D15&gt;C9,"Favor atentar para o uso do recurso de impressão, pois o volume policromático impresso está acima da volumetria total contratada!","")</f>
        <v/>
      </c>
      <c r="B27" s="109"/>
      <c r="C27" s="109"/>
      <c r="D27" s="109"/>
      <c r="E27" s="109"/>
      <c r="F27" s="109"/>
      <c r="G27" s="109"/>
      <c r="H27" s="109"/>
      <c r="I27" s="109"/>
      <c r="J27" s="109"/>
    </row>
    <row r="28" spans="1:10" x14ac:dyDescent="0.25">
      <c r="A28" s="109" t="str">
        <f>IF(B16&gt;C8,"Favor atentar para o uso do recurso de impressão, pois o volume monocromático impresso está acima da volumetria total contratada!","")</f>
        <v/>
      </c>
      <c r="B28" s="109"/>
      <c r="C28" s="109"/>
      <c r="D28" s="109"/>
      <c r="E28" s="109"/>
      <c r="F28" s="109"/>
      <c r="G28" s="109"/>
      <c r="H28" s="109"/>
      <c r="I28" s="109"/>
      <c r="J28" s="109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D7" sqref="D7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104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253</v>
      </c>
      <c r="C6" s="42" t="s">
        <v>254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51</v>
      </c>
      <c r="B7" s="73">
        <f>$D$3</f>
        <v>277936</v>
      </c>
      <c r="C7" s="76">
        <v>257702</v>
      </c>
      <c r="D7" s="45">
        <f>$D$4</f>
        <v>14640.64</v>
      </c>
      <c r="E7" s="45">
        <f>IF(C7-B7&lt;0,0,(C7-B7)*$D$5)</f>
        <v>0</v>
      </c>
      <c r="F7" s="45">
        <f>E7+D7</f>
        <v>14640.64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53</v>
      </c>
      <c r="B8" s="73">
        <f t="shared" ref="B8:B12" si="0">$D$3</f>
        <v>277936</v>
      </c>
      <c r="C8" s="76">
        <v>247378</v>
      </c>
      <c r="D8" s="45">
        <f t="shared" ref="D8:D12" si="1">$D$4</f>
        <v>14640.64</v>
      </c>
      <c r="E8" s="45">
        <f t="shared" ref="E8:E12" si="2">IF(C8-B8&lt;0,0,(C8-B8)*$D$5)</f>
        <v>0</v>
      </c>
      <c r="F8" s="45">
        <f t="shared" ref="F8:F11" si="3">E8+D8</f>
        <v>14640.64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55</v>
      </c>
      <c r="B9" s="73">
        <f t="shared" si="0"/>
        <v>277936</v>
      </c>
      <c r="C9" s="76">
        <v>260296</v>
      </c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56</v>
      </c>
      <c r="B10" s="73">
        <f t="shared" si="0"/>
        <v>277936</v>
      </c>
      <c r="C10" s="76">
        <v>267947</v>
      </c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57</v>
      </c>
      <c r="B11" s="73">
        <f t="shared" si="0"/>
        <v>277936</v>
      </c>
      <c r="C11" s="76">
        <v>247924</v>
      </c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58</v>
      </c>
      <c r="H11" s="46" t="s">
        <v>59</v>
      </c>
    </row>
    <row r="12" spans="1:15" ht="15.75" thickBot="1" x14ac:dyDescent="0.3">
      <c r="A12" s="47" t="s">
        <v>60</v>
      </c>
      <c r="B12" s="74">
        <f t="shared" si="0"/>
        <v>277936</v>
      </c>
      <c r="C12" s="76">
        <f>SUM(CONSOLIDADO!B13,CONSOLIDADO!B15)</f>
        <v>235268</v>
      </c>
      <c r="D12" s="48">
        <f t="shared" si="1"/>
        <v>14640.64</v>
      </c>
      <c r="E12" s="48">
        <f t="shared" si="2"/>
        <v>0</v>
      </c>
      <c r="F12" s="49">
        <f>E12+D12</f>
        <v>14640.64</v>
      </c>
      <c r="G12" s="50">
        <f>IF(C13&gt;B13,E13-C15,E13)</f>
        <v>0</v>
      </c>
      <c r="H12" s="51">
        <f>F12-G12</f>
        <v>14640.64</v>
      </c>
    </row>
    <row r="13" spans="1:15" ht="19.5" thickBot="1" x14ac:dyDescent="0.35">
      <c r="A13" s="52" t="s">
        <v>61</v>
      </c>
      <c r="B13" s="75">
        <f>SUM(B7:B12)</f>
        <v>1667616</v>
      </c>
      <c r="C13" s="77">
        <f>SUM(C7:C12)</f>
        <v>1516515</v>
      </c>
      <c r="D13" s="55">
        <f>SUM(D7:D12)</f>
        <v>87843.839999999997</v>
      </c>
      <c r="E13" s="56">
        <f>SUM(E7:E12)</f>
        <v>0</v>
      </c>
      <c r="F13" s="144" t="s">
        <v>62</v>
      </c>
      <c r="G13" s="145"/>
      <c r="H13" s="57">
        <f>SUM(F7:F11)+H12</f>
        <v>87843.839999999997</v>
      </c>
    </row>
    <row r="14" spans="1:15" ht="15.75" thickBot="1" x14ac:dyDescent="0.3">
      <c r="A14" s="131" t="s">
        <v>63</v>
      </c>
      <c r="B14" s="132"/>
      <c r="C14" s="78">
        <f>C13-B13</f>
        <v>-151101</v>
      </c>
      <c r="G14" s="59"/>
    </row>
    <row r="15" spans="1:15" ht="15.75" thickBot="1" x14ac:dyDescent="0.3">
      <c r="C15" s="60">
        <f>IF(C14&lt;0,0,C14*$D$5)</f>
        <v>0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  <row r="27" spans="1:10" x14ac:dyDescent="0.25">
      <c r="E27" s="59">
        <f>H13/C13</f>
        <v>5.7924807865401925E-2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9" sqref="C9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3" t="s">
        <v>38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4" t="s">
        <v>41</v>
      </c>
      <c r="B3" s="135"/>
      <c r="C3" s="136"/>
      <c r="D3" s="79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7" t="s">
        <v>43</v>
      </c>
      <c r="B4" s="138"/>
      <c r="C4" s="139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0" t="s">
        <v>45</v>
      </c>
      <c r="B5" s="141"/>
      <c r="C5" s="142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255</v>
      </c>
      <c r="C6" s="42" t="s">
        <v>256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51</v>
      </c>
      <c r="B7" s="73">
        <f>$D$3</f>
        <v>13200</v>
      </c>
      <c r="C7" s="76">
        <v>14793</v>
      </c>
      <c r="D7" s="45">
        <f>$D$4</f>
        <v>9240</v>
      </c>
      <c r="E7" s="45">
        <f>IF(C7-B7&lt;0,0,(C7-B7)*$D$5)</f>
        <v>398.25</v>
      </c>
      <c r="F7" s="45">
        <f>E7+D7</f>
        <v>9638.25</v>
      </c>
      <c r="H7" s="37" t="s">
        <v>52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53</v>
      </c>
      <c r="B8" s="73">
        <f t="shared" ref="B8:B12" si="0">$D$3</f>
        <v>13200</v>
      </c>
      <c r="C8" s="76">
        <v>18777</v>
      </c>
      <c r="D8" s="45">
        <f t="shared" ref="D8:D12" si="1">$D$4</f>
        <v>9240</v>
      </c>
      <c r="E8" s="45">
        <f t="shared" ref="E8:E12" si="2">IF(C8-B8&lt;0,0,(C8-B8)*$D$5)</f>
        <v>1394.25</v>
      </c>
      <c r="F8" s="45">
        <f t="shared" ref="F8:F11" si="3">E8+D8</f>
        <v>10634.25</v>
      </c>
      <c r="H8" s="143" t="s">
        <v>54</v>
      </c>
      <c r="I8" s="143"/>
      <c r="J8" s="143"/>
      <c r="K8" s="143"/>
      <c r="L8" s="143"/>
      <c r="M8" s="143"/>
      <c r="N8" s="143"/>
      <c r="O8" s="143"/>
    </row>
    <row r="9" spans="1:15" x14ac:dyDescent="0.25">
      <c r="A9" s="44" t="s">
        <v>55</v>
      </c>
      <c r="B9" s="73">
        <f t="shared" si="0"/>
        <v>13200</v>
      </c>
      <c r="C9" s="76">
        <v>17096</v>
      </c>
      <c r="D9" s="45">
        <f t="shared" si="1"/>
        <v>9240</v>
      </c>
      <c r="E9" s="45">
        <f t="shared" si="2"/>
        <v>974</v>
      </c>
      <c r="F9" s="45">
        <f t="shared" si="3"/>
        <v>10214</v>
      </c>
      <c r="H9" s="143"/>
      <c r="I9" s="143"/>
      <c r="J9" s="143"/>
      <c r="K9" s="143"/>
      <c r="L9" s="143"/>
      <c r="M9" s="143"/>
      <c r="N9" s="143"/>
      <c r="O9" s="143"/>
    </row>
    <row r="10" spans="1:15" x14ac:dyDescent="0.25">
      <c r="A10" s="44" t="s">
        <v>56</v>
      </c>
      <c r="B10" s="73">
        <f t="shared" si="0"/>
        <v>13200</v>
      </c>
      <c r="C10" s="76">
        <v>13830</v>
      </c>
      <c r="D10" s="45">
        <f t="shared" si="1"/>
        <v>9240</v>
      </c>
      <c r="E10" s="45">
        <f t="shared" si="2"/>
        <v>157.5</v>
      </c>
      <c r="F10" s="45">
        <f t="shared" si="3"/>
        <v>9397.5</v>
      </c>
      <c r="H10" s="143"/>
      <c r="I10" s="143"/>
      <c r="J10" s="143"/>
      <c r="K10" s="143"/>
      <c r="L10" s="143"/>
      <c r="M10" s="143"/>
      <c r="N10" s="143"/>
      <c r="O10" s="143"/>
    </row>
    <row r="11" spans="1:15" ht="15.75" thickBot="1" x14ac:dyDescent="0.3">
      <c r="A11" s="44" t="s">
        <v>57</v>
      </c>
      <c r="B11" s="73">
        <f t="shared" si="0"/>
        <v>13200</v>
      </c>
      <c r="C11" s="76">
        <v>21264</v>
      </c>
      <c r="D11" s="45">
        <f t="shared" si="1"/>
        <v>9240</v>
      </c>
      <c r="E11" s="45">
        <f t="shared" si="2"/>
        <v>2016</v>
      </c>
      <c r="F11" s="45">
        <f t="shared" si="3"/>
        <v>11256</v>
      </c>
      <c r="G11" s="46" t="s">
        <v>58</v>
      </c>
      <c r="H11" s="46" t="s">
        <v>59</v>
      </c>
    </row>
    <row r="12" spans="1:15" ht="15.75" thickBot="1" x14ac:dyDescent="0.3">
      <c r="A12" s="47" t="s">
        <v>60</v>
      </c>
      <c r="B12" s="74">
        <f t="shared" si="0"/>
        <v>13200</v>
      </c>
      <c r="C12" s="76">
        <f>SUM(CONSOLIDADO!D13,CONSOLIDADO!D15)</f>
        <v>17172</v>
      </c>
      <c r="D12" s="48">
        <f t="shared" si="1"/>
        <v>9240</v>
      </c>
      <c r="E12" s="48">
        <f t="shared" si="2"/>
        <v>993</v>
      </c>
      <c r="F12" s="49">
        <f>E12+D12</f>
        <v>10233</v>
      </c>
      <c r="G12" s="50">
        <f>IF(C13&gt;B13,E13-C15,E13)</f>
        <v>0</v>
      </c>
      <c r="H12" s="51">
        <f>F12-G12</f>
        <v>10233</v>
      </c>
    </row>
    <row r="13" spans="1:15" ht="19.5" thickBot="1" x14ac:dyDescent="0.35">
      <c r="A13" s="52" t="s">
        <v>61</v>
      </c>
      <c r="B13" s="75">
        <f>SUM(B7:B12)</f>
        <v>79200</v>
      </c>
      <c r="C13" s="77">
        <f>SUM(C7:C12)</f>
        <v>102932</v>
      </c>
      <c r="D13" s="55">
        <f>SUM(D7:D12)</f>
        <v>55440</v>
      </c>
      <c r="E13" s="56">
        <f>SUM(E7:E12)</f>
        <v>5933</v>
      </c>
      <c r="F13" s="144" t="s">
        <v>62</v>
      </c>
      <c r="G13" s="145"/>
      <c r="H13" s="57">
        <f>SUM(F7:F11)+H12</f>
        <v>61373</v>
      </c>
    </row>
    <row r="14" spans="1:15" ht="15.75" thickBot="1" x14ac:dyDescent="0.3">
      <c r="A14" s="131" t="s">
        <v>63</v>
      </c>
      <c r="B14" s="132"/>
      <c r="C14" s="78">
        <f>C13-B13</f>
        <v>23732</v>
      </c>
      <c r="G14" s="59"/>
    </row>
    <row r="15" spans="1:15" ht="15.75" thickBot="1" x14ac:dyDescent="0.3">
      <c r="C15" s="60">
        <f>IF(C14&lt;0,0,C14*$D$5)</f>
        <v>5933</v>
      </c>
    </row>
    <row r="16" spans="1:15" ht="15.75" thickBot="1" x14ac:dyDescent="0.3"/>
    <row r="17" spans="1:10" ht="15.75" thickBot="1" x14ac:dyDescent="0.3">
      <c r="A17" s="53"/>
      <c r="B17" s="61" t="s">
        <v>64</v>
      </c>
      <c r="C17" s="62" t="s">
        <v>65</v>
      </c>
      <c r="F17" s="37" t="s">
        <v>66</v>
      </c>
    </row>
    <row r="18" spans="1:10" ht="15.75" thickBot="1" x14ac:dyDescent="0.3">
      <c r="A18" s="54"/>
      <c r="B18" s="63" t="s">
        <v>67</v>
      </c>
      <c r="C18" s="64" t="s">
        <v>68</v>
      </c>
    </row>
    <row r="19" spans="1:10" ht="15.75" thickBot="1" x14ac:dyDescent="0.3">
      <c r="A19" s="65"/>
      <c r="B19" s="63" t="s">
        <v>69</v>
      </c>
      <c r="C19" s="64" t="s">
        <v>70</v>
      </c>
    </row>
    <row r="20" spans="1:10" ht="15.75" thickBot="1" x14ac:dyDescent="0.3">
      <c r="A20" s="58"/>
      <c r="B20" s="66" t="s">
        <v>71</v>
      </c>
      <c r="C20" s="64" t="s">
        <v>72</v>
      </c>
      <c r="E20" s="67" t="s">
        <v>73</v>
      </c>
    </row>
    <row r="21" spans="1:10" ht="15.75" thickBot="1" x14ac:dyDescent="0.3">
      <c r="A21" s="68"/>
      <c r="B21" s="66" t="s">
        <v>74</v>
      </c>
      <c r="C21" s="64" t="s">
        <v>75</v>
      </c>
      <c r="E21" s="67" t="s">
        <v>76</v>
      </c>
      <c r="F21" s="62"/>
      <c r="G21" s="62"/>
    </row>
    <row r="22" spans="1:10" ht="15.75" thickBot="1" x14ac:dyDescent="0.3">
      <c r="A22" s="69"/>
      <c r="B22" s="66" t="s">
        <v>58</v>
      </c>
      <c r="C22" s="64" t="s">
        <v>77</v>
      </c>
      <c r="E22" s="70" t="s">
        <v>78</v>
      </c>
      <c r="F22" s="64"/>
      <c r="G22" s="64"/>
    </row>
    <row r="23" spans="1:10" ht="15.75" thickBot="1" x14ac:dyDescent="0.3">
      <c r="A23" s="71"/>
      <c r="B23" s="66" t="s">
        <v>59</v>
      </c>
      <c r="C23" s="64" t="s">
        <v>79</v>
      </c>
      <c r="E23" s="62" t="s">
        <v>80</v>
      </c>
      <c r="F23" s="62"/>
      <c r="G23" s="62"/>
      <c r="H23" s="62"/>
      <c r="I23" s="62"/>
      <c r="J23" s="62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http://schemas.microsoft.com/office/infopath/2007/PartnerControls"/>
    <ds:schemaRef ds:uri="76045822-f663-47fe-a980-18965f3af854"/>
    <ds:schemaRef ds:uri="http://purl.org/dc/terms/"/>
    <ds:schemaRef ds:uri="http://schemas.microsoft.com/office/2006/metadata/properties"/>
    <ds:schemaRef ds:uri="http://schemas.openxmlformats.org/package/2006/metadata/core-properties"/>
    <ds:schemaRef ds:uri="e0c41287-3fae-4d33-9378-24a2e4e94c8b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2021-01-29T20:46:57Z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