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.pacheco\OneDrive - EBSERH\Licitação e contratos\Meus contratos\Impressoras - WA\Impressoes\2021\"/>
    </mc:Choice>
  </mc:AlternateContent>
  <bookViews>
    <workbookView xWindow="-120" yWindow="-120" windowWidth="29040" windowHeight="15840" activeTab="1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BASE!$A$1:$Q$66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4" l="1"/>
  <c r="J5" i="4" l="1"/>
  <c r="K5" i="4" s="1"/>
  <c r="J68" i="4"/>
  <c r="K68" i="4" s="1"/>
  <c r="J69" i="4"/>
  <c r="K69" i="4" s="1"/>
  <c r="J67" i="4"/>
  <c r="K67" i="4" s="1"/>
  <c r="J57" i="4"/>
  <c r="K57" i="4" s="1"/>
  <c r="J70" i="4"/>
  <c r="K70" i="4" s="1"/>
  <c r="J66" i="4" l="1"/>
  <c r="K66" i="4" s="1"/>
  <c r="J13" i="4"/>
  <c r="K13" i="4" s="1"/>
  <c r="J6" i="4"/>
  <c r="K6" i="4" s="1"/>
  <c r="J7" i="4"/>
  <c r="K7" i="4" s="1"/>
  <c r="J8" i="4"/>
  <c r="K8" i="4" s="1"/>
  <c r="J4" i="4"/>
  <c r="K4" i="4" s="1"/>
  <c r="M3" i="4" l="1"/>
  <c r="M2" i="4"/>
  <c r="K3" i="4"/>
  <c r="K2" i="4"/>
  <c r="J54" i="4"/>
  <c r="K54" i="4" s="1"/>
  <c r="J29" i="4" l="1"/>
  <c r="K29" i="4" s="1"/>
  <c r="F76" i="4" l="1"/>
  <c r="H76" i="4" s="1"/>
  <c r="F77" i="4"/>
  <c r="H77" i="4" s="1"/>
  <c r="F78" i="4"/>
  <c r="H78" i="4" s="1"/>
  <c r="J79" i="4"/>
  <c r="F80" i="4"/>
  <c r="J80" i="4" s="1"/>
  <c r="F75" i="4"/>
  <c r="G75" i="4" s="1"/>
  <c r="J53" i="4"/>
  <c r="K53" i="4" s="1"/>
  <c r="J26" i="4"/>
  <c r="K26" i="4" s="1"/>
  <c r="J44" i="4"/>
  <c r="K44" i="4" s="1"/>
  <c r="J9" i="4"/>
  <c r="K9" i="4" s="1"/>
  <c r="J15" i="4"/>
  <c r="K15" i="4" s="1"/>
  <c r="J40" i="4"/>
  <c r="K40" i="4" s="1"/>
  <c r="J50" i="4"/>
  <c r="K50" i="4" s="1"/>
  <c r="J22" i="4"/>
  <c r="K22" i="4" s="1"/>
  <c r="J18" i="4"/>
  <c r="K18" i="4" s="1"/>
  <c r="J46" i="4"/>
  <c r="K46" i="4" s="1"/>
  <c r="J11" i="4"/>
  <c r="K11" i="4" s="1"/>
  <c r="J60" i="4"/>
  <c r="K60" i="4" s="1"/>
  <c r="J45" i="4"/>
  <c r="K45" i="4" s="1"/>
  <c r="J52" i="4"/>
  <c r="K52" i="4" s="1"/>
  <c r="J65" i="4"/>
  <c r="K65" i="4" s="1"/>
  <c r="J16" i="4"/>
  <c r="K16" i="4" s="1"/>
  <c r="J17" i="4"/>
  <c r="K17" i="4" s="1"/>
  <c r="J59" i="4"/>
  <c r="K59" i="4" s="1"/>
  <c r="J27" i="4"/>
  <c r="K27" i="4" s="1"/>
  <c r="J30" i="4"/>
  <c r="K30" i="4" s="1"/>
  <c r="J20" i="4"/>
  <c r="K20" i="4" s="1"/>
  <c r="J19" i="4"/>
  <c r="K19" i="4" s="1"/>
  <c r="J42" i="4"/>
  <c r="K42" i="4" s="1"/>
  <c r="J35" i="4"/>
  <c r="K35" i="4" s="1"/>
  <c r="J12" i="4"/>
  <c r="K12" i="4" s="1"/>
  <c r="J56" i="4"/>
  <c r="K56" i="4" s="1"/>
  <c r="J34" i="4"/>
  <c r="K34" i="4" s="1"/>
  <c r="J28" i="4"/>
  <c r="K28" i="4" s="1"/>
  <c r="J58" i="4"/>
  <c r="K58" i="4" s="1"/>
  <c r="J62" i="4"/>
  <c r="K62" i="4" s="1"/>
  <c r="J63" i="4"/>
  <c r="K63" i="4" s="1"/>
  <c r="J36" i="4"/>
  <c r="K36" i="4" s="1"/>
  <c r="J47" i="4"/>
  <c r="K47" i="4" s="1"/>
  <c r="J61" i="4"/>
  <c r="K61" i="4" s="1"/>
  <c r="J38" i="4"/>
  <c r="K38" i="4" s="1"/>
  <c r="J31" i="4"/>
  <c r="K31" i="4" s="1"/>
  <c r="J33" i="4"/>
  <c r="K33" i="4" s="1"/>
  <c r="J49" i="4"/>
  <c r="K49" i="4" s="1"/>
  <c r="J55" i="4"/>
  <c r="K55" i="4" s="1"/>
  <c r="J64" i="4"/>
  <c r="K64" i="4" s="1"/>
  <c r="J32" i="4"/>
  <c r="K32" i="4" s="1"/>
  <c r="J48" i="4"/>
  <c r="K48" i="4" s="1"/>
  <c r="J51" i="4"/>
  <c r="K51" i="4" s="1"/>
  <c r="J10" i="4"/>
  <c r="K10" i="4" s="1"/>
  <c r="J39" i="4"/>
  <c r="K39" i="4" s="1"/>
  <c r="J24" i="4"/>
  <c r="K24" i="4" s="1"/>
  <c r="J23" i="4"/>
  <c r="K23" i="4" s="1"/>
  <c r="J14" i="4"/>
  <c r="K14" i="4" s="1"/>
  <c r="J41" i="4"/>
  <c r="K41" i="4" s="1"/>
  <c r="J81" i="4" l="1"/>
  <c r="C9" i="5" s="1"/>
  <c r="H75" i="4"/>
  <c r="G78" i="4"/>
  <c r="G80" i="4"/>
  <c r="H80" i="4"/>
  <c r="I80" i="4"/>
  <c r="G76" i="4"/>
  <c r="G79" i="4"/>
  <c r="H79" i="4"/>
  <c r="F81" i="4"/>
  <c r="G77" i="4"/>
  <c r="I79" i="4"/>
  <c r="I81" i="4" l="1"/>
  <c r="H81" i="4"/>
  <c r="C7" i="5" s="1"/>
  <c r="G81" i="4"/>
  <c r="C6" i="5" l="1"/>
  <c r="D3" i="7"/>
  <c r="D3" i="8"/>
  <c r="B10" i="8" s="1"/>
  <c r="C8" i="5"/>
  <c r="J37" i="4"/>
  <c r="K37" i="4" s="1"/>
  <c r="J21" i="4"/>
  <c r="K21" i="4" s="1"/>
  <c r="D5" i="8"/>
  <c r="D13" i="5" l="1"/>
  <c r="C12" i="8" s="1"/>
  <c r="D15" i="5"/>
  <c r="B8" i="8"/>
  <c r="B9" i="8"/>
  <c r="B12" i="8"/>
  <c r="B11" i="8"/>
  <c r="B7" i="8"/>
  <c r="E9" i="8" l="1"/>
  <c r="E12" i="8"/>
  <c r="E11" i="8"/>
  <c r="E10" i="8"/>
  <c r="E8" i="8"/>
  <c r="B13" i="8"/>
  <c r="C13" i="8" l="1"/>
  <c r="C14" i="8" s="1"/>
  <c r="C15" i="8" s="1"/>
  <c r="E7" i="8"/>
  <c r="E13" i="8" l="1"/>
  <c r="G12" i="8" s="1"/>
  <c r="J43" i="4" l="1"/>
  <c r="K43" i="4" s="1"/>
  <c r="J25" i="4"/>
  <c r="K25" i="4" s="1"/>
  <c r="B15" i="5" l="1"/>
  <c r="B13" i="5"/>
  <c r="D12" i="7"/>
  <c r="B12" i="7"/>
  <c r="D11" i="7"/>
  <c r="B11" i="7"/>
  <c r="D10" i="7"/>
  <c r="B10" i="7"/>
  <c r="D9" i="7"/>
  <c r="B9" i="7"/>
  <c r="D8" i="7"/>
  <c r="B8" i="7"/>
  <c r="D7" i="7"/>
  <c r="D13" i="7" s="1"/>
  <c r="B7" i="7"/>
  <c r="C12" i="7" l="1"/>
  <c r="E12" i="7" s="1"/>
  <c r="F12" i="7" s="1"/>
  <c r="E10" i="7"/>
  <c r="F10" i="7" s="1"/>
  <c r="E9" i="7"/>
  <c r="F9" i="7" s="1"/>
  <c r="E7" i="7"/>
  <c r="F7" i="7" s="1"/>
  <c r="E11" i="7"/>
  <c r="F11" i="7" s="1"/>
  <c r="B13" i="7"/>
  <c r="C13" i="7" l="1"/>
  <c r="C14" i="7" s="1"/>
  <c r="C15" i="7" s="1"/>
  <c r="E8" i="7"/>
  <c r="E13" i="7" s="1"/>
  <c r="G12" i="7" l="1"/>
  <c r="H12" i="7" s="1"/>
  <c r="F8" i="7"/>
  <c r="A25" i="5"/>
  <c r="D6" i="5"/>
  <c r="B14" i="5" s="1"/>
  <c r="D16" i="5"/>
  <c r="A26" i="5"/>
  <c r="B16" i="5"/>
  <c r="A28" i="5" s="1"/>
  <c r="D9" i="5"/>
  <c r="D7" i="5"/>
  <c r="D8" i="5"/>
  <c r="H13" i="7" l="1"/>
  <c r="E27" i="7" s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<sst xmlns="http://schemas.openxmlformats.org/spreadsheetml/2006/main" count="497" uniqueCount="316">
  <si>
    <t>TIPO</t>
  </si>
  <si>
    <t>Nº DE SÉRIE</t>
  </si>
  <si>
    <t>IP</t>
  </si>
  <si>
    <t>OBSERVAÇÕES</t>
  </si>
  <si>
    <t>VALOR UNITÁRIO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</si>
  <si>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</si>
  <si>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</si>
  <si>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</si>
  <si>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</si>
  <si>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DEPARTAMENTO
(localização do equipamento)</t>
  </si>
  <si>
    <t>MARCA e MODELO</t>
  </si>
  <si>
    <t>VOLUMETRIA A4
(MONOCROMÁTICO)</t>
  </si>
  <si>
    <t>VOLUMETRIA A4
(POLICROMÁTICO)</t>
  </si>
  <si>
    <t>VOLUMETRIA A3
(MONOCROMÁTICO)</t>
  </si>
  <si>
    <t>VOLUMETRIA A3
(POLICROMÁTICO)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</si>
  <si>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</si>
  <si>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</si>
  <si>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</si>
  <si>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</si>
  <si>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</si>
  <si>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</si>
  <si>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TIPO EQUIPAMENTO 
(CONFORME EDITAL)</t>
  </si>
  <si>
    <t>VOLUMETRIA TOTAL
(MÊS)</t>
  </si>
  <si>
    <t>DATA DE 
INSTALAÇÃO</t>
  </si>
  <si>
    <t>CONTADOR 
INICIAL</t>
  </si>
  <si>
    <t>CONTADOR 
FINAL</t>
  </si>
  <si>
    <t>GLOSAS E DESCONTOS</t>
  </si>
  <si>
    <t>ACRESCIMOS</t>
  </si>
  <si>
    <t>SERVIÇO MENSAL CONTRATADO</t>
  </si>
  <si>
    <t>VALOR CONTRATADO</t>
  </si>
  <si>
    <t>Valor Total Mono</t>
  </si>
  <si>
    <t>Valor Total Color</t>
  </si>
  <si>
    <t>VALOR A PAGAR</t>
  </si>
  <si>
    <t>Contratante:</t>
  </si>
  <si>
    <t>Contratada:</t>
  </si>
  <si>
    <t>Mês de Referência:</t>
  </si>
  <si>
    <t>MÊS</t>
  </si>
  <si>
    <t>ANO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</si>
  <si>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</si>
  <si>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</si>
  <si>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</si>
  <si>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</si>
  <si>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</si>
  <si>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</si>
  <si>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</si>
  <si>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</si>
  <si>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</si>
  <si>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Valor Franquia</t>
  </si>
  <si>
    <t>Valor Excedente</t>
  </si>
  <si>
    <t>Valor mensal</t>
  </si>
  <si>
    <t>4 - Preencha a coluna de quantidade de páginas produzidas em cada mês (Coluna C)</t>
  </si>
  <si>
    <t>Mês 1</t>
  </si>
  <si>
    <t>5 - O valor a ser pago mensalmente estará na coluna "Valor Mensal"</t>
  </si>
  <si>
    <t>Mês 2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</si>
  <si>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</si>
  <si>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Mês 3</t>
  </si>
  <si>
    <t>Mês 4</t>
  </si>
  <si>
    <t>Mês 5</t>
  </si>
  <si>
    <t>Redução</t>
  </si>
  <si>
    <t>Novo Valor Pago</t>
  </si>
  <si>
    <t>Mês 6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</si>
  <si>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</si>
  <si>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</si>
  <si>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</si>
  <si>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</si>
  <si>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</si>
  <si>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</si>
  <si>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</si>
  <si>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</si>
  <si>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</si>
  <si>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</si>
  <si>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</si>
  <si>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</si>
  <si>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</si>
  <si>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</si>
  <si>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</si>
  <si>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</si>
  <si>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</si>
  <si>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</si>
  <si>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</si>
  <si>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</si>
  <si>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Humap</t>
  </si>
  <si>
    <t>W.A.</t>
  </si>
  <si>
    <t>PROTOCOLO</t>
  </si>
  <si>
    <t>CTI PEDIATRICO</t>
  </si>
  <si>
    <t>CTI ADULTO</t>
  </si>
  <si>
    <t>ENFERMARIA PEDIATRIA</t>
  </si>
  <si>
    <t>CCII</t>
  </si>
  <si>
    <t>CCI</t>
  </si>
  <si>
    <t>DIP</t>
  </si>
  <si>
    <t>ENFERMARIA CLINICA MEDICA</t>
  </si>
  <si>
    <t>SUPRIMENTOS</t>
  </si>
  <si>
    <t>AMB_PEDIATRIA</t>
  </si>
  <si>
    <t>PAM POSTO ENF</t>
  </si>
  <si>
    <t>NUTRICAO</t>
  </si>
  <si>
    <t>HEMODINAMICA</t>
  </si>
  <si>
    <t>PAM RECEPCAO</t>
  </si>
  <si>
    <t>CENTRO_CIRURGICO</t>
  </si>
  <si>
    <t>AMB_ONCOLOGIA</t>
  </si>
  <si>
    <t>UAF</t>
  </si>
  <si>
    <t>PAM_PED</t>
  </si>
  <si>
    <t>SOST</t>
  </si>
  <si>
    <t>SERVICO_SOCIAL</t>
  </si>
  <si>
    <t>MAT PRE PARTO</t>
  </si>
  <si>
    <t>PULSOTERAPIA</t>
  </si>
  <si>
    <t>JURIDICO</t>
  </si>
  <si>
    <t>PATOLOGIA</t>
  </si>
  <si>
    <t>AMB_ARQUIVO_MEDICO</t>
  </si>
  <si>
    <t>RENAL</t>
  </si>
  <si>
    <t>LAC_RECEPCAO</t>
  </si>
  <si>
    <t>UCO</t>
  </si>
  <si>
    <t>COREME</t>
  </si>
  <si>
    <t>ENGENHARIA</t>
  </si>
  <si>
    <t>HDIA</t>
  </si>
  <si>
    <t>ORTESE E PROTESE</t>
  </si>
  <si>
    <t>FARMACIA</t>
  </si>
  <si>
    <t>FARMACIA_MANIPULACAO</t>
  </si>
  <si>
    <t>AMB_ORTOPEDIA</t>
  </si>
  <si>
    <t>DIVGP</t>
  </si>
  <si>
    <t>UTI NEO</t>
  </si>
  <si>
    <t>RAIOX</t>
  </si>
  <si>
    <t>BANCO LEITE</t>
  </si>
  <si>
    <t>PAM NIR</t>
  </si>
  <si>
    <t>CCIH</t>
  </si>
  <si>
    <t>EPIDEMIOLOGIA</t>
  </si>
  <si>
    <t>AMB_ELETRO</t>
  </si>
  <si>
    <t>MATERNIDADE</t>
  </si>
  <si>
    <t>DIRECAO</t>
  </si>
  <si>
    <t>AUDITORIA_MEDICA</t>
  </si>
  <si>
    <t>RECEPCAO_CENTRAL</t>
  </si>
  <si>
    <t>HEMONUCLEO</t>
  </si>
  <si>
    <t>CME</t>
  </si>
  <si>
    <t>CHEFIA ENFERMAGEM</t>
  </si>
  <si>
    <t>ENFERMARIA PEDIATRICA SALA MED</t>
  </si>
  <si>
    <t>2TX074066</t>
  </si>
  <si>
    <t>U64210B0N382790</t>
  </si>
  <si>
    <t>U64210B0N382713</t>
  </si>
  <si>
    <t>U64210B0N382703</t>
  </si>
  <si>
    <t>U64210B0N382743</t>
  </si>
  <si>
    <t>U64210B0N382699</t>
  </si>
  <si>
    <t>U64210B0N382708</t>
  </si>
  <si>
    <t>U64210B0N382692</t>
  </si>
  <si>
    <t>U64210B0N382663</t>
  </si>
  <si>
    <t>U64210B0N382849</t>
  </si>
  <si>
    <t>U64210B0N382654</t>
  </si>
  <si>
    <t>U64210B0N382645</t>
  </si>
  <si>
    <t>U64210B0N382666</t>
  </si>
  <si>
    <t>U64210B0N382871</t>
  </si>
  <si>
    <t>U64210B0N382815</t>
  </si>
  <si>
    <t>U64210B0N382778</t>
  </si>
  <si>
    <t>U64210B0N382738</t>
  </si>
  <si>
    <t>U64210B0N382706</t>
  </si>
  <si>
    <t>U64210B0N382720</t>
  </si>
  <si>
    <t>U64210B0N382878</t>
  </si>
  <si>
    <t>U64210B0N382772</t>
  </si>
  <si>
    <t>U64210B0N382701</t>
  </si>
  <si>
    <t>U64210B0N382745</t>
  </si>
  <si>
    <t>U64210B0N382668</t>
  </si>
  <si>
    <t>U64210B0N382813</t>
  </si>
  <si>
    <t>U64210B0N382788</t>
  </si>
  <si>
    <t>U64210B0N382744</t>
  </si>
  <si>
    <t>U64210B0N382704</t>
  </si>
  <si>
    <t>U64210B0N382809</t>
  </si>
  <si>
    <t>U64210B0N382660</t>
  </si>
  <si>
    <t>U64210B0N382705</t>
  </si>
  <si>
    <t>U64210B0N382736</t>
  </si>
  <si>
    <t>U64210B0N382718</t>
  </si>
  <si>
    <t>U64210B0N382656</t>
  </si>
  <si>
    <t>U64210B0N382740</t>
  </si>
  <si>
    <t>U64210B0N382811</t>
  </si>
  <si>
    <t>U64210B0N382684</t>
  </si>
  <si>
    <t>U64210B0N382806</t>
  </si>
  <si>
    <t>U64210B0N382698</t>
  </si>
  <si>
    <t>U64210B0N382712</t>
  </si>
  <si>
    <t>U64210B0N382707</t>
  </si>
  <si>
    <t>U64210B0N382700</t>
  </si>
  <si>
    <t>U64182J9N677001</t>
  </si>
  <si>
    <t>U64210B0N382658</t>
  </si>
  <si>
    <t>U64182J9N675229</t>
  </si>
  <si>
    <t>U64182J9N675412</t>
  </si>
  <si>
    <t>3RB706855</t>
  </si>
  <si>
    <t>U64210B0N382714</t>
  </si>
  <si>
    <t>U64210B0N382696</t>
  </si>
  <si>
    <t>U64210B0N382734</t>
  </si>
  <si>
    <t>U64210B0N382781</t>
  </si>
  <si>
    <t>U64210B0N382733</t>
  </si>
  <si>
    <t>U64210B0N382695</t>
  </si>
  <si>
    <t>10.42.205.78</t>
  </si>
  <si>
    <t>10.42.205.26</t>
  </si>
  <si>
    <t>10.42.205.25</t>
  </si>
  <si>
    <t>10.42.205.32</t>
  </si>
  <si>
    <t>10.42.205.18</t>
  </si>
  <si>
    <t>10.42.205.16</t>
  </si>
  <si>
    <t>10.42.205.27</t>
  </si>
  <si>
    <t>10.42.205.22</t>
  </si>
  <si>
    <t>10.42.205.56</t>
  </si>
  <si>
    <t>10.42.205.61</t>
  </si>
  <si>
    <t>10.42.205.71</t>
  </si>
  <si>
    <t>10.42.205.91</t>
  </si>
  <si>
    <t>10.42.205.62</t>
  </si>
  <si>
    <t>10.42.205.72</t>
  </si>
  <si>
    <t>10.42.205.82</t>
  </si>
  <si>
    <t>10.42.205.92</t>
  </si>
  <si>
    <t>10.42.205.67</t>
  </si>
  <si>
    <t>10.42.205.87</t>
  </si>
  <si>
    <t>10.42.205.69</t>
  </si>
  <si>
    <t>10.42.205.89</t>
  </si>
  <si>
    <t>10.42.205.93</t>
  </si>
  <si>
    <t>10.42.205.79</t>
  </si>
  <si>
    <t>10.42.205.60</t>
  </si>
  <si>
    <t>10.42.205.48</t>
  </si>
  <si>
    <t>10.42.205.3</t>
  </si>
  <si>
    <t>10.42.205.52</t>
  </si>
  <si>
    <t>10.42.205.51</t>
  </si>
  <si>
    <t>10.42.205.59</t>
  </si>
  <si>
    <t>10.42.205.23</t>
  </si>
  <si>
    <t>10.42.205.33</t>
  </si>
  <si>
    <t>10.42.205.37</t>
  </si>
  <si>
    <t>10.42.205.44</t>
  </si>
  <si>
    <t>10.42.205.34</t>
  </si>
  <si>
    <t>10.42.205.84</t>
  </si>
  <si>
    <t>10.42.205.10</t>
  </si>
  <si>
    <t>10.42.205.30</t>
  </si>
  <si>
    <t>10.42.205.58</t>
  </si>
  <si>
    <t>10.42.205.50</t>
  </si>
  <si>
    <t>10.42.205.15</t>
  </si>
  <si>
    <t>10.42.205.70</t>
  </si>
  <si>
    <t>10.42.205.96</t>
  </si>
  <si>
    <t>10.42.205.97</t>
  </si>
  <si>
    <t>10.42.205.76</t>
  </si>
  <si>
    <t>10.42.205.55</t>
  </si>
  <si>
    <t>10.42.205.41</t>
  </si>
  <si>
    <t>10.42.205.40</t>
  </si>
  <si>
    <t>10.42.205.29</t>
  </si>
  <si>
    <t>10.42.205.65</t>
  </si>
  <si>
    <t>10.42.205.90</t>
  </si>
  <si>
    <t>10.42.205.38</t>
  </si>
  <si>
    <t>10.42.205.88</t>
  </si>
  <si>
    <t>10.42.205.31</t>
  </si>
  <si>
    <t>10.42.205.86</t>
  </si>
  <si>
    <t>Xerox AltaLink C8035</t>
  </si>
  <si>
    <t>Brother MFC-L6902DW</t>
  </si>
  <si>
    <t>Brother HL-L6202DW</t>
  </si>
  <si>
    <t>Xerox VersaLink C505</t>
  </si>
  <si>
    <t>U64210B0N382662</t>
  </si>
  <si>
    <t>#</t>
  </si>
  <si>
    <t>ENDOSCOPIA</t>
  </si>
  <si>
    <t>TIPO 5MA3</t>
  </si>
  <si>
    <t>TIPO 1M</t>
  </si>
  <si>
    <t>TIPO 2M</t>
  </si>
  <si>
    <t>TIPO 1</t>
  </si>
  <si>
    <t>TIPO 2</t>
  </si>
  <si>
    <t>TIPO 5M</t>
  </si>
  <si>
    <t>Franquia Mensal MONO</t>
  </si>
  <si>
    <t>Produzido mono</t>
  </si>
  <si>
    <t>Franquia Mensal poli</t>
  </si>
  <si>
    <t>Produzido poli</t>
  </si>
  <si>
    <t>SGPTI</t>
  </si>
  <si>
    <t>U64210B0N382667</t>
  </si>
  <si>
    <t>10.42.205.54</t>
  </si>
  <si>
    <t>U64210B0N382711</t>
  </si>
  <si>
    <t>10.42.205.95</t>
  </si>
  <si>
    <t>ENGENHARIA CLINICA</t>
  </si>
  <si>
    <t>QTD</t>
  </si>
  <si>
    <t>MONO</t>
  </si>
  <si>
    <t>MONO EXC</t>
  </si>
  <si>
    <t>POLI</t>
  </si>
  <si>
    <t>POLI EXC</t>
  </si>
  <si>
    <t>tipo 5M</t>
  </si>
  <si>
    <t>TOTAL</t>
  </si>
  <si>
    <t>U64210B0N382783</t>
  </si>
  <si>
    <t>10.42.205.11</t>
  </si>
  <si>
    <t>10.42.205.8</t>
  </si>
  <si>
    <t>CETROGEN</t>
  </si>
  <si>
    <t>10.42.205.80</t>
  </si>
  <si>
    <t>U64182B0N831004</t>
  </si>
  <si>
    <t>10.42.205.14</t>
  </si>
  <si>
    <t>10.42.205.42</t>
  </si>
  <si>
    <t>10.42.205.12</t>
  </si>
  <si>
    <t>U64182B0N831063</t>
  </si>
  <si>
    <t>U64182B0N831097</t>
  </si>
  <si>
    <t>U64182B0N831112</t>
  </si>
  <si>
    <t>AMB_UROLOGIA</t>
  </si>
  <si>
    <t>AMB_ERGO</t>
  </si>
  <si>
    <t>AMB_PNEUMOLOGIA</t>
  </si>
  <si>
    <t>AMB_URA</t>
  </si>
  <si>
    <t>10.42.205.6</t>
  </si>
  <si>
    <t>U64210C0N399922</t>
  </si>
  <si>
    <t>AMB_DERMATO</t>
  </si>
  <si>
    <t>U64210B0N382647</t>
  </si>
  <si>
    <t>AMB_GUICHE</t>
  </si>
  <si>
    <t>FATURAMENTO</t>
  </si>
  <si>
    <t>AMB_OFTALMO</t>
  </si>
  <si>
    <t>AMB_CCIR</t>
  </si>
  <si>
    <t>AMB_CLM</t>
  </si>
  <si>
    <t>AMB_GINECO</t>
  </si>
  <si>
    <t>AMB_REUMATOLOGIA</t>
  </si>
  <si>
    <t>CTI COVID</t>
  </si>
  <si>
    <t>U64182B0N831007</t>
  </si>
  <si>
    <t>U64210C0N400112</t>
  </si>
  <si>
    <t>U64210C0N400093</t>
  </si>
  <si>
    <t>U64210C0N400097</t>
  </si>
  <si>
    <t>U64210C0N399968</t>
  </si>
  <si>
    <t>U64210B0N382796</t>
  </si>
  <si>
    <t>10.42.205.9</t>
  </si>
  <si>
    <t>10.42.205.4</t>
  </si>
  <si>
    <t>10.42.205.5</t>
  </si>
  <si>
    <t>10.42.205.7</t>
  </si>
  <si>
    <t>10.42.205.13</t>
  </si>
  <si>
    <t>10.42.205.94</t>
  </si>
  <si>
    <t>Mês 7</t>
  </si>
  <si>
    <t>Mês 8</t>
  </si>
  <si>
    <t>Mês 9</t>
  </si>
  <si>
    <t>Mês 10</t>
  </si>
  <si>
    <t>Mês 11</t>
  </si>
  <si>
    <t>Mês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</si>
</sst>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[$R$-416]\ #,##0.0000;\-[$R$-416]\ #,##0.0000"/>
    <numFmt numFmtId="166" formatCode="_(&quot;$&quot;* #,##0.00_);_(&quot;$&quot;* \(#,##0.00\);_(&quot;$&quot;* &quot;-&quot;??_);_(@_)"/>
    <numFmt numFmtId="167" formatCode="_(\$* #,##0.00_);_(\$* \(#,##0.00\);_(\$* \-??_);_(@_)"/>
    <numFmt numFmtId="168" formatCode="_-&quot;R$&quot;\ * #,##0.0000_-;\-&quot;R$&quot;\ * #,##0.0000_-;_-&quot;R$&quot;\ * &quot;-&quot;??_-;_-@_-"/>
    <numFmt numFmtId="169" formatCode="_-&quot;R$&quot;\ * #,##0.00_-;\-&quot;R$&quot;\ * #,##0.00_-;_-&quot;R$&quot;\ * &quot;-&quot;????_-;_-@_-"/>
    <numFmt numFmtId="170" formatCode="mmmm\,\ yyyy;@"/>
    <numFmt numFmtId="171" formatCode="_-&quot;R$&quot;\ * #,##0.00_-;\-&quot;R$&quot;\ * #,##0.00_-;_-&quot;R$&quot;\ * &quot;-&quot;???_-;_-@_-"/>
    <numFmt numFmtId="172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5" fontId="1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166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6">
    <xf numFmtId="0" fontId="0" fillId="0" borderId="0" xfId="0"/>
    <xf numFmtId="3" fontId="6" fillId="0" borderId="0" xfId="3" applyNumberFormat="1" applyFont="1" applyBorder="1" applyAlignment="1">
      <alignment horizontal="center"/>
    </xf>
    <xf numFmtId="14" fontId="7" fillId="0" borderId="11" xfId="3" applyNumberFormat="1" applyFont="1" applyFill="1" applyBorder="1" applyAlignment="1">
      <alignment horizontal="center" vertical="center" shrinkToFit="1"/>
    </xf>
    <xf numFmtId="3" fontId="3" fillId="0" borderId="11" xfId="3" applyNumberFormat="1" applyFont="1" applyFill="1" applyBorder="1" applyAlignment="1">
      <alignment horizontal="center"/>
    </xf>
    <xf numFmtId="165" fontId="4" fillId="4" borderId="11" xfId="1" applyFont="1" applyFill="1" applyBorder="1" applyAlignment="1" applyProtection="1">
      <alignment horizontal="center" vertical="center" wrapText="1"/>
    </xf>
    <xf numFmtId="165" fontId="4" fillId="5" borderId="18" xfId="1" applyFont="1" applyFill="1" applyBorder="1" applyAlignment="1" applyProtection="1">
      <alignment horizontal="center" vertical="center" wrapText="1"/>
    </xf>
    <xf numFmtId="0" fontId="5" fillId="0" borderId="18" xfId="3" applyFont="1" applyBorder="1" applyAlignment="1">
      <alignment horizontal="left"/>
    </xf>
    <xf numFmtId="165" fontId="4" fillId="5" borderId="12" xfId="1" applyFont="1" applyFill="1" applyBorder="1" applyAlignment="1" applyProtection="1">
      <alignment horizontal="center" vertical="center" wrapText="1"/>
    </xf>
    <xf numFmtId="164" fontId="5" fillId="0" borderId="16" xfId="3" applyNumberFormat="1" applyFont="1" applyBorder="1" applyAlignment="1">
      <alignment horizontal="center" vertical="center"/>
    </xf>
    <xf numFmtId="164" fontId="5" fillId="0" borderId="19" xfId="3" applyNumberFormat="1" applyFont="1" applyBorder="1" applyAlignment="1">
      <alignment horizontal="center" vertical="center"/>
    </xf>
    <xf numFmtId="164" fontId="5" fillId="0" borderId="20" xfId="3" applyNumberFormat="1" applyFont="1" applyBorder="1" applyAlignment="1">
      <alignment horizontal="center" vertical="center"/>
    </xf>
    <xf numFmtId="165" fontId="4" fillId="4" borderId="23" xfId="1" applyFont="1" applyFill="1" applyBorder="1" applyAlignment="1" applyProtection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16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5" fontId="4" fillId="5" borderId="10" xfId="1" applyFont="1" applyFill="1" applyBorder="1" applyAlignment="1" applyProtection="1">
      <alignment horizontal="center" wrapText="1"/>
    </xf>
    <xf numFmtId="168" fontId="5" fillId="0" borderId="13" xfId="3" applyNumberFormat="1" applyFont="1" applyBorder="1" applyAlignment="1" applyProtection="1">
      <alignment horizontal="center" vertical="center"/>
      <protection locked="0"/>
    </xf>
    <xf numFmtId="168" fontId="5" fillId="0" borderId="11" xfId="3" applyNumberFormat="1" applyFont="1" applyBorder="1" applyAlignment="1" applyProtection="1">
      <alignment horizontal="center" vertical="center"/>
      <protection locked="0"/>
    </xf>
    <xf numFmtId="168" fontId="5" fillId="0" borderId="15" xfId="3" applyNumberFormat="1" applyFont="1" applyBorder="1" applyAlignment="1" applyProtection="1">
      <alignment horizontal="center" vertical="center"/>
      <protection locked="0"/>
    </xf>
    <xf numFmtId="165" fontId="2" fillId="6" borderId="18" xfId="1" applyFont="1" applyFill="1" applyBorder="1" applyAlignment="1" applyProtection="1">
      <alignment horizontal="center" vertical="center" wrapText="1"/>
    </xf>
    <xf numFmtId="165" fontId="2" fillId="6" borderId="14" xfId="1" applyFont="1" applyFill="1" applyBorder="1" applyAlignment="1" applyProtection="1">
      <alignment horizontal="center" vertical="center" wrapText="1"/>
    </xf>
    <xf numFmtId="165" fontId="2" fillId="6" borderId="9" xfId="1" applyFont="1" applyFill="1" applyBorder="1" applyAlignment="1" applyProtection="1">
      <alignment horizontal="center" vertical="center" wrapText="1"/>
    </xf>
    <xf numFmtId="165" fontId="2" fillId="6" borderId="17" xfId="1" applyFont="1" applyFill="1" applyBorder="1" applyAlignment="1" applyProtection="1">
      <alignment horizontal="center" vertical="center" wrapText="1"/>
    </xf>
    <xf numFmtId="169" fontId="5" fillId="0" borderId="19" xfId="3" applyNumberFormat="1" applyFont="1" applyBorder="1" applyAlignment="1">
      <alignment horizontal="right"/>
    </xf>
    <xf numFmtId="164" fontId="8" fillId="2" borderId="0" xfId="3" applyNumberFormat="1" applyFont="1" applyFill="1" applyBorder="1" applyAlignment="1">
      <alignment horizontal="center" vertical="center"/>
    </xf>
    <xf numFmtId="165" fontId="4" fillId="4" borderId="27" xfId="1" applyFont="1" applyFill="1" applyBorder="1" applyAlignment="1" applyProtection="1">
      <alignment horizontal="center" vertical="center"/>
    </xf>
    <xf numFmtId="165" fontId="4" fillId="4" borderId="28" xfId="1" applyFont="1" applyFill="1" applyBorder="1" applyAlignment="1" applyProtection="1">
      <alignment horizontal="center" vertical="center"/>
    </xf>
    <xf numFmtId="165" fontId="4" fillId="4" borderId="29" xfId="1" applyFont="1" applyFill="1" applyBorder="1" applyAlignment="1" applyProtection="1">
      <alignment horizontal="center" vertical="center"/>
    </xf>
    <xf numFmtId="169" fontId="5" fillId="0" borderId="20" xfId="3" applyNumberFormat="1" applyFont="1" applyBorder="1" applyAlignment="1">
      <alignment horizontal="right"/>
    </xf>
    <xf numFmtId="0" fontId="15" fillId="0" borderId="0" xfId="0" applyFont="1"/>
    <xf numFmtId="170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16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16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0" fontId="10" fillId="8" borderId="24" xfId="0" applyFont="1" applyFill="1" applyBorder="1"/>
    <xf numFmtId="164" fontId="0" fillId="8" borderId="24" xfId="9" applyFont="1" applyFill="1" applyBorder="1"/>
    <xf numFmtId="164" fontId="11" fillId="5" borderId="30" xfId="9" applyFont="1" applyFill="1" applyBorder="1"/>
    <xf numFmtId="164" fontId="0" fillId="9" borderId="17" xfId="0" applyNumberFormat="1" applyFill="1" applyBorder="1"/>
    <xf numFmtId="16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164" fontId="0" fillId="8" borderId="17" xfId="9" applyFont="1" applyFill="1" applyBorder="1"/>
    <xf numFmtId="164" fontId="0" fillId="13" borderId="17" xfId="9" applyFont="1" applyFill="1" applyBorder="1"/>
    <xf numFmtId="164" fontId="16" fillId="14" borderId="6" xfId="0" applyNumberFormat="1" applyFont="1" applyFill="1" applyBorder="1"/>
    <xf numFmtId="0" fontId="0" fillId="15" borderId="17" xfId="0" applyFill="1" applyBorder="1"/>
    <xf numFmtId="164" fontId="0" fillId="0" borderId="0" xfId="0" applyNumberFormat="1"/>
    <xf numFmtId="171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2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Fill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5" fontId="4" fillId="4" borderId="24" xfId="1" applyFont="1" applyFill="1" applyBorder="1" applyAlignment="1" applyProtection="1">
      <alignment horizontal="center" vertical="center" wrapText="1"/>
    </xf>
    <xf numFmtId="165" fontId="4" fillId="4" borderId="24" xfId="1" applyFont="1" applyFill="1" applyBorder="1" applyAlignment="1" applyProtection="1">
      <alignment horizontal="center" vertical="center"/>
    </xf>
    <xf numFmtId="165" fontId="4" fillId="4" borderId="30" xfId="1" applyFont="1" applyFill="1" applyBorder="1" applyAlignment="1" applyProtection="1">
      <alignment horizontal="center" vertical="center" wrapText="1"/>
    </xf>
    <xf numFmtId="0" fontId="0" fillId="2" borderId="11" xfId="0" applyFont="1" applyFill="1" applyBorder="1"/>
    <xf numFmtId="3" fontId="6" fillId="3" borderId="11" xfId="3" applyNumberFormat="1" applyFont="1" applyFill="1" applyBorder="1" applyAlignment="1">
      <alignment horizontal="center"/>
    </xf>
    <xf numFmtId="0" fontId="0" fillId="0" borderId="11" xfId="0" applyFont="1" applyBorder="1"/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0" fillId="0" borderId="11" xfId="0" applyFill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0" fontId="0" fillId="0" borderId="0" xfId="0" applyBorder="1"/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164" fontId="9" fillId="0" borderId="5" xfId="3" applyNumberFormat="1" applyFont="1" applyBorder="1" applyAlignment="1">
      <alignment horizontal="center" vertical="center"/>
    </xf>
    <xf numFmtId="164" fontId="9" fillId="0" borderId="6" xfId="3" applyNumberFormat="1" applyFont="1" applyBorder="1" applyAlignment="1">
      <alignment horizontal="center" vertical="center"/>
    </xf>
    <xf numFmtId="164" fontId="8" fillId="7" borderId="4" xfId="3" applyNumberFormat="1" applyFont="1" applyFill="1" applyBorder="1" applyAlignment="1">
      <alignment horizontal="left" vertical="center"/>
    </xf>
    <xf numFmtId="164" fontId="8" fillId="7" borderId="6" xfId="3" applyNumberFormat="1" applyFont="1" applyFill="1" applyBorder="1" applyAlignment="1">
      <alignment horizontal="left" vertical="center"/>
    </xf>
    <xf numFmtId="164" fontId="13" fillId="7" borderId="4" xfId="3" applyNumberFormat="1" applyFont="1" applyFill="1" applyBorder="1" applyAlignment="1" applyProtection="1">
      <alignment horizontal="center" vertical="center"/>
      <protection locked="0"/>
    </xf>
    <xf numFmtId="164" fontId="13" fillId="7" borderId="6" xfId="3" applyNumberFormat="1" applyFont="1" applyFill="1" applyBorder="1" applyAlignment="1" applyProtection="1">
      <alignment horizontal="center" vertical="center"/>
      <protection locked="0"/>
    </xf>
    <xf numFmtId="164" fontId="14" fillId="7" borderId="4" xfId="3" applyNumberFormat="1" applyFont="1" applyFill="1" applyBorder="1" applyAlignment="1" applyProtection="1">
      <alignment horizontal="center" vertical="center"/>
      <protection locked="0"/>
    </xf>
    <xf numFmtId="164" fontId="14" fillId="7" borderId="6" xfId="3" applyNumberFormat="1" applyFont="1" applyFill="1" applyBorder="1" applyAlignment="1" applyProtection="1">
      <alignment horizontal="center" vertical="center"/>
      <protection locked="0"/>
    </xf>
    <xf numFmtId="165" fontId="4" fillId="5" borderId="4" xfId="1" applyFont="1" applyFill="1" applyBorder="1" applyAlignment="1" applyProtection="1">
      <alignment horizontal="center" wrapText="1"/>
    </xf>
    <xf numFmtId="165" fontId="4" fillId="5" borderId="6" xfId="1" applyFont="1" applyFill="1" applyBorder="1" applyAlignment="1" applyProtection="1">
      <alignment horizontal="center" wrapText="1"/>
    </xf>
    <xf numFmtId="165" fontId="2" fillId="6" borderId="5" xfId="1" applyFont="1" applyFill="1" applyBorder="1" applyAlignment="1" applyProtection="1">
      <alignment horizontal="center" vertical="center" wrapText="1"/>
    </xf>
    <xf numFmtId="165" fontId="2" fillId="6" borderId="6" xfId="1" applyFont="1" applyFill="1" applyBorder="1" applyAlignment="1" applyProtection="1">
      <alignment horizontal="center" vertical="center" wrapText="1"/>
    </xf>
    <xf numFmtId="165" fontId="4" fillId="5" borderId="7" xfId="1" applyFont="1" applyFill="1" applyBorder="1" applyAlignment="1" applyProtection="1">
      <alignment horizontal="center" wrapText="1"/>
    </xf>
    <xf numFmtId="165" fontId="4" fillId="5" borderId="8" xfId="1" applyFont="1" applyFill="1" applyBorder="1" applyAlignment="1" applyProtection="1">
      <alignment horizontal="center" wrapText="1"/>
    </xf>
    <xf numFmtId="165" fontId="2" fillId="6" borderId="2" xfId="1" applyFont="1" applyFill="1" applyBorder="1" applyAlignment="1" applyProtection="1">
      <alignment horizontal="center" vertical="center" wrapText="1"/>
    </xf>
    <xf numFmtId="165" fontId="2" fillId="6" borderId="3" xfId="1" applyFont="1" applyFill="1" applyBorder="1" applyAlignment="1" applyProtection="1">
      <alignment horizontal="center" vertical="center" wrapText="1"/>
    </xf>
    <xf numFmtId="164" fontId="8" fillId="2" borderId="4" xfId="3" applyNumberFormat="1" applyFont="1" applyFill="1" applyBorder="1" applyAlignment="1">
      <alignment horizontal="center" vertical="center"/>
    </xf>
    <xf numFmtId="164" fontId="8" fillId="2" borderId="6" xfId="3" applyNumberFormat="1" applyFont="1" applyFill="1" applyBorder="1" applyAlignment="1">
      <alignment horizontal="center" vertical="center"/>
    </xf>
    <xf numFmtId="164" fontId="8" fillId="2" borderId="5" xfId="3" applyNumberFormat="1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164" fontId="10" fillId="14" borderId="4" xfId="9" applyFont="1" applyFill="1" applyBorder="1" applyAlignment="1">
      <alignment horizontal="center"/>
    </xf>
    <xf numFmtId="16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/>
    <cellStyle name="Moeda 3" xfId="2"/>
    <cellStyle name="Moeda 3 2 2" xfId="8"/>
    <cellStyle name="Normal" xfId="0" builtinId="0"/>
    <cellStyle name="Normal 15 14" xfId="4"/>
    <cellStyle name="Normal 2" xfId="1"/>
    <cellStyle name="Normal 3 13" xfId="3"/>
    <cellStyle name="Normal 3 3 11" xfId="6"/>
    <cellStyle name="Vírgula 2 2" xf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>
        <row r="3">
          <cell r="C3">
            <v>85</v>
          </cell>
          <cell r="I3">
            <v>8</v>
          </cell>
          <cell r="O3">
            <v>0</v>
          </cell>
        </row>
        <row r="4">
          <cell r="C4">
            <v>49</v>
          </cell>
          <cell r="I4">
            <v>0</v>
          </cell>
          <cell r="O4">
            <v>0</v>
          </cell>
        </row>
        <row r="5">
          <cell r="C5">
            <v>32</v>
          </cell>
          <cell r="I5">
            <v>1</v>
          </cell>
          <cell r="O5">
            <v>0</v>
          </cell>
        </row>
        <row r="6">
          <cell r="C6">
            <v>21</v>
          </cell>
          <cell r="I6">
            <v>0</v>
          </cell>
          <cell r="O6">
            <v>0</v>
          </cell>
        </row>
        <row r="7">
          <cell r="C7">
            <v>0</v>
          </cell>
          <cell r="I7">
            <v>0</v>
          </cell>
          <cell r="O7">
            <v>0</v>
          </cell>
        </row>
        <row r="8">
          <cell r="C8">
            <v>68</v>
          </cell>
          <cell r="I8">
            <v>0</v>
          </cell>
          <cell r="O8">
            <v>0</v>
          </cell>
        </row>
        <row r="9">
          <cell r="C9">
            <v>20</v>
          </cell>
          <cell r="I9">
            <v>0</v>
          </cell>
          <cell r="O9">
            <v>0</v>
          </cell>
        </row>
        <row r="10">
          <cell r="C10">
            <v>42</v>
          </cell>
          <cell r="I10">
            <v>0</v>
          </cell>
          <cell r="O10">
            <v>0</v>
          </cell>
        </row>
        <row r="11">
          <cell r="C11">
            <v>30</v>
          </cell>
          <cell r="I11">
            <v>0</v>
          </cell>
          <cell r="O11">
            <v>0</v>
          </cell>
        </row>
        <row r="12">
          <cell r="C12">
            <v>94</v>
          </cell>
          <cell r="I12">
            <v>1</v>
          </cell>
          <cell r="O12">
            <v>0</v>
          </cell>
        </row>
        <row r="13">
          <cell r="C13">
            <v>162</v>
          </cell>
          <cell r="I13">
            <v>0</v>
          </cell>
          <cell r="O13">
            <v>0</v>
          </cell>
        </row>
        <row r="14">
          <cell r="C14">
            <v>210</v>
          </cell>
          <cell r="I14">
            <v>1</v>
          </cell>
          <cell r="O14">
            <v>0</v>
          </cell>
        </row>
        <row r="15">
          <cell r="C15">
            <v>24</v>
          </cell>
          <cell r="I15">
            <v>0</v>
          </cell>
          <cell r="O15">
            <v>0</v>
          </cell>
        </row>
        <row r="16">
          <cell r="C16">
            <v>0</v>
          </cell>
          <cell r="I16">
            <v>0</v>
          </cell>
          <cell r="O16">
            <v>0</v>
          </cell>
        </row>
        <row r="17">
          <cell r="C17">
            <v>0</v>
          </cell>
          <cell r="I17">
            <v>0</v>
          </cell>
          <cell r="O17">
            <v>0</v>
          </cell>
        </row>
        <row r="18">
          <cell r="C18">
            <v>32</v>
          </cell>
          <cell r="I18">
            <v>0</v>
          </cell>
          <cell r="O18">
            <v>0</v>
          </cell>
        </row>
        <row r="19">
          <cell r="C19">
            <v>76</v>
          </cell>
          <cell r="I19">
            <v>0</v>
          </cell>
          <cell r="O19">
            <v>0</v>
          </cell>
        </row>
        <row r="20">
          <cell r="C20">
            <v>180</v>
          </cell>
          <cell r="I20">
            <v>2</v>
          </cell>
          <cell r="O20">
            <v>0</v>
          </cell>
        </row>
        <row r="21">
          <cell r="C21">
            <v>18</v>
          </cell>
          <cell r="I21">
            <v>0</v>
          </cell>
          <cell r="O21">
            <v>0</v>
          </cell>
        </row>
      </sheetData>
      <sheetData sheetId="2" refreshError="1"/>
      <sheetData sheetId="3" refreshError="1"/>
      <sheetData sheetId="4" refreshError="1"/>
      <sheetData sheetId="5">
        <row r="1">
          <cell r="L1">
            <v>19098.180899999963</v>
          </cell>
        </row>
      </sheetData>
      <sheetData sheetId="6">
        <row r="1">
          <cell r="L1">
            <v>9265.4541000000008</v>
          </cell>
        </row>
      </sheetData>
      <sheetData sheetId="7">
        <row r="1">
          <cell r="L1">
            <v>6429.0906000000023</v>
          </cell>
        </row>
      </sheetData>
      <sheetData sheetId="8">
        <row r="1">
          <cell r="L1">
            <v>3970.9089000000013</v>
          </cell>
        </row>
      </sheetData>
      <sheetData sheetId="9">
        <row r="1">
          <cell r="L1">
            <v>0</v>
          </cell>
        </row>
      </sheetData>
      <sheetData sheetId="10">
        <row r="1">
          <cell r="L1">
            <v>12858.181199999986</v>
          </cell>
        </row>
      </sheetData>
      <sheetData sheetId="11">
        <row r="1">
          <cell r="L1">
            <v>3781.8180000000011</v>
          </cell>
        </row>
      </sheetData>
      <sheetData sheetId="12">
        <row r="1">
          <cell r="L1">
            <v>7941.8178000000044</v>
          </cell>
        </row>
      </sheetData>
      <sheetData sheetId="13">
        <row r="1">
          <cell r="L1">
            <v>5672.7270000000026</v>
          </cell>
        </row>
      </sheetData>
      <sheetData sheetId="14">
        <row r="1">
          <cell r="L1">
            <v>18152.726399999963</v>
          </cell>
        </row>
      </sheetData>
      <sheetData sheetId="15">
        <row r="1">
          <cell r="L1">
            <v>30632.725799999916</v>
          </cell>
        </row>
      </sheetData>
      <sheetData sheetId="16">
        <row r="1">
          <cell r="L1">
            <v>40087.27080000002</v>
          </cell>
        </row>
      </sheetData>
      <sheetData sheetId="17">
        <row r="1">
          <cell r="L1">
            <v>4538.1816000000017</v>
          </cell>
        </row>
      </sheetData>
      <sheetData sheetId="18">
        <row r="1">
          <cell r="L1">
            <v>0</v>
          </cell>
        </row>
      </sheetData>
      <sheetData sheetId="19">
        <row r="1">
          <cell r="L1">
            <v>0</v>
          </cell>
        </row>
      </sheetData>
      <sheetData sheetId="20">
        <row r="1">
          <cell r="L1">
            <v>6050.9088000000029</v>
          </cell>
        </row>
      </sheetData>
      <sheetData sheetId="21">
        <row r="1">
          <cell r="L1">
            <v>14370.90839999998</v>
          </cell>
        </row>
      </sheetData>
      <sheetData sheetId="22">
        <row r="1">
          <cell r="L1">
            <v>34792.725599999932</v>
          </cell>
        </row>
      </sheetData>
      <sheetData sheetId="23">
        <row r="1">
          <cell r="L1">
            <v>3403.6362000000008</v>
          </cell>
        </row>
      </sheetData>
      <sheetData sheetId="24">
        <row r="1">
          <cell r="L1">
            <v>8130.9087000000045</v>
          </cell>
        </row>
      </sheetData>
      <sheetData sheetId="25">
        <row r="1">
          <cell r="L1">
            <v>4159.9998000000014</v>
          </cell>
        </row>
      </sheetData>
      <sheetData sheetId="26">
        <row r="1">
          <cell r="L1">
            <v>2647.2726000000002</v>
          </cell>
        </row>
      </sheetData>
      <sheetData sheetId="27">
        <row r="1">
          <cell r="L1">
            <v>3403.6362000000008</v>
          </cell>
        </row>
      </sheetData>
      <sheetData sheetId="28">
        <row r="1">
          <cell r="L1">
            <v>1890.9089999999997</v>
          </cell>
        </row>
      </sheetData>
      <sheetData sheetId="29" refreshError="1"/>
      <sheetData sheetId="30">
        <row r="1">
          <cell r="L1">
            <v>5672.7270000000026</v>
          </cell>
        </row>
      </sheetData>
      <sheetData sheetId="31">
        <row r="1">
          <cell r="L1">
            <v>5294.5452000000023</v>
          </cell>
        </row>
      </sheetData>
      <sheetData sheetId="32">
        <row r="1">
          <cell r="L1">
            <v>7563.6360000000041</v>
          </cell>
        </row>
      </sheetData>
      <sheetData sheetId="33">
        <row r="1">
          <cell r="L1">
            <v>378.18180000000001</v>
          </cell>
        </row>
      </sheetData>
      <sheetData sheetId="34">
        <row r="1">
          <cell r="L1">
            <v>9265.454099999999</v>
          </cell>
        </row>
      </sheetData>
      <sheetData sheetId="35">
        <row r="1">
          <cell r="L1">
            <v>18530.908199999965</v>
          </cell>
        </row>
      </sheetData>
      <sheetData sheetId="36">
        <row r="1">
          <cell r="L1">
            <v>8319.9996000000046</v>
          </cell>
        </row>
      </sheetData>
      <sheetData sheetId="37" refreshError="1"/>
      <sheetData sheetId="38">
        <row r="1">
          <cell r="L1">
            <v>26472.725999999933</v>
          </cell>
        </row>
      </sheetData>
      <sheetData sheetId="39">
        <row r="1">
          <cell r="L1">
            <v>945.45450000000005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49" zoomScaleNormal="100" workbookViewId="0">
      <selection activeCell="I3" sqref="I3:I70"/>
    </sheetView>
  </sheetViews>
  <sheetFormatPr defaultRowHeight="15" x14ac:dyDescent="0.25"/>
  <cols>
    <col min="1" max="1" width="29.85546875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1" width="16.140625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9</v>
      </c>
      <c r="B1" s="4" t="s">
        <v>245</v>
      </c>
      <c r="C1" s="83" t="s">
        <v>23</v>
      </c>
      <c r="D1" s="83" t="s">
        <v>21</v>
      </c>
      <c r="E1" s="84" t="s">
        <v>10</v>
      </c>
      <c r="F1" s="84" t="s">
        <v>1</v>
      </c>
      <c r="G1" s="84" t="s">
        <v>2</v>
      </c>
      <c r="H1" s="83" t="s">
        <v>24</v>
      </c>
      <c r="I1" s="83" t="s">
        <v>25</v>
      </c>
      <c r="J1" s="85" t="s">
        <v>22</v>
      </c>
      <c r="K1" s="19" t="s">
        <v>11</v>
      </c>
      <c r="L1" s="19" t="s">
        <v>13</v>
      </c>
      <c r="M1" s="25" t="s">
        <v>12</v>
      </c>
      <c r="N1" s="26" t="s">
        <v>14</v>
      </c>
      <c r="O1" s="11" t="s">
        <v>3</v>
      </c>
      <c r="P1" s="11" t="s">
        <v>36</v>
      </c>
      <c r="Q1" s="11" t="s">
        <v>37</v>
      </c>
    </row>
    <row r="2" spans="1:17" x14ac:dyDescent="0.25">
      <c r="A2" s="35" t="s">
        <v>83</v>
      </c>
      <c r="B2" s="72">
        <v>1</v>
      </c>
      <c r="C2" s="2">
        <v>44046</v>
      </c>
      <c r="D2" s="86" t="s">
        <v>247</v>
      </c>
      <c r="E2" s="35" t="s">
        <v>240</v>
      </c>
      <c r="F2" s="35" t="s">
        <v>134</v>
      </c>
      <c r="G2" s="35" t="s">
        <v>187</v>
      </c>
      <c r="H2">
        <v>107139</v>
      </c>
      <c r="I2">
        <v>108468</v>
      </c>
      <c r="J2" s="87">
        <v>0</v>
      </c>
      <c r="K2" s="87">
        <f t="shared" ref="K2:K33" si="0">J2</f>
        <v>0</v>
      </c>
      <c r="L2" s="3"/>
      <c r="M2" s="3">
        <f>I2-H2</f>
        <v>1329</v>
      </c>
      <c r="N2" s="3"/>
      <c r="O2" s="89"/>
      <c r="P2" s="35">
        <v>9</v>
      </c>
      <c r="Q2" s="35">
        <v>2020</v>
      </c>
    </row>
    <row r="3" spans="1:17" x14ac:dyDescent="0.25">
      <c r="A3" s="35" t="s">
        <v>127</v>
      </c>
      <c r="B3" s="72">
        <v>47</v>
      </c>
      <c r="C3" s="2">
        <v>44046</v>
      </c>
      <c r="D3" s="86" t="s">
        <v>252</v>
      </c>
      <c r="E3" s="35" t="s">
        <v>243</v>
      </c>
      <c r="F3" s="35" t="s">
        <v>180</v>
      </c>
      <c r="G3" s="35" t="s">
        <v>233</v>
      </c>
      <c r="H3" s="35">
        <v>6293</v>
      </c>
      <c r="I3" s="35">
        <v>6293</v>
      </c>
      <c r="J3" s="87">
        <v>0</v>
      </c>
      <c r="K3" s="87">
        <f t="shared" si="0"/>
        <v>0</v>
      </c>
      <c r="L3" s="35"/>
      <c r="M3" s="3">
        <f>I3-H3</f>
        <v>0</v>
      </c>
      <c r="N3" s="35"/>
      <c r="O3" s="35"/>
      <c r="P3" s="35">
        <v>9</v>
      </c>
      <c r="Q3" s="35">
        <v>2020</v>
      </c>
    </row>
    <row r="4" spans="1:17" x14ac:dyDescent="0.25">
      <c r="A4" s="35" t="s">
        <v>273</v>
      </c>
      <c r="B4" s="72">
        <v>59</v>
      </c>
      <c r="C4" s="2">
        <v>44137</v>
      </c>
      <c r="D4" s="86" t="s">
        <v>250</v>
      </c>
      <c r="E4" s="35" t="s">
        <v>242</v>
      </c>
      <c r="F4" s="35" t="s">
        <v>275</v>
      </c>
      <c r="G4" s="35" t="s">
        <v>274</v>
      </c>
      <c r="H4" s="35">
        <v>1239</v>
      </c>
      <c r="I4" s="35">
        <v>1325</v>
      </c>
      <c r="J4" s="87">
        <f t="shared" ref="J4:J35" si="1">I4-H4</f>
        <v>86</v>
      </c>
      <c r="K4" s="87">
        <f t="shared" si="0"/>
        <v>86</v>
      </c>
      <c r="L4" s="35"/>
      <c r="M4" s="3"/>
      <c r="N4" s="35"/>
      <c r="O4" s="35"/>
      <c r="P4" s="35">
        <v>9</v>
      </c>
      <c r="Q4" s="35">
        <v>2020</v>
      </c>
    </row>
    <row r="5" spans="1:17" x14ac:dyDescent="0.25">
      <c r="A5" s="92" t="s">
        <v>292</v>
      </c>
      <c r="B5" s="35">
        <v>65</v>
      </c>
      <c r="C5" s="2">
        <v>44218</v>
      </c>
      <c r="D5" s="86" t="s">
        <v>250</v>
      </c>
      <c r="E5" s="35" t="s">
        <v>242</v>
      </c>
      <c r="F5" s="35" t="s">
        <v>298</v>
      </c>
      <c r="G5" s="35" t="s">
        <v>304</v>
      </c>
      <c r="H5" s="35">
        <v>17235</v>
      </c>
      <c r="I5" s="35">
        <v>21135</v>
      </c>
      <c r="J5" s="87">
        <f t="shared" si="1"/>
        <v>3900</v>
      </c>
      <c r="K5" s="87">
        <f t="shared" si="0"/>
        <v>3900</v>
      </c>
      <c r="L5" s="35"/>
      <c r="M5" s="35"/>
      <c r="N5" s="35"/>
      <c r="O5" s="35"/>
      <c r="P5" s="35"/>
      <c r="Q5" s="35"/>
    </row>
    <row r="6" spans="1:17" x14ac:dyDescent="0.25">
      <c r="A6" s="35" t="s">
        <v>282</v>
      </c>
      <c r="B6" s="72">
        <v>60</v>
      </c>
      <c r="C6" s="2">
        <v>44137</v>
      </c>
      <c r="D6" s="86" t="s">
        <v>250</v>
      </c>
      <c r="E6" s="35" t="s">
        <v>242</v>
      </c>
      <c r="F6" s="35" t="s">
        <v>279</v>
      </c>
      <c r="G6" s="35" t="s">
        <v>276</v>
      </c>
      <c r="H6" s="35">
        <v>24504</v>
      </c>
      <c r="I6" s="35">
        <v>27587</v>
      </c>
      <c r="J6" s="87">
        <f t="shared" si="1"/>
        <v>3083</v>
      </c>
      <c r="K6" s="87">
        <f t="shared" si="0"/>
        <v>3083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25">
      <c r="A7" s="35" t="s">
        <v>283</v>
      </c>
      <c r="B7" s="72">
        <v>61</v>
      </c>
      <c r="C7" s="2">
        <v>44137</v>
      </c>
      <c r="D7" s="86" t="s">
        <v>250</v>
      </c>
      <c r="E7" s="35" t="s">
        <v>242</v>
      </c>
      <c r="F7" s="35" t="s">
        <v>280</v>
      </c>
      <c r="G7" s="35" t="s">
        <v>277</v>
      </c>
      <c r="H7" s="35">
        <v>1156</v>
      </c>
      <c r="I7" s="35">
        <v>1156</v>
      </c>
      <c r="J7" s="87">
        <f t="shared" si="1"/>
        <v>0</v>
      </c>
      <c r="K7" s="87">
        <f t="shared" si="0"/>
        <v>0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25">
      <c r="A8" s="35" t="s">
        <v>284</v>
      </c>
      <c r="B8" s="72">
        <v>62</v>
      </c>
      <c r="C8" s="2">
        <v>44137</v>
      </c>
      <c r="D8" s="86" t="s">
        <v>250</v>
      </c>
      <c r="E8" s="35" t="s">
        <v>242</v>
      </c>
      <c r="F8" s="35" t="s">
        <v>281</v>
      </c>
      <c r="G8" s="35" t="s">
        <v>278</v>
      </c>
      <c r="H8" s="35">
        <v>18579</v>
      </c>
      <c r="I8" s="35">
        <v>21432</v>
      </c>
      <c r="J8" s="87">
        <f t="shared" si="1"/>
        <v>2853</v>
      </c>
      <c r="K8" s="87">
        <f t="shared" si="0"/>
        <v>2853</v>
      </c>
      <c r="L8" s="35"/>
      <c r="M8" s="3"/>
      <c r="N8" s="35"/>
      <c r="O8" s="35"/>
      <c r="P8" s="35">
        <v>9</v>
      </c>
      <c r="Q8" s="35">
        <v>2020</v>
      </c>
    </row>
    <row r="9" spans="1:17" x14ac:dyDescent="0.25">
      <c r="A9" s="35" t="s">
        <v>125</v>
      </c>
      <c r="B9" s="72">
        <v>45</v>
      </c>
      <c r="C9" s="90">
        <v>44042</v>
      </c>
      <c r="D9" s="88" t="s">
        <v>251</v>
      </c>
      <c r="E9" s="35" t="s">
        <v>242</v>
      </c>
      <c r="F9" s="35" t="s">
        <v>178</v>
      </c>
      <c r="G9" s="35" t="s">
        <v>231</v>
      </c>
      <c r="H9" s="35">
        <v>3603</v>
      </c>
      <c r="I9" s="35">
        <v>3603</v>
      </c>
      <c r="J9" s="87">
        <f t="shared" si="1"/>
        <v>0</v>
      </c>
      <c r="K9" s="87">
        <f t="shared" si="0"/>
        <v>0</v>
      </c>
      <c r="L9" s="35"/>
      <c r="M9" s="97"/>
      <c r="N9" s="35"/>
      <c r="O9" s="35"/>
      <c r="P9" s="35">
        <v>9</v>
      </c>
      <c r="Q9" s="35">
        <v>2020</v>
      </c>
    </row>
    <row r="10" spans="1:17" x14ac:dyDescent="0.25">
      <c r="A10" s="35" t="s">
        <v>126</v>
      </c>
      <c r="B10" s="72">
        <v>46</v>
      </c>
      <c r="C10" s="2">
        <v>44040</v>
      </c>
      <c r="D10" s="86" t="s">
        <v>251</v>
      </c>
      <c r="E10" s="35" t="s">
        <v>242</v>
      </c>
      <c r="F10" s="35" t="s">
        <v>179</v>
      </c>
      <c r="G10" s="35" t="s">
        <v>232</v>
      </c>
      <c r="H10" s="35">
        <v>89277</v>
      </c>
      <c r="I10" s="35">
        <v>89277</v>
      </c>
      <c r="J10" s="87">
        <f t="shared" si="1"/>
        <v>0</v>
      </c>
      <c r="K10" s="87">
        <f t="shared" si="0"/>
        <v>0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246</v>
      </c>
      <c r="B11" s="72">
        <v>43</v>
      </c>
      <c r="C11" s="2">
        <v>44041</v>
      </c>
      <c r="D11" s="88" t="s">
        <v>250</v>
      </c>
      <c r="E11" s="35" t="s">
        <v>242</v>
      </c>
      <c r="F11" s="35" t="s">
        <v>176</v>
      </c>
      <c r="G11" s="35" t="s">
        <v>229</v>
      </c>
      <c r="H11" s="35">
        <v>13040</v>
      </c>
      <c r="I11" s="35">
        <v>13040</v>
      </c>
      <c r="J11" s="87">
        <f t="shared" si="1"/>
        <v>0</v>
      </c>
      <c r="K11" s="87">
        <f t="shared" si="0"/>
        <v>0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94</v>
      </c>
      <c r="B12" s="72">
        <v>12</v>
      </c>
      <c r="C12" s="90">
        <v>44043</v>
      </c>
      <c r="D12" s="86" t="s">
        <v>248</v>
      </c>
      <c r="E12" s="35" t="s">
        <v>241</v>
      </c>
      <c r="F12" s="35" t="s">
        <v>145</v>
      </c>
      <c r="G12" s="35" t="s">
        <v>198</v>
      </c>
      <c r="H12" s="35">
        <v>37744</v>
      </c>
      <c r="I12" s="35">
        <v>41071</v>
      </c>
      <c r="J12" s="87">
        <f t="shared" si="1"/>
        <v>3327</v>
      </c>
      <c r="K12" s="87">
        <f t="shared" si="0"/>
        <v>3327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285</v>
      </c>
      <c r="B13" s="72">
        <v>64</v>
      </c>
      <c r="C13" s="2">
        <v>44137</v>
      </c>
      <c r="D13" s="86" t="s">
        <v>248</v>
      </c>
      <c r="E13" s="35" t="s">
        <v>241</v>
      </c>
      <c r="F13" s="35" t="s">
        <v>289</v>
      </c>
      <c r="G13" s="35" t="s">
        <v>286</v>
      </c>
      <c r="H13" s="35">
        <v>28590</v>
      </c>
      <c r="I13" s="35">
        <v>29261</v>
      </c>
      <c r="J13" s="87">
        <f t="shared" si="1"/>
        <v>671</v>
      </c>
      <c r="K13" s="87">
        <f t="shared" si="0"/>
        <v>671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93</v>
      </c>
      <c r="B14" s="72">
        <v>11</v>
      </c>
      <c r="C14" s="2">
        <v>44040</v>
      </c>
      <c r="D14" s="86" t="s">
        <v>249</v>
      </c>
      <c r="E14" s="35" t="s">
        <v>241</v>
      </c>
      <c r="F14" s="35" t="s">
        <v>144</v>
      </c>
      <c r="G14" s="35" t="s">
        <v>197</v>
      </c>
      <c r="H14" s="35">
        <v>198295</v>
      </c>
      <c r="I14" s="35">
        <v>218443</v>
      </c>
      <c r="J14" s="87">
        <f t="shared" si="1"/>
        <v>20148</v>
      </c>
      <c r="K14" s="87">
        <f t="shared" si="0"/>
        <v>20148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116</v>
      </c>
      <c r="B15" s="72">
        <v>35</v>
      </c>
      <c r="C15" s="2">
        <v>44046</v>
      </c>
      <c r="D15" s="86" t="s">
        <v>248</v>
      </c>
      <c r="E15" s="35" t="s">
        <v>241</v>
      </c>
      <c r="F15" s="35" t="s">
        <v>167</v>
      </c>
      <c r="G15" s="35" t="s">
        <v>220</v>
      </c>
      <c r="H15" s="35">
        <v>2847</v>
      </c>
      <c r="I15" s="35">
        <v>2989</v>
      </c>
      <c r="J15" s="87">
        <f t="shared" si="1"/>
        <v>142</v>
      </c>
      <c r="K15" s="87">
        <f t="shared" si="0"/>
        <v>142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124</v>
      </c>
      <c r="B16" s="72">
        <v>44</v>
      </c>
      <c r="C16" s="90">
        <v>44043</v>
      </c>
      <c r="D16" s="86" t="s">
        <v>248</v>
      </c>
      <c r="E16" s="35" t="s">
        <v>241</v>
      </c>
      <c r="F16" s="35" t="s">
        <v>177</v>
      </c>
      <c r="G16" s="35" t="s">
        <v>230</v>
      </c>
      <c r="H16" s="35">
        <v>26071</v>
      </c>
      <c r="I16" s="35">
        <v>28508</v>
      </c>
      <c r="J16" s="87">
        <f t="shared" si="1"/>
        <v>2437</v>
      </c>
      <c r="K16" s="87">
        <f t="shared" si="0"/>
        <v>2437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112</v>
      </c>
      <c r="B17" s="72">
        <v>31</v>
      </c>
      <c r="C17" s="90">
        <v>44043</v>
      </c>
      <c r="D17" s="86" t="s">
        <v>248</v>
      </c>
      <c r="E17" s="35" t="s">
        <v>241</v>
      </c>
      <c r="F17" s="35" t="s">
        <v>163</v>
      </c>
      <c r="G17" s="35" t="s">
        <v>216</v>
      </c>
      <c r="H17" s="35">
        <v>23081</v>
      </c>
      <c r="I17" s="35">
        <v>24966</v>
      </c>
      <c r="J17" s="87">
        <f t="shared" si="1"/>
        <v>1885</v>
      </c>
      <c r="K17" s="87">
        <f t="shared" si="0"/>
        <v>1885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290</v>
      </c>
      <c r="B18" s="72">
        <v>55</v>
      </c>
      <c r="C18" s="2">
        <v>44046</v>
      </c>
      <c r="D18" s="86" t="s">
        <v>248</v>
      </c>
      <c r="E18" s="35" t="s">
        <v>241</v>
      </c>
      <c r="F18" s="35" t="s">
        <v>244</v>
      </c>
      <c r="G18" s="35" t="s">
        <v>272</v>
      </c>
      <c r="H18" s="35">
        <v>32650</v>
      </c>
      <c r="I18" s="35">
        <v>37834</v>
      </c>
      <c r="J18" s="87">
        <f t="shared" si="1"/>
        <v>5184</v>
      </c>
      <c r="K18" s="87">
        <f t="shared" si="0"/>
        <v>5184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91</v>
      </c>
      <c r="B19" s="72">
        <v>9</v>
      </c>
      <c r="C19" s="2">
        <v>44041</v>
      </c>
      <c r="D19" s="86" t="s">
        <v>248</v>
      </c>
      <c r="E19" s="35" t="s">
        <v>241</v>
      </c>
      <c r="F19" s="35" t="s">
        <v>142</v>
      </c>
      <c r="G19" s="35" t="s">
        <v>195</v>
      </c>
      <c r="H19" s="35">
        <v>30694</v>
      </c>
      <c r="I19" s="35">
        <v>33820</v>
      </c>
      <c r="J19" s="87">
        <f t="shared" si="1"/>
        <v>3126</v>
      </c>
      <c r="K19" s="87">
        <f t="shared" si="0"/>
        <v>3126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95</v>
      </c>
      <c r="B20" s="72">
        <v>13</v>
      </c>
      <c r="C20" s="2">
        <v>44041</v>
      </c>
      <c r="D20" s="86" t="s">
        <v>248</v>
      </c>
      <c r="E20" s="35" t="s">
        <v>241</v>
      </c>
      <c r="F20" s="35" t="s">
        <v>146</v>
      </c>
      <c r="G20" s="35" t="s">
        <v>199</v>
      </c>
      <c r="H20" s="35">
        <v>24110</v>
      </c>
      <c r="I20" s="35">
        <v>26730</v>
      </c>
      <c r="J20" s="87">
        <f t="shared" si="1"/>
        <v>2620</v>
      </c>
      <c r="K20" s="87">
        <f t="shared" si="0"/>
        <v>2620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257</v>
      </c>
      <c r="B21" s="72">
        <v>54</v>
      </c>
      <c r="C21" s="90">
        <v>44074</v>
      </c>
      <c r="D21" s="35" t="s">
        <v>248</v>
      </c>
      <c r="E21" s="35" t="s">
        <v>241</v>
      </c>
      <c r="F21" s="35" t="s">
        <v>258</v>
      </c>
      <c r="G21" s="35" t="s">
        <v>259</v>
      </c>
      <c r="H21" s="35">
        <v>1467</v>
      </c>
      <c r="I21" s="35">
        <v>1567</v>
      </c>
      <c r="J21" s="87">
        <f t="shared" si="1"/>
        <v>100</v>
      </c>
      <c r="K21" s="87">
        <f t="shared" si="0"/>
        <v>100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106</v>
      </c>
      <c r="B22" s="72">
        <v>25</v>
      </c>
      <c r="C22" s="2">
        <v>44041</v>
      </c>
      <c r="D22" s="86" t="s">
        <v>248</v>
      </c>
      <c r="E22" s="35" t="s">
        <v>241</v>
      </c>
      <c r="F22" s="35" t="s">
        <v>157</v>
      </c>
      <c r="G22" s="35" t="s">
        <v>210</v>
      </c>
      <c r="H22" s="35">
        <v>9392</v>
      </c>
      <c r="I22" s="35">
        <v>10402</v>
      </c>
      <c r="J22" s="87">
        <f t="shared" si="1"/>
        <v>1010</v>
      </c>
      <c r="K22" s="87">
        <f t="shared" si="0"/>
        <v>1010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119</v>
      </c>
      <c r="B23" s="72">
        <v>38</v>
      </c>
      <c r="C23" s="2">
        <v>44040</v>
      </c>
      <c r="D23" s="86" t="s">
        <v>249</v>
      </c>
      <c r="E23" s="35" t="s">
        <v>241</v>
      </c>
      <c r="F23" s="35" t="s">
        <v>170</v>
      </c>
      <c r="G23" s="35" t="s">
        <v>223</v>
      </c>
      <c r="H23" s="35">
        <v>149633</v>
      </c>
      <c r="I23" s="35">
        <v>163543</v>
      </c>
      <c r="J23" s="87">
        <f t="shared" si="1"/>
        <v>13910</v>
      </c>
      <c r="K23" s="87">
        <f t="shared" si="0"/>
        <v>13910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90</v>
      </c>
      <c r="B24" s="72">
        <v>8</v>
      </c>
      <c r="C24" s="2">
        <v>44041</v>
      </c>
      <c r="D24" s="86" t="s">
        <v>249</v>
      </c>
      <c r="E24" s="35" t="s">
        <v>241</v>
      </c>
      <c r="F24" s="35" t="s">
        <v>141</v>
      </c>
      <c r="G24" s="35" t="s">
        <v>194</v>
      </c>
      <c r="H24" s="35">
        <v>133953</v>
      </c>
      <c r="I24" s="35">
        <v>145941</v>
      </c>
      <c r="J24" s="87">
        <f t="shared" si="1"/>
        <v>11988</v>
      </c>
      <c r="K24" s="87">
        <f t="shared" si="0"/>
        <v>11988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133</v>
      </c>
      <c r="B25" s="72">
        <v>53</v>
      </c>
      <c r="C25" s="90">
        <v>44074</v>
      </c>
      <c r="D25" s="88" t="s">
        <v>248</v>
      </c>
      <c r="E25" s="35" t="s">
        <v>241</v>
      </c>
      <c r="F25" s="35" t="s">
        <v>186</v>
      </c>
      <c r="G25" s="35" t="s">
        <v>239</v>
      </c>
      <c r="H25" s="35">
        <v>42838</v>
      </c>
      <c r="I25" s="35">
        <v>47118</v>
      </c>
      <c r="J25" s="87">
        <f t="shared" si="1"/>
        <v>4280</v>
      </c>
      <c r="K25" s="87">
        <f t="shared" si="0"/>
        <v>4280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129</v>
      </c>
      <c r="B26" s="72">
        <v>49</v>
      </c>
      <c r="C26" s="90">
        <v>44042</v>
      </c>
      <c r="D26" s="92" t="s">
        <v>248</v>
      </c>
      <c r="E26" s="35" t="s">
        <v>241</v>
      </c>
      <c r="F26" s="35" t="s">
        <v>182</v>
      </c>
      <c r="G26" s="35" t="s">
        <v>235</v>
      </c>
      <c r="H26" s="35">
        <v>5720</v>
      </c>
      <c r="I26" s="35">
        <v>7770</v>
      </c>
      <c r="J26" s="87">
        <f t="shared" si="1"/>
        <v>2050</v>
      </c>
      <c r="K26" s="87">
        <f t="shared" si="0"/>
        <v>2050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121</v>
      </c>
      <c r="B27" s="72">
        <v>40</v>
      </c>
      <c r="C27" s="2">
        <v>44040</v>
      </c>
      <c r="D27" s="86" t="s">
        <v>248</v>
      </c>
      <c r="E27" s="35" t="s">
        <v>241</v>
      </c>
      <c r="F27" s="35" t="s">
        <v>172</v>
      </c>
      <c r="G27" s="35" t="s">
        <v>225</v>
      </c>
      <c r="H27" s="35">
        <v>19351</v>
      </c>
      <c r="I27" s="35">
        <v>20824</v>
      </c>
      <c r="J27" s="87">
        <f t="shared" si="1"/>
        <v>1473</v>
      </c>
      <c r="K27" s="87">
        <f t="shared" si="0"/>
        <v>1473</v>
      </c>
      <c r="L27" s="35"/>
      <c r="M27" s="35"/>
      <c r="N27" s="35"/>
      <c r="O27" s="35"/>
      <c r="P27" s="35">
        <v>9</v>
      </c>
      <c r="Q27" s="35">
        <v>2020</v>
      </c>
    </row>
    <row r="28" spans="1:17" x14ac:dyDescent="0.25">
      <c r="A28" s="35" t="s">
        <v>88</v>
      </c>
      <c r="B28" s="72">
        <v>6</v>
      </c>
      <c r="C28" s="90">
        <v>44042</v>
      </c>
      <c r="D28" s="86" t="s">
        <v>248</v>
      </c>
      <c r="E28" s="35" t="s">
        <v>241</v>
      </c>
      <c r="F28" s="35" t="s">
        <v>139</v>
      </c>
      <c r="G28" s="108" t="s">
        <v>192</v>
      </c>
      <c r="H28" s="35">
        <v>51861</v>
      </c>
      <c r="I28" s="35">
        <v>55213</v>
      </c>
      <c r="J28" s="87">
        <f t="shared" si="1"/>
        <v>3352</v>
      </c>
      <c r="K28" s="87">
        <f t="shared" si="0"/>
        <v>3352</v>
      </c>
      <c r="L28" s="91"/>
      <c r="M28" s="91"/>
      <c r="N28" s="91"/>
      <c r="O28" s="35"/>
      <c r="P28" s="35">
        <v>9</v>
      </c>
      <c r="Q28" s="35">
        <v>2020</v>
      </c>
    </row>
    <row r="29" spans="1:17" x14ac:dyDescent="0.25">
      <c r="A29" s="92" t="s">
        <v>291</v>
      </c>
      <c r="B29" s="72">
        <v>56</v>
      </c>
      <c r="C29" s="90">
        <v>44075</v>
      </c>
      <c r="D29" s="86" t="s">
        <v>248</v>
      </c>
      <c r="E29" s="35" t="s">
        <v>241</v>
      </c>
      <c r="F29" s="35" t="s">
        <v>175</v>
      </c>
      <c r="G29" s="35" t="s">
        <v>228</v>
      </c>
      <c r="H29" s="35">
        <v>49074</v>
      </c>
      <c r="I29" s="35">
        <v>50277</v>
      </c>
      <c r="J29" s="87">
        <f t="shared" si="1"/>
        <v>1203</v>
      </c>
      <c r="K29" s="87">
        <f t="shared" si="0"/>
        <v>1203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104</v>
      </c>
      <c r="B30" s="72">
        <v>23</v>
      </c>
      <c r="C30" s="2">
        <v>44041</v>
      </c>
      <c r="D30" s="86" t="s">
        <v>248</v>
      </c>
      <c r="E30" s="35" t="s">
        <v>241</v>
      </c>
      <c r="F30" s="35" t="s">
        <v>155</v>
      </c>
      <c r="G30" s="35" t="s">
        <v>208</v>
      </c>
      <c r="H30" s="35">
        <v>29468</v>
      </c>
      <c r="I30" s="35">
        <v>31764</v>
      </c>
      <c r="J30" s="87">
        <f t="shared" si="1"/>
        <v>2296</v>
      </c>
      <c r="K30" s="87">
        <f t="shared" si="0"/>
        <v>2296</v>
      </c>
      <c r="L30" s="35"/>
      <c r="M30" s="35"/>
      <c r="N30" s="35"/>
      <c r="O30" s="35"/>
      <c r="P30" s="35">
        <v>9</v>
      </c>
      <c r="Q30" s="35">
        <v>2020</v>
      </c>
    </row>
    <row r="31" spans="1:17" x14ac:dyDescent="0.25">
      <c r="A31" s="35" t="s">
        <v>86</v>
      </c>
      <c r="B31" s="72">
        <v>4</v>
      </c>
      <c r="C31" s="2">
        <v>44040</v>
      </c>
      <c r="D31" s="86" t="s">
        <v>248</v>
      </c>
      <c r="E31" s="35" t="s">
        <v>241</v>
      </c>
      <c r="F31" s="35" t="s">
        <v>137</v>
      </c>
      <c r="G31" s="35" t="s">
        <v>190</v>
      </c>
      <c r="H31" s="35">
        <v>52277</v>
      </c>
      <c r="I31" s="35">
        <v>57491</v>
      </c>
      <c r="J31" s="87">
        <f t="shared" si="1"/>
        <v>5214</v>
      </c>
      <c r="K31" s="87">
        <f t="shared" si="0"/>
        <v>5214</v>
      </c>
      <c r="L31" s="3"/>
      <c r="M31" s="3"/>
      <c r="N31" s="3"/>
      <c r="O31" s="89"/>
      <c r="P31" s="35">
        <v>9</v>
      </c>
      <c r="Q31" s="35">
        <v>2020</v>
      </c>
    </row>
    <row r="32" spans="1:17" x14ac:dyDescent="0.25">
      <c r="A32" s="35" t="s">
        <v>110</v>
      </c>
      <c r="B32" s="72">
        <v>29</v>
      </c>
      <c r="C32" s="2">
        <v>44040</v>
      </c>
      <c r="D32" s="86" t="s">
        <v>249</v>
      </c>
      <c r="E32" s="35" t="s">
        <v>241</v>
      </c>
      <c r="F32" s="35" t="s">
        <v>161</v>
      </c>
      <c r="G32" s="35" t="s">
        <v>214</v>
      </c>
      <c r="H32" s="35">
        <v>86912</v>
      </c>
      <c r="I32" s="35">
        <v>93774</v>
      </c>
      <c r="J32" s="87">
        <f t="shared" si="1"/>
        <v>6862</v>
      </c>
      <c r="K32" s="87">
        <f t="shared" si="0"/>
        <v>6862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113</v>
      </c>
      <c r="B33" s="72">
        <v>32</v>
      </c>
      <c r="C33" s="90">
        <v>44043</v>
      </c>
      <c r="D33" s="86" t="s">
        <v>249</v>
      </c>
      <c r="E33" s="35" t="s">
        <v>241</v>
      </c>
      <c r="F33" s="35" t="s">
        <v>164</v>
      </c>
      <c r="G33" s="35" t="s">
        <v>217</v>
      </c>
      <c r="H33" s="35">
        <v>81785</v>
      </c>
      <c r="I33" s="35">
        <v>89336</v>
      </c>
      <c r="J33" s="87">
        <f t="shared" si="1"/>
        <v>7551</v>
      </c>
      <c r="K33" s="87">
        <f t="shared" si="0"/>
        <v>7551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100</v>
      </c>
      <c r="B34" s="72">
        <v>18</v>
      </c>
      <c r="C34" s="90">
        <v>44042</v>
      </c>
      <c r="D34" s="86" t="s">
        <v>249</v>
      </c>
      <c r="E34" s="35" t="s">
        <v>241</v>
      </c>
      <c r="F34" s="35" t="s">
        <v>151</v>
      </c>
      <c r="G34" s="35" t="s">
        <v>204</v>
      </c>
      <c r="H34" s="35">
        <v>52389</v>
      </c>
      <c r="I34" s="35">
        <v>57573</v>
      </c>
      <c r="J34" s="87">
        <f t="shared" si="1"/>
        <v>5184</v>
      </c>
      <c r="K34" s="87">
        <f t="shared" ref="K34:K65" si="2">J34</f>
        <v>5184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123</v>
      </c>
      <c r="B35" s="72">
        <v>42</v>
      </c>
      <c r="C35" s="90">
        <v>44043</v>
      </c>
      <c r="D35" s="86" t="s">
        <v>248</v>
      </c>
      <c r="E35" s="35" t="s">
        <v>241</v>
      </c>
      <c r="F35" s="35" t="s">
        <v>174</v>
      </c>
      <c r="G35" s="35" t="s">
        <v>227</v>
      </c>
      <c r="H35" s="35">
        <v>22994</v>
      </c>
      <c r="I35" s="35">
        <v>22994</v>
      </c>
      <c r="J35" s="87">
        <f t="shared" si="1"/>
        <v>0</v>
      </c>
      <c r="K35" s="87">
        <f t="shared" si="2"/>
        <v>0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89</v>
      </c>
      <c r="B36" s="72">
        <v>7</v>
      </c>
      <c r="C36" s="2">
        <v>44040</v>
      </c>
      <c r="D36" s="86" t="s">
        <v>249</v>
      </c>
      <c r="E36" s="35" t="s">
        <v>241</v>
      </c>
      <c r="F36" s="35" t="s">
        <v>140</v>
      </c>
      <c r="G36" s="35" t="s">
        <v>193</v>
      </c>
      <c r="H36" s="35">
        <v>59951</v>
      </c>
      <c r="I36" s="35">
        <v>66666</v>
      </c>
      <c r="J36" s="87">
        <f t="shared" ref="J36:J67" si="3">I36-H36</f>
        <v>6715</v>
      </c>
      <c r="K36" s="87">
        <f t="shared" si="2"/>
        <v>6715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262</v>
      </c>
      <c r="B37" s="72">
        <v>57</v>
      </c>
      <c r="C37" s="90">
        <v>44074</v>
      </c>
      <c r="D37" s="86" t="s">
        <v>248</v>
      </c>
      <c r="E37" s="35" t="s">
        <v>241</v>
      </c>
      <c r="F37" s="35" t="s">
        <v>260</v>
      </c>
      <c r="G37" s="35" t="s">
        <v>261</v>
      </c>
      <c r="H37" s="35">
        <v>3531</v>
      </c>
      <c r="I37" s="35">
        <v>3694</v>
      </c>
      <c r="J37" s="87">
        <f t="shared" si="3"/>
        <v>163</v>
      </c>
      <c r="K37" s="87">
        <f t="shared" si="2"/>
        <v>163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122</v>
      </c>
      <c r="B38" s="72">
        <v>41</v>
      </c>
      <c r="C38" s="2">
        <v>44040</v>
      </c>
      <c r="D38" s="86" t="s">
        <v>249</v>
      </c>
      <c r="E38" s="35" t="s">
        <v>241</v>
      </c>
      <c r="F38" s="35" t="s">
        <v>173</v>
      </c>
      <c r="G38" s="35" t="s">
        <v>226</v>
      </c>
      <c r="H38" s="35">
        <v>54768</v>
      </c>
      <c r="I38" s="35">
        <v>63971</v>
      </c>
      <c r="J38" s="87">
        <f t="shared" si="3"/>
        <v>9203</v>
      </c>
      <c r="K38" s="87">
        <f t="shared" si="2"/>
        <v>9203</v>
      </c>
      <c r="L38" s="35"/>
      <c r="M38" s="35"/>
      <c r="N38" s="35"/>
      <c r="O38" s="35"/>
      <c r="P38" s="35">
        <v>9</v>
      </c>
      <c r="Q38" s="35">
        <v>2020</v>
      </c>
    </row>
    <row r="39" spans="1:17" x14ac:dyDescent="0.25">
      <c r="A39" s="35" t="s">
        <v>85</v>
      </c>
      <c r="B39" s="72">
        <v>3</v>
      </c>
      <c r="C39" s="2">
        <v>44040</v>
      </c>
      <c r="D39" s="86" t="s">
        <v>249</v>
      </c>
      <c r="E39" s="35" t="s">
        <v>241</v>
      </c>
      <c r="F39" s="35" t="s">
        <v>136</v>
      </c>
      <c r="G39" s="35" t="s">
        <v>189</v>
      </c>
      <c r="H39" s="35">
        <v>111147</v>
      </c>
      <c r="I39" s="35">
        <v>121519</v>
      </c>
      <c r="J39" s="87">
        <f t="shared" si="3"/>
        <v>10372</v>
      </c>
      <c r="K39" s="87">
        <f t="shared" si="2"/>
        <v>10372</v>
      </c>
      <c r="L39" s="3"/>
      <c r="M39" s="3"/>
      <c r="N39" s="3"/>
      <c r="O39" s="89"/>
      <c r="P39" s="35">
        <v>9</v>
      </c>
      <c r="Q39" s="35">
        <v>2020</v>
      </c>
    </row>
    <row r="40" spans="1:17" x14ac:dyDescent="0.25">
      <c r="A40" s="35" t="s">
        <v>128</v>
      </c>
      <c r="B40" s="72">
        <v>48</v>
      </c>
      <c r="C40" s="90">
        <v>44043</v>
      </c>
      <c r="D40" s="86" t="s">
        <v>248</v>
      </c>
      <c r="E40" s="35" t="s">
        <v>241</v>
      </c>
      <c r="F40" s="35" t="s">
        <v>181</v>
      </c>
      <c r="G40" s="35" t="s">
        <v>234</v>
      </c>
      <c r="H40" s="35">
        <v>6114</v>
      </c>
      <c r="I40" s="35">
        <v>6341</v>
      </c>
      <c r="J40" s="87">
        <f t="shared" si="3"/>
        <v>227</v>
      </c>
      <c r="K40" s="87">
        <f t="shared" si="2"/>
        <v>227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115</v>
      </c>
      <c r="B41" s="72">
        <v>34</v>
      </c>
      <c r="C41" s="2">
        <v>44041</v>
      </c>
      <c r="D41" s="86" t="s">
        <v>249</v>
      </c>
      <c r="E41" s="35" t="s">
        <v>241</v>
      </c>
      <c r="F41" s="35" t="s">
        <v>166</v>
      </c>
      <c r="G41" s="35" t="s">
        <v>219</v>
      </c>
      <c r="H41" s="35">
        <v>215757</v>
      </c>
      <c r="I41" s="35">
        <v>238191</v>
      </c>
      <c r="J41" s="87">
        <f t="shared" si="3"/>
        <v>22434</v>
      </c>
      <c r="K41" s="87">
        <f t="shared" si="2"/>
        <v>22434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101</v>
      </c>
      <c r="B42" s="72">
        <v>20</v>
      </c>
      <c r="C42" s="90">
        <v>44043</v>
      </c>
      <c r="D42" s="86" t="s">
        <v>248</v>
      </c>
      <c r="E42" s="35" t="s">
        <v>241</v>
      </c>
      <c r="F42" s="35" t="s">
        <v>152</v>
      </c>
      <c r="G42" s="35" t="s">
        <v>205</v>
      </c>
      <c r="H42" s="35">
        <v>27398</v>
      </c>
      <c r="I42" s="35">
        <v>29911</v>
      </c>
      <c r="J42" s="87">
        <f t="shared" si="3"/>
        <v>2513</v>
      </c>
      <c r="K42" s="87">
        <f t="shared" si="2"/>
        <v>2513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132</v>
      </c>
      <c r="B43" s="72">
        <v>52</v>
      </c>
      <c r="C43" s="90">
        <v>44074</v>
      </c>
      <c r="D43" s="86" t="s">
        <v>248</v>
      </c>
      <c r="E43" s="35" t="s">
        <v>241</v>
      </c>
      <c r="F43" s="35" t="s">
        <v>185</v>
      </c>
      <c r="G43" s="35" t="s">
        <v>238</v>
      </c>
      <c r="H43" s="35">
        <v>3947</v>
      </c>
      <c r="I43" s="35">
        <v>4449</v>
      </c>
      <c r="J43" s="87">
        <f t="shared" si="3"/>
        <v>502</v>
      </c>
      <c r="K43" s="87">
        <f t="shared" si="2"/>
        <v>502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130</v>
      </c>
      <c r="B44" s="72">
        <v>50</v>
      </c>
      <c r="C44" s="90">
        <v>44064</v>
      </c>
      <c r="D44" s="92" t="s">
        <v>248</v>
      </c>
      <c r="E44" s="35" t="s">
        <v>241</v>
      </c>
      <c r="F44" s="35" t="s">
        <v>183</v>
      </c>
      <c r="G44" s="35" t="s">
        <v>236</v>
      </c>
      <c r="H44" s="35">
        <v>6880</v>
      </c>
      <c r="I44" s="35">
        <v>7645</v>
      </c>
      <c r="J44" s="87">
        <f t="shared" si="3"/>
        <v>765</v>
      </c>
      <c r="K44" s="87">
        <f t="shared" si="2"/>
        <v>765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114</v>
      </c>
      <c r="B45" s="72">
        <v>33</v>
      </c>
      <c r="C45" s="2">
        <v>44041</v>
      </c>
      <c r="D45" s="86" t="s">
        <v>248</v>
      </c>
      <c r="E45" s="35" t="s">
        <v>241</v>
      </c>
      <c r="F45" s="35" t="s">
        <v>165</v>
      </c>
      <c r="G45" s="35" t="s">
        <v>218</v>
      </c>
      <c r="H45" s="35">
        <v>18115</v>
      </c>
      <c r="I45" s="35">
        <v>20077</v>
      </c>
      <c r="J45" s="87">
        <f t="shared" si="3"/>
        <v>1962</v>
      </c>
      <c r="K45" s="87">
        <f t="shared" si="2"/>
        <v>1962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25">
      <c r="A46" s="35" t="s">
        <v>99</v>
      </c>
      <c r="B46" s="72">
        <v>17</v>
      </c>
      <c r="C46" s="90">
        <v>44043</v>
      </c>
      <c r="D46" s="86" t="s">
        <v>248</v>
      </c>
      <c r="E46" s="35" t="s">
        <v>241</v>
      </c>
      <c r="F46" s="35" t="s">
        <v>150</v>
      </c>
      <c r="G46" s="35" t="s">
        <v>203</v>
      </c>
      <c r="H46" s="35">
        <v>14909</v>
      </c>
      <c r="I46" s="35">
        <v>16303</v>
      </c>
      <c r="J46" s="87">
        <f t="shared" si="3"/>
        <v>1394</v>
      </c>
      <c r="K46" s="87">
        <f t="shared" si="2"/>
        <v>1394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117</v>
      </c>
      <c r="B47" s="72">
        <v>36</v>
      </c>
      <c r="C47" s="90">
        <v>44042</v>
      </c>
      <c r="D47" s="86" t="s">
        <v>249</v>
      </c>
      <c r="E47" s="35" t="s">
        <v>241</v>
      </c>
      <c r="F47" s="35" t="s">
        <v>168</v>
      </c>
      <c r="G47" s="35" t="s">
        <v>221</v>
      </c>
      <c r="H47" s="35">
        <v>53356</v>
      </c>
      <c r="I47" s="35">
        <v>59287</v>
      </c>
      <c r="J47" s="87">
        <f t="shared" si="3"/>
        <v>5931</v>
      </c>
      <c r="K47" s="87">
        <f t="shared" si="2"/>
        <v>5931</v>
      </c>
      <c r="L47" s="35"/>
      <c r="M47" s="35"/>
      <c r="N47" s="35"/>
      <c r="O47" s="35"/>
      <c r="P47" s="35">
        <v>9</v>
      </c>
      <c r="Q47" s="35">
        <v>2020</v>
      </c>
    </row>
    <row r="48" spans="1:17" x14ac:dyDescent="0.25">
      <c r="A48" s="35" t="s">
        <v>87</v>
      </c>
      <c r="B48" s="72">
        <v>5</v>
      </c>
      <c r="C48" s="2">
        <v>44040</v>
      </c>
      <c r="D48" s="86" t="s">
        <v>249</v>
      </c>
      <c r="E48" s="35" t="s">
        <v>241</v>
      </c>
      <c r="F48" s="35" t="s">
        <v>138</v>
      </c>
      <c r="G48" s="35" t="s">
        <v>191</v>
      </c>
      <c r="H48" s="35">
        <v>86307</v>
      </c>
      <c r="I48" s="35">
        <v>96999</v>
      </c>
      <c r="J48" s="87">
        <f t="shared" si="3"/>
        <v>10692</v>
      </c>
      <c r="K48" s="87">
        <f t="shared" si="2"/>
        <v>10692</v>
      </c>
      <c r="L48" s="3"/>
      <c r="M48" s="3"/>
      <c r="N48" s="3"/>
      <c r="O48" s="89"/>
      <c r="P48" s="35">
        <v>9</v>
      </c>
      <c r="Q48" s="35">
        <v>2020</v>
      </c>
    </row>
    <row r="49" spans="1:17" x14ac:dyDescent="0.25">
      <c r="A49" s="35" t="s">
        <v>109</v>
      </c>
      <c r="B49" s="72">
        <v>28</v>
      </c>
      <c r="C49" s="2">
        <v>44046</v>
      </c>
      <c r="D49" s="86" t="s">
        <v>249</v>
      </c>
      <c r="E49" s="35" t="s">
        <v>241</v>
      </c>
      <c r="F49" s="35" t="s">
        <v>160</v>
      </c>
      <c r="G49" s="35" t="s">
        <v>213</v>
      </c>
      <c r="H49" s="35">
        <v>120142</v>
      </c>
      <c r="I49" s="35">
        <v>131217</v>
      </c>
      <c r="J49" s="87">
        <f t="shared" si="3"/>
        <v>11075</v>
      </c>
      <c r="K49" s="87">
        <f t="shared" si="2"/>
        <v>11075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105</v>
      </c>
      <c r="B50" s="72">
        <v>24</v>
      </c>
      <c r="C50" s="90">
        <v>44043</v>
      </c>
      <c r="D50" s="86" t="s">
        <v>248</v>
      </c>
      <c r="E50" s="35" t="s">
        <v>241</v>
      </c>
      <c r="F50" s="35" t="s">
        <v>156</v>
      </c>
      <c r="G50" s="35" t="s">
        <v>209</v>
      </c>
      <c r="H50" s="35">
        <v>12167</v>
      </c>
      <c r="I50" s="35">
        <v>13408</v>
      </c>
      <c r="J50" s="87">
        <f t="shared" si="3"/>
        <v>1241</v>
      </c>
      <c r="K50" s="87">
        <f t="shared" si="2"/>
        <v>1241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103</v>
      </c>
      <c r="B51" s="72">
        <v>22</v>
      </c>
      <c r="C51" s="2">
        <v>44040</v>
      </c>
      <c r="D51" s="86" t="s">
        <v>249</v>
      </c>
      <c r="E51" s="35" t="s">
        <v>241</v>
      </c>
      <c r="F51" s="35" t="s">
        <v>154</v>
      </c>
      <c r="G51" s="35" t="s">
        <v>207</v>
      </c>
      <c r="H51" s="35">
        <v>135473</v>
      </c>
      <c r="I51" s="35">
        <v>149853</v>
      </c>
      <c r="J51" s="87">
        <f t="shared" si="3"/>
        <v>14380</v>
      </c>
      <c r="K51" s="87">
        <f t="shared" si="2"/>
        <v>14380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98</v>
      </c>
      <c r="B52" s="72">
        <v>16</v>
      </c>
      <c r="C52" s="2">
        <v>44046</v>
      </c>
      <c r="D52" s="86" t="s">
        <v>248</v>
      </c>
      <c r="E52" s="35" t="s">
        <v>241</v>
      </c>
      <c r="F52" s="35" t="s">
        <v>149</v>
      </c>
      <c r="G52" s="35" t="s">
        <v>202</v>
      </c>
      <c r="H52" s="35">
        <v>13196</v>
      </c>
      <c r="I52" s="35">
        <v>14098</v>
      </c>
      <c r="J52" s="87">
        <f t="shared" si="3"/>
        <v>902</v>
      </c>
      <c r="K52" s="87">
        <f t="shared" si="2"/>
        <v>902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131</v>
      </c>
      <c r="B53" s="72">
        <v>51</v>
      </c>
      <c r="C53" s="90">
        <v>44064</v>
      </c>
      <c r="D53" s="92" t="s">
        <v>248</v>
      </c>
      <c r="E53" s="35" t="s">
        <v>241</v>
      </c>
      <c r="F53" s="35" t="s">
        <v>184</v>
      </c>
      <c r="G53" s="35" t="s">
        <v>237</v>
      </c>
      <c r="H53" s="35">
        <v>11780</v>
      </c>
      <c r="I53" s="35">
        <v>13154</v>
      </c>
      <c r="J53" s="87">
        <f t="shared" si="3"/>
        <v>1374</v>
      </c>
      <c r="K53" s="87">
        <f t="shared" si="2"/>
        <v>1374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288</v>
      </c>
      <c r="B54" s="72">
        <v>58</v>
      </c>
      <c r="C54" s="90">
        <v>44125</v>
      </c>
      <c r="D54" s="92" t="s">
        <v>248</v>
      </c>
      <c r="E54" s="35" t="s">
        <v>241</v>
      </c>
      <c r="F54" s="35" t="s">
        <v>270</v>
      </c>
      <c r="G54" s="35" t="s">
        <v>271</v>
      </c>
      <c r="H54" s="35">
        <v>25266</v>
      </c>
      <c r="I54" s="35">
        <v>28783</v>
      </c>
      <c r="J54" s="87">
        <f t="shared" si="3"/>
        <v>3517</v>
      </c>
      <c r="K54" s="87">
        <f t="shared" si="2"/>
        <v>3517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108</v>
      </c>
      <c r="B55" s="72">
        <v>27</v>
      </c>
      <c r="C55" s="2">
        <v>44041</v>
      </c>
      <c r="D55" s="86" t="s">
        <v>249</v>
      </c>
      <c r="E55" s="35" t="s">
        <v>241</v>
      </c>
      <c r="F55" s="35" t="s">
        <v>159</v>
      </c>
      <c r="G55" s="35" t="s">
        <v>212</v>
      </c>
      <c r="H55" s="35">
        <v>67148</v>
      </c>
      <c r="I55" s="35">
        <v>71731</v>
      </c>
      <c r="J55" s="87">
        <f t="shared" si="3"/>
        <v>4583</v>
      </c>
      <c r="K55" s="87">
        <f t="shared" si="2"/>
        <v>4583</v>
      </c>
      <c r="L55" s="35"/>
      <c r="M55" s="35"/>
      <c r="N55" s="35"/>
      <c r="O55" s="35"/>
      <c r="P55" s="35">
        <v>9</v>
      </c>
      <c r="Q55" s="35">
        <v>2020</v>
      </c>
    </row>
    <row r="56" spans="1:17" x14ac:dyDescent="0.25">
      <c r="A56" s="35" t="s">
        <v>84</v>
      </c>
      <c r="B56" s="72">
        <v>2</v>
      </c>
      <c r="C56" s="2">
        <v>44040</v>
      </c>
      <c r="D56" s="86" t="s">
        <v>248</v>
      </c>
      <c r="E56" s="35" t="s">
        <v>241</v>
      </c>
      <c r="F56" s="35" t="s">
        <v>135</v>
      </c>
      <c r="G56" s="35" t="s">
        <v>188</v>
      </c>
      <c r="H56" s="35">
        <v>54675</v>
      </c>
      <c r="I56" s="35">
        <v>60196</v>
      </c>
      <c r="J56" s="87">
        <f t="shared" si="3"/>
        <v>5521</v>
      </c>
      <c r="K56" s="87">
        <f t="shared" si="2"/>
        <v>5521</v>
      </c>
      <c r="L56" s="3">
        <v>0</v>
      </c>
      <c r="M56" s="3"/>
      <c r="N56" s="3"/>
      <c r="O56" s="89"/>
      <c r="P56" s="35">
        <v>9</v>
      </c>
      <c r="Q56" s="35">
        <v>2020</v>
      </c>
    </row>
    <row r="57" spans="1:17" x14ac:dyDescent="0.25">
      <c r="A57" s="92" t="s">
        <v>297</v>
      </c>
      <c r="B57" s="72">
        <v>70</v>
      </c>
      <c r="C57" s="2">
        <v>44040</v>
      </c>
      <c r="D57" s="86" t="s">
        <v>248</v>
      </c>
      <c r="E57" s="35" t="s">
        <v>241</v>
      </c>
      <c r="F57" s="92" t="s">
        <v>303</v>
      </c>
      <c r="G57" s="92" t="s">
        <v>309</v>
      </c>
      <c r="H57" s="92">
        <v>6264</v>
      </c>
      <c r="I57" s="92">
        <v>7086</v>
      </c>
      <c r="J57" s="87">
        <f t="shared" si="3"/>
        <v>822</v>
      </c>
      <c r="K57" s="87">
        <f t="shared" si="2"/>
        <v>822</v>
      </c>
      <c r="L57" s="35"/>
      <c r="M57" s="35"/>
      <c r="N57" s="35"/>
      <c r="O57" s="35"/>
      <c r="P57" s="35"/>
      <c r="Q57" s="35"/>
    </row>
    <row r="58" spans="1:17" x14ac:dyDescent="0.25">
      <c r="A58" s="35" t="s">
        <v>120</v>
      </c>
      <c r="B58" s="72">
        <v>39</v>
      </c>
      <c r="C58" s="2">
        <v>44041</v>
      </c>
      <c r="D58" s="86" t="s">
        <v>248</v>
      </c>
      <c r="E58" s="35" t="s">
        <v>241</v>
      </c>
      <c r="F58" s="35" t="s">
        <v>171</v>
      </c>
      <c r="G58" s="35" t="s">
        <v>224</v>
      </c>
      <c r="H58" s="35">
        <v>49441</v>
      </c>
      <c r="I58" s="35">
        <v>54377</v>
      </c>
      <c r="J58" s="87">
        <f t="shared" si="3"/>
        <v>4936</v>
      </c>
      <c r="K58" s="87">
        <f t="shared" si="2"/>
        <v>4936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111</v>
      </c>
      <c r="B59" s="72">
        <v>30</v>
      </c>
      <c r="C59" s="90">
        <v>44043</v>
      </c>
      <c r="D59" s="86" t="s">
        <v>248</v>
      </c>
      <c r="E59" s="35" t="s">
        <v>241</v>
      </c>
      <c r="F59" s="35" t="s">
        <v>162</v>
      </c>
      <c r="G59" s="35" t="s">
        <v>215</v>
      </c>
      <c r="H59" s="35">
        <v>22056</v>
      </c>
      <c r="I59" s="35">
        <v>24182</v>
      </c>
      <c r="J59" s="87">
        <f t="shared" si="3"/>
        <v>2126</v>
      </c>
      <c r="K59" s="87">
        <f t="shared" si="2"/>
        <v>2126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25">
      <c r="A60" s="35" t="s">
        <v>118</v>
      </c>
      <c r="B60" s="72">
        <v>37</v>
      </c>
      <c r="C60" s="90">
        <v>44042</v>
      </c>
      <c r="D60" s="86" t="s">
        <v>248</v>
      </c>
      <c r="E60" s="35" t="s">
        <v>241</v>
      </c>
      <c r="F60" s="35" t="s">
        <v>169</v>
      </c>
      <c r="G60" s="35" t="s">
        <v>222</v>
      </c>
      <c r="H60" s="35">
        <v>14523</v>
      </c>
      <c r="I60" s="35">
        <v>16055</v>
      </c>
      <c r="J60" s="87">
        <f t="shared" si="3"/>
        <v>1532</v>
      </c>
      <c r="K60" s="87">
        <f t="shared" si="2"/>
        <v>1532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25">
      <c r="A61" s="35" t="s">
        <v>107</v>
      </c>
      <c r="B61" s="72">
        <v>26</v>
      </c>
      <c r="C61" s="90">
        <v>44043</v>
      </c>
      <c r="D61" s="86" t="s">
        <v>249</v>
      </c>
      <c r="E61" s="35" t="s">
        <v>241</v>
      </c>
      <c r="F61" s="35" t="s">
        <v>158</v>
      </c>
      <c r="G61" s="35" t="s">
        <v>211</v>
      </c>
      <c r="H61" s="35">
        <v>70102</v>
      </c>
      <c r="I61" s="35">
        <v>75551</v>
      </c>
      <c r="J61" s="87">
        <f t="shared" si="3"/>
        <v>5449</v>
      </c>
      <c r="K61" s="87">
        <f t="shared" si="2"/>
        <v>5449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25">
      <c r="A62" s="35" t="s">
        <v>97</v>
      </c>
      <c r="B62" s="72">
        <v>15</v>
      </c>
      <c r="C62" s="90">
        <v>44042</v>
      </c>
      <c r="D62" s="86" t="s">
        <v>249</v>
      </c>
      <c r="E62" s="35" t="s">
        <v>241</v>
      </c>
      <c r="F62" s="35" t="s">
        <v>148</v>
      </c>
      <c r="G62" s="35" t="s">
        <v>201</v>
      </c>
      <c r="H62" s="35">
        <v>51644</v>
      </c>
      <c r="I62" s="35">
        <v>57301</v>
      </c>
      <c r="J62" s="87">
        <f t="shared" si="3"/>
        <v>5657</v>
      </c>
      <c r="K62" s="87">
        <f t="shared" si="2"/>
        <v>5657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25">
      <c r="A63" s="35" t="s">
        <v>92</v>
      </c>
      <c r="B63" s="72">
        <v>10</v>
      </c>
      <c r="C63" s="90">
        <v>44042</v>
      </c>
      <c r="D63" s="86" t="s">
        <v>249</v>
      </c>
      <c r="E63" s="35" t="s">
        <v>241</v>
      </c>
      <c r="F63" s="35" t="s">
        <v>143</v>
      </c>
      <c r="G63" s="35" t="s">
        <v>196</v>
      </c>
      <c r="H63" s="35">
        <v>58174</v>
      </c>
      <c r="I63" s="35">
        <v>65082</v>
      </c>
      <c r="J63" s="87">
        <f t="shared" si="3"/>
        <v>6908</v>
      </c>
      <c r="K63" s="87">
        <f t="shared" si="2"/>
        <v>6908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96</v>
      </c>
      <c r="B64" s="72">
        <v>14</v>
      </c>
      <c r="C64" s="2">
        <v>44040</v>
      </c>
      <c r="D64" s="86" t="s">
        <v>249</v>
      </c>
      <c r="E64" s="35" t="s">
        <v>241</v>
      </c>
      <c r="F64" s="35" t="s">
        <v>147</v>
      </c>
      <c r="G64" s="35" t="s">
        <v>200</v>
      </c>
      <c r="H64" s="35">
        <v>79368</v>
      </c>
      <c r="I64" s="35">
        <v>86998</v>
      </c>
      <c r="J64" s="87">
        <f t="shared" si="3"/>
        <v>7630</v>
      </c>
      <c r="K64" s="87">
        <f t="shared" si="2"/>
        <v>7630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35" t="s">
        <v>102</v>
      </c>
      <c r="B65" s="72">
        <v>21</v>
      </c>
      <c r="C65" s="90">
        <v>44042</v>
      </c>
      <c r="D65" s="86" t="s">
        <v>248</v>
      </c>
      <c r="E65" s="35" t="s">
        <v>241</v>
      </c>
      <c r="F65" s="35" t="s">
        <v>153</v>
      </c>
      <c r="G65" s="35" t="s">
        <v>206</v>
      </c>
      <c r="H65" s="35">
        <v>15941</v>
      </c>
      <c r="I65" s="35">
        <v>17237</v>
      </c>
      <c r="J65" s="87">
        <f t="shared" si="3"/>
        <v>1296</v>
      </c>
      <c r="K65" s="87">
        <f t="shared" si="2"/>
        <v>1296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25">
      <c r="A66" s="35" t="s">
        <v>127</v>
      </c>
      <c r="B66" s="35">
        <v>63</v>
      </c>
      <c r="C66" s="2">
        <v>44137</v>
      </c>
      <c r="D66" s="86" t="s">
        <v>248</v>
      </c>
      <c r="E66" s="35" t="s">
        <v>241</v>
      </c>
      <c r="F66" s="92" t="s">
        <v>287</v>
      </c>
      <c r="G66" s="92" t="s">
        <v>233</v>
      </c>
      <c r="H66" s="35">
        <v>14458</v>
      </c>
      <c r="I66" s="35">
        <v>17227</v>
      </c>
      <c r="J66" s="87">
        <f t="shared" si="3"/>
        <v>2769</v>
      </c>
      <c r="K66" s="87">
        <f t="shared" ref="K66:K70" si="4">J66</f>
        <v>2769</v>
      </c>
      <c r="L66" s="35"/>
      <c r="M66" s="35"/>
      <c r="N66" s="35"/>
      <c r="O66" s="35"/>
      <c r="P66" s="35">
        <v>9</v>
      </c>
      <c r="Q66" s="35">
        <v>2020</v>
      </c>
    </row>
    <row r="67" spans="1:17" x14ac:dyDescent="0.25">
      <c r="A67" s="92" t="s">
        <v>296</v>
      </c>
      <c r="B67" s="35">
        <v>69</v>
      </c>
      <c r="C67" s="35">
        <v>44225</v>
      </c>
      <c r="D67" s="86" t="s">
        <v>248</v>
      </c>
      <c r="E67" s="35" t="s">
        <v>241</v>
      </c>
      <c r="F67" s="92" t="s">
        <v>302</v>
      </c>
      <c r="G67" s="92" t="s">
        <v>308</v>
      </c>
      <c r="H67" s="92">
        <v>21497</v>
      </c>
      <c r="I67" s="92">
        <v>25652</v>
      </c>
      <c r="J67" s="87">
        <f t="shared" si="3"/>
        <v>4155</v>
      </c>
      <c r="K67" s="87">
        <f t="shared" si="4"/>
        <v>4155</v>
      </c>
      <c r="L67" s="35"/>
      <c r="M67" s="35"/>
      <c r="N67" s="35"/>
      <c r="O67" s="35"/>
      <c r="P67" s="35"/>
      <c r="Q67" s="35"/>
    </row>
    <row r="68" spans="1:17" x14ac:dyDescent="0.25">
      <c r="A68" s="92" t="s">
        <v>294</v>
      </c>
      <c r="B68" s="35">
        <v>67</v>
      </c>
      <c r="C68" s="35">
        <v>44225</v>
      </c>
      <c r="D68" s="86" t="s">
        <v>248</v>
      </c>
      <c r="E68" s="35" t="s">
        <v>241</v>
      </c>
      <c r="F68" s="92" t="s">
        <v>300</v>
      </c>
      <c r="G68" s="92" t="s">
        <v>306</v>
      </c>
      <c r="H68" s="92">
        <v>28600</v>
      </c>
      <c r="I68" s="92">
        <v>34481</v>
      </c>
      <c r="J68" s="87">
        <f t="shared" ref="J68:J70" si="5">I68-H68</f>
        <v>5881</v>
      </c>
      <c r="K68" s="87">
        <f t="shared" si="4"/>
        <v>5881</v>
      </c>
      <c r="L68" s="35"/>
      <c r="M68" s="35"/>
      <c r="N68" s="35"/>
      <c r="O68" s="35"/>
      <c r="P68" s="35"/>
      <c r="Q68" s="35"/>
    </row>
    <row r="69" spans="1:17" x14ac:dyDescent="0.25">
      <c r="A69" s="92" t="s">
        <v>295</v>
      </c>
      <c r="B69" s="72">
        <v>68</v>
      </c>
      <c r="C69" s="35">
        <v>44225</v>
      </c>
      <c r="D69" s="86" t="s">
        <v>248</v>
      </c>
      <c r="E69" s="35" t="s">
        <v>241</v>
      </c>
      <c r="F69" s="92" t="s">
        <v>301</v>
      </c>
      <c r="G69" s="92" t="s">
        <v>307</v>
      </c>
      <c r="H69" s="92">
        <v>11822</v>
      </c>
      <c r="I69" s="92">
        <v>15074</v>
      </c>
      <c r="J69" s="87">
        <f t="shared" si="5"/>
        <v>3252</v>
      </c>
      <c r="K69" s="87">
        <f t="shared" si="4"/>
        <v>3252</v>
      </c>
      <c r="L69" s="35"/>
      <c r="M69" s="35"/>
      <c r="N69" s="35"/>
      <c r="O69" s="35"/>
      <c r="P69" s="35"/>
      <c r="Q69" s="35"/>
    </row>
    <row r="70" spans="1:17" x14ac:dyDescent="0.25">
      <c r="A70" s="92" t="s">
        <v>293</v>
      </c>
      <c r="B70" s="72">
        <v>66</v>
      </c>
      <c r="C70" s="35">
        <v>44225</v>
      </c>
      <c r="D70" s="86" t="s">
        <v>248</v>
      </c>
      <c r="E70" s="35" t="s">
        <v>241</v>
      </c>
      <c r="F70" s="92" t="s">
        <v>299</v>
      </c>
      <c r="G70" s="92" t="s">
        <v>305</v>
      </c>
      <c r="H70" s="92">
        <v>7265</v>
      </c>
      <c r="I70" s="92">
        <v>8636</v>
      </c>
      <c r="J70" s="87">
        <f t="shared" si="5"/>
        <v>1371</v>
      </c>
      <c r="K70" s="87">
        <f t="shared" si="4"/>
        <v>1371</v>
      </c>
      <c r="L70" s="35"/>
      <c r="M70" s="35"/>
      <c r="N70" s="35"/>
      <c r="O70" s="35"/>
      <c r="P70" s="35"/>
      <c r="Q70" s="35"/>
    </row>
    <row r="73" spans="1:17" ht="15.75" thickBot="1" x14ac:dyDescent="0.3"/>
    <row r="74" spans="1:17" x14ac:dyDescent="0.25">
      <c r="E74" s="93" t="s">
        <v>0</v>
      </c>
      <c r="F74" s="94" t="s">
        <v>263</v>
      </c>
      <c r="G74" s="94" t="s">
        <v>264</v>
      </c>
      <c r="H74" s="94" t="s">
        <v>265</v>
      </c>
      <c r="I74" s="94" t="s">
        <v>266</v>
      </c>
      <c r="J74" s="95" t="s">
        <v>267</v>
      </c>
      <c r="K74" s="105"/>
    </row>
    <row r="75" spans="1:17" x14ac:dyDescent="0.25">
      <c r="E75" s="96" t="s">
        <v>250</v>
      </c>
      <c r="F75" s="97">
        <f t="shared" ref="F75:F80" si="6">COUNTIF($D$2:$D$72,E75)</f>
        <v>6</v>
      </c>
      <c r="G75" s="98">
        <f>2052*F75</f>
        <v>12312</v>
      </c>
      <c r="H75" s="98">
        <f>1368*F75</f>
        <v>8208</v>
      </c>
      <c r="I75" s="98"/>
      <c r="J75" s="99"/>
      <c r="K75" s="106"/>
    </row>
    <row r="76" spans="1:17" x14ac:dyDescent="0.25">
      <c r="E76" s="96" t="s">
        <v>251</v>
      </c>
      <c r="F76" s="97">
        <f t="shared" si="6"/>
        <v>2</v>
      </c>
      <c r="G76" s="98">
        <f>5290*F76</f>
        <v>10580</v>
      </c>
      <c r="H76" s="98">
        <f>3527*F76</f>
        <v>7054</v>
      </c>
      <c r="I76" s="98"/>
      <c r="J76" s="99"/>
      <c r="K76" s="106"/>
    </row>
    <row r="77" spans="1:17" x14ac:dyDescent="0.25">
      <c r="E77" s="96" t="s">
        <v>248</v>
      </c>
      <c r="F77" s="97">
        <f t="shared" si="6"/>
        <v>40</v>
      </c>
      <c r="G77" s="98">
        <f>3048*F77</f>
        <v>121920</v>
      </c>
      <c r="H77" s="98">
        <f>2032*F77</f>
        <v>81280</v>
      </c>
      <c r="I77" s="98"/>
      <c r="J77" s="99"/>
      <c r="K77" s="106"/>
    </row>
    <row r="78" spans="1:17" x14ac:dyDescent="0.25">
      <c r="E78" s="96" t="s">
        <v>249</v>
      </c>
      <c r="F78" s="97">
        <f t="shared" si="6"/>
        <v>19</v>
      </c>
      <c r="G78" s="98">
        <f>6198*F78</f>
        <v>117762</v>
      </c>
      <c r="H78" s="98">
        <f>4132*F78</f>
        <v>78508</v>
      </c>
      <c r="I78" s="98"/>
      <c r="J78" s="99"/>
      <c r="K78" s="106"/>
    </row>
    <row r="79" spans="1:17" x14ac:dyDescent="0.25">
      <c r="E79" s="96" t="s">
        <v>268</v>
      </c>
      <c r="F79" s="97">
        <f t="shared" si="6"/>
        <v>1</v>
      </c>
      <c r="G79" s="98">
        <f>6780*F79</f>
        <v>6780</v>
      </c>
      <c r="H79" s="98">
        <f>4520*F79</f>
        <v>4520</v>
      </c>
      <c r="I79" s="98">
        <f>6600*F79</f>
        <v>6600</v>
      </c>
      <c r="J79" s="99">
        <f>4400*F79</f>
        <v>4400</v>
      </c>
      <c r="K79" s="106"/>
    </row>
    <row r="80" spans="1:17" x14ac:dyDescent="0.25">
      <c r="E80" s="96" t="s">
        <v>247</v>
      </c>
      <c r="F80" s="97">
        <f t="shared" si="6"/>
        <v>1</v>
      </c>
      <c r="G80" s="98">
        <f>8582*F79</f>
        <v>8582</v>
      </c>
      <c r="H80" s="98">
        <f>5722*F80</f>
        <v>5722</v>
      </c>
      <c r="I80" s="98">
        <f>6600*F80</f>
        <v>6600</v>
      </c>
      <c r="J80" s="99">
        <f>4400*F80</f>
        <v>4400</v>
      </c>
      <c r="K80" s="106"/>
    </row>
    <row r="81" spans="5:11" ht="15.75" thickBot="1" x14ac:dyDescent="0.3">
      <c r="E81" s="100" t="s">
        <v>269</v>
      </c>
      <c r="F81" s="101">
        <f>SUM(F75:F80)</f>
        <v>69</v>
      </c>
      <c r="G81" s="102">
        <f t="shared" ref="G81:H81" si="7">SUM(G75:G80)</f>
        <v>277936</v>
      </c>
      <c r="H81" s="102">
        <f t="shared" si="7"/>
        <v>185292</v>
      </c>
      <c r="I81" s="102">
        <f>SUM(I75:I80)</f>
        <v>13200</v>
      </c>
      <c r="J81" s="103">
        <f>SUM(J75:J80)</f>
        <v>8800</v>
      </c>
      <c r="K81" s="107"/>
    </row>
  </sheetData>
  <autoFilter ref="A1:Q66">
    <sortState ref="A2:Q70">
      <sortCondition ref="F1:F66"/>
    </sortState>
  </autoFilter>
  <conditionalFormatting sqref="L2:N2 M3:M7">
    <cfRule type="cellIs" dxfId="2" priority="6" operator="lessThan">
      <formula>0</formula>
    </cfRule>
  </conditionalFormatting>
  <conditionalFormatting sqref="L8:N10 L3:L7 N3:N7">
    <cfRule type="cellIs" dxfId="1" priority="3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B4" sqref="B4"/>
    </sheetView>
  </sheetViews>
  <sheetFormatPr defaultRowHeight="15" x14ac:dyDescent="0.25"/>
  <cols>
    <col min="1" max="1" width="36.42578125" customWidth="1"/>
    <col min="2" max="2" width="22.85546875" customWidth="1"/>
    <col min="3" max="3" width="33" customWidth="1"/>
    <col min="4" max="4" width="30.5703125" customWidth="1"/>
  </cols>
  <sheetData>
    <row r="1" spans="1:4" ht="23.25" x14ac:dyDescent="0.35">
      <c r="A1" s="33" t="s">
        <v>33</v>
      </c>
      <c r="B1" s="33" t="s">
        <v>81</v>
      </c>
    </row>
    <row r="2" spans="1:4" ht="23.25" x14ac:dyDescent="0.35">
      <c r="A2" s="33" t="s">
        <v>34</v>
      </c>
      <c r="B2" s="33" t="s">
        <v>82</v>
      </c>
    </row>
    <row r="3" spans="1:4" ht="23.25" x14ac:dyDescent="0.35">
      <c r="A3" s="33" t="s">
        <v>35</v>
      </c>
      <c r="B3" s="34">
        <v>44378</v>
      </c>
    </row>
    <row r="4" spans="1:4" ht="15.75" thickBot="1" x14ac:dyDescent="0.3"/>
    <row r="5" spans="1:4" ht="15.75" thickBot="1" x14ac:dyDescent="0.3">
      <c r="A5" s="29" t="s">
        <v>0</v>
      </c>
      <c r="B5" s="30" t="s">
        <v>4</v>
      </c>
      <c r="C5" s="30" t="s">
        <v>28</v>
      </c>
      <c r="D5" s="31" t="s">
        <v>29</v>
      </c>
    </row>
    <row r="6" spans="1:4" ht="30" x14ac:dyDescent="0.25">
      <c r="A6" s="7" t="s">
        <v>5</v>
      </c>
      <c r="B6" s="20">
        <v>7.0000000000000007E-2</v>
      </c>
      <c r="C6" s="80">
        <f>SUM(BASE!G81)</f>
        <v>277936</v>
      </c>
      <c r="D6" s="8">
        <f>C6*B6</f>
        <v>19455.52</v>
      </c>
    </row>
    <row r="7" spans="1:4" ht="30" x14ac:dyDescent="0.25">
      <c r="A7" s="5" t="s">
        <v>6</v>
      </c>
      <c r="B7" s="21">
        <v>2.5000000000000001E-2</v>
      </c>
      <c r="C7" s="81">
        <f>SUM(BASE!H81)</f>
        <v>185292</v>
      </c>
      <c r="D7" s="9">
        <f>C7*B7</f>
        <v>4632.3</v>
      </c>
    </row>
    <row r="8" spans="1:4" ht="30" x14ac:dyDescent="0.25">
      <c r="A8" s="23" t="s">
        <v>7</v>
      </c>
      <c r="B8" s="21">
        <v>0.7</v>
      </c>
      <c r="C8" s="81">
        <f>SUM(BASE!I81)</f>
        <v>13200</v>
      </c>
      <c r="D8" s="9">
        <f>C8*B8</f>
        <v>9240</v>
      </c>
    </row>
    <row r="9" spans="1:4" ht="30.75" thickBot="1" x14ac:dyDescent="0.3">
      <c r="A9" s="24" t="s">
        <v>8</v>
      </c>
      <c r="B9" s="22">
        <v>0.25</v>
      </c>
      <c r="C9" s="82">
        <f>SUM(BASE!J81)</f>
        <v>8800</v>
      </c>
      <c r="D9" s="10">
        <f>C9*B9</f>
        <v>2200</v>
      </c>
    </row>
    <row r="11" spans="1:4" ht="15.75" thickBot="1" x14ac:dyDescent="0.3"/>
    <row r="12" spans="1:4" ht="15.75" thickBot="1" x14ac:dyDescent="0.3">
      <c r="A12" s="120" t="s">
        <v>15</v>
      </c>
      <c r="B12" s="121"/>
      <c r="C12" s="122" t="s">
        <v>16</v>
      </c>
      <c r="D12" s="123"/>
    </row>
    <row r="13" spans="1:4" x14ac:dyDescent="0.25">
      <c r="A13" s="16" t="s">
        <v>17</v>
      </c>
      <c r="B13" s="17">
        <f>IF((SUM(BASE!$K2:$K70)+(SUM(BASE!$L2:$L70)*2))&gt;=$C$6,$C$6,(SUM(BASE!$K2:$K70)+(SUM(BASE!$L2:$L70)*2)))</f>
        <v>277936</v>
      </c>
      <c r="C13" s="18" t="s">
        <v>17</v>
      </c>
      <c r="D13" s="17">
        <f>IF((SUM(BASE!$M2:$M62)+(SUM(BASE!$N2:$N73)*2))&gt;=$C$8,$C$8,(SUM(BASE!$M2:$M70)+(SUM(BASE!$N2:$N70)*2)))</f>
        <v>1329</v>
      </c>
    </row>
    <row r="14" spans="1:4" x14ac:dyDescent="0.25">
      <c r="A14" s="6" t="s">
        <v>18</v>
      </c>
      <c r="B14" s="15">
        <f>$D$6</f>
        <v>19455.52</v>
      </c>
      <c r="C14" s="12" t="s">
        <v>18</v>
      </c>
      <c r="D14" s="15">
        <f>$D$8</f>
        <v>9240</v>
      </c>
    </row>
    <row r="15" spans="1:4" x14ac:dyDescent="0.25">
      <c r="A15" s="6" t="s">
        <v>19</v>
      </c>
      <c r="B15" s="14">
        <f>IF((SUM(BASE!$K2:$K70)+(SUM(BASE!$L2:$L70)*2))&gt;$C$6,(SUM(BASE!$K2:$K70)+(SUM(BASE!$L2:$L70)*2))-$C$6,0)</f>
        <v>7249</v>
      </c>
      <c r="C15" s="12" t="s">
        <v>19</v>
      </c>
      <c r="D15" s="14">
        <f>IF((SUM(BASE!$M2:$M70)+(SUM(BASE!$N2:$N70)*2))&gt;$C$8,(SUM(BASE!$M2:$M70)+(SUM(BASE!$N2:$N70)*2))-$C$8,0)</f>
        <v>0</v>
      </c>
    </row>
    <row r="16" spans="1:4" ht="15.75" thickBot="1" x14ac:dyDescent="0.3">
      <c r="A16" s="6" t="s">
        <v>20</v>
      </c>
      <c r="B16" s="27">
        <f>$B$15*$B$7</f>
        <v>181.22500000000002</v>
      </c>
      <c r="C16" s="13" t="s">
        <v>20</v>
      </c>
      <c r="D16" s="32">
        <f>$D$15*$B$9</f>
        <v>0</v>
      </c>
    </row>
    <row r="17" spans="1:10" ht="15.75" thickBot="1" x14ac:dyDescent="0.3">
      <c r="A17" s="124" t="s">
        <v>30</v>
      </c>
      <c r="B17" s="125"/>
      <c r="C17" s="126" t="s">
        <v>31</v>
      </c>
      <c r="D17" s="127"/>
    </row>
    <row r="18" spans="1:10" ht="16.5" thickBot="1" x14ac:dyDescent="0.3">
      <c r="A18" s="128">
        <f>SUM($B$14,$B$16)</f>
        <v>19636.744999999999</v>
      </c>
      <c r="B18" s="129"/>
      <c r="C18" s="130">
        <f>SUM($D$14,$D$16)</f>
        <v>9240</v>
      </c>
      <c r="D18" s="129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14" t="s">
        <v>26</v>
      </c>
      <c r="B20" s="115"/>
      <c r="C20" s="116"/>
      <c r="D20" s="117"/>
    </row>
    <row r="21" spans="1:10" ht="16.5" thickBot="1" x14ac:dyDescent="0.3">
      <c r="A21" s="114" t="s">
        <v>27</v>
      </c>
      <c r="B21" s="115"/>
      <c r="C21" s="118"/>
      <c r="D21" s="119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10" t="s">
        <v>32</v>
      </c>
      <c r="B23" s="111"/>
      <c r="C23" s="112">
        <f>SUM(A18:D18)+C21-C20</f>
        <v>28876.744999999999</v>
      </c>
      <c r="D23" s="113"/>
    </row>
    <row r="25" spans="1:10" x14ac:dyDescent="0.25">
      <c r="A25" s="109" t="str">
        <f>IF(B13&lt;C6,"Favor atentar para o correto dimensionamento do recurso de impressão, pois o volume impresso está abaixo da franquia monocromática contratada!","")</f>
        <v/>
      </c>
      <c r="B25" s="109"/>
      <c r="C25" s="109"/>
      <c r="D25" s="109"/>
      <c r="E25" s="109"/>
      <c r="F25" s="109"/>
      <c r="G25" s="109"/>
      <c r="H25" s="109"/>
      <c r="I25" s="109"/>
      <c r="J25" s="109"/>
    </row>
    <row r="26" spans="1:10" x14ac:dyDescent="0.25">
      <c r="A26" s="109" t="str">
        <f>IF(D13&lt;C8,"Favor atentar para o correto dimensionamento do recurso de impressão, pois o volume impresso está abaixo da franquia color contratada!","")</f>
        <v>Favor atentar para o correto dimensionamento do recurso de impressão, pois o volume impresso está abaixo da franquia color contratada!</v>
      </c>
      <c r="B26" s="109"/>
      <c r="C26" s="109"/>
      <c r="D26" s="109"/>
      <c r="E26" s="109"/>
      <c r="F26" s="109"/>
      <c r="G26" s="109"/>
      <c r="H26" s="109"/>
      <c r="I26" s="109"/>
      <c r="J26" s="109"/>
    </row>
    <row r="27" spans="1:10" x14ac:dyDescent="0.25">
      <c r="A27" s="109" t="str">
        <f>IF(D15&gt;C9,"Favor atentar para o uso do recurso de impressão, pois o volume policromático impresso está acima da volumetria total contratada!","")</f>
        <v/>
      </c>
      <c r="B27" s="109"/>
      <c r="C27" s="109"/>
      <c r="D27" s="109"/>
      <c r="E27" s="109"/>
      <c r="F27" s="109"/>
      <c r="G27" s="109"/>
      <c r="H27" s="109"/>
      <c r="I27" s="109"/>
      <c r="J27" s="109"/>
    </row>
    <row r="28" spans="1:10" x14ac:dyDescent="0.25">
      <c r="A28" s="109" t="str">
        <f>IF(B16&gt;C8,"Favor atentar para o uso do recurso de impressão, pois o volume monocromático impresso está acima da volumetria total contratada!","")</f>
        <v/>
      </c>
      <c r="B28" s="109"/>
      <c r="C28" s="109"/>
      <c r="D28" s="109"/>
      <c r="E28" s="109"/>
      <c r="F28" s="109"/>
      <c r="G28" s="109"/>
      <c r="H28" s="109"/>
      <c r="I28" s="109"/>
      <c r="J28" s="109"/>
    </row>
  </sheetData>
  <mergeCells count="16"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  <mergeCell ref="A25:J25"/>
    <mergeCell ref="A26:J26"/>
    <mergeCell ref="A27:J27"/>
    <mergeCell ref="A28:J28"/>
    <mergeCell ref="A23:B23"/>
    <mergeCell ref="C23:D23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showGridLines="0" workbookViewId="0">
      <selection activeCell="G12" sqref="G12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3" t="s">
        <v>38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5" ht="16.5" thickBot="1" x14ac:dyDescent="0.3">
      <c r="A2" s="36" t="s">
        <v>39</v>
      </c>
      <c r="H2" s="37" t="s">
        <v>40</v>
      </c>
      <c r="I2" s="37"/>
      <c r="J2" s="37"/>
      <c r="K2" s="37"/>
      <c r="L2" s="37"/>
      <c r="M2" s="37"/>
      <c r="N2" s="37"/>
      <c r="O2" s="37"/>
    </row>
    <row r="3" spans="1:15" x14ac:dyDescent="0.25">
      <c r="A3" s="134" t="s">
        <v>41</v>
      </c>
      <c r="B3" s="135"/>
      <c r="C3" s="136"/>
      <c r="D3" s="104">
        <f>SUM(BASE!G81)</f>
        <v>277936</v>
      </c>
      <c r="H3" s="37" t="s">
        <v>42</v>
      </c>
      <c r="I3" s="37"/>
      <c r="J3" s="37"/>
      <c r="K3" s="37"/>
      <c r="L3" s="37"/>
      <c r="M3" s="37"/>
      <c r="N3" s="37"/>
      <c r="O3" s="37"/>
    </row>
    <row r="4" spans="1:15" x14ac:dyDescent="0.25">
      <c r="A4" s="137" t="s">
        <v>43</v>
      </c>
      <c r="B4" s="138"/>
      <c r="C4" s="139"/>
      <c r="D4" s="38">
        <v>14640.64</v>
      </c>
      <c r="H4" s="37" t="s">
        <v>44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40" t="s">
        <v>45</v>
      </c>
      <c r="B5" s="141"/>
      <c r="C5" s="142"/>
      <c r="D5" s="39">
        <v>0.02</v>
      </c>
      <c r="H5" s="37" t="s">
        <v>46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253</v>
      </c>
      <c r="C6" s="42" t="s">
        <v>254</v>
      </c>
      <c r="D6" s="43" t="s">
        <v>47</v>
      </c>
      <c r="E6" s="43" t="s">
        <v>48</v>
      </c>
      <c r="F6" s="43" t="s">
        <v>49</v>
      </c>
      <c r="H6" s="37" t="s">
        <v>50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310</v>
      </c>
      <c r="B7" s="73">
        <f>$D$3</f>
        <v>277936</v>
      </c>
      <c r="C7" s="76">
        <v>270267</v>
      </c>
      <c r="D7" s="45">
        <f>$D$4</f>
        <v>14640.64</v>
      </c>
      <c r="E7" s="45">
        <f>IF(C7-B7&lt;0,0,(C7-B7)*$D$5)</f>
        <v>0</v>
      </c>
      <c r="F7" s="45">
        <f>E7+D7</f>
        <v>14640.64</v>
      </c>
      <c r="H7" s="37" t="s">
        <v>52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311</v>
      </c>
      <c r="B8" s="73">
        <f t="shared" ref="B8:B12" si="0">$D$3</f>
        <v>277936</v>
      </c>
      <c r="C8" s="76">
        <v>316638</v>
      </c>
      <c r="D8" s="45">
        <f t="shared" ref="D8:D12" si="1">$D$4</f>
        <v>14640.64</v>
      </c>
      <c r="E8" s="45">
        <f t="shared" ref="E8:E12" si="2">IF(C8-B8&lt;0,0,(C8-B8)*$D$5)</f>
        <v>774.04</v>
      </c>
      <c r="F8" s="45">
        <f t="shared" ref="F8:F11" si="3">E8+D8</f>
        <v>15414.68</v>
      </c>
      <c r="H8" s="143" t="s">
        <v>54</v>
      </c>
      <c r="I8" s="143"/>
      <c r="J8" s="143"/>
      <c r="K8" s="143"/>
      <c r="L8" s="143"/>
      <c r="M8" s="143"/>
      <c r="N8" s="143"/>
      <c r="O8" s="143"/>
    </row>
    <row r="9" spans="1:15" x14ac:dyDescent="0.25">
      <c r="A9" s="44" t="s">
        <v>312</v>
      </c>
      <c r="B9" s="73">
        <f t="shared" si="0"/>
        <v>277936</v>
      </c>
      <c r="C9" s="76">
        <v>265997</v>
      </c>
      <c r="D9" s="45">
        <f t="shared" si="1"/>
        <v>14640.64</v>
      </c>
      <c r="E9" s="45">
        <f t="shared" si="2"/>
        <v>0</v>
      </c>
      <c r="F9" s="45">
        <f t="shared" si="3"/>
        <v>14640.64</v>
      </c>
      <c r="H9" s="143"/>
      <c r="I9" s="143"/>
      <c r="J9" s="143"/>
      <c r="K9" s="143"/>
      <c r="L9" s="143"/>
      <c r="M9" s="143"/>
      <c r="N9" s="143"/>
      <c r="O9" s="143"/>
    </row>
    <row r="10" spans="1:15" x14ac:dyDescent="0.25">
      <c r="A10" s="44" t="s">
        <v>313</v>
      </c>
      <c r="B10" s="73">
        <f t="shared" si="0"/>
        <v>277936</v>
      </c>
      <c r="C10" s="76">
        <v>265997</v>
      </c>
      <c r="D10" s="45">
        <f t="shared" si="1"/>
        <v>14640.64</v>
      </c>
      <c r="E10" s="45">
        <f t="shared" si="2"/>
        <v>0</v>
      </c>
      <c r="F10" s="45">
        <f t="shared" si="3"/>
        <v>14640.64</v>
      </c>
      <c r="H10" s="143"/>
      <c r="I10" s="143"/>
      <c r="J10" s="143"/>
      <c r="K10" s="143"/>
      <c r="L10" s="143"/>
      <c r="M10" s="143"/>
      <c r="N10" s="143"/>
      <c r="O10" s="143"/>
    </row>
    <row r="11" spans="1:15" ht="15.75" thickBot="1" x14ac:dyDescent="0.3">
      <c r="A11" s="44" t="s">
        <v>314</v>
      </c>
      <c r="B11" s="73">
        <f t="shared" si="0"/>
        <v>277936</v>
      </c>
      <c r="C11" s="76">
        <v>261260</v>
      </c>
      <c r="D11" s="45">
        <f t="shared" si="1"/>
        <v>14640.64</v>
      </c>
      <c r="E11" s="45">
        <f t="shared" si="2"/>
        <v>0</v>
      </c>
      <c r="F11" s="45">
        <f t="shared" si="3"/>
        <v>14640.64</v>
      </c>
      <c r="G11" s="46" t="s">
        <v>58</v>
      </c>
      <c r="H11" s="46" t="s">
        <v>59</v>
      </c>
    </row>
    <row r="12" spans="1:15" ht="15.75" thickBot="1" x14ac:dyDescent="0.3">
      <c r="A12" s="44" t="s">
        <v>315</v>
      </c>
      <c r="B12" s="74">
        <f t="shared" si="0"/>
        <v>277936</v>
      </c>
      <c r="C12" s="76">
        <f>SUM(CONSOLIDADO!B13,CONSOLIDADO!B15)</f>
        <v>285185</v>
      </c>
      <c r="D12" s="48">
        <f t="shared" si="1"/>
        <v>14640.64</v>
      </c>
      <c r="E12" s="48">
        <f t="shared" si="2"/>
        <v>144.97999999999999</v>
      </c>
      <c r="F12" s="49">
        <f>E12+D12</f>
        <v>14785.619999999999</v>
      </c>
      <c r="G12" s="50">
        <f>IF(C13&gt;B13,E13-C15,E13)</f>
        <v>919.02</v>
      </c>
      <c r="H12" s="51">
        <f>F12-G12</f>
        <v>13866.599999999999</v>
      </c>
    </row>
    <row r="13" spans="1:15" ht="19.5" thickBot="1" x14ac:dyDescent="0.35">
      <c r="A13" s="52" t="s">
        <v>61</v>
      </c>
      <c r="B13" s="75">
        <f>SUM(B7:B12)</f>
        <v>1667616</v>
      </c>
      <c r="C13" s="77">
        <f>SUM(C7:C12)</f>
        <v>1665344</v>
      </c>
      <c r="D13" s="55">
        <f>SUM(D7:D12)</f>
        <v>87843.839999999997</v>
      </c>
      <c r="E13" s="56">
        <f>SUM(E7:E12)</f>
        <v>919.02</v>
      </c>
      <c r="F13" s="144" t="s">
        <v>62</v>
      </c>
      <c r="G13" s="145"/>
      <c r="H13" s="57">
        <f>SUM(F7:F11)+H12</f>
        <v>87843.839999999997</v>
      </c>
    </row>
    <row r="14" spans="1:15" ht="15.75" thickBot="1" x14ac:dyDescent="0.3">
      <c r="A14" s="131" t="s">
        <v>63</v>
      </c>
      <c r="B14" s="132"/>
      <c r="C14" s="78">
        <f>C13-B13</f>
        <v>-2272</v>
      </c>
      <c r="G14" s="59"/>
    </row>
    <row r="15" spans="1:15" ht="15.75" thickBot="1" x14ac:dyDescent="0.3">
      <c r="C15" s="60">
        <f>IF(C14&lt;0,0,C14*$D$5)</f>
        <v>0</v>
      </c>
    </row>
    <row r="16" spans="1:15" ht="15.75" thickBot="1" x14ac:dyDescent="0.3"/>
    <row r="17" spans="1:10" ht="15.75" thickBot="1" x14ac:dyDescent="0.3">
      <c r="A17" s="53"/>
      <c r="B17" s="61" t="s">
        <v>64</v>
      </c>
      <c r="C17" s="62" t="s">
        <v>65</v>
      </c>
      <c r="F17" s="37" t="s">
        <v>66</v>
      </c>
    </row>
    <row r="18" spans="1:10" ht="15.75" thickBot="1" x14ac:dyDescent="0.3">
      <c r="A18" s="54"/>
      <c r="B18" s="63" t="s">
        <v>67</v>
      </c>
      <c r="C18" s="64" t="s">
        <v>68</v>
      </c>
    </row>
    <row r="19" spans="1:10" ht="15.75" thickBot="1" x14ac:dyDescent="0.3">
      <c r="A19" s="65"/>
      <c r="B19" s="63" t="s">
        <v>69</v>
      </c>
      <c r="C19" s="64" t="s">
        <v>70</v>
      </c>
    </row>
    <row r="20" spans="1:10" ht="15.75" thickBot="1" x14ac:dyDescent="0.3">
      <c r="A20" s="58"/>
      <c r="B20" s="66" t="s">
        <v>71</v>
      </c>
      <c r="C20" s="64" t="s">
        <v>72</v>
      </c>
      <c r="E20" s="67" t="s">
        <v>73</v>
      </c>
    </row>
    <row r="21" spans="1:10" ht="15.75" thickBot="1" x14ac:dyDescent="0.3">
      <c r="A21" s="68"/>
      <c r="B21" s="66" t="s">
        <v>74</v>
      </c>
      <c r="C21" s="64" t="s">
        <v>75</v>
      </c>
      <c r="E21" s="67" t="s">
        <v>76</v>
      </c>
      <c r="F21" s="62"/>
      <c r="G21" s="62"/>
    </row>
    <row r="22" spans="1:10" ht="15.75" thickBot="1" x14ac:dyDescent="0.3">
      <c r="A22" s="69"/>
      <c r="B22" s="66" t="s">
        <v>58</v>
      </c>
      <c r="C22" s="64" t="s">
        <v>77</v>
      </c>
      <c r="E22" s="70" t="s">
        <v>78</v>
      </c>
      <c r="F22" s="64"/>
      <c r="G22" s="64"/>
    </row>
    <row r="23" spans="1:10" ht="15.75" thickBot="1" x14ac:dyDescent="0.3">
      <c r="A23" s="71"/>
      <c r="B23" s="66" t="s">
        <v>59</v>
      </c>
      <c r="C23" s="64" t="s">
        <v>79</v>
      </c>
      <c r="E23" s="62" t="s">
        <v>80</v>
      </c>
      <c r="F23" s="62"/>
      <c r="G23" s="62"/>
      <c r="H23" s="62"/>
      <c r="I23" s="62"/>
      <c r="J23" s="62"/>
    </row>
    <row r="27" spans="1:10" x14ac:dyDescent="0.25">
      <c r="E27" s="59">
        <f>H13/C13</f>
        <v>5.274816494369932E-2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H13" sqref="H13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3" t="s">
        <v>38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5" ht="16.5" thickBot="1" x14ac:dyDescent="0.3">
      <c r="A2" s="36" t="s">
        <v>39</v>
      </c>
      <c r="H2" s="37" t="s">
        <v>40</v>
      </c>
      <c r="I2" s="37"/>
      <c r="J2" s="37"/>
      <c r="K2" s="37"/>
      <c r="L2" s="37"/>
      <c r="M2" s="37"/>
      <c r="N2" s="37"/>
      <c r="O2" s="37"/>
    </row>
    <row r="3" spans="1:15" x14ac:dyDescent="0.25">
      <c r="A3" s="134" t="s">
        <v>41</v>
      </c>
      <c r="B3" s="135"/>
      <c r="C3" s="136"/>
      <c r="D3" s="79">
        <f>SUM(BASE!I81)</f>
        <v>13200</v>
      </c>
      <c r="H3" s="37" t="s">
        <v>42</v>
      </c>
      <c r="I3" s="37"/>
      <c r="J3" s="37"/>
      <c r="K3" s="37"/>
      <c r="L3" s="37"/>
      <c r="M3" s="37"/>
      <c r="N3" s="37"/>
      <c r="O3" s="37"/>
    </row>
    <row r="4" spans="1:15" x14ac:dyDescent="0.25">
      <c r="A4" s="137" t="s">
        <v>43</v>
      </c>
      <c r="B4" s="138"/>
      <c r="C4" s="139"/>
      <c r="D4" s="38">
        <f>SUM(CONSOLIDADO!D8)</f>
        <v>9240</v>
      </c>
      <c r="H4" s="37" t="s">
        <v>44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40" t="s">
        <v>45</v>
      </c>
      <c r="B5" s="141"/>
      <c r="C5" s="142"/>
      <c r="D5" s="39">
        <f>SUM(CONSOLIDADO!B9)</f>
        <v>0.25</v>
      </c>
      <c r="H5" s="37" t="s">
        <v>46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255</v>
      </c>
      <c r="C6" s="42" t="s">
        <v>256</v>
      </c>
      <c r="D6" s="43" t="s">
        <v>47</v>
      </c>
      <c r="E6" s="43" t="s">
        <v>48</v>
      </c>
      <c r="F6" s="43" t="s">
        <v>49</v>
      </c>
      <c r="H6" s="37" t="s">
        <v>50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51</v>
      </c>
      <c r="B7" s="73">
        <f>$D$3</f>
        <v>13200</v>
      </c>
      <c r="C7" s="76">
        <v>5869</v>
      </c>
      <c r="D7" s="45">
        <f>$D$4</f>
        <v>9240</v>
      </c>
      <c r="E7" s="45">
        <f>IF(C7-B7&lt;0,0,(C7-B7)*$D$5)</f>
        <v>0</v>
      </c>
      <c r="F7" s="45">
        <f>E7+D7</f>
        <v>9240</v>
      </c>
      <c r="H7" s="37" t="s">
        <v>52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53</v>
      </c>
      <c r="B8" s="73">
        <f t="shared" ref="B8:B12" si="0">$D$3</f>
        <v>13200</v>
      </c>
      <c r="C8" s="76">
        <v>1659</v>
      </c>
      <c r="D8" s="45">
        <f t="shared" ref="D8:D12" si="1">$D$4</f>
        <v>9240</v>
      </c>
      <c r="E8" s="45">
        <f t="shared" ref="E8:E12" si="2">IF(C8-B8&lt;0,0,(C8-B8)*$D$5)</f>
        <v>0</v>
      </c>
      <c r="F8" s="45">
        <f t="shared" ref="F8:F11" si="3">E8+D8</f>
        <v>9240</v>
      </c>
      <c r="H8" s="143" t="s">
        <v>54</v>
      </c>
      <c r="I8" s="143"/>
      <c r="J8" s="143"/>
      <c r="K8" s="143"/>
      <c r="L8" s="143"/>
      <c r="M8" s="143"/>
      <c r="N8" s="143"/>
      <c r="O8" s="143"/>
    </row>
    <row r="9" spans="1:15" x14ac:dyDescent="0.25">
      <c r="A9" s="44" t="s">
        <v>55</v>
      </c>
      <c r="B9" s="73">
        <f t="shared" si="0"/>
        <v>13200</v>
      </c>
      <c r="C9" s="76">
        <v>796</v>
      </c>
      <c r="D9" s="45">
        <f t="shared" si="1"/>
        <v>9240</v>
      </c>
      <c r="E9" s="45">
        <f t="shared" si="2"/>
        <v>0</v>
      </c>
      <c r="F9" s="45">
        <f t="shared" si="3"/>
        <v>9240</v>
      </c>
      <c r="H9" s="143"/>
      <c r="I9" s="143"/>
      <c r="J9" s="143"/>
      <c r="K9" s="143"/>
      <c r="L9" s="143"/>
      <c r="M9" s="143"/>
      <c r="N9" s="143"/>
      <c r="O9" s="143"/>
    </row>
    <row r="10" spans="1:15" x14ac:dyDescent="0.25">
      <c r="A10" s="44" t="s">
        <v>56</v>
      </c>
      <c r="B10" s="73">
        <f t="shared" si="0"/>
        <v>13200</v>
      </c>
      <c r="C10" s="76">
        <v>796</v>
      </c>
      <c r="D10" s="45">
        <f t="shared" si="1"/>
        <v>9240</v>
      </c>
      <c r="E10" s="45">
        <f t="shared" si="2"/>
        <v>0</v>
      </c>
      <c r="F10" s="45">
        <f t="shared" si="3"/>
        <v>9240</v>
      </c>
      <c r="H10" s="143"/>
      <c r="I10" s="143"/>
      <c r="J10" s="143"/>
      <c r="K10" s="143"/>
      <c r="L10" s="143"/>
      <c r="M10" s="143"/>
      <c r="N10" s="143"/>
      <c r="O10" s="143"/>
    </row>
    <row r="11" spans="1:15" ht="15.75" thickBot="1" x14ac:dyDescent="0.3">
      <c r="A11" s="44" t="s">
        <v>57</v>
      </c>
      <c r="B11" s="73">
        <f t="shared" si="0"/>
        <v>13200</v>
      </c>
      <c r="C11" s="76">
        <v>1041</v>
      </c>
      <c r="D11" s="45">
        <f t="shared" si="1"/>
        <v>9240</v>
      </c>
      <c r="E11" s="45">
        <f t="shared" si="2"/>
        <v>0</v>
      </c>
      <c r="F11" s="45">
        <f t="shared" si="3"/>
        <v>9240</v>
      </c>
      <c r="G11" s="46" t="s">
        <v>58</v>
      </c>
      <c r="H11" s="46" t="s">
        <v>59</v>
      </c>
    </row>
    <row r="12" spans="1:15" ht="15.75" thickBot="1" x14ac:dyDescent="0.3">
      <c r="A12" s="47" t="s">
        <v>60</v>
      </c>
      <c r="B12" s="74">
        <f t="shared" si="0"/>
        <v>13200</v>
      </c>
      <c r="C12" s="76">
        <f>SUM(CONSOLIDADO!D13,CONSOLIDADO!D15)</f>
        <v>1329</v>
      </c>
      <c r="D12" s="48">
        <f t="shared" si="1"/>
        <v>9240</v>
      </c>
      <c r="E12" s="48">
        <f t="shared" si="2"/>
        <v>0</v>
      </c>
      <c r="F12" s="49">
        <f>E12+D12</f>
        <v>9240</v>
      </c>
      <c r="G12" s="50">
        <f>IF(C13&gt;B13,E13-C15,E13)</f>
        <v>0</v>
      </c>
      <c r="H12" s="51">
        <f>F12-G12</f>
        <v>9240</v>
      </c>
    </row>
    <row r="13" spans="1:15" ht="19.5" thickBot="1" x14ac:dyDescent="0.35">
      <c r="A13" s="52" t="s">
        <v>61</v>
      </c>
      <c r="B13" s="75">
        <f>SUM(B7:B12)</f>
        <v>79200</v>
      </c>
      <c r="C13" s="77">
        <f>SUM(C7:C12)</f>
        <v>11490</v>
      </c>
      <c r="D13" s="55">
        <f>SUM(D7:D12)</f>
        <v>55440</v>
      </c>
      <c r="E13" s="56">
        <f>SUM(E7:E12)</f>
        <v>0</v>
      </c>
      <c r="F13" s="144" t="s">
        <v>62</v>
      </c>
      <c r="G13" s="145"/>
      <c r="H13" s="57">
        <f>SUM(F7:F11)+H12</f>
        <v>55440</v>
      </c>
    </row>
    <row r="14" spans="1:15" ht="15.75" thickBot="1" x14ac:dyDescent="0.3">
      <c r="A14" s="131" t="s">
        <v>63</v>
      </c>
      <c r="B14" s="132"/>
      <c r="C14" s="78">
        <f>C13-B13</f>
        <v>-67710</v>
      </c>
      <c r="G14" s="59"/>
    </row>
    <row r="15" spans="1:15" ht="15.75" thickBot="1" x14ac:dyDescent="0.3">
      <c r="C15" s="60">
        <f>IF(C14&lt;0,0,C14*$D$5)</f>
        <v>0</v>
      </c>
    </row>
    <row r="16" spans="1:15" ht="15.75" thickBot="1" x14ac:dyDescent="0.3"/>
    <row r="17" spans="1:10" ht="15.75" thickBot="1" x14ac:dyDescent="0.3">
      <c r="A17" s="53"/>
      <c r="B17" s="61" t="s">
        <v>64</v>
      </c>
      <c r="C17" s="62" t="s">
        <v>65</v>
      </c>
      <c r="F17" s="37" t="s">
        <v>66</v>
      </c>
    </row>
    <row r="18" spans="1:10" ht="15.75" thickBot="1" x14ac:dyDescent="0.3">
      <c r="A18" s="54"/>
      <c r="B18" s="63" t="s">
        <v>67</v>
      </c>
      <c r="C18" s="64" t="s">
        <v>68</v>
      </c>
    </row>
    <row r="19" spans="1:10" ht="15.75" thickBot="1" x14ac:dyDescent="0.3">
      <c r="A19" s="65"/>
      <c r="B19" s="63" t="s">
        <v>69</v>
      </c>
      <c r="C19" s="64" t="s">
        <v>70</v>
      </c>
    </row>
    <row r="20" spans="1:10" ht="15.75" thickBot="1" x14ac:dyDescent="0.3">
      <c r="A20" s="58"/>
      <c r="B20" s="66" t="s">
        <v>71</v>
      </c>
      <c r="C20" s="64" t="s">
        <v>72</v>
      </c>
      <c r="E20" s="67" t="s">
        <v>73</v>
      </c>
    </row>
    <row r="21" spans="1:10" ht="15.75" thickBot="1" x14ac:dyDescent="0.3">
      <c r="A21" s="68"/>
      <c r="B21" s="66" t="s">
        <v>74</v>
      </c>
      <c r="C21" s="64" t="s">
        <v>75</v>
      </c>
      <c r="E21" s="67" t="s">
        <v>76</v>
      </c>
      <c r="F21" s="62"/>
      <c r="G21" s="62"/>
    </row>
    <row r="22" spans="1:10" ht="15.75" thickBot="1" x14ac:dyDescent="0.3">
      <c r="A22" s="69"/>
      <c r="B22" s="66" t="s">
        <v>58</v>
      </c>
      <c r="C22" s="64" t="s">
        <v>77</v>
      </c>
      <c r="E22" s="70" t="s">
        <v>78</v>
      </c>
      <c r="F22" s="64"/>
      <c r="G22" s="64"/>
    </row>
    <row r="23" spans="1:10" ht="15.75" thickBot="1" x14ac:dyDescent="0.3">
      <c r="A23" s="71"/>
      <c r="B23" s="66" t="s">
        <v>59</v>
      </c>
      <c r="C23" s="64" t="s">
        <v>79</v>
      </c>
      <c r="E23" s="62" t="s">
        <v>80</v>
      </c>
      <c r="F23" s="62"/>
      <c r="G23" s="62"/>
      <c r="H23" s="62"/>
      <c r="I23" s="62"/>
      <c r="J23" s="62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C45C41-E8DF-422B-B7D8-A7ACB502A8B9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terms/"/>
    <ds:schemaRef ds:uri="http://www.w3.org/XML/1998/namespace"/>
    <ds:schemaRef ds:uri="http://schemas.microsoft.com/office/infopath/2007/PartnerControls"/>
    <ds:schemaRef ds:uri="76045822-f663-47fe-a980-18965f3af854"/>
    <ds:schemaRef ds:uri="e0c41287-3fae-4d33-9378-24a2e4e94c8b"/>
  </ds:schemaRefs>
</ds:datastoreItem>
</file>

<file path=customXml/itemProps2.xml><?xml version="1.0" encoding="utf-8"?>
<ds:datastoreItem xmlns:ds="http://schemas.openxmlformats.org/officeDocument/2006/customXml" ds:itemID="{CBC45640-7C85-4954-9A4D-576C88A82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Company>EBSERH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Ildeney De Sousa Barbosa</dc:creator>
  <cp:lastModifiedBy>Christian Ferraz Pinto Pacheco</cp:lastModifiedBy>
  <dcterms:created xsi:type="dcterms:W3CDTF">2019-04-12T18:07:17Z</dcterms:created>
  <dcterms:modified xsi:type="dcterms:W3CDTF">2021-07-30T21:18:25Z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