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bserhnet-my.sharepoint.com/personal/christian_pacheco_ebserh_gov_br/Documents/Licitação e contratos/Meus contratos/Impressoras - WA/Impressoes/2022/"/>
    </mc:Choice>
  </mc:AlternateContent>
  <bookViews>
    <workbookView xWindow="0" yWindow="0" windowWidth="28800" windowHeight="12180" activeTab="1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BASE!$A$1:$Q$69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4" l="1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M2" i="4" l="1"/>
  <c r="K2" i="4" l="1"/>
  <c r="F75" i="4" l="1"/>
  <c r="H75" i="4" s="1"/>
  <c r="F76" i="4"/>
  <c r="H76" i="4" s="1"/>
  <c r="F77" i="4"/>
  <c r="H77" i="4" s="1"/>
  <c r="J78" i="4"/>
  <c r="F79" i="4"/>
  <c r="F74" i="4"/>
  <c r="G74" i="4" s="1"/>
  <c r="J79" i="4" l="1"/>
  <c r="J80" i="4" s="1"/>
  <c r="G79" i="4"/>
  <c r="H74" i="4"/>
  <c r="G77" i="4"/>
  <c r="H79" i="4"/>
  <c r="I79" i="4"/>
  <c r="G75" i="4"/>
  <c r="G78" i="4"/>
  <c r="H78" i="4"/>
  <c r="F80" i="4"/>
  <c r="G76" i="4"/>
  <c r="I78" i="4"/>
  <c r="C9" i="5" l="1"/>
  <c r="J82" i="4"/>
  <c r="J83" i="4" s="1"/>
  <c r="I80" i="4"/>
  <c r="I82" i="4" s="1"/>
  <c r="I83" i="4" s="1"/>
  <c r="H80" i="4"/>
  <c r="G80" i="4"/>
  <c r="G82" i="4" s="1"/>
  <c r="G83" i="4" s="1"/>
  <c r="C7" i="5" l="1"/>
  <c r="H82" i="4"/>
  <c r="H83" i="4" s="1"/>
  <c r="G85" i="4" s="1"/>
  <c r="C6" i="5"/>
  <c r="D3" i="7"/>
  <c r="D3" i="8"/>
  <c r="B10" i="8" s="1"/>
  <c r="C8" i="5"/>
  <c r="D5" i="8"/>
  <c r="D13" i="5" l="1"/>
  <c r="C10" i="8" s="1"/>
  <c r="D15" i="5"/>
  <c r="B8" i="8"/>
  <c r="B9" i="8"/>
  <c r="B12" i="8"/>
  <c r="B11" i="8"/>
  <c r="B7" i="8"/>
  <c r="E9" i="8" l="1"/>
  <c r="E12" i="8"/>
  <c r="E11" i="8"/>
  <c r="E10" i="8"/>
  <c r="E8" i="8"/>
  <c r="B13" i="8"/>
  <c r="C13" i="8" l="1"/>
  <c r="C14" i="8" s="1"/>
  <c r="C15" i="8" s="1"/>
  <c r="E7" i="8"/>
  <c r="E13" i="8" l="1"/>
  <c r="G12" i="8" s="1"/>
  <c r="B15" i="5" l="1"/>
  <c r="B13" i="5"/>
  <c r="D12" i="7"/>
  <c r="B12" i="7"/>
  <c r="D11" i="7"/>
  <c r="B11" i="7"/>
  <c r="D10" i="7"/>
  <c r="B10" i="7"/>
  <c r="D9" i="7"/>
  <c r="B9" i="7"/>
  <c r="D8" i="7"/>
  <c r="B8" i="7"/>
  <c r="D7" i="7"/>
  <c r="B7" i="7"/>
  <c r="C10" i="7" l="1"/>
  <c r="E10" i="7" s="1"/>
  <c r="F10" i="7" s="1"/>
  <c r="D13" i="7"/>
  <c r="E12" i="7"/>
  <c r="F12" i="7" s="1"/>
  <c r="E9" i="7"/>
  <c r="F9" i="7" s="1"/>
  <c r="A26" i="5"/>
  <c r="E7" i="7"/>
  <c r="F7" i="7" s="1"/>
  <c r="E11" i="7"/>
  <c r="F11" i="7" s="1"/>
  <c r="B13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<sst xmlns="http://schemas.openxmlformats.org/spreadsheetml/2006/main" count="493" uniqueCount="308">
  <si>
    <t>DEPARTAMENTO
(localização do equipamento)</t>
  </si>
  <si>
    <t>#</t>
  </si>
  <si>
    <t>DATA DE 
INSTALAÇÃO</t>
  </si>
  <si>
    <t>TIPO EQUIPAMENTO 
(CONFORME EDITAL)</t>
  </si>
  <si>
    <t>MARCA e MODELO</t>
  </si>
  <si>
    <t>Nº DE SÉRIE</t>
  </si>
  <si>
    <t>IP</t>
  </si>
  <si>
    <t>CONTADOR 
INICIAL</t>
  </si>
  <si>
    <t>CONTADOR 
FINAL</t>
  </si>
  <si>
    <t>VOLUMETRIA TOTAL
(MÊS)</t>
  </si>
  <si>
    <t>VOLUMETRIA A4
(MONOCROMÁTICO)</t>
  </si>
  <si>
    <t>VOLUMETRIA A3
(MONOCROMÁTICO)</t>
  </si>
  <si>
    <t>VOLUMETRIA A4
(POLICROMÁTICO)</t>
  </si>
  <si>
    <t>VOLUMETRIA A3
(POLICROMÁTICO)</t>
  </si>
  <si>
    <t>OBSERVAÇÕES</t>
  </si>
  <si>
    <t>MÊS</t>
  </si>
  <si>
    <t>ANO</t>
  </si>
  <si>
    <t>PROTOCOLO</t>
  </si>
  <si>
    <t>TIPO 5MA3</t>
  </si>
  <si>
    <t>Xerox AltaLink C8035</t>
  </si>
  <si>
    <t>2TX074066</t>
  </si>
  <si>
    <t>10.42.205.78</t>
  </si>
  <si>
    <t>ENDOSCOPIA</t>
  </si>
  <si>
    <t>TIPO 1</t>
  </si>
  <si>
    <t>Brother HL-L6202DW</t>
  </si>
  <si>
    <t>U64182B0N831004</t>
  </si>
  <si>
    <t>10.42.205.76</t>
  </si>
  <si>
    <t>AMB_OFTALMO</t>
  </si>
  <si>
    <t>U64182B0N831007</t>
  </si>
  <si>
    <t>10.42.205.9</t>
  </si>
  <si>
    <t>AMB_UROLOGIA</t>
  </si>
  <si>
    <t>U64182B0N831063</t>
  </si>
  <si>
    <t>10.42.205.14</t>
  </si>
  <si>
    <t>AMB_ERGO</t>
  </si>
  <si>
    <t>U64182B0N831097</t>
  </si>
  <si>
    <t>10.42.205.42</t>
  </si>
  <si>
    <t>AMB_PNEUMOLOGIA</t>
  </si>
  <si>
    <t>U64182B0N831112</t>
  </si>
  <si>
    <t>10.42.205.12</t>
  </si>
  <si>
    <t>AMB_ELETRO</t>
  </si>
  <si>
    <t>TIPO 2</t>
  </si>
  <si>
    <t>U64182J9N675229</t>
  </si>
  <si>
    <t>10.42.205.41</t>
  </si>
  <si>
    <t>MATERNIDADE</t>
  </si>
  <si>
    <t>U64182J9N675412</t>
  </si>
  <si>
    <t>10.42.205.40</t>
  </si>
  <si>
    <t>CETROGEN</t>
  </si>
  <si>
    <t>U64182J9N677001</t>
  </si>
  <si>
    <t>10.42.205.80</t>
  </si>
  <si>
    <t>NUTRICAO</t>
  </si>
  <si>
    <t>TIPO 1M</t>
  </si>
  <si>
    <t>Brother MFC-L6902DW</t>
  </si>
  <si>
    <t>U64210B0N382645</t>
  </si>
  <si>
    <t>10.42.205.91</t>
  </si>
  <si>
    <t>AMB_URA</t>
  </si>
  <si>
    <t>U64210B0N382647</t>
  </si>
  <si>
    <t>10.42.205.6</t>
  </si>
  <si>
    <t>SETISD</t>
  </si>
  <si>
    <t>U64210B0N382654</t>
  </si>
  <si>
    <t>10.42.205.54</t>
  </si>
  <si>
    <t>FARMACIA_MANIPULACAO</t>
  </si>
  <si>
    <t>U64210B0N382656</t>
  </si>
  <si>
    <t>10.42.205.84</t>
  </si>
  <si>
    <t>EPIDEMIOLOGIA</t>
  </si>
  <si>
    <t>U64210B0N382658</t>
  </si>
  <si>
    <t>10.42.205.55</t>
  </si>
  <si>
    <t>ENGENHARIA</t>
  </si>
  <si>
    <t>U64210B0N382660</t>
  </si>
  <si>
    <t>10.42.205.33</t>
  </si>
  <si>
    <t>AMBULATORIO_GUICHE</t>
  </si>
  <si>
    <t>U64210B0N382662</t>
  </si>
  <si>
    <t>10.42.205.8</t>
  </si>
  <si>
    <t>SUPRIMENTOS</t>
  </si>
  <si>
    <t>U64210B0N382663</t>
  </si>
  <si>
    <t>10.42.205.56</t>
  </si>
  <si>
    <t>HEMODINAMICA</t>
  </si>
  <si>
    <t>U64210B0N382666</t>
  </si>
  <si>
    <t>10.42.205.62</t>
  </si>
  <si>
    <t>PAM POSTO ENF</t>
  </si>
  <si>
    <t>TIPO 2M</t>
  </si>
  <si>
    <t>U64210B0N382667</t>
  </si>
  <si>
    <t>10.42.205.71</t>
  </si>
  <si>
    <t>PATOLOGIA</t>
  </si>
  <si>
    <t>U64210B0N382668</t>
  </si>
  <si>
    <t>10.42.205.48</t>
  </si>
  <si>
    <t>UTI NEO</t>
  </si>
  <si>
    <t>U64210B0N382684</t>
  </si>
  <si>
    <t>10.42.205.58</t>
  </si>
  <si>
    <t>ENFERMARIA CLINICA MEDICA</t>
  </si>
  <si>
    <t>U64210B0N382692</t>
  </si>
  <si>
    <t>10.42.205.22</t>
  </si>
  <si>
    <t>ENFERMARIA PEDIATRICA SALA MED</t>
  </si>
  <si>
    <t>U64210B0N382695</t>
  </si>
  <si>
    <t>10.42.205.86</t>
  </si>
  <si>
    <t>RECEPCAO_CENTRAL</t>
  </si>
  <si>
    <t>U64210B0N382696</t>
  </si>
  <si>
    <t>10.42.205.90</t>
  </si>
  <si>
    <t>BANCO LEITE</t>
  </si>
  <si>
    <t>U64210B0N382698</t>
  </si>
  <si>
    <t>10.42.205.15</t>
  </si>
  <si>
    <t>CCI</t>
  </si>
  <si>
    <t>U64210B0N382699</t>
  </si>
  <si>
    <t>10.42.205.16</t>
  </si>
  <si>
    <t>FATURAMENTO</t>
  </si>
  <si>
    <t>U64210B0N382700</t>
  </si>
  <si>
    <t>10.42.205.97</t>
  </si>
  <si>
    <t>PULSOTERAPIA</t>
  </si>
  <si>
    <t>U64210B0N382701</t>
  </si>
  <si>
    <t>10.42.205.79</t>
  </si>
  <si>
    <t>ENFERMARIA PEDIATRIA</t>
  </si>
  <si>
    <t>U64210B0N382703</t>
  </si>
  <si>
    <t>10.42.205.32</t>
  </si>
  <si>
    <t>UCO</t>
  </si>
  <si>
    <t>U64210B0N382704</t>
  </si>
  <si>
    <t>10.42.205.59</t>
  </si>
  <si>
    <t>HDIA</t>
  </si>
  <si>
    <t>U64210B0N382705</t>
  </si>
  <si>
    <t>10.42.205.37</t>
  </si>
  <si>
    <t>PAM_PED</t>
  </si>
  <si>
    <t>U64210B0N382706</t>
  </si>
  <si>
    <t>10.42.205.87</t>
  </si>
  <si>
    <t>CCIH</t>
  </si>
  <si>
    <t>U64210B0N382707</t>
  </si>
  <si>
    <t>10.42.205.96</t>
  </si>
  <si>
    <t>DIP</t>
  </si>
  <si>
    <t>U64210B0N382708</t>
  </si>
  <si>
    <t>10.42.205.27</t>
  </si>
  <si>
    <t>ENGENHARIA CLINICA</t>
  </si>
  <si>
    <t>U64210B0N382711</t>
  </si>
  <si>
    <t>10.42.205.95</t>
  </si>
  <si>
    <t>PAM NIR</t>
  </si>
  <si>
    <t>U64210B0N382712</t>
  </si>
  <si>
    <t>10.42.205.70</t>
  </si>
  <si>
    <t>CTI ADULTO</t>
  </si>
  <si>
    <t>U64210B0N382713</t>
  </si>
  <si>
    <t>10.42.205.25</t>
  </si>
  <si>
    <t>U64210B0N382714</t>
  </si>
  <si>
    <t>10.42.205.65</t>
  </si>
  <si>
    <t>FARMACIA</t>
  </si>
  <si>
    <t>U64210B0N382718</t>
  </si>
  <si>
    <t>10.42.205.34</t>
  </si>
  <si>
    <t>SOST</t>
  </si>
  <si>
    <t>U64210B0N382720</t>
  </si>
  <si>
    <t>10.42.205.69</t>
  </si>
  <si>
    <t>U64210B0N382733</t>
  </si>
  <si>
    <t>10.42.205.31</t>
  </si>
  <si>
    <t>HEMONUCLEO</t>
  </si>
  <si>
    <t>U64210B0N382734</t>
  </si>
  <si>
    <t>10.42.205.38</t>
  </si>
  <si>
    <t>ORTESE E PROTESE</t>
  </si>
  <si>
    <t>U64210B0N382736</t>
  </si>
  <si>
    <t>10.42.205.44</t>
  </si>
  <si>
    <t>UAF</t>
  </si>
  <si>
    <t>U64210B0N382738</t>
  </si>
  <si>
    <t>10.42.205.67</t>
  </si>
  <si>
    <t>AMB_ORTOPEDIA</t>
  </si>
  <si>
    <t>U64210B0N382740</t>
  </si>
  <si>
    <t>10.42.205.10</t>
  </si>
  <si>
    <t>CCII</t>
  </si>
  <si>
    <t>U64210B0N382743</t>
  </si>
  <si>
    <t>10.42.205.18</t>
  </si>
  <si>
    <t>LAC_RECEPCAO</t>
  </si>
  <si>
    <t>U64210B0N382744</t>
  </si>
  <si>
    <t>10.42.205.51</t>
  </si>
  <si>
    <t>JURIDICO</t>
  </si>
  <si>
    <t>U64210B0N382745</t>
  </si>
  <si>
    <t>10.42.205.60</t>
  </si>
  <si>
    <t>MAT PRE PARTO</t>
  </si>
  <si>
    <t>U64210B0N382772</t>
  </si>
  <si>
    <t>10.42.205.93</t>
  </si>
  <si>
    <t>AMB_ONCOLOGIA</t>
  </si>
  <si>
    <t>U64210B0N382778</t>
  </si>
  <si>
    <t>10.42.205.92</t>
  </si>
  <si>
    <t>CME</t>
  </si>
  <si>
    <t>U64210B0N382781</t>
  </si>
  <si>
    <t>10.42.205.88</t>
  </si>
  <si>
    <t>AMB_DERMATO</t>
  </si>
  <si>
    <t>U64210B0N382783</t>
  </si>
  <si>
    <t>10.42.205.11</t>
  </si>
  <si>
    <t>RENAL</t>
  </si>
  <si>
    <t>U64210B0N382788</t>
  </si>
  <si>
    <t>10.42.205.52</t>
  </si>
  <si>
    <t>CTI PEDIATRICO</t>
  </si>
  <si>
    <t>U64210B0N382790</t>
  </si>
  <si>
    <t>10.42.205.26</t>
  </si>
  <si>
    <t>AMB_RADIOTERAPIA</t>
  </si>
  <si>
    <t>U64210B0N382796</t>
  </si>
  <si>
    <t>10.42.205.98</t>
  </si>
  <si>
    <t>RAIOX</t>
  </si>
  <si>
    <t>U64210B0N382806</t>
  </si>
  <si>
    <t>10.42.205.50</t>
  </si>
  <si>
    <t>COREME</t>
  </si>
  <si>
    <t>U64210B0N382809</t>
  </si>
  <si>
    <t>10.42.205.23</t>
  </si>
  <si>
    <t>DIVGP</t>
  </si>
  <si>
    <t>U64210B0N382811</t>
  </si>
  <si>
    <t>10.42.205.30</t>
  </si>
  <si>
    <t>AMB_ARQUIVO_MEDICO</t>
  </si>
  <si>
    <t>U64210B0N382813</t>
  </si>
  <si>
    <t>10.42.205.3</t>
  </si>
  <si>
    <t>CENTRO_CIRURGICO</t>
  </si>
  <si>
    <t>U64210B0N382815</t>
  </si>
  <si>
    <t>10.42.205.82</t>
  </si>
  <si>
    <t>AMB_PEDIATRIA</t>
  </si>
  <si>
    <t>U64210B0N382849</t>
  </si>
  <si>
    <t>10.42.205.61</t>
  </si>
  <si>
    <t>PAM RECEPCAO</t>
  </si>
  <si>
    <t>U64210B0N382871</t>
  </si>
  <si>
    <t>10.42.205.72</t>
  </si>
  <si>
    <t>SERVICO_SOCIAL</t>
  </si>
  <si>
    <t>U64210B0N382878</t>
  </si>
  <si>
    <t>10.42.205.89</t>
  </si>
  <si>
    <t>DIRECAO</t>
  </si>
  <si>
    <t>U64210C0N399922</t>
  </si>
  <si>
    <t>10.42.205.29</t>
  </si>
  <si>
    <t>AMB_REUMATOLOGIA</t>
  </si>
  <si>
    <t>U64210C0N399968</t>
  </si>
  <si>
    <t>10.42.205.13</t>
  </si>
  <si>
    <t>AMB_CLM</t>
  </si>
  <si>
    <t>U64210C0N400093</t>
  </si>
  <si>
    <t>10.42.205.5</t>
  </si>
  <si>
    <t>AMB_GINECO</t>
  </si>
  <si>
    <t>U64210C0N400097</t>
  </si>
  <si>
    <t>10.42.205.7</t>
  </si>
  <si>
    <t>AMB_CCIR</t>
  </si>
  <si>
    <t>U64210C0N400112</t>
  </si>
  <si>
    <t>10.42.205.4</t>
  </si>
  <si>
    <t>TIPO</t>
  </si>
  <si>
    <t>QTD</t>
  </si>
  <si>
    <t>MONO</t>
  </si>
  <si>
    <t>MONO EXC</t>
  </si>
  <si>
    <t>POLI</t>
  </si>
  <si>
    <t>POLI EXC</t>
  </si>
  <si>
    <t>tipo 5M</t>
  </si>
  <si>
    <t>TOTAL</t>
  </si>
  <si>
    <t>Meses</t>
  </si>
  <si>
    <t>Contratante:</t>
  </si>
  <si>
    <t>Humap</t>
  </si>
  <si>
    <t>Contratada:</t>
  </si>
  <si>
    <t>W.A.</t>
  </si>
  <si>
    <t>Mês de Referência:</t>
  </si>
  <si>
    <t>VALOR UNITÁRIO</t>
  </si>
  <si>
    <t>SERVIÇO MENSAL CONTRATADO</t>
  </si>
  <si>
    <t>VALOR CONTRATADO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</si>
  <si>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</si>
  <si>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</si>
  <si>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</si>
  <si>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</si>
  <si>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</si>
  <si>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</si>
  <si>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</si>
  <si>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</si>
  <si>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</si>
  <si>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</si>
  <si>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Valor Total Mono</t>
  </si>
  <si>
    <t>Valor Total Color</t>
  </si>
  <si>
    <t>GLOSAS E DESCONTOS</t>
  </si>
  <si>
    <t>ACRESCIMOS</t>
  </si>
  <si>
    <t>VALOR A PAGAR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</si>
  <si>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</si>
  <si>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</si>
  <si>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</si>
  <si>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</si>
  <si>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</si>
  <si>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</si>
  <si>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</si>
  <si>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</si>
  <si>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</si>
  <si>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Franquia Mensal MONO</t>
  </si>
  <si>
    <t>Produzido mono</t>
  </si>
  <si>
    <t>Valor Franquia</t>
  </si>
  <si>
    <t>Valor Excedente</t>
  </si>
  <si>
    <t>Valor mensal</t>
  </si>
  <si>
    <t>4 - Preencha a coluna de quantidade de páginas produzidas em cada mês (Coluna C)</t>
  </si>
  <si>
    <t>5 - O valor a ser pago mensalmente estará na coluna "Valor Mensal"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</si>
  <si>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</si>
  <si>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Redução</t>
  </si>
  <si>
    <t>Novo Valor Pago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</si>
  <si>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</si>
  <si>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</si>
  <si>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</si>
  <si>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</si>
  <si>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</si>
  <si>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</si>
  <si>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</si>
  <si>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</si>
  <si>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</si>
  <si>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</si>
  <si>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</si>
  <si>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</si>
  <si>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</si>
  <si>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</si>
  <si>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</si>
  <si>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</si>
  <si>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</si>
  <si>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</si>
  <si>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</si>
  <si>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</si>
  <si>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Franquia Mensal poli</t>
  </si>
  <si>
    <t>Produzido poli</t>
  </si>
  <si>
    <t>Mês 19</t>
  </si>
  <si>
    <t>Mês 20</t>
  </si>
  <si>
    <t>Mês 21</t>
  </si>
  <si>
    <t>Mês 22</t>
  </si>
  <si>
    <t>Mês 23</t>
  </si>
  <si>
    <t>Mês 24</t>
  </si>
  <si>
    <t>NUTRICAO_REFEITORIO</t>
  </si>
  <si>
    <t>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</si>
</sst>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3" fontId="6" fillId="0" borderId="0" xfId="3" applyNumberFormat="1" applyFont="1" applyAlignment="1">
      <alignment horizontal="center"/>
    </xf>
    <xf numFmtId="14" fontId="7" fillId="0" borderId="11" xfId="3" applyNumberFormat="1" applyFont="1" applyBorder="1" applyAlignment="1">
      <alignment horizontal="center" vertical="center" shrinkToFit="1"/>
    </xf>
    <xf numFmtId="3" fontId="3" fillId="0" borderId="11" xfId="3" applyNumberFormat="1" applyBorder="1" applyAlignment="1">
      <alignment horizontal="center"/>
    </xf>
    <xf numFmtId="164" fontId="4" fillId="4" borderId="11" xfId="1" applyFont="1" applyFill="1" applyBorder="1" applyAlignment="1">
      <alignment horizontal="center" vertical="center" wrapText="1"/>
    </xf>
    <xf numFmtId="164" fontId="4" fillId="5" borderId="18" xfId="1" applyFont="1" applyFill="1" applyBorder="1" applyAlignment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>
      <alignment horizontal="center" vertical="center" wrapText="1"/>
    </xf>
    <xf numFmtId="164" fontId="2" fillId="6" borderId="14" xfId="1" applyFont="1" applyFill="1" applyBorder="1" applyAlignment="1">
      <alignment horizontal="center" vertical="center" wrapText="1"/>
    </xf>
    <xf numFmtId="164" fontId="2" fillId="6" borderId="9" xfId="1" applyFont="1" applyFill="1" applyBorder="1" applyAlignment="1">
      <alignment horizontal="center" vertical="center" wrapText="1"/>
    </xf>
    <xf numFmtId="164" fontId="2" fillId="6" borderId="17" xfId="1" applyFont="1" applyFill="1" applyBorder="1" applyAlignment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Alignment="1">
      <alignment horizontal="center" vertical="center"/>
    </xf>
    <xf numFmtId="164" fontId="4" fillId="4" borderId="27" xfId="1" applyFont="1" applyFill="1" applyBorder="1" applyAlignment="1">
      <alignment horizontal="center" vertical="center"/>
    </xf>
    <xf numFmtId="164" fontId="4" fillId="4" borderId="28" xfId="1" applyFont="1" applyFill="1" applyBorder="1" applyAlignment="1">
      <alignment horizontal="center" vertical="center"/>
    </xf>
    <xf numFmtId="164" fontId="4" fillId="4" borderId="29" xfId="1" applyFont="1" applyFill="1" applyBorder="1" applyAlignment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/>
    </xf>
    <xf numFmtId="164" fontId="4" fillId="4" borderId="30" xfId="1" applyFont="1" applyFill="1" applyBorder="1" applyAlignment="1">
      <alignment horizontal="center" vertical="center" wrapText="1"/>
    </xf>
    <xf numFmtId="0" fontId="0" fillId="2" borderId="11" xfId="0" applyFill="1" applyBorder="1"/>
    <xf numFmtId="3" fontId="6" fillId="3" borderId="11" xfId="3" applyNumberFormat="1" applyFont="1" applyFill="1" applyBorder="1" applyAlignment="1">
      <alignment horizontal="center"/>
    </xf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0" xfId="0" applyNumberFormat="1" applyFont="1" applyAlignment="1">
      <alignment horizontal="center"/>
    </xf>
    <xf numFmtId="44" fontId="0" fillId="0" borderId="0" xfId="9" applyFont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>
      <alignment horizontal="center" wrapText="1"/>
    </xf>
    <xf numFmtId="164" fontId="4" fillId="5" borderId="6" xfId="1" applyFont="1" applyFill="1" applyBorder="1" applyAlignment="1">
      <alignment horizontal="center" wrapText="1"/>
    </xf>
    <xf numFmtId="164" fontId="2" fillId="6" borderId="5" xfId="1" applyFont="1" applyFill="1" applyBorder="1" applyAlignment="1">
      <alignment horizontal="center" vertical="center" wrapText="1"/>
    </xf>
    <xf numFmtId="164" fontId="2" fillId="6" borderId="6" xfId="1" applyFont="1" applyFill="1" applyBorder="1" applyAlignment="1">
      <alignment horizontal="center" vertical="center" wrapText="1"/>
    </xf>
    <xf numFmtId="164" fontId="4" fillId="5" borderId="7" xfId="1" applyFont="1" applyFill="1" applyBorder="1" applyAlignment="1">
      <alignment horizontal="center" wrapText="1"/>
    </xf>
    <xf numFmtId="164" fontId="4" fillId="5" borderId="8" xfId="1" applyFont="1" applyFill="1" applyBorder="1" applyAlignment="1">
      <alignment horizontal="center" wrapText="1"/>
    </xf>
    <xf numFmtId="164" fontId="2" fillId="6" borderId="2" xfId="1" applyFont="1" applyFill="1" applyBorder="1" applyAlignment="1">
      <alignment horizontal="center" vertical="center" wrapText="1"/>
    </xf>
    <xf numFmtId="164" fontId="2" fillId="6" borderId="3" xfId="1" applyFont="1" applyFill="1" applyBorder="1" applyAlignment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/>
    <cellStyle name="Moeda 3" xfId="2"/>
    <cellStyle name="Moeda 3 2 2" xfId="8"/>
    <cellStyle name="Normal" xfId="0" builtinId="0"/>
    <cellStyle name="Normal 15 14" xfId="4"/>
    <cellStyle name="Normal 2" xfId="1"/>
    <cellStyle name="Normal 3 13" xfId="3"/>
    <cellStyle name="Normal 3 3 11" xfId="6"/>
    <cellStyle name="Vírgula 2 2" xfId="5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opLeftCell="A4" zoomScaleNormal="100" workbookViewId="0">
      <selection activeCell="A8" sqref="A8"/>
    </sheetView>
  </sheetViews>
  <sheetFormatPr defaultRowHeight="15" x14ac:dyDescent="0.25"/>
  <cols>
    <col min="1" max="1" width="33.42578125" bestFit="1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0" width="16.140625" customWidth="1"/>
    <col min="11" max="11" width="20.140625" bestFit="1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0</v>
      </c>
      <c r="B1" s="4" t="s">
        <v>1</v>
      </c>
      <c r="C1" s="82" t="s">
        <v>2</v>
      </c>
      <c r="D1" s="82" t="s">
        <v>3</v>
      </c>
      <c r="E1" s="83" t="s">
        <v>4</v>
      </c>
      <c r="F1" s="83" t="s">
        <v>5</v>
      </c>
      <c r="G1" s="83" t="s">
        <v>6</v>
      </c>
      <c r="H1" s="82" t="s">
        <v>7</v>
      </c>
      <c r="I1" s="82" t="s">
        <v>8</v>
      </c>
      <c r="J1" s="84" t="s">
        <v>9</v>
      </c>
      <c r="K1" s="19" t="s">
        <v>10</v>
      </c>
      <c r="L1" s="19" t="s">
        <v>11</v>
      </c>
      <c r="M1" s="25" t="s">
        <v>12</v>
      </c>
      <c r="N1" s="26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35" t="s">
        <v>17</v>
      </c>
      <c r="B2" s="71">
        <v>1</v>
      </c>
      <c r="C2" s="2">
        <v>44046</v>
      </c>
      <c r="D2" s="85" t="s">
        <v>18</v>
      </c>
      <c r="E2" s="35" t="s">
        <v>19</v>
      </c>
      <c r="F2" s="35" t="s">
        <v>20</v>
      </c>
      <c r="G2" s="35" t="s">
        <v>21</v>
      </c>
      <c r="H2" s="35">
        <v>122003</v>
      </c>
      <c r="I2" s="35">
        <v>125118</v>
      </c>
      <c r="J2" s="86">
        <v>0</v>
      </c>
      <c r="K2" s="86">
        <f t="shared" ref="K2:K33" si="0">J2</f>
        <v>0</v>
      </c>
      <c r="L2" s="3"/>
      <c r="M2" s="3">
        <f>I2-H2</f>
        <v>3115</v>
      </c>
      <c r="N2" s="3"/>
      <c r="O2" s="87"/>
      <c r="P2" s="35">
        <v>9</v>
      </c>
      <c r="Q2" s="35">
        <v>2020</v>
      </c>
    </row>
    <row r="3" spans="1:17" x14ac:dyDescent="0.25">
      <c r="A3" s="35" t="s">
        <v>22</v>
      </c>
      <c r="B3" s="71">
        <v>59</v>
      </c>
      <c r="C3" s="2">
        <v>44137</v>
      </c>
      <c r="D3" s="85" t="s">
        <v>23</v>
      </c>
      <c r="E3" s="35" t="s">
        <v>24</v>
      </c>
      <c r="F3" s="35" t="s">
        <v>25</v>
      </c>
      <c r="G3" s="35" t="s">
        <v>26</v>
      </c>
      <c r="H3" s="35">
        <v>7806</v>
      </c>
      <c r="I3" s="35">
        <v>9381</v>
      </c>
      <c r="J3" s="86">
        <f t="shared" ref="J3:J34" si="1">I3-H3</f>
        <v>1575</v>
      </c>
      <c r="K3" s="86">
        <f t="shared" si="0"/>
        <v>1575</v>
      </c>
      <c r="L3" s="35"/>
      <c r="M3" s="3"/>
      <c r="N3" s="35"/>
      <c r="O3" s="35"/>
      <c r="P3" s="35">
        <v>9</v>
      </c>
      <c r="Q3" s="35">
        <v>2020</v>
      </c>
    </row>
    <row r="4" spans="1:17" x14ac:dyDescent="0.25">
      <c r="A4" s="35" t="s">
        <v>27</v>
      </c>
      <c r="B4" s="71">
        <v>65</v>
      </c>
      <c r="C4" s="2">
        <v>44218</v>
      </c>
      <c r="D4" s="85" t="s">
        <v>23</v>
      </c>
      <c r="E4" s="35" t="s">
        <v>24</v>
      </c>
      <c r="F4" s="35" t="s">
        <v>28</v>
      </c>
      <c r="G4" s="35" t="s">
        <v>29</v>
      </c>
      <c r="H4" s="35">
        <v>50338</v>
      </c>
      <c r="I4" s="35">
        <v>54486</v>
      </c>
      <c r="J4" s="86">
        <f t="shared" si="1"/>
        <v>4148</v>
      </c>
      <c r="K4" s="86">
        <f t="shared" si="0"/>
        <v>4148</v>
      </c>
      <c r="L4" s="35"/>
      <c r="M4" s="35"/>
      <c r="N4" s="35"/>
      <c r="O4" s="35"/>
      <c r="P4" s="35"/>
      <c r="Q4" s="35"/>
    </row>
    <row r="5" spans="1:17" x14ac:dyDescent="0.25">
      <c r="A5" s="35" t="s">
        <v>30</v>
      </c>
      <c r="B5" s="71">
        <v>60</v>
      </c>
      <c r="C5" s="2">
        <v>44137</v>
      </c>
      <c r="D5" s="85" t="s">
        <v>23</v>
      </c>
      <c r="E5" s="35" t="s">
        <v>24</v>
      </c>
      <c r="F5" s="35" t="s">
        <v>31</v>
      </c>
      <c r="G5" s="35" t="s">
        <v>32</v>
      </c>
      <c r="H5" s="35">
        <v>57979</v>
      </c>
      <c r="I5" s="35">
        <v>63315</v>
      </c>
      <c r="J5" s="86">
        <f t="shared" si="1"/>
        <v>5336</v>
      </c>
      <c r="K5" s="86">
        <f t="shared" si="0"/>
        <v>5336</v>
      </c>
      <c r="L5" s="35"/>
      <c r="M5" s="3"/>
      <c r="N5" s="35"/>
      <c r="O5" s="35"/>
      <c r="P5" s="35">
        <v>9</v>
      </c>
      <c r="Q5" s="35">
        <v>2020</v>
      </c>
    </row>
    <row r="6" spans="1:17" x14ac:dyDescent="0.25">
      <c r="A6" s="35" t="s">
        <v>33</v>
      </c>
      <c r="B6" s="71">
        <v>61</v>
      </c>
      <c r="C6" s="2">
        <v>44137</v>
      </c>
      <c r="D6" s="85" t="s">
        <v>23</v>
      </c>
      <c r="E6" s="35" t="s">
        <v>24</v>
      </c>
      <c r="F6" s="35" t="s">
        <v>34</v>
      </c>
      <c r="G6" s="35" t="s">
        <v>35</v>
      </c>
      <c r="H6" s="35">
        <v>11256</v>
      </c>
      <c r="I6" s="35">
        <v>12718</v>
      </c>
      <c r="J6" s="86">
        <f t="shared" si="1"/>
        <v>1462</v>
      </c>
      <c r="K6" s="86">
        <f t="shared" si="0"/>
        <v>1462</v>
      </c>
      <c r="L6" s="35"/>
      <c r="M6" s="3"/>
      <c r="N6" s="35"/>
      <c r="O6" s="35"/>
      <c r="P6" s="35">
        <v>9</v>
      </c>
      <c r="Q6" s="35">
        <v>2020</v>
      </c>
    </row>
    <row r="7" spans="1:17" x14ac:dyDescent="0.25">
      <c r="A7" s="35" t="s">
        <v>36</v>
      </c>
      <c r="B7" s="71">
        <v>62</v>
      </c>
      <c r="C7" s="2">
        <v>44137</v>
      </c>
      <c r="D7" s="85" t="s">
        <v>23</v>
      </c>
      <c r="E7" s="35" t="s">
        <v>24</v>
      </c>
      <c r="F7" s="35" t="s">
        <v>37</v>
      </c>
      <c r="G7" s="35" t="s">
        <v>38</v>
      </c>
      <c r="H7" s="35">
        <v>53755</v>
      </c>
      <c r="I7" s="35">
        <v>58327</v>
      </c>
      <c r="J7" s="86">
        <f t="shared" si="1"/>
        <v>4572</v>
      </c>
      <c r="K7" s="86">
        <f t="shared" si="0"/>
        <v>4572</v>
      </c>
      <c r="L7" s="35"/>
      <c r="M7" s="3"/>
      <c r="N7" s="35"/>
      <c r="O7" s="35"/>
      <c r="P7" s="35">
        <v>9</v>
      </c>
      <c r="Q7" s="35">
        <v>2020</v>
      </c>
    </row>
    <row r="8" spans="1:17" x14ac:dyDescent="0.25">
      <c r="A8" s="35" t="s">
        <v>39</v>
      </c>
      <c r="B8" s="71">
        <v>45</v>
      </c>
      <c r="C8" s="2">
        <v>44042</v>
      </c>
      <c r="D8" s="85" t="s">
        <v>40</v>
      </c>
      <c r="E8" s="35" t="s">
        <v>24</v>
      </c>
      <c r="F8" s="35" t="s">
        <v>41</v>
      </c>
      <c r="G8" s="35" t="s">
        <v>42</v>
      </c>
      <c r="H8" s="35">
        <v>15186</v>
      </c>
      <c r="I8" s="35">
        <v>15189</v>
      </c>
      <c r="J8" s="86">
        <f t="shared" si="1"/>
        <v>3</v>
      </c>
      <c r="K8" s="86">
        <f t="shared" si="0"/>
        <v>3</v>
      </c>
      <c r="L8" s="35"/>
      <c r="M8" s="94"/>
      <c r="N8" s="35"/>
      <c r="O8" s="35"/>
      <c r="P8" s="35">
        <v>9</v>
      </c>
      <c r="Q8" s="35">
        <v>2020</v>
      </c>
    </row>
    <row r="9" spans="1:17" x14ac:dyDescent="0.25">
      <c r="A9" s="35" t="s">
        <v>43</v>
      </c>
      <c r="B9" s="71">
        <v>46</v>
      </c>
      <c r="C9" s="2">
        <v>44040</v>
      </c>
      <c r="D9" s="85" t="s">
        <v>40</v>
      </c>
      <c r="E9" s="35" t="s">
        <v>24</v>
      </c>
      <c r="F9" s="35" t="s">
        <v>44</v>
      </c>
      <c r="G9" s="35" t="s">
        <v>45</v>
      </c>
      <c r="H9" s="35">
        <v>343289</v>
      </c>
      <c r="I9" s="35">
        <v>367853</v>
      </c>
      <c r="J9" s="86">
        <f t="shared" si="1"/>
        <v>24564</v>
      </c>
      <c r="K9" s="86">
        <f t="shared" si="0"/>
        <v>24564</v>
      </c>
      <c r="L9" s="35"/>
      <c r="M9" s="35"/>
      <c r="N9" s="35"/>
      <c r="O9" s="35"/>
      <c r="P9" s="35">
        <v>9</v>
      </c>
      <c r="Q9" s="35">
        <v>2020</v>
      </c>
    </row>
    <row r="10" spans="1:17" x14ac:dyDescent="0.25">
      <c r="A10" s="35" t="s">
        <v>46</v>
      </c>
      <c r="B10" s="71">
        <v>43</v>
      </c>
      <c r="C10" s="2">
        <v>44041</v>
      </c>
      <c r="D10" s="85" t="s">
        <v>23</v>
      </c>
      <c r="E10" s="35" t="s">
        <v>24</v>
      </c>
      <c r="F10" s="35" t="s">
        <v>47</v>
      </c>
      <c r="G10" s="35" t="s">
        <v>48</v>
      </c>
      <c r="H10" s="35">
        <v>20129</v>
      </c>
      <c r="I10" s="35">
        <v>20418</v>
      </c>
      <c r="J10" s="86">
        <f t="shared" si="1"/>
        <v>289</v>
      </c>
      <c r="K10" s="86">
        <f t="shared" si="0"/>
        <v>289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49</v>
      </c>
      <c r="B11" s="71">
        <v>12</v>
      </c>
      <c r="C11" s="2">
        <v>44043</v>
      </c>
      <c r="D11" s="85" t="s">
        <v>50</v>
      </c>
      <c r="E11" s="35" t="s">
        <v>51</v>
      </c>
      <c r="F11" s="35" t="s">
        <v>52</v>
      </c>
      <c r="G11" s="35" t="s">
        <v>53</v>
      </c>
      <c r="H11" s="35">
        <v>72655</v>
      </c>
      <c r="I11" s="35">
        <v>76406</v>
      </c>
      <c r="J11" s="86">
        <f t="shared" si="1"/>
        <v>3751</v>
      </c>
      <c r="K11" s="86">
        <f t="shared" si="0"/>
        <v>3751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54</v>
      </c>
      <c r="B12" s="71">
        <v>64</v>
      </c>
      <c r="C12" s="2">
        <v>44137</v>
      </c>
      <c r="D12" s="85" t="s">
        <v>50</v>
      </c>
      <c r="E12" s="35" t="s">
        <v>51</v>
      </c>
      <c r="F12" s="35" t="s">
        <v>55</v>
      </c>
      <c r="G12" s="35" t="s">
        <v>56</v>
      </c>
      <c r="H12" s="35">
        <v>37595</v>
      </c>
      <c r="I12" s="35">
        <v>38369</v>
      </c>
      <c r="J12" s="86">
        <f t="shared" si="1"/>
        <v>774</v>
      </c>
      <c r="K12" s="86">
        <f t="shared" si="0"/>
        <v>774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155</v>
      </c>
      <c r="B13" s="71">
        <v>54</v>
      </c>
      <c r="C13" s="2">
        <v>44074</v>
      </c>
      <c r="D13" s="85" t="s">
        <v>50</v>
      </c>
      <c r="E13" s="35" t="s">
        <v>51</v>
      </c>
      <c r="F13" s="35" t="s">
        <v>58</v>
      </c>
      <c r="G13" s="35" t="s">
        <v>157</v>
      </c>
      <c r="H13" s="35">
        <v>329769</v>
      </c>
      <c r="I13" s="35">
        <v>339615</v>
      </c>
      <c r="J13" s="86">
        <f t="shared" si="1"/>
        <v>9846</v>
      </c>
      <c r="K13" s="86">
        <f t="shared" si="0"/>
        <v>9846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60</v>
      </c>
      <c r="B14" s="71">
        <v>35</v>
      </c>
      <c r="C14" s="2">
        <v>44046</v>
      </c>
      <c r="D14" s="85" t="s">
        <v>50</v>
      </c>
      <c r="E14" s="35" t="s">
        <v>51</v>
      </c>
      <c r="F14" s="35" t="s">
        <v>61</v>
      </c>
      <c r="G14" s="35" t="s">
        <v>62</v>
      </c>
      <c r="H14" s="35">
        <v>5662</v>
      </c>
      <c r="I14" s="35">
        <v>5867</v>
      </c>
      <c r="J14" s="86">
        <f t="shared" si="1"/>
        <v>205</v>
      </c>
      <c r="K14" s="86">
        <f t="shared" si="0"/>
        <v>205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63</v>
      </c>
      <c r="B15" s="71">
        <v>44</v>
      </c>
      <c r="C15" s="2">
        <v>44043</v>
      </c>
      <c r="D15" s="85" t="s">
        <v>50</v>
      </c>
      <c r="E15" s="35" t="s">
        <v>51</v>
      </c>
      <c r="F15" s="35" t="s">
        <v>64</v>
      </c>
      <c r="G15" s="35" t="s">
        <v>65</v>
      </c>
      <c r="H15" s="35">
        <v>50353</v>
      </c>
      <c r="I15" s="35">
        <v>52997</v>
      </c>
      <c r="J15" s="86">
        <f t="shared" si="1"/>
        <v>2644</v>
      </c>
      <c r="K15" s="86">
        <f t="shared" si="0"/>
        <v>2644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66</v>
      </c>
      <c r="B16" s="71">
        <v>31</v>
      </c>
      <c r="C16" s="2">
        <v>44043</v>
      </c>
      <c r="D16" s="85" t="s">
        <v>50</v>
      </c>
      <c r="E16" s="35" t="s">
        <v>51</v>
      </c>
      <c r="F16" s="35" t="s">
        <v>67</v>
      </c>
      <c r="G16" s="35" t="s">
        <v>68</v>
      </c>
      <c r="H16" s="35">
        <v>42721</v>
      </c>
      <c r="I16" s="35">
        <v>44574</v>
      </c>
      <c r="J16" s="86">
        <f t="shared" si="1"/>
        <v>1853</v>
      </c>
      <c r="K16" s="86">
        <f t="shared" si="0"/>
        <v>1853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69</v>
      </c>
      <c r="B17" s="71">
        <v>55</v>
      </c>
      <c r="C17" s="2">
        <v>44046</v>
      </c>
      <c r="D17" s="85" t="s">
        <v>50</v>
      </c>
      <c r="E17" s="35" t="s">
        <v>51</v>
      </c>
      <c r="F17" s="35" t="s">
        <v>70</v>
      </c>
      <c r="G17" s="35" t="s">
        <v>71</v>
      </c>
      <c r="H17" s="35">
        <v>96460</v>
      </c>
      <c r="I17" s="35">
        <v>106420</v>
      </c>
      <c r="J17" s="86">
        <f t="shared" si="1"/>
        <v>9960</v>
      </c>
      <c r="K17" s="86">
        <f t="shared" si="0"/>
        <v>9960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72</v>
      </c>
      <c r="B18" s="71">
        <v>9</v>
      </c>
      <c r="C18" s="2">
        <v>44041</v>
      </c>
      <c r="D18" s="85" t="s">
        <v>50</v>
      </c>
      <c r="E18" s="35" t="s">
        <v>51</v>
      </c>
      <c r="F18" s="35" t="s">
        <v>73</v>
      </c>
      <c r="G18" s="35" t="s">
        <v>74</v>
      </c>
      <c r="H18" s="35">
        <v>49033</v>
      </c>
      <c r="I18" s="35">
        <v>49325</v>
      </c>
      <c r="J18" s="86">
        <f t="shared" si="1"/>
        <v>292</v>
      </c>
      <c r="K18" s="86">
        <f t="shared" si="0"/>
        <v>292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75</v>
      </c>
      <c r="B19" s="71">
        <v>13</v>
      </c>
      <c r="C19" s="2">
        <v>44041</v>
      </c>
      <c r="D19" s="85" t="s">
        <v>50</v>
      </c>
      <c r="E19" s="35" t="s">
        <v>51</v>
      </c>
      <c r="F19" s="35" t="s">
        <v>76</v>
      </c>
      <c r="G19" s="35" t="s">
        <v>77</v>
      </c>
      <c r="H19" s="35">
        <v>53775</v>
      </c>
      <c r="I19" s="35">
        <v>58040</v>
      </c>
      <c r="J19" s="86">
        <f t="shared" si="1"/>
        <v>4265</v>
      </c>
      <c r="K19" s="86">
        <f t="shared" si="0"/>
        <v>4265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78</v>
      </c>
      <c r="B20" s="71">
        <v>11</v>
      </c>
      <c r="C20" s="2">
        <v>44040</v>
      </c>
      <c r="D20" s="85" t="s">
        <v>79</v>
      </c>
      <c r="E20" s="35" t="s">
        <v>51</v>
      </c>
      <c r="F20" s="35" t="s">
        <v>80</v>
      </c>
      <c r="G20" s="35" t="s">
        <v>81</v>
      </c>
      <c r="H20" s="35">
        <v>120859</v>
      </c>
      <c r="I20" s="35">
        <v>136326</v>
      </c>
      <c r="J20" s="86">
        <f t="shared" si="1"/>
        <v>15467</v>
      </c>
      <c r="K20" s="86">
        <f t="shared" si="0"/>
        <v>15467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82</v>
      </c>
      <c r="B21" s="71">
        <v>25</v>
      </c>
      <c r="C21" s="2">
        <v>44041</v>
      </c>
      <c r="D21" s="85" t="s">
        <v>50</v>
      </c>
      <c r="E21" s="35" t="s">
        <v>51</v>
      </c>
      <c r="F21" s="35" t="s">
        <v>83</v>
      </c>
      <c r="G21" s="35" t="s">
        <v>84</v>
      </c>
      <c r="H21" s="35">
        <v>21934</v>
      </c>
      <c r="I21" s="35">
        <v>23281</v>
      </c>
      <c r="J21" s="86">
        <f t="shared" si="1"/>
        <v>1347</v>
      </c>
      <c r="K21" s="86">
        <f t="shared" si="0"/>
        <v>1347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85</v>
      </c>
      <c r="B22" s="71">
        <v>38</v>
      </c>
      <c r="C22" s="2">
        <v>44040</v>
      </c>
      <c r="D22" s="85" t="s">
        <v>79</v>
      </c>
      <c r="E22" s="35" t="s">
        <v>51</v>
      </c>
      <c r="F22" s="35" t="s">
        <v>86</v>
      </c>
      <c r="G22" s="35" t="s">
        <v>87</v>
      </c>
      <c r="H22" s="35">
        <v>300730</v>
      </c>
      <c r="I22" s="35">
        <v>317627</v>
      </c>
      <c r="J22" s="86">
        <f t="shared" si="1"/>
        <v>16897</v>
      </c>
      <c r="K22" s="86">
        <f t="shared" si="0"/>
        <v>16897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88</v>
      </c>
      <c r="B23" s="71">
        <v>8</v>
      </c>
      <c r="C23" s="2">
        <v>44041</v>
      </c>
      <c r="D23" s="85" t="s">
        <v>79</v>
      </c>
      <c r="E23" s="35" t="s">
        <v>51</v>
      </c>
      <c r="F23" s="35" t="s">
        <v>89</v>
      </c>
      <c r="G23" s="35" t="s">
        <v>90</v>
      </c>
      <c r="H23" s="35">
        <v>247252</v>
      </c>
      <c r="I23" s="35">
        <v>260220</v>
      </c>
      <c r="J23" s="86">
        <f t="shared" si="1"/>
        <v>12968</v>
      </c>
      <c r="K23" s="86">
        <f t="shared" si="0"/>
        <v>12968</v>
      </c>
      <c r="L23" s="35"/>
      <c r="M23" s="35"/>
      <c r="N23" s="35"/>
      <c r="O23" s="35"/>
      <c r="P23" s="35">
        <v>9</v>
      </c>
      <c r="Q23" s="35">
        <v>2020</v>
      </c>
    </row>
    <row r="24" spans="1:17" x14ac:dyDescent="0.25">
      <c r="A24" s="35" t="s">
        <v>91</v>
      </c>
      <c r="B24" s="71">
        <v>53</v>
      </c>
      <c r="C24" s="2">
        <v>44074</v>
      </c>
      <c r="D24" s="85" t="s">
        <v>50</v>
      </c>
      <c r="E24" s="35" t="s">
        <v>51</v>
      </c>
      <c r="F24" s="35" t="s">
        <v>92</v>
      </c>
      <c r="G24" s="35" t="s">
        <v>93</v>
      </c>
      <c r="H24" s="35">
        <v>89664</v>
      </c>
      <c r="I24" s="35">
        <v>93810</v>
      </c>
      <c r="J24" s="86">
        <f t="shared" si="1"/>
        <v>4146</v>
      </c>
      <c r="K24" s="86">
        <f t="shared" si="0"/>
        <v>4146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94</v>
      </c>
      <c r="B25" s="71">
        <v>49</v>
      </c>
      <c r="C25" s="2">
        <v>44042</v>
      </c>
      <c r="D25" s="85" t="s">
        <v>50</v>
      </c>
      <c r="E25" s="35" t="s">
        <v>51</v>
      </c>
      <c r="F25" s="35" t="s">
        <v>95</v>
      </c>
      <c r="G25" s="35" t="s">
        <v>96</v>
      </c>
      <c r="H25" s="35">
        <v>24005</v>
      </c>
      <c r="I25" s="35">
        <v>27336</v>
      </c>
      <c r="J25" s="86">
        <f t="shared" si="1"/>
        <v>3331</v>
      </c>
      <c r="K25" s="86">
        <f t="shared" si="0"/>
        <v>3331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97</v>
      </c>
      <c r="B26" s="71">
        <v>40</v>
      </c>
      <c r="C26" s="2">
        <v>44040</v>
      </c>
      <c r="D26" s="85" t="s">
        <v>50</v>
      </c>
      <c r="E26" s="35" t="s">
        <v>51</v>
      </c>
      <c r="F26" s="35" t="s">
        <v>98</v>
      </c>
      <c r="G26" s="35" t="s">
        <v>99</v>
      </c>
      <c r="H26" s="35">
        <v>36992</v>
      </c>
      <c r="I26" s="35">
        <v>39360</v>
      </c>
      <c r="J26" s="86">
        <f t="shared" si="1"/>
        <v>2368</v>
      </c>
      <c r="K26" s="86">
        <f t="shared" si="0"/>
        <v>2368</v>
      </c>
      <c r="L26" s="35"/>
      <c r="M26" s="35"/>
      <c r="N26" s="35"/>
      <c r="O26" s="35"/>
      <c r="P26" s="35">
        <v>9</v>
      </c>
      <c r="Q26" s="35">
        <v>2020</v>
      </c>
    </row>
    <row r="27" spans="1:17" x14ac:dyDescent="0.25">
      <c r="A27" s="35" t="s">
        <v>100</v>
      </c>
      <c r="B27" s="71">
        <v>6</v>
      </c>
      <c r="C27" s="2">
        <v>44042</v>
      </c>
      <c r="D27" s="85" t="s">
        <v>50</v>
      </c>
      <c r="E27" s="35" t="s">
        <v>51</v>
      </c>
      <c r="F27" s="35" t="s">
        <v>101</v>
      </c>
      <c r="G27" s="35" t="s">
        <v>102</v>
      </c>
      <c r="H27" s="35">
        <v>99516</v>
      </c>
      <c r="I27" s="35">
        <v>102842</v>
      </c>
      <c r="J27" s="86">
        <f t="shared" si="1"/>
        <v>3326</v>
      </c>
      <c r="K27" s="86">
        <f t="shared" si="0"/>
        <v>3326</v>
      </c>
      <c r="L27" s="89"/>
      <c r="M27" s="89"/>
      <c r="N27" s="89"/>
      <c r="O27" s="35"/>
      <c r="P27" s="35">
        <v>9</v>
      </c>
      <c r="Q27" s="35">
        <v>2020</v>
      </c>
    </row>
    <row r="28" spans="1:17" x14ac:dyDescent="0.25">
      <c r="A28" s="35" t="s">
        <v>103</v>
      </c>
      <c r="B28" s="71">
        <v>56</v>
      </c>
      <c r="C28" s="2">
        <v>44075</v>
      </c>
      <c r="D28" s="85" t="s">
        <v>50</v>
      </c>
      <c r="E28" s="35" t="s">
        <v>51</v>
      </c>
      <c r="F28" s="35" t="s">
        <v>104</v>
      </c>
      <c r="G28" s="35" t="s">
        <v>105</v>
      </c>
      <c r="H28" s="35">
        <v>63549</v>
      </c>
      <c r="I28" s="35">
        <v>67348</v>
      </c>
      <c r="J28" s="86">
        <f t="shared" si="1"/>
        <v>3799</v>
      </c>
      <c r="K28" s="86">
        <f t="shared" si="0"/>
        <v>3799</v>
      </c>
      <c r="L28" s="35"/>
      <c r="M28" s="35"/>
      <c r="N28" s="35"/>
      <c r="O28" s="35"/>
      <c r="P28" s="35">
        <v>9</v>
      </c>
      <c r="Q28" s="35">
        <v>2020</v>
      </c>
    </row>
    <row r="29" spans="1:17" x14ac:dyDescent="0.25">
      <c r="A29" s="35" t="s">
        <v>106</v>
      </c>
      <c r="B29" s="71">
        <v>23</v>
      </c>
      <c r="C29" s="2">
        <v>44041</v>
      </c>
      <c r="D29" s="85" t="s">
        <v>50</v>
      </c>
      <c r="E29" s="35" t="s">
        <v>51</v>
      </c>
      <c r="F29" s="35" t="s">
        <v>107</v>
      </c>
      <c r="G29" s="35" t="s">
        <v>108</v>
      </c>
      <c r="H29" s="35">
        <v>55081</v>
      </c>
      <c r="I29" s="35">
        <v>58533</v>
      </c>
      <c r="J29" s="86">
        <f t="shared" si="1"/>
        <v>3452</v>
      </c>
      <c r="K29" s="86">
        <f t="shared" si="0"/>
        <v>3452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109</v>
      </c>
      <c r="B30" s="71">
        <v>4</v>
      </c>
      <c r="C30" s="2">
        <v>44040</v>
      </c>
      <c r="D30" s="85" t="s">
        <v>50</v>
      </c>
      <c r="E30" s="35" t="s">
        <v>51</v>
      </c>
      <c r="F30" s="35" t="s">
        <v>110</v>
      </c>
      <c r="G30" s="35" t="s">
        <v>111</v>
      </c>
      <c r="H30" s="35">
        <v>127386</v>
      </c>
      <c r="I30" s="35">
        <v>135973</v>
      </c>
      <c r="J30" s="86">
        <f t="shared" si="1"/>
        <v>8587</v>
      </c>
      <c r="K30" s="86">
        <f t="shared" si="0"/>
        <v>8587</v>
      </c>
      <c r="L30" s="3"/>
      <c r="M30" s="3"/>
      <c r="N30" s="3"/>
      <c r="O30" s="87"/>
      <c r="P30" s="35">
        <v>9</v>
      </c>
      <c r="Q30" s="35">
        <v>2020</v>
      </c>
    </row>
    <row r="31" spans="1:17" x14ac:dyDescent="0.25">
      <c r="A31" s="35" t="s">
        <v>112</v>
      </c>
      <c r="B31" s="71">
        <v>29</v>
      </c>
      <c r="C31" s="2">
        <v>44040</v>
      </c>
      <c r="D31" s="85" t="s">
        <v>79</v>
      </c>
      <c r="E31" s="35" t="s">
        <v>51</v>
      </c>
      <c r="F31" s="35" t="s">
        <v>113</v>
      </c>
      <c r="G31" s="35" t="s">
        <v>114</v>
      </c>
      <c r="H31" s="35">
        <v>176790</v>
      </c>
      <c r="I31" s="35">
        <v>187627</v>
      </c>
      <c r="J31" s="86">
        <f t="shared" si="1"/>
        <v>10837</v>
      </c>
      <c r="K31" s="86">
        <f t="shared" si="0"/>
        <v>10837</v>
      </c>
      <c r="L31" s="35"/>
      <c r="M31" s="35"/>
      <c r="N31" s="35"/>
      <c r="O31" s="35"/>
      <c r="P31" s="35">
        <v>9</v>
      </c>
      <c r="Q31" s="35">
        <v>2020</v>
      </c>
    </row>
    <row r="32" spans="1:17" x14ac:dyDescent="0.25">
      <c r="A32" s="35" t="s">
        <v>115</v>
      </c>
      <c r="B32" s="71">
        <v>32</v>
      </c>
      <c r="C32" s="2">
        <v>44043</v>
      </c>
      <c r="D32" s="85" t="s">
        <v>79</v>
      </c>
      <c r="E32" s="35" t="s">
        <v>51</v>
      </c>
      <c r="F32" s="35" t="s">
        <v>116</v>
      </c>
      <c r="G32" s="35" t="s">
        <v>117</v>
      </c>
      <c r="H32" s="35">
        <v>172800</v>
      </c>
      <c r="I32" s="35">
        <v>183506</v>
      </c>
      <c r="J32" s="86">
        <f t="shared" si="1"/>
        <v>10706</v>
      </c>
      <c r="K32" s="86">
        <f t="shared" si="0"/>
        <v>10706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118</v>
      </c>
      <c r="B33" s="71">
        <v>18</v>
      </c>
      <c r="C33" s="2">
        <v>44042</v>
      </c>
      <c r="D33" s="85" t="s">
        <v>79</v>
      </c>
      <c r="E33" s="35" t="s">
        <v>51</v>
      </c>
      <c r="F33" s="35" t="s">
        <v>119</v>
      </c>
      <c r="G33" s="35" t="s">
        <v>120</v>
      </c>
      <c r="H33" s="35">
        <v>132074</v>
      </c>
      <c r="I33" s="35">
        <v>143705</v>
      </c>
      <c r="J33" s="86">
        <f t="shared" si="1"/>
        <v>11631</v>
      </c>
      <c r="K33" s="86">
        <f t="shared" si="0"/>
        <v>11631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121</v>
      </c>
      <c r="B34" s="71">
        <v>42</v>
      </c>
      <c r="C34" s="2">
        <v>44043</v>
      </c>
      <c r="D34" s="85" t="s">
        <v>50</v>
      </c>
      <c r="E34" s="35" t="s">
        <v>51</v>
      </c>
      <c r="F34" s="35" t="s">
        <v>122</v>
      </c>
      <c r="G34" s="35" t="s">
        <v>123</v>
      </c>
      <c r="H34" s="35">
        <v>43612</v>
      </c>
      <c r="I34" s="35">
        <v>45560</v>
      </c>
      <c r="J34" s="86">
        <f t="shared" si="1"/>
        <v>1948</v>
      </c>
      <c r="K34" s="86">
        <f t="shared" ref="K34:K65" si="2">J34</f>
        <v>1948</v>
      </c>
      <c r="L34" s="35"/>
      <c r="M34" s="35"/>
      <c r="N34" s="35"/>
      <c r="O34" s="35"/>
      <c r="P34" s="35">
        <v>9</v>
      </c>
      <c r="Q34" s="35">
        <v>2020</v>
      </c>
    </row>
    <row r="35" spans="1:17" x14ac:dyDescent="0.25">
      <c r="A35" s="35" t="s">
        <v>124</v>
      </c>
      <c r="B35" s="71">
        <v>7</v>
      </c>
      <c r="C35" s="2">
        <v>44040</v>
      </c>
      <c r="D35" s="85" t="s">
        <v>79</v>
      </c>
      <c r="E35" s="35" t="s">
        <v>51</v>
      </c>
      <c r="F35" s="35" t="s">
        <v>125</v>
      </c>
      <c r="G35" s="35" t="s">
        <v>126</v>
      </c>
      <c r="H35" s="35">
        <v>119705</v>
      </c>
      <c r="I35" s="35">
        <v>127058</v>
      </c>
      <c r="J35" s="86">
        <f t="shared" ref="J35:J66" si="3">I35-H35</f>
        <v>7353</v>
      </c>
      <c r="K35" s="86">
        <f t="shared" si="2"/>
        <v>7353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127</v>
      </c>
      <c r="B36" s="71">
        <v>57</v>
      </c>
      <c r="C36" s="88">
        <v>44074</v>
      </c>
      <c r="D36" s="85" t="s">
        <v>50</v>
      </c>
      <c r="E36" s="35" t="s">
        <v>51</v>
      </c>
      <c r="F36" s="35" t="s">
        <v>128</v>
      </c>
      <c r="G36" s="35" t="s">
        <v>129</v>
      </c>
      <c r="H36" s="35">
        <v>6853</v>
      </c>
      <c r="I36" s="35">
        <v>7504</v>
      </c>
      <c r="J36" s="86">
        <f t="shared" si="3"/>
        <v>651</v>
      </c>
      <c r="K36" s="86">
        <f t="shared" si="2"/>
        <v>651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130</v>
      </c>
      <c r="B37" s="71">
        <v>41</v>
      </c>
      <c r="C37" s="2">
        <v>44040</v>
      </c>
      <c r="D37" s="85" t="s">
        <v>79</v>
      </c>
      <c r="E37" s="35" t="s">
        <v>51</v>
      </c>
      <c r="F37" s="35" t="s">
        <v>131</v>
      </c>
      <c r="G37" s="35" t="s">
        <v>132</v>
      </c>
      <c r="H37" s="35">
        <v>134599</v>
      </c>
      <c r="I37" s="35">
        <v>142140</v>
      </c>
      <c r="J37" s="86">
        <f t="shared" si="3"/>
        <v>7541</v>
      </c>
      <c r="K37" s="86">
        <f t="shared" si="2"/>
        <v>7541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133</v>
      </c>
      <c r="B38" s="71">
        <v>3</v>
      </c>
      <c r="C38" s="2">
        <v>44040</v>
      </c>
      <c r="D38" s="85" t="s">
        <v>79</v>
      </c>
      <c r="E38" s="35" t="s">
        <v>51</v>
      </c>
      <c r="F38" s="35" t="s">
        <v>134</v>
      </c>
      <c r="G38" s="35" t="s">
        <v>135</v>
      </c>
      <c r="H38" s="35">
        <v>210946</v>
      </c>
      <c r="I38" s="35">
        <v>220781</v>
      </c>
      <c r="J38" s="86">
        <f t="shared" si="3"/>
        <v>9835</v>
      </c>
      <c r="K38" s="86">
        <f t="shared" si="2"/>
        <v>9835</v>
      </c>
      <c r="L38" s="3"/>
      <c r="M38" s="3"/>
      <c r="N38" s="3"/>
      <c r="O38" s="87"/>
      <c r="P38" s="35">
        <v>9</v>
      </c>
      <c r="Q38" s="35">
        <v>2020</v>
      </c>
    </row>
    <row r="39" spans="1:17" x14ac:dyDescent="0.25">
      <c r="A39" s="35" t="s">
        <v>306</v>
      </c>
      <c r="B39" s="71">
        <v>48</v>
      </c>
      <c r="C39" s="88">
        <v>44043</v>
      </c>
      <c r="D39" s="85" t="s">
        <v>50</v>
      </c>
      <c r="E39" s="35" t="s">
        <v>51</v>
      </c>
      <c r="F39" s="35" t="s">
        <v>136</v>
      </c>
      <c r="G39" s="35" t="s">
        <v>137</v>
      </c>
      <c r="H39" s="35">
        <v>10876</v>
      </c>
      <c r="I39" s="35">
        <v>13816</v>
      </c>
      <c r="J39" s="86">
        <f t="shared" si="3"/>
        <v>2940</v>
      </c>
      <c r="K39" s="86">
        <f t="shared" si="2"/>
        <v>2940</v>
      </c>
      <c r="L39" s="35"/>
      <c r="M39" s="35"/>
      <c r="N39" s="35"/>
      <c r="O39" s="35"/>
      <c r="P39" s="35">
        <v>9</v>
      </c>
      <c r="Q39" s="35">
        <v>2020</v>
      </c>
    </row>
    <row r="40" spans="1:17" x14ac:dyDescent="0.25">
      <c r="A40" s="35" t="s">
        <v>138</v>
      </c>
      <c r="B40" s="71">
        <v>34</v>
      </c>
      <c r="C40" s="2">
        <v>44041</v>
      </c>
      <c r="D40" s="85" t="s">
        <v>79</v>
      </c>
      <c r="E40" s="35" t="s">
        <v>51</v>
      </c>
      <c r="F40" s="35" t="s">
        <v>139</v>
      </c>
      <c r="G40" s="35" t="s">
        <v>140</v>
      </c>
      <c r="H40" s="35">
        <v>399285</v>
      </c>
      <c r="I40" s="35">
        <v>419985</v>
      </c>
      <c r="J40" s="86">
        <f t="shared" si="3"/>
        <v>20700</v>
      </c>
      <c r="K40" s="86">
        <f t="shared" si="2"/>
        <v>20700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141</v>
      </c>
      <c r="B41" s="71">
        <v>20</v>
      </c>
      <c r="C41" s="88">
        <v>44043</v>
      </c>
      <c r="D41" s="85" t="s">
        <v>50</v>
      </c>
      <c r="E41" s="35" t="s">
        <v>51</v>
      </c>
      <c r="F41" s="35" t="s">
        <v>142</v>
      </c>
      <c r="G41" s="35" t="s">
        <v>143</v>
      </c>
      <c r="H41" s="35">
        <v>53617</v>
      </c>
      <c r="I41" s="35">
        <v>56098</v>
      </c>
      <c r="J41" s="86">
        <f t="shared" si="3"/>
        <v>2481</v>
      </c>
      <c r="K41" s="86">
        <f t="shared" si="2"/>
        <v>2481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307</v>
      </c>
      <c r="B42" s="71">
        <v>52</v>
      </c>
      <c r="C42" s="88">
        <v>44074</v>
      </c>
      <c r="D42" s="85" t="s">
        <v>50</v>
      </c>
      <c r="E42" s="35" t="s">
        <v>51</v>
      </c>
      <c r="F42" s="35" t="s">
        <v>144</v>
      </c>
      <c r="G42" s="35" t="s">
        <v>145</v>
      </c>
      <c r="H42" s="35">
        <v>10367</v>
      </c>
      <c r="I42" s="35">
        <v>10637</v>
      </c>
      <c r="J42" s="86">
        <f t="shared" si="3"/>
        <v>270</v>
      </c>
      <c r="K42" s="86">
        <f t="shared" si="2"/>
        <v>270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146</v>
      </c>
      <c r="B43" s="71">
        <v>50</v>
      </c>
      <c r="C43" s="88">
        <v>44064</v>
      </c>
      <c r="D43" s="35" t="s">
        <v>50</v>
      </c>
      <c r="E43" s="35" t="s">
        <v>51</v>
      </c>
      <c r="F43" s="35" t="s">
        <v>147</v>
      </c>
      <c r="G43" s="35" t="s">
        <v>148</v>
      </c>
      <c r="H43" s="35">
        <v>16325</v>
      </c>
      <c r="I43" s="35">
        <v>17825</v>
      </c>
      <c r="J43" s="86">
        <f t="shared" si="3"/>
        <v>1500</v>
      </c>
      <c r="K43" s="86">
        <f t="shared" si="2"/>
        <v>1500</v>
      </c>
      <c r="L43" s="35"/>
      <c r="M43" s="35"/>
      <c r="N43" s="35"/>
      <c r="O43" s="35"/>
      <c r="P43" s="35">
        <v>9</v>
      </c>
      <c r="Q43" s="35">
        <v>2020</v>
      </c>
    </row>
    <row r="44" spans="1:17" x14ac:dyDescent="0.25">
      <c r="A44" s="35" t="s">
        <v>149</v>
      </c>
      <c r="B44" s="71">
        <v>33</v>
      </c>
      <c r="C44" s="2">
        <v>44041</v>
      </c>
      <c r="D44" s="85" t="s">
        <v>50</v>
      </c>
      <c r="E44" s="35" t="s">
        <v>51</v>
      </c>
      <c r="F44" s="35" t="s">
        <v>150</v>
      </c>
      <c r="G44" s="35" t="s">
        <v>151</v>
      </c>
      <c r="H44" s="35">
        <v>33361</v>
      </c>
      <c r="I44" s="35">
        <v>33962</v>
      </c>
      <c r="J44" s="86">
        <f t="shared" si="3"/>
        <v>601</v>
      </c>
      <c r="K44" s="86">
        <f t="shared" si="2"/>
        <v>601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152</v>
      </c>
      <c r="B45" s="71">
        <v>17</v>
      </c>
      <c r="C45" s="88">
        <v>44043</v>
      </c>
      <c r="D45" s="85" t="s">
        <v>50</v>
      </c>
      <c r="E45" s="35" t="s">
        <v>51</v>
      </c>
      <c r="F45" s="35" t="s">
        <v>153</v>
      </c>
      <c r="G45" s="35" t="s">
        <v>154</v>
      </c>
      <c r="H45" s="35">
        <v>36536</v>
      </c>
      <c r="I45" s="35">
        <v>41909</v>
      </c>
      <c r="J45" s="86">
        <f t="shared" si="3"/>
        <v>5373</v>
      </c>
      <c r="K45" s="86">
        <f t="shared" si="2"/>
        <v>5373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57</v>
      </c>
      <c r="B46" s="71">
        <v>36</v>
      </c>
      <c r="C46" s="88">
        <v>44042</v>
      </c>
      <c r="D46" s="85" t="s">
        <v>79</v>
      </c>
      <c r="E46" s="35" t="s">
        <v>51</v>
      </c>
      <c r="F46" s="35" t="s">
        <v>156</v>
      </c>
      <c r="G46" s="35" t="s">
        <v>59</v>
      </c>
      <c r="H46" s="35">
        <v>84337</v>
      </c>
      <c r="I46" s="35">
        <v>84874</v>
      </c>
      <c r="J46" s="86">
        <f t="shared" si="3"/>
        <v>537</v>
      </c>
      <c r="K46" s="86">
        <f t="shared" si="2"/>
        <v>537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158</v>
      </c>
      <c r="B47" s="71">
        <v>5</v>
      </c>
      <c r="C47" s="2">
        <v>44040</v>
      </c>
      <c r="D47" s="85" t="s">
        <v>79</v>
      </c>
      <c r="E47" s="35" t="s">
        <v>51</v>
      </c>
      <c r="F47" s="35" t="s">
        <v>159</v>
      </c>
      <c r="G47" s="35" t="s">
        <v>160</v>
      </c>
      <c r="H47" s="35">
        <v>192308</v>
      </c>
      <c r="I47" s="35">
        <v>203542</v>
      </c>
      <c r="J47" s="86">
        <f t="shared" si="3"/>
        <v>11234</v>
      </c>
      <c r="K47" s="86">
        <f t="shared" si="2"/>
        <v>11234</v>
      </c>
      <c r="L47" s="3"/>
      <c r="M47" s="3"/>
      <c r="N47" s="3"/>
      <c r="O47" s="87"/>
      <c r="P47" s="35">
        <v>9</v>
      </c>
      <c r="Q47" s="35">
        <v>2020</v>
      </c>
    </row>
    <row r="48" spans="1:17" x14ac:dyDescent="0.25">
      <c r="A48" s="35" t="s">
        <v>161</v>
      </c>
      <c r="B48" s="71">
        <v>28</v>
      </c>
      <c r="C48" s="2">
        <v>44046</v>
      </c>
      <c r="D48" s="85" t="s">
        <v>79</v>
      </c>
      <c r="E48" s="35" t="s">
        <v>51</v>
      </c>
      <c r="F48" s="35" t="s">
        <v>162</v>
      </c>
      <c r="G48" s="35" t="s">
        <v>163</v>
      </c>
      <c r="H48" s="35">
        <v>234121</v>
      </c>
      <c r="I48" s="35">
        <v>247637</v>
      </c>
      <c r="J48" s="86">
        <f t="shared" si="3"/>
        <v>13516</v>
      </c>
      <c r="K48" s="86">
        <f t="shared" si="2"/>
        <v>13516</v>
      </c>
      <c r="L48" s="35"/>
      <c r="M48" s="35"/>
      <c r="N48" s="35"/>
      <c r="O48" s="35"/>
      <c r="P48" s="35">
        <v>9</v>
      </c>
      <c r="Q48" s="35">
        <v>2020</v>
      </c>
    </row>
    <row r="49" spans="1:17" x14ac:dyDescent="0.25">
      <c r="A49" s="35" t="s">
        <v>164</v>
      </c>
      <c r="B49" s="71">
        <v>24</v>
      </c>
      <c r="C49" s="88">
        <v>44043</v>
      </c>
      <c r="D49" s="85" t="s">
        <v>50</v>
      </c>
      <c r="E49" s="35" t="s">
        <v>51</v>
      </c>
      <c r="F49" s="35" t="s">
        <v>165</v>
      </c>
      <c r="G49" s="35" t="s">
        <v>166</v>
      </c>
      <c r="H49" s="35">
        <v>16495</v>
      </c>
      <c r="I49" s="35">
        <v>16495</v>
      </c>
      <c r="J49" s="86">
        <f t="shared" si="3"/>
        <v>0</v>
      </c>
      <c r="K49" s="86">
        <f t="shared" si="2"/>
        <v>0</v>
      </c>
      <c r="L49" s="35"/>
      <c r="M49" s="35"/>
      <c r="N49" s="35"/>
      <c r="O49" s="35"/>
      <c r="P49" s="35">
        <v>9</v>
      </c>
      <c r="Q49" s="35">
        <v>2020</v>
      </c>
    </row>
    <row r="50" spans="1:17" x14ac:dyDescent="0.25">
      <c r="A50" s="35" t="s">
        <v>167</v>
      </c>
      <c r="B50" s="71">
        <v>22</v>
      </c>
      <c r="C50" s="2">
        <v>44040</v>
      </c>
      <c r="D50" s="85" t="s">
        <v>79</v>
      </c>
      <c r="E50" s="35" t="s">
        <v>51</v>
      </c>
      <c r="F50" s="35" t="s">
        <v>168</v>
      </c>
      <c r="G50" s="35" t="s">
        <v>169</v>
      </c>
      <c r="H50" s="35">
        <v>269155</v>
      </c>
      <c r="I50" s="35">
        <v>284825</v>
      </c>
      <c r="J50" s="86">
        <f t="shared" si="3"/>
        <v>15670</v>
      </c>
      <c r="K50" s="86">
        <f t="shared" si="2"/>
        <v>15670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170</v>
      </c>
      <c r="B51" s="71">
        <v>16</v>
      </c>
      <c r="C51" s="2">
        <v>44046</v>
      </c>
      <c r="D51" s="85" t="s">
        <v>50</v>
      </c>
      <c r="E51" s="35" t="s">
        <v>51</v>
      </c>
      <c r="F51" s="35" t="s">
        <v>171</v>
      </c>
      <c r="G51" s="35" t="s">
        <v>172</v>
      </c>
      <c r="H51" s="35">
        <v>24638</v>
      </c>
      <c r="I51" s="35">
        <v>26187</v>
      </c>
      <c r="J51" s="86">
        <f t="shared" si="3"/>
        <v>1549</v>
      </c>
      <c r="K51" s="86">
        <f t="shared" si="2"/>
        <v>1549</v>
      </c>
      <c r="L51" s="35"/>
      <c r="M51" s="35"/>
      <c r="N51" s="35"/>
      <c r="O51" s="35"/>
      <c r="P51" s="35">
        <v>9</v>
      </c>
      <c r="Q51" s="35">
        <v>2020</v>
      </c>
    </row>
    <row r="52" spans="1:17" x14ac:dyDescent="0.25">
      <c r="A52" s="35" t="s">
        <v>173</v>
      </c>
      <c r="B52" s="71">
        <v>51</v>
      </c>
      <c r="C52" s="88">
        <v>44064</v>
      </c>
      <c r="D52" s="35" t="s">
        <v>50</v>
      </c>
      <c r="E52" s="35" t="s">
        <v>51</v>
      </c>
      <c r="F52" s="35" t="s">
        <v>174</v>
      </c>
      <c r="G52" s="35" t="s">
        <v>175</v>
      </c>
      <c r="H52" s="35">
        <v>24813</v>
      </c>
      <c r="I52" s="35">
        <v>26573</v>
      </c>
      <c r="J52" s="86">
        <f t="shared" si="3"/>
        <v>1760</v>
      </c>
      <c r="K52" s="86">
        <f t="shared" si="2"/>
        <v>1760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176</v>
      </c>
      <c r="B53" s="71">
        <v>58</v>
      </c>
      <c r="C53" s="88">
        <v>44125</v>
      </c>
      <c r="D53" s="35" t="s">
        <v>50</v>
      </c>
      <c r="E53" s="35" t="s">
        <v>51</v>
      </c>
      <c r="F53" s="35" t="s">
        <v>177</v>
      </c>
      <c r="G53" s="35" t="s">
        <v>178</v>
      </c>
      <c r="H53" s="35">
        <v>63421</v>
      </c>
      <c r="I53" s="35">
        <v>68763</v>
      </c>
      <c r="J53" s="86">
        <f t="shared" si="3"/>
        <v>5342</v>
      </c>
      <c r="K53" s="86">
        <f t="shared" si="2"/>
        <v>5342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179</v>
      </c>
      <c r="B54" s="71">
        <v>27</v>
      </c>
      <c r="C54" s="88">
        <v>44041</v>
      </c>
      <c r="D54" s="35" t="s">
        <v>79</v>
      </c>
      <c r="E54" s="35" t="s">
        <v>51</v>
      </c>
      <c r="F54" s="35" t="s">
        <v>180</v>
      </c>
      <c r="G54" s="35" t="s">
        <v>181</v>
      </c>
      <c r="H54" s="35">
        <v>125402</v>
      </c>
      <c r="I54" s="35">
        <v>133638</v>
      </c>
      <c r="J54" s="86">
        <f t="shared" si="3"/>
        <v>8236</v>
      </c>
      <c r="K54" s="86">
        <f t="shared" si="2"/>
        <v>8236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182</v>
      </c>
      <c r="B55" s="71">
        <v>2</v>
      </c>
      <c r="C55" s="88">
        <v>44040</v>
      </c>
      <c r="D55" s="35" t="s">
        <v>50</v>
      </c>
      <c r="E55" s="35" t="s">
        <v>51</v>
      </c>
      <c r="F55" s="35" t="s">
        <v>183</v>
      </c>
      <c r="G55" s="35" t="s">
        <v>184</v>
      </c>
      <c r="H55" s="35">
        <v>115736</v>
      </c>
      <c r="I55" s="35">
        <v>123175</v>
      </c>
      <c r="J55" s="86">
        <f t="shared" si="3"/>
        <v>7439</v>
      </c>
      <c r="K55" s="86">
        <f t="shared" si="2"/>
        <v>7439</v>
      </c>
      <c r="L55" s="3"/>
      <c r="M55" s="3"/>
      <c r="N55" s="3"/>
      <c r="O55" s="87"/>
      <c r="P55" s="35">
        <v>9</v>
      </c>
      <c r="Q55" s="35">
        <v>2020</v>
      </c>
    </row>
    <row r="56" spans="1:17" x14ac:dyDescent="0.25">
      <c r="A56" s="35" t="s">
        <v>185</v>
      </c>
      <c r="B56" s="71">
        <v>70</v>
      </c>
      <c r="C56" s="88">
        <v>44040</v>
      </c>
      <c r="D56" s="35" t="s">
        <v>50</v>
      </c>
      <c r="E56" s="35" t="s">
        <v>51</v>
      </c>
      <c r="F56" s="35" t="s">
        <v>186</v>
      </c>
      <c r="G56" s="35" t="s">
        <v>187</v>
      </c>
      <c r="H56" s="35">
        <v>14592</v>
      </c>
      <c r="I56" s="35">
        <v>16668</v>
      </c>
      <c r="J56" s="86">
        <f t="shared" si="3"/>
        <v>2076</v>
      </c>
      <c r="K56" s="86">
        <f t="shared" si="2"/>
        <v>2076</v>
      </c>
      <c r="L56" s="35"/>
      <c r="M56" s="35"/>
      <c r="N56" s="35"/>
      <c r="O56" s="35"/>
      <c r="P56" s="35"/>
      <c r="Q56" s="35"/>
    </row>
    <row r="57" spans="1:17" x14ac:dyDescent="0.25">
      <c r="A57" s="35" t="s">
        <v>188</v>
      </c>
      <c r="B57" s="71">
        <v>39</v>
      </c>
      <c r="C57" s="88">
        <v>44041</v>
      </c>
      <c r="D57" s="35" t="s">
        <v>50</v>
      </c>
      <c r="E57" s="35" t="s">
        <v>51</v>
      </c>
      <c r="F57" s="35" t="s">
        <v>189</v>
      </c>
      <c r="G57" s="35" t="s">
        <v>190</v>
      </c>
      <c r="H57" s="35">
        <v>94930</v>
      </c>
      <c r="I57" s="35">
        <v>100244</v>
      </c>
      <c r="J57" s="86">
        <f t="shared" si="3"/>
        <v>5314</v>
      </c>
      <c r="K57" s="86">
        <f t="shared" si="2"/>
        <v>5314</v>
      </c>
      <c r="L57" s="35"/>
      <c r="M57" s="35"/>
      <c r="N57" s="35"/>
      <c r="O57" s="35"/>
      <c r="P57" s="35">
        <v>9</v>
      </c>
      <c r="Q57" s="35">
        <v>2020</v>
      </c>
    </row>
    <row r="58" spans="1:17" x14ac:dyDescent="0.25">
      <c r="A58" s="35" t="s">
        <v>191</v>
      </c>
      <c r="B58" s="71">
        <v>30</v>
      </c>
      <c r="C58" s="88">
        <v>44043</v>
      </c>
      <c r="D58" s="35" t="s">
        <v>50</v>
      </c>
      <c r="E58" s="35" t="s">
        <v>51</v>
      </c>
      <c r="F58" s="35" t="s">
        <v>192</v>
      </c>
      <c r="G58" s="35" t="s">
        <v>193</v>
      </c>
      <c r="H58" s="35">
        <v>50632</v>
      </c>
      <c r="I58" s="35">
        <v>54935</v>
      </c>
      <c r="J58" s="86">
        <f t="shared" si="3"/>
        <v>4303</v>
      </c>
      <c r="K58" s="86">
        <f t="shared" si="2"/>
        <v>4303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194</v>
      </c>
      <c r="B59" s="71">
        <v>37</v>
      </c>
      <c r="C59" s="88">
        <v>44042</v>
      </c>
      <c r="D59" s="35" t="s">
        <v>50</v>
      </c>
      <c r="E59" s="35" t="s">
        <v>51</v>
      </c>
      <c r="F59" s="35" t="s">
        <v>195</v>
      </c>
      <c r="G59" s="35" t="s">
        <v>196</v>
      </c>
      <c r="H59" s="35">
        <v>29131</v>
      </c>
      <c r="I59" s="35">
        <v>30678</v>
      </c>
      <c r="J59" s="86">
        <f t="shared" si="3"/>
        <v>1547</v>
      </c>
      <c r="K59" s="86">
        <f t="shared" si="2"/>
        <v>1547</v>
      </c>
      <c r="L59" s="35"/>
      <c r="M59" s="35"/>
      <c r="N59" s="35"/>
      <c r="O59" s="35"/>
      <c r="P59" s="35">
        <v>9</v>
      </c>
      <c r="Q59" s="35">
        <v>2020</v>
      </c>
    </row>
    <row r="60" spans="1:17" x14ac:dyDescent="0.25">
      <c r="A60" s="35" t="s">
        <v>197</v>
      </c>
      <c r="B60" s="71">
        <v>26</v>
      </c>
      <c r="C60" s="88">
        <v>44043</v>
      </c>
      <c r="D60" s="35" t="s">
        <v>79</v>
      </c>
      <c r="E60" s="35" t="s">
        <v>51</v>
      </c>
      <c r="F60" s="35" t="s">
        <v>198</v>
      </c>
      <c r="G60" s="35" t="s">
        <v>199</v>
      </c>
      <c r="H60" s="35">
        <v>118688</v>
      </c>
      <c r="I60" s="35">
        <v>120610</v>
      </c>
      <c r="J60" s="86">
        <f t="shared" si="3"/>
        <v>1922</v>
      </c>
      <c r="K60" s="86">
        <f t="shared" si="2"/>
        <v>1922</v>
      </c>
      <c r="L60" s="35"/>
      <c r="M60" s="35"/>
      <c r="N60" s="35"/>
      <c r="O60" s="35"/>
      <c r="P60" s="35">
        <v>9</v>
      </c>
      <c r="Q60" s="35">
        <v>2020</v>
      </c>
    </row>
    <row r="61" spans="1:17" x14ac:dyDescent="0.25">
      <c r="A61" s="35" t="s">
        <v>200</v>
      </c>
      <c r="B61" s="71">
        <v>15</v>
      </c>
      <c r="C61" s="88">
        <v>44042</v>
      </c>
      <c r="D61" s="35" t="s">
        <v>79</v>
      </c>
      <c r="E61" s="35" t="s">
        <v>51</v>
      </c>
      <c r="F61" s="35" t="s">
        <v>201</v>
      </c>
      <c r="G61" s="35" t="s">
        <v>202</v>
      </c>
      <c r="H61" s="35">
        <v>120869</v>
      </c>
      <c r="I61" s="35">
        <v>130012</v>
      </c>
      <c r="J61" s="86">
        <f t="shared" si="3"/>
        <v>9143</v>
      </c>
      <c r="K61" s="86">
        <f t="shared" si="2"/>
        <v>9143</v>
      </c>
      <c r="L61" s="35"/>
      <c r="M61" s="35"/>
      <c r="N61" s="35"/>
      <c r="O61" s="35"/>
      <c r="P61" s="35">
        <v>9</v>
      </c>
      <c r="Q61" s="35">
        <v>2020</v>
      </c>
    </row>
    <row r="62" spans="1:17" x14ac:dyDescent="0.25">
      <c r="A62" s="35" t="s">
        <v>203</v>
      </c>
      <c r="B62" s="71">
        <v>10</v>
      </c>
      <c r="C62" s="88">
        <v>44042</v>
      </c>
      <c r="D62" s="35" t="s">
        <v>79</v>
      </c>
      <c r="E62" s="35" t="s">
        <v>51</v>
      </c>
      <c r="F62" s="35" t="s">
        <v>204</v>
      </c>
      <c r="G62" s="35" t="s">
        <v>205</v>
      </c>
      <c r="H62" s="35">
        <v>133661</v>
      </c>
      <c r="I62" s="35">
        <v>143955</v>
      </c>
      <c r="J62" s="86">
        <f t="shared" si="3"/>
        <v>10294</v>
      </c>
      <c r="K62" s="86">
        <f t="shared" si="2"/>
        <v>10294</v>
      </c>
      <c r="L62" s="35"/>
      <c r="M62" s="35"/>
      <c r="N62" s="35"/>
      <c r="O62" s="35"/>
      <c r="P62" s="35">
        <v>9</v>
      </c>
      <c r="Q62" s="35">
        <v>2020</v>
      </c>
    </row>
    <row r="63" spans="1:17" x14ac:dyDescent="0.25">
      <c r="A63" s="35" t="s">
        <v>206</v>
      </c>
      <c r="B63" s="71">
        <v>14</v>
      </c>
      <c r="C63" s="88">
        <v>44040</v>
      </c>
      <c r="D63" s="35" t="s">
        <v>79</v>
      </c>
      <c r="E63" s="35" t="s">
        <v>51</v>
      </c>
      <c r="F63" s="35" t="s">
        <v>207</v>
      </c>
      <c r="G63" s="35" t="s">
        <v>208</v>
      </c>
      <c r="H63" s="35">
        <v>165113</v>
      </c>
      <c r="I63" s="35">
        <v>181063</v>
      </c>
      <c r="J63" s="86">
        <f t="shared" si="3"/>
        <v>15950</v>
      </c>
      <c r="K63" s="86">
        <f t="shared" si="2"/>
        <v>15950</v>
      </c>
      <c r="L63" s="35"/>
      <c r="M63" s="35"/>
      <c r="N63" s="35"/>
      <c r="O63" s="35"/>
      <c r="P63" s="35">
        <v>9</v>
      </c>
      <c r="Q63" s="35">
        <v>2020</v>
      </c>
    </row>
    <row r="64" spans="1:17" x14ac:dyDescent="0.25">
      <c r="A64" s="35" t="s">
        <v>209</v>
      </c>
      <c r="B64" s="71">
        <v>21</v>
      </c>
      <c r="C64" s="88">
        <v>44042</v>
      </c>
      <c r="D64" s="35" t="s">
        <v>50</v>
      </c>
      <c r="E64" s="35" t="s">
        <v>51</v>
      </c>
      <c r="F64" s="35" t="s">
        <v>210</v>
      </c>
      <c r="G64" s="35" t="s">
        <v>211</v>
      </c>
      <c r="H64" s="35">
        <v>26600</v>
      </c>
      <c r="I64" s="35">
        <v>27796</v>
      </c>
      <c r="J64" s="86">
        <f t="shared" si="3"/>
        <v>1196</v>
      </c>
      <c r="K64" s="86">
        <f t="shared" si="2"/>
        <v>1196</v>
      </c>
      <c r="L64" s="35"/>
      <c r="M64" s="35"/>
      <c r="N64" s="35"/>
      <c r="O64" s="35"/>
      <c r="P64" s="35">
        <v>9</v>
      </c>
      <c r="Q64" s="35">
        <v>2020</v>
      </c>
    </row>
    <row r="65" spans="1:17" x14ac:dyDescent="0.25">
      <c r="A65" s="35" t="s">
        <v>212</v>
      </c>
      <c r="B65" s="71">
        <v>63</v>
      </c>
      <c r="C65" s="88">
        <v>44137</v>
      </c>
      <c r="D65" s="35" t="s">
        <v>50</v>
      </c>
      <c r="E65" s="35" t="s">
        <v>51</v>
      </c>
      <c r="F65" s="35" t="s">
        <v>213</v>
      </c>
      <c r="G65" s="35" t="s">
        <v>214</v>
      </c>
      <c r="H65" s="35">
        <v>50083</v>
      </c>
      <c r="I65" s="35">
        <v>55731</v>
      </c>
      <c r="J65" s="86">
        <f t="shared" si="3"/>
        <v>5648</v>
      </c>
      <c r="K65" s="86">
        <f t="shared" si="2"/>
        <v>5648</v>
      </c>
      <c r="L65" s="35"/>
      <c r="M65" s="35"/>
      <c r="N65" s="35"/>
      <c r="O65" s="35"/>
      <c r="P65" s="35">
        <v>9</v>
      </c>
      <c r="Q65" s="35">
        <v>2020</v>
      </c>
    </row>
    <row r="66" spans="1:17" x14ac:dyDescent="0.25">
      <c r="A66" s="35" t="s">
        <v>215</v>
      </c>
      <c r="B66" s="71">
        <v>69</v>
      </c>
      <c r="C66" s="88">
        <v>44225</v>
      </c>
      <c r="D66" s="35" t="s">
        <v>50</v>
      </c>
      <c r="E66" s="35" t="s">
        <v>51</v>
      </c>
      <c r="F66" s="35" t="s">
        <v>216</v>
      </c>
      <c r="G66" s="35" t="s">
        <v>217</v>
      </c>
      <c r="H66" s="35">
        <v>71630</v>
      </c>
      <c r="I66" s="35">
        <v>79372</v>
      </c>
      <c r="J66" s="86">
        <f t="shared" si="3"/>
        <v>7742</v>
      </c>
      <c r="K66" s="86">
        <f t="shared" ref="K66:K69" si="4">J66</f>
        <v>7742</v>
      </c>
      <c r="L66" s="35"/>
      <c r="M66" s="35"/>
      <c r="N66" s="35"/>
      <c r="O66" s="35"/>
      <c r="P66" s="35"/>
      <c r="Q66" s="35"/>
    </row>
    <row r="67" spans="1:17" x14ac:dyDescent="0.25">
      <c r="A67" s="35" t="s">
        <v>218</v>
      </c>
      <c r="B67" s="71">
        <v>67</v>
      </c>
      <c r="C67" s="88">
        <v>44225</v>
      </c>
      <c r="D67" s="35" t="s">
        <v>50</v>
      </c>
      <c r="E67" s="35" t="s">
        <v>51</v>
      </c>
      <c r="F67" s="35" t="s">
        <v>219</v>
      </c>
      <c r="G67" s="35" t="s">
        <v>220</v>
      </c>
      <c r="H67" s="35">
        <v>105464</v>
      </c>
      <c r="I67" s="35">
        <v>111966</v>
      </c>
      <c r="J67" s="86">
        <f t="shared" ref="J67:J69" si="5">I67-H67</f>
        <v>6502</v>
      </c>
      <c r="K67" s="86">
        <f t="shared" si="4"/>
        <v>6502</v>
      </c>
      <c r="L67" s="35"/>
      <c r="M67" s="35"/>
      <c r="N67" s="35"/>
      <c r="O67" s="35"/>
      <c r="P67" s="35"/>
      <c r="Q67" s="35"/>
    </row>
    <row r="68" spans="1:17" x14ac:dyDescent="0.25">
      <c r="A68" s="35" t="s">
        <v>221</v>
      </c>
      <c r="B68" s="71">
        <v>68</v>
      </c>
      <c r="C68" s="88">
        <v>44225</v>
      </c>
      <c r="D68" s="35" t="s">
        <v>50</v>
      </c>
      <c r="E68" s="35" t="s">
        <v>51</v>
      </c>
      <c r="F68" s="35" t="s">
        <v>222</v>
      </c>
      <c r="G68" s="35" t="s">
        <v>223</v>
      </c>
      <c r="H68" s="35">
        <v>45083</v>
      </c>
      <c r="I68" s="35">
        <v>49543</v>
      </c>
      <c r="J68" s="86">
        <f t="shared" si="5"/>
        <v>4460</v>
      </c>
      <c r="K68" s="86">
        <f t="shared" si="4"/>
        <v>4460</v>
      </c>
      <c r="L68" s="35"/>
      <c r="M68" s="35"/>
      <c r="N68" s="35"/>
      <c r="O68" s="35"/>
      <c r="P68" s="35"/>
      <c r="Q68" s="35"/>
    </row>
    <row r="69" spans="1:17" x14ac:dyDescent="0.25">
      <c r="A69" s="35" t="s">
        <v>224</v>
      </c>
      <c r="B69" s="71">
        <v>66</v>
      </c>
      <c r="C69" s="88">
        <v>44225</v>
      </c>
      <c r="D69" s="35" t="s">
        <v>50</v>
      </c>
      <c r="E69" s="35" t="s">
        <v>51</v>
      </c>
      <c r="F69" s="35" t="s">
        <v>225</v>
      </c>
      <c r="G69" s="35" t="s">
        <v>226</v>
      </c>
      <c r="H69" s="35">
        <v>27766</v>
      </c>
      <c r="I69" s="35">
        <v>33262</v>
      </c>
      <c r="J69" s="86">
        <f t="shared" si="5"/>
        <v>5496</v>
      </c>
      <c r="K69" s="86">
        <f t="shared" si="4"/>
        <v>5496</v>
      </c>
      <c r="L69" s="35"/>
      <c r="M69" s="35"/>
      <c r="N69" s="35"/>
      <c r="O69" s="35"/>
      <c r="P69" s="35"/>
      <c r="Q69" s="35"/>
    </row>
    <row r="72" spans="1:17" ht="15.75" thickBot="1" x14ac:dyDescent="0.3"/>
    <row r="73" spans="1:17" x14ac:dyDescent="0.25">
      <c r="E73" s="90" t="s">
        <v>227</v>
      </c>
      <c r="F73" s="91" t="s">
        <v>228</v>
      </c>
      <c r="G73" s="91" t="s">
        <v>229</v>
      </c>
      <c r="H73" s="91" t="s">
        <v>230</v>
      </c>
      <c r="I73" s="91" t="s">
        <v>231</v>
      </c>
      <c r="J73" s="92" t="s">
        <v>232</v>
      </c>
      <c r="K73" s="102"/>
    </row>
    <row r="74" spans="1:17" x14ac:dyDescent="0.25">
      <c r="E74" s="93" t="s">
        <v>23</v>
      </c>
      <c r="F74" s="94">
        <f>COUNTIF($D$2:$D$71,E74)</f>
        <v>6</v>
      </c>
      <c r="G74" s="95">
        <f>2052*F74</f>
        <v>12312</v>
      </c>
      <c r="H74" s="95">
        <f>1368*F74</f>
        <v>8208</v>
      </c>
      <c r="I74" s="95"/>
      <c r="J74" s="96"/>
      <c r="K74" s="103"/>
    </row>
    <row r="75" spans="1:17" x14ac:dyDescent="0.25">
      <c r="E75" s="93" t="s">
        <v>40</v>
      </c>
      <c r="F75" s="94">
        <f>COUNTIF($D$2:$D$71,E75)</f>
        <v>2</v>
      </c>
      <c r="G75" s="95">
        <f>5290*F75</f>
        <v>10580</v>
      </c>
      <c r="H75" s="95">
        <f>3527*F75</f>
        <v>7054</v>
      </c>
      <c r="I75" s="95"/>
      <c r="J75" s="96"/>
      <c r="K75" s="103"/>
    </row>
    <row r="76" spans="1:17" x14ac:dyDescent="0.25">
      <c r="E76" s="93" t="s">
        <v>50</v>
      </c>
      <c r="F76" s="94">
        <f>COUNTIF($D$2:$D$71,E76)</f>
        <v>40</v>
      </c>
      <c r="G76" s="95">
        <f>3048*F76</f>
        <v>121920</v>
      </c>
      <c r="H76" s="95">
        <f>2032*F76</f>
        <v>81280</v>
      </c>
      <c r="I76" s="95"/>
      <c r="J76" s="96"/>
      <c r="K76" s="103"/>
    </row>
    <row r="77" spans="1:17" x14ac:dyDescent="0.25">
      <c r="E77" s="93" t="s">
        <v>79</v>
      </c>
      <c r="F77" s="94">
        <f>COUNTIF($D$2:$D$71,E77)</f>
        <v>19</v>
      </c>
      <c r="G77" s="95">
        <f>6198*F77</f>
        <v>117762</v>
      </c>
      <c r="H77" s="95">
        <f>4132*F77</f>
        <v>78508</v>
      </c>
      <c r="I77" s="95"/>
      <c r="J77" s="96"/>
      <c r="K77" s="103"/>
    </row>
    <row r="78" spans="1:17" x14ac:dyDescent="0.25">
      <c r="E78" s="93" t="s">
        <v>233</v>
      </c>
      <c r="F78" s="94">
        <v>0</v>
      </c>
      <c r="G78" s="95">
        <f>6780*F78</f>
        <v>0</v>
      </c>
      <c r="H78" s="95">
        <f>4520*F78</f>
        <v>0</v>
      </c>
      <c r="I78" s="95">
        <f>6600*F78</f>
        <v>0</v>
      </c>
      <c r="J78" s="96">
        <f>4400*F78</f>
        <v>0</v>
      </c>
      <c r="K78" s="103"/>
    </row>
    <row r="79" spans="1:17" x14ac:dyDescent="0.25">
      <c r="E79" s="93" t="s">
        <v>18</v>
      </c>
      <c r="F79" s="94">
        <f>COUNTIF($D$2:$D$71,E79)</f>
        <v>1</v>
      </c>
      <c r="G79" s="95">
        <f>8582*F79</f>
        <v>8582</v>
      </c>
      <c r="H79" s="95">
        <f>5722*F79</f>
        <v>5722</v>
      </c>
      <c r="I79" s="95">
        <f>6600*F79</f>
        <v>6600</v>
      </c>
      <c r="J79" s="96">
        <f>4400*F79</f>
        <v>4400</v>
      </c>
      <c r="K79" s="103"/>
    </row>
    <row r="80" spans="1:17" ht="15.75" thickBot="1" x14ac:dyDescent="0.3">
      <c r="E80" s="97" t="s">
        <v>234</v>
      </c>
      <c r="F80" s="98">
        <f>SUM(F74:F79)</f>
        <v>68</v>
      </c>
      <c r="G80" s="99">
        <f t="shared" ref="G80:H80" si="6">SUM(G74:G79)</f>
        <v>271156</v>
      </c>
      <c r="H80" s="99">
        <f t="shared" si="6"/>
        <v>180772</v>
      </c>
      <c r="I80" s="99">
        <f>SUM(I74:I79)</f>
        <v>6600</v>
      </c>
      <c r="J80" s="100">
        <f>SUM(J74:J79)</f>
        <v>4400</v>
      </c>
      <c r="K80" s="104"/>
    </row>
    <row r="82" spans="6:10" x14ac:dyDescent="0.25">
      <c r="F82" t="s">
        <v>235</v>
      </c>
      <c r="G82" s="105">
        <f>G80*CONSOLIDADO!B6</f>
        <v>18980.920000000002</v>
      </c>
      <c r="H82" s="105">
        <f>H80*CONSOLIDADO!B7</f>
        <v>4519.3</v>
      </c>
      <c r="I82" s="105">
        <f>I80*CONSOLIDADO!B8</f>
        <v>4620</v>
      </c>
      <c r="J82" s="105">
        <f>J80*CONSOLIDADO!B9</f>
        <v>1100</v>
      </c>
    </row>
    <row r="83" spans="6:10" x14ac:dyDescent="0.25">
      <c r="F83">
        <v>2</v>
      </c>
      <c r="G83" s="58">
        <f>$F$83*G82</f>
        <v>37961.840000000004</v>
      </c>
      <c r="H83" s="58">
        <f t="shared" ref="H83:J83" si="7">$F$83*H82</f>
        <v>9038.6</v>
      </c>
      <c r="I83" s="58">
        <f t="shared" si="7"/>
        <v>9240</v>
      </c>
      <c r="J83" s="58">
        <f t="shared" si="7"/>
        <v>2200</v>
      </c>
    </row>
    <row r="85" spans="6:10" x14ac:dyDescent="0.25">
      <c r="G85" s="106">
        <f>SUM(G83:J83)</f>
        <v>58440.44</v>
      </c>
      <c r="H85" s="107"/>
      <c r="I85" s="107"/>
      <c r="J85" s="107"/>
    </row>
  </sheetData>
  <autoFilter ref="A1:Q69">
    <sortState ref="A2:Q69">
      <sortCondition ref="F1:F69"/>
    </sortState>
  </autoFilter>
  <mergeCells count="1">
    <mergeCell ref="G85:J85"/>
  </mergeCells>
  <conditionalFormatting sqref="L2:N6">
    <cfRule type="cellIs" dxfId="5" priority="9" operator="lessThan">
      <formula>0</formula>
    </cfRule>
  </conditionalFormatting>
  <conditionalFormatting sqref="L7:N9">
    <cfRule type="cellIs" dxfId="4" priority="6" operator="lessThan">
      <formula>0</formula>
    </cfRule>
  </conditionalFormatting>
  <conditionalFormatting sqref="G36:G52 G1:G2 G70:G1048576 H82:J83">
    <cfRule type="duplicateValues" dxfId="3" priority="3"/>
  </conditionalFormatting>
  <conditionalFormatting sqref="G53:G69">
    <cfRule type="duplicateValues" dxfId="2" priority="1"/>
  </conditionalFormatting>
  <conditionalFormatting sqref="G3:G35">
    <cfRule type="duplicateValues" dxfId="1" priority="15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34" sqref="A34"/>
    </sheetView>
  </sheetViews>
  <sheetFormatPr defaultRowHeight="15" x14ac:dyDescent="0.25"/>
  <cols>
    <col min="1" max="1" width="36.42578125" customWidth="1"/>
    <col min="2" max="2" width="25" bestFit="1" customWidth="1"/>
    <col min="3" max="3" width="33" customWidth="1"/>
    <col min="4" max="4" width="30.5703125" customWidth="1"/>
  </cols>
  <sheetData>
    <row r="1" spans="1:4" ht="23.25" x14ac:dyDescent="0.35">
      <c r="A1" s="33" t="s">
        <v>236</v>
      </c>
      <c r="B1" s="33" t="s">
        <v>237</v>
      </c>
    </row>
    <row r="2" spans="1:4" ht="23.25" x14ac:dyDescent="0.35">
      <c r="A2" s="33" t="s">
        <v>238</v>
      </c>
      <c r="B2" s="33" t="s">
        <v>239</v>
      </c>
    </row>
    <row r="3" spans="1:4" ht="23.25" x14ac:dyDescent="0.35">
      <c r="A3" s="33" t="s">
        <v>240</v>
      </c>
      <c r="B3" s="34">
        <v>44682</v>
      </c>
    </row>
    <row r="4" spans="1:4" ht="15.75" thickBot="1" x14ac:dyDescent="0.3"/>
    <row r="5" spans="1:4" ht="15.75" thickBot="1" x14ac:dyDescent="0.3">
      <c r="A5" s="29" t="s">
        <v>227</v>
      </c>
      <c r="B5" s="30" t="s">
        <v>241</v>
      </c>
      <c r="C5" s="30" t="s">
        <v>242</v>
      </c>
      <c r="D5" s="31" t="s">
        <v>243</v>
      </c>
    </row>
    <row r="6" spans="1:4" ht="30" x14ac:dyDescent="0.25">
      <c r="A6" s="7" t="s">
        <v>244</v>
      </c>
      <c r="B6" s="20">
        <v>7.0000000000000007E-2</v>
      </c>
      <c r="C6" s="79">
        <f>SUM(BASE!G80)</f>
        <v>271156</v>
      </c>
      <c r="D6" s="8">
        <f>C6*B6</f>
        <v>18980.920000000002</v>
      </c>
    </row>
    <row r="7" spans="1:4" ht="30" x14ac:dyDescent="0.25">
      <c r="A7" s="5" t="s">
        <v>245</v>
      </c>
      <c r="B7" s="21">
        <v>2.5000000000000001E-2</v>
      </c>
      <c r="C7" s="80">
        <f>SUM(BASE!H80)</f>
        <v>180772</v>
      </c>
      <c r="D7" s="9">
        <f>C7*B7</f>
        <v>4519.3</v>
      </c>
    </row>
    <row r="8" spans="1:4" ht="30" x14ac:dyDescent="0.25">
      <c r="A8" s="23" t="s">
        <v>246</v>
      </c>
      <c r="B8" s="21">
        <v>0.7</v>
      </c>
      <c r="C8" s="80">
        <f>SUM(BASE!I80)</f>
        <v>6600</v>
      </c>
      <c r="D8" s="9">
        <f>C8*B8</f>
        <v>4620</v>
      </c>
    </row>
    <row r="9" spans="1:4" ht="30.75" thickBot="1" x14ac:dyDescent="0.3">
      <c r="A9" s="24" t="s">
        <v>247</v>
      </c>
      <c r="B9" s="22">
        <v>0.25</v>
      </c>
      <c r="C9" s="81">
        <f>SUM(BASE!J80)</f>
        <v>4400</v>
      </c>
      <c r="D9" s="10">
        <f>C9*B9</f>
        <v>1100</v>
      </c>
    </row>
    <row r="11" spans="1:4" ht="15.75" thickBot="1" x14ac:dyDescent="0.3"/>
    <row r="12" spans="1:4" ht="15.75" thickBot="1" x14ac:dyDescent="0.3">
      <c r="A12" s="114" t="s">
        <v>248</v>
      </c>
      <c r="B12" s="115"/>
      <c r="C12" s="116" t="s">
        <v>249</v>
      </c>
      <c r="D12" s="117"/>
    </row>
    <row r="13" spans="1:4" x14ac:dyDescent="0.25">
      <c r="A13" s="16" t="s">
        <v>250</v>
      </c>
      <c r="B13" s="17">
        <f>IF((SUM(BASE!$K2:$K69)+(SUM(BASE!$L2:$L69)*2))&gt;=$C$6,$C$6,(SUM(BASE!$K2:$K69)+(SUM(BASE!$L2:$L69)*2)))</f>
        <v>271156</v>
      </c>
      <c r="C13" s="18" t="s">
        <v>250</v>
      </c>
      <c r="D13" s="17">
        <f>IF((SUM(BASE!$M2:$M61)+(SUM(BASE!$N2:$N72)*2))&gt;=$C$8,$C$8,(SUM(BASE!$M2:$M69)+(SUM(BASE!$N2:$N69)*2)))</f>
        <v>3115</v>
      </c>
    </row>
    <row r="14" spans="1:4" x14ac:dyDescent="0.25">
      <c r="A14" s="6" t="s">
        <v>251</v>
      </c>
      <c r="B14" s="15">
        <f>$D$6</f>
        <v>18980.920000000002</v>
      </c>
      <c r="C14" s="12" t="s">
        <v>251</v>
      </c>
      <c r="D14" s="15">
        <f>$D$8</f>
        <v>4620</v>
      </c>
    </row>
    <row r="15" spans="1:4" x14ac:dyDescent="0.25">
      <c r="A15" s="6" t="s">
        <v>252</v>
      </c>
      <c r="B15" s="14">
        <f>IF((SUM(BASE!$K2:$K69)+(SUM(BASE!$L2:$L69)*2))&gt;$C$6,(SUM(BASE!$K2:$K69)+(SUM(BASE!$L2:$L69)*2))-$C$6,0)</f>
        <v>121314</v>
      </c>
      <c r="C15" s="12" t="s">
        <v>252</v>
      </c>
      <c r="D15" s="14">
        <f>IF((SUM(BASE!$M2:$M69)+(SUM(BASE!$N2:$N69)*2))&gt;$C$8,(SUM(BASE!$M2:$M69)+(SUM(BASE!$N2:$N69)*2))-$C$8,0)</f>
        <v>0</v>
      </c>
    </row>
    <row r="16" spans="1:4" ht="15.75" thickBot="1" x14ac:dyDescent="0.3">
      <c r="A16" s="6" t="s">
        <v>253</v>
      </c>
      <c r="B16" s="27">
        <f>$B$15*$B$7</f>
        <v>3032.8500000000004</v>
      </c>
      <c r="C16" s="13" t="s">
        <v>253</v>
      </c>
      <c r="D16" s="32">
        <f>$D$15*$B$9</f>
        <v>0</v>
      </c>
    </row>
    <row r="17" spans="1:10" ht="15.75" thickBot="1" x14ac:dyDescent="0.3">
      <c r="A17" s="118" t="s">
        <v>254</v>
      </c>
      <c r="B17" s="119"/>
      <c r="C17" s="120" t="s">
        <v>255</v>
      </c>
      <c r="D17" s="121"/>
    </row>
    <row r="18" spans="1:10" ht="16.5" thickBot="1" x14ac:dyDescent="0.3">
      <c r="A18" s="122">
        <f>SUM($B$14,$B$16)</f>
        <v>22013.770000000004</v>
      </c>
      <c r="B18" s="123"/>
      <c r="C18" s="124">
        <f>SUM($D$14,$D$16)</f>
        <v>4620</v>
      </c>
      <c r="D18" s="123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08" t="s">
        <v>256</v>
      </c>
      <c r="B20" s="109"/>
      <c r="C20" s="110"/>
      <c r="D20" s="111"/>
    </row>
    <row r="21" spans="1:10" ht="16.5" thickBot="1" x14ac:dyDescent="0.3">
      <c r="A21" s="108" t="s">
        <v>257</v>
      </c>
      <c r="B21" s="109"/>
      <c r="C21" s="112"/>
      <c r="D21" s="113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26" t="s">
        <v>258</v>
      </c>
      <c r="B23" s="127"/>
      <c r="C23" s="128">
        <f>SUM(A18:D18)+C21-C20</f>
        <v>26633.770000000004</v>
      </c>
      <c r="D23" s="129"/>
    </row>
    <row r="25" spans="1:10" x14ac:dyDescent="0.25">
      <c r="A25" s="125" t="str">
        <f>IF(B13&lt;C6,"Favor atentar para o correto dimensionamento do recurso de impressão, pois o volume impresso está abaixo da franquia monocromática contratada!","")</f>
        <v/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x14ac:dyDescent="0.25">
      <c r="A26" s="125" t="str">
        <f>IF(B13&lt;C6,"Favor atentar para o correto dimensionamento do recurso de impressão, pois o volume impresso está abaixo da franquia color contratada!","")</f>
        <v/>
      </c>
      <c r="B26" s="125"/>
      <c r="C26" s="125"/>
      <c r="D26" s="125"/>
      <c r="E26" s="125"/>
      <c r="F26" s="125"/>
      <c r="G26" s="125"/>
      <c r="H26" s="125"/>
      <c r="I26" s="125"/>
      <c r="J26" s="125"/>
    </row>
    <row r="27" spans="1:10" x14ac:dyDescent="0.25">
      <c r="A27" s="125" t="str">
        <f>IF(D15&gt;C9,"Favor atentar para o uso do recurso de impressão, pois o volume policromático impresso está acima da volumetria total contratada!","")</f>
        <v/>
      </c>
      <c r="B27" s="125"/>
      <c r="C27" s="125"/>
      <c r="D27" s="125"/>
      <c r="E27" s="125"/>
      <c r="F27" s="125"/>
      <c r="G27" s="125"/>
      <c r="H27" s="125"/>
      <c r="I27" s="125"/>
      <c r="J27" s="125"/>
    </row>
    <row r="28" spans="1:10" x14ac:dyDescent="0.25">
      <c r="A28" s="125" t="str">
        <f>IF(B16&gt;C8,"Favor atentar para o uso do recurso de impressão, pois o volume monocromático impresso está acima da volumetria total contratada!","")</f>
        <v/>
      </c>
      <c r="B28" s="125"/>
      <c r="C28" s="125"/>
      <c r="D28" s="125"/>
      <c r="E28" s="125"/>
      <c r="F28" s="125"/>
      <c r="G28" s="125"/>
      <c r="H28" s="125"/>
      <c r="I28" s="125"/>
      <c r="J28" s="125"/>
    </row>
  </sheetData>
  <mergeCells count="16">
    <mergeCell ref="A25:J25"/>
    <mergeCell ref="A26:J26"/>
    <mergeCell ref="A27:J27"/>
    <mergeCell ref="A28:J28"/>
    <mergeCell ref="A23:B23"/>
    <mergeCell ref="C23:D23"/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showGridLines="0" workbookViewId="0">
      <selection activeCell="C11" sqref="C11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2" t="s">
        <v>259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260</v>
      </c>
      <c r="H2" s="37" t="s">
        <v>261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262</v>
      </c>
      <c r="B3" s="134"/>
      <c r="C3" s="135"/>
      <c r="D3" s="101">
        <f>SUM(BASE!G80)</f>
        <v>271156</v>
      </c>
      <c r="H3" s="37" t="s">
        <v>263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264</v>
      </c>
      <c r="B4" s="137"/>
      <c r="C4" s="138"/>
      <c r="D4" s="38">
        <v>14640.64</v>
      </c>
      <c r="H4" s="37" t="s">
        <v>265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266</v>
      </c>
      <c r="B5" s="140"/>
      <c r="C5" s="141"/>
      <c r="D5" s="39">
        <v>0.02</v>
      </c>
      <c r="H5" s="37" t="s">
        <v>267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268</v>
      </c>
      <c r="C6" s="42" t="s">
        <v>269</v>
      </c>
      <c r="D6" s="43" t="s">
        <v>270</v>
      </c>
      <c r="E6" s="43" t="s">
        <v>271</v>
      </c>
      <c r="F6" s="43" t="s">
        <v>272</v>
      </c>
      <c r="H6" s="37" t="s">
        <v>273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300</v>
      </c>
      <c r="B7" s="72">
        <f>$D$3</f>
        <v>271156</v>
      </c>
      <c r="C7" s="75">
        <v>302312</v>
      </c>
      <c r="D7" s="45">
        <f>$D$4</f>
        <v>14640.64</v>
      </c>
      <c r="E7" s="45">
        <f>IF(C7-B7&lt;0,0,(C7-B7)*$D$5)</f>
        <v>623.12</v>
      </c>
      <c r="F7" s="45">
        <f>E7+D7</f>
        <v>15263.76</v>
      </c>
      <c r="H7" s="37" t="s">
        <v>274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301</v>
      </c>
      <c r="B8" s="72">
        <f t="shared" ref="B8:B12" si="0">$D$3</f>
        <v>271156</v>
      </c>
      <c r="C8" s="75">
        <v>367246</v>
      </c>
      <c r="D8" s="45">
        <f t="shared" ref="D8:D12" si="1">$D$4</f>
        <v>14640.64</v>
      </c>
      <c r="E8" s="45">
        <f t="shared" ref="E8:E12" si="2">IF(C8-B8&lt;0,0,(C8-B8)*$D$5)</f>
        <v>1921.8</v>
      </c>
      <c r="F8" s="45">
        <f t="shared" ref="F8:F11" si="3">E8+D8</f>
        <v>16562.439999999999</v>
      </c>
      <c r="H8" s="142" t="s">
        <v>275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302</v>
      </c>
      <c r="B9" s="72">
        <f t="shared" si="0"/>
        <v>271156</v>
      </c>
      <c r="C9" s="75">
        <v>331523</v>
      </c>
      <c r="D9" s="45">
        <f t="shared" si="1"/>
        <v>14640.64</v>
      </c>
      <c r="E9" s="45">
        <f t="shared" si="2"/>
        <v>1207.3399999999999</v>
      </c>
      <c r="F9" s="45">
        <f t="shared" si="3"/>
        <v>15847.98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303</v>
      </c>
      <c r="B10" s="72">
        <f t="shared" si="0"/>
        <v>271156</v>
      </c>
      <c r="C10" s="75">
        <f>SUM(CONSOLIDADO!B13,CONSOLIDADO!B15)</f>
        <v>392470</v>
      </c>
      <c r="D10" s="45">
        <f t="shared" si="1"/>
        <v>14640.64</v>
      </c>
      <c r="E10" s="45">
        <f t="shared" si="2"/>
        <v>2426.2800000000002</v>
      </c>
      <c r="F10" s="45">
        <f t="shared" si="3"/>
        <v>17066.919999999998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304</v>
      </c>
      <c r="B11" s="72">
        <f t="shared" si="0"/>
        <v>271156</v>
      </c>
      <c r="C11" s="75"/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276</v>
      </c>
      <c r="H11" s="46" t="s">
        <v>277</v>
      </c>
    </row>
    <row r="12" spans="1:15" ht="15.75" thickBot="1" x14ac:dyDescent="0.3">
      <c r="A12" s="44" t="s">
        <v>305</v>
      </c>
      <c r="B12" s="73">
        <f t="shared" si="0"/>
        <v>271156</v>
      </c>
      <c r="C12" s="75"/>
      <c r="D12" s="47">
        <f t="shared" si="1"/>
        <v>14640.64</v>
      </c>
      <c r="E12" s="47">
        <f t="shared" si="2"/>
        <v>0</v>
      </c>
      <c r="F12" s="48">
        <f>E12+D12</f>
        <v>14640.64</v>
      </c>
      <c r="G12" s="49">
        <f>IF(C13&gt;B13,E13-C15,E13)</f>
        <v>6178.5400000000009</v>
      </c>
      <c r="H12" s="50">
        <f>F12-G12</f>
        <v>8462.0999999999985</v>
      </c>
    </row>
    <row r="13" spans="1:15" ht="19.5" thickBot="1" x14ac:dyDescent="0.35">
      <c r="A13" s="51" t="s">
        <v>278</v>
      </c>
      <c r="B13" s="74">
        <f>SUM(B7:B12)</f>
        <v>1626936</v>
      </c>
      <c r="C13" s="76">
        <f>SUM(C7:C12)</f>
        <v>1393551</v>
      </c>
      <c r="D13" s="54">
        <f>SUM(D7:D12)</f>
        <v>87843.839999999997</v>
      </c>
      <c r="E13" s="55">
        <f>SUM(E7:E12)</f>
        <v>6178.5400000000009</v>
      </c>
      <c r="F13" s="143" t="s">
        <v>279</v>
      </c>
      <c r="G13" s="144"/>
      <c r="H13" s="56">
        <f>SUM(F7:F11)+H12</f>
        <v>87843.839999999997</v>
      </c>
    </row>
    <row r="14" spans="1:15" ht="15.75" thickBot="1" x14ac:dyDescent="0.3">
      <c r="A14" s="130" t="s">
        <v>280</v>
      </c>
      <c r="B14" s="131"/>
      <c r="C14" s="77">
        <f>C13-B13</f>
        <v>-233385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281</v>
      </c>
      <c r="C17" s="61" t="s">
        <v>282</v>
      </c>
      <c r="F17" s="37" t="s">
        <v>283</v>
      </c>
    </row>
    <row r="18" spans="1:10" ht="15.75" thickBot="1" x14ac:dyDescent="0.3">
      <c r="A18" s="53"/>
      <c r="B18" s="62" t="s">
        <v>284</v>
      </c>
      <c r="C18" s="63" t="s">
        <v>285</v>
      </c>
    </row>
    <row r="19" spans="1:10" ht="15.75" thickBot="1" x14ac:dyDescent="0.3">
      <c r="A19" s="64"/>
      <c r="B19" s="62" t="s">
        <v>286</v>
      </c>
      <c r="C19" s="63" t="s">
        <v>287</v>
      </c>
    </row>
    <row r="20" spans="1:10" ht="15.75" thickBot="1" x14ac:dyDescent="0.3">
      <c r="A20" s="57"/>
      <c r="B20" s="65" t="s">
        <v>288</v>
      </c>
      <c r="C20" s="63" t="s">
        <v>289</v>
      </c>
      <c r="E20" s="66" t="s">
        <v>290</v>
      </c>
    </row>
    <row r="21" spans="1:10" ht="15.75" thickBot="1" x14ac:dyDescent="0.3">
      <c r="A21" s="67"/>
      <c r="B21" s="65" t="s">
        <v>291</v>
      </c>
      <c r="C21" s="63" t="s">
        <v>292</v>
      </c>
      <c r="E21" s="66" t="s">
        <v>293</v>
      </c>
      <c r="F21" s="61"/>
      <c r="G21" s="61"/>
    </row>
    <row r="22" spans="1:10" ht="15.75" thickBot="1" x14ac:dyDescent="0.3">
      <c r="A22" s="68"/>
      <c r="B22" s="65" t="s">
        <v>276</v>
      </c>
      <c r="C22" s="63" t="s">
        <v>294</v>
      </c>
      <c r="E22" s="69" t="s">
        <v>295</v>
      </c>
      <c r="F22" s="63"/>
      <c r="G22" s="63"/>
    </row>
    <row r="23" spans="1:10" ht="15.75" thickBot="1" x14ac:dyDescent="0.3">
      <c r="A23" s="70"/>
      <c r="B23" s="65" t="s">
        <v>277</v>
      </c>
      <c r="C23" s="63" t="s">
        <v>296</v>
      </c>
      <c r="E23" s="61" t="s">
        <v>297</v>
      </c>
      <c r="F23" s="61"/>
      <c r="G23" s="61"/>
      <c r="H23" s="61"/>
      <c r="I23" s="61"/>
      <c r="J23" s="61"/>
    </row>
    <row r="27" spans="1:10" x14ac:dyDescent="0.25">
      <c r="E27" s="58">
        <f>H13/C13</f>
        <v>6.303597069644383E-2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C10" sqref="C10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2" t="s">
        <v>259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260</v>
      </c>
      <c r="H2" s="37" t="s">
        <v>261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262</v>
      </c>
      <c r="B3" s="134"/>
      <c r="C3" s="135"/>
      <c r="D3" s="78">
        <f>SUM(BASE!I80)</f>
        <v>6600</v>
      </c>
      <c r="H3" s="37" t="s">
        <v>263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264</v>
      </c>
      <c r="B4" s="137"/>
      <c r="C4" s="138"/>
      <c r="D4" s="38">
        <f>SUM(CONSOLIDADO!D8)</f>
        <v>4620</v>
      </c>
      <c r="H4" s="37" t="s">
        <v>265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266</v>
      </c>
      <c r="B5" s="140"/>
      <c r="C5" s="141"/>
      <c r="D5" s="39">
        <f>SUM(CONSOLIDADO!B9)</f>
        <v>0.25</v>
      </c>
      <c r="H5" s="37" t="s">
        <v>267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298</v>
      </c>
      <c r="C6" s="42" t="s">
        <v>299</v>
      </c>
      <c r="D6" s="43" t="s">
        <v>270</v>
      </c>
      <c r="E6" s="43" t="s">
        <v>271</v>
      </c>
      <c r="F6" s="43" t="s">
        <v>272</v>
      </c>
      <c r="H6" s="37" t="s">
        <v>273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300</v>
      </c>
      <c r="B7" s="72">
        <f>$D$3</f>
        <v>6600</v>
      </c>
      <c r="C7" s="75">
        <v>1550</v>
      </c>
      <c r="D7" s="45">
        <f>$D$4</f>
        <v>4620</v>
      </c>
      <c r="E7" s="45">
        <f>IF(C7-B7&lt;0,0,(C7-B7)*$D$5)</f>
        <v>0</v>
      </c>
      <c r="F7" s="45">
        <f>E7+D7</f>
        <v>4620</v>
      </c>
      <c r="H7" s="37" t="s">
        <v>274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301</v>
      </c>
      <c r="B8" s="72">
        <f t="shared" ref="B8:B12" si="0">$D$3</f>
        <v>6600</v>
      </c>
      <c r="C8" s="75">
        <v>2573</v>
      </c>
      <c r="D8" s="45">
        <f t="shared" ref="D8:D12" si="1">$D$4</f>
        <v>4620</v>
      </c>
      <c r="E8" s="45">
        <f t="shared" ref="E8:E12" si="2">IF(C8-B8&lt;0,0,(C8-B8)*$D$5)</f>
        <v>0</v>
      </c>
      <c r="F8" s="45">
        <f t="shared" ref="F8:F11" si="3">E8+D8</f>
        <v>4620</v>
      </c>
      <c r="H8" s="142" t="s">
        <v>275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302</v>
      </c>
      <c r="B9" s="72">
        <f t="shared" si="0"/>
        <v>6600</v>
      </c>
      <c r="C9" s="75">
        <v>1025</v>
      </c>
      <c r="D9" s="45">
        <f t="shared" si="1"/>
        <v>4620</v>
      </c>
      <c r="E9" s="45">
        <f t="shared" si="2"/>
        <v>0</v>
      </c>
      <c r="F9" s="45">
        <f t="shared" si="3"/>
        <v>4620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303</v>
      </c>
      <c r="B10" s="72">
        <f t="shared" si="0"/>
        <v>6600</v>
      </c>
      <c r="C10" s="75">
        <f>SUM(CONSOLIDADO!D13,CONSOLIDADO!D15)</f>
        <v>3115</v>
      </c>
      <c r="D10" s="45">
        <f t="shared" si="1"/>
        <v>4620</v>
      </c>
      <c r="E10" s="45">
        <f t="shared" si="2"/>
        <v>0</v>
      </c>
      <c r="F10" s="45">
        <f t="shared" si="3"/>
        <v>4620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304</v>
      </c>
      <c r="B11" s="72">
        <f t="shared" si="0"/>
        <v>6600</v>
      </c>
      <c r="C11" s="75"/>
      <c r="D11" s="45">
        <f t="shared" si="1"/>
        <v>4620</v>
      </c>
      <c r="E11" s="45">
        <f t="shared" si="2"/>
        <v>0</v>
      </c>
      <c r="F11" s="45">
        <f t="shared" si="3"/>
        <v>4620</v>
      </c>
      <c r="G11" s="46" t="s">
        <v>276</v>
      </c>
      <c r="H11" s="46" t="s">
        <v>277</v>
      </c>
    </row>
    <row r="12" spans="1:15" ht="15.75" thickBot="1" x14ac:dyDescent="0.3">
      <c r="A12" s="44" t="s">
        <v>305</v>
      </c>
      <c r="B12" s="73">
        <f t="shared" si="0"/>
        <v>6600</v>
      </c>
      <c r="C12" s="75"/>
      <c r="D12" s="47">
        <f t="shared" si="1"/>
        <v>4620</v>
      </c>
      <c r="E12" s="47">
        <f t="shared" si="2"/>
        <v>0</v>
      </c>
      <c r="F12" s="48">
        <f>E12+D12</f>
        <v>4620</v>
      </c>
      <c r="G12" s="49">
        <f>IF(C13&gt;B13,E13-C15,E13)</f>
        <v>0</v>
      </c>
      <c r="H12" s="50">
        <f>F12-G12</f>
        <v>4620</v>
      </c>
    </row>
    <row r="13" spans="1:15" ht="19.5" thickBot="1" x14ac:dyDescent="0.35">
      <c r="A13" s="51" t="s">
        <v>278</v>
      </c>
      <c r="B13" s="74">
        <f>SUM(B7:B12)</f>
        <v>39600</v>
      </c>
      <c r="C13" s="76">
        <f>SUM(C7:C12)</f>
        <v>8263</v>
      </c>
      <c r="D13" s="54">
        <f>SUM(D7:D12)</f>
        <v>27720</v>
      </c>
      <c r="E13" s="55">
        <f>SUM(E7:E12)</f>
        <v>0</v>
      </c>
      <c r="F13" s="143" t="s">
        <v>279</v>
      </c>
      <c r="G13" s="144"/>
      <c r="H13" s="56">
        <f>SUM(F7:F11)+H12</f>
        <v>27720</v>
      </c>
    </row>
    <row r="14" spans="1:15" ht="15.75" thickBot="1" x14ac:dyDescent="0.3">
      <c r="A14" s="130" t="s">
        <v>280</v>
      </c>
      <c r="B14" s="131"/>
      <c r="C14" s="77">
        <f>C13-B13</f>
        <v>-31337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281</v>
      </c>
      <c r="C17" s="61" t="s">
        <v>282</v>
      </c>
      <c r="F17" s="37" t="s">
        <v>283</v>
      </c>
    </row>
    <row r="18" spans="1:10" ht="15.75" thickBot="1" x14ac:dyDescent="0.3">
      <c r="A18" s="53"/>
      <c r="B18" s="62" t="s">
        <v>284</v>
      </c>
      <c r="C18" s="63" t="s">
        <v>285</v>
      </c>
    </row>
    <row r="19" spans="1:10" ht="15.75" thickBot="1" x14ac:dyDescent="0.3">
      <c r="A19" s="64"/>
      <c r="B19" s="62" t="s">
        <v>286</v>
      </c>
      <c r="C19" s="63" t="s">
        <v>287</v>
      </c>
    </row>
    <row r="20" spans="1:10" ht="15.75" thickBot="1" x14ac:dyDescent="0.3">
      <c r="A20" s="57"/>
      <c r="B20" s="65" t="s">
        <v>288</v>
      </c>
      <c r="C20" s="63" t="s">
        <v>289</v>
      </c>
      <c r="E20" s="66" t="s">
        <v>290</v>
      </c>
    </row>
    <row r="21" spans="1:10" ht="15.75" thickBot="1" x14ac:dyDescent="0.3">
      <c r="A21" s="67"/>
      <c r="B21" s="65" t="s">
        <v>291</v>
      </c>
      <c r="C21" s="63" t="s">
        <v>292</v>
      </c>
      <c r="E21" s="66" t="s">
        <v>293</v>
      </c>
      <c r="F21" s="61"/>
      <c r="G21" s="61"/>
    </row>
    <row r="22" spans="1:10" ht="15.75" thickBot="1" x14ac:dyDescent="0.3">
      <c r="A22" s="68"/>
      <c r="B22" s="65" t="s">
        <v>276</v>
      </c>
      <c r="C22" s="63" t="s">
        <v>294</v>
      </c>
      <c r="E22" s="69" t="s">
        <v>295</v>
      </c>
      <c r="F22" s="63"/>
      <c r="G22" s="63"/>
    </row>
    <row r="23" spans="1:10" ht="15.75" thickBot="1" x14ac:dyDescent="0.3">
      <c r="A23" s="70"/>
      <c r="B23" s="65" t="s">
        <v>277</v>
      </c>
      <c r="C23" s="63" t="s">
        <v>296</v>
      </c>
      <c r="E23" s="61" t="s">
        <v>297</v>
      </c>
      <c r="F23" s="61"/>
      <c r="G23" s="61"/>
      <c r="H23" s="61"/>
      <c r="I23" s="61"/>
      <c r="J23" s="61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C45C41-E8DF-422B-B7D8-A7ACB502A8B9}">
  <ds:schemaRefs>
    <ds:schemaRef ds:uri="e0c41287-3fae-4d33-9378-24a2e4e94c8b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76045822-f663-47fe-a980-18965f3af8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Manager/>
  <Company>EBSERH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Ildeney De Sousa Barbosa</dc:creator>
  <cp:keywords/>
  <dc:description/>
  <cp:lastModifiedBy>Christian Ferraz Pinto Pacheco</cp:lastModifiedBy>
  <cp:revision/>
  <dcterms:created xsi:type="dcterms:W3CDTF">2019-04-12T18:07:17Z</dcterms:created>
  <dcterms:modified xsi:type="dcterms:W3CDTF">2022-06-01T19:24:48Z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