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J4" i="4" l="1"/>
  <c r="K4" i="4" s="1"/>
  <c r="J67" i="4"/>
  <c r="K67" i="4" s="1"/>
  <c r="J68" i="4"/>
  <c r="K68" i="4" s="1"/>
  <c r="J66" i="4"/>
  <c r="K66" i="4" s="1"/>
  <c r="J56" i="4"/>
  <c r="K56" i="4" s="1"/>
  <c r="J69" i="4"/>
  <c r="K69" i="4" s="1"/>
  <c r="J65" i="4" l="1"/>
  <c r="K65" i="4" s="1"/>
  <c r="J12" i="4"/>
  <c r="K12" i="4" s="1"/>
  <c r="J5" i="4"/>
  <c r="K5" i="4" s="1"/>
  <c r="J6" i="4"/>
  <c r="K6" i="4" s="1"/>
  <c r="J7" i="4"/>
  <c r="K7" i="4" s="1"/>
  <c r="J3" i="4"/>
  <c r="K3" i="4" s="1"/>
  <c r="K2" i="4" l="1"/>
  <c r="J53" i="4"/>
  <c r="K53" i="4" s="1"/>
  <c r="J28" i="4" l="1"/>
  <c r="K28" i="4" s="1"/>
  <c r="F75" i="4" l="1"/>
  <c r="H75" i="4" s="1"/>
  <c r="F76" i="4"/>
  <c r="H76" i="4" s="1"/>
  <c r="F77" i="4"/>
  <c r="H77" i="4" s="1"/>
  <c r="J78" i="4"/>
  <c r="F79" i="4"/>
  <c r="F74" i="4"/>
  <c r="G74" i="4" s="1"/>
  <c r="J52" i="4"/>
  <c r="K52" i="4" s="1"/>
  <c r="J25" i="4"/>
  <c r="K25" i="4" s="1"/>
  <c r="J43" i="4"/>
  <c r="K43" i="4" s="1"/>
  <c r="J8" i="4"/>
  <c r="K8" i="4" s="1"/>
  <c r="J14" i="4"/>
  <c r="K14" i="4" s="1"/>
  <c r="J39" i="4"/>
  <c r="K39" i="4" s="1"/>
  <c r="J49" i="4"/>
  <c r="K49" i="4" s="1"/>
  <c r="J21" i="4"/>
  <c r="K21" i="4" s="1"/>
  <c r="J17" i="4"/>
  <c r="K17" i="4" s="1"/>
  <c r="J45" i="4"/>
  <c r="K45" i="4" s="1"/>
  <c r="J10" i="4"/>
  <c r="K10" i="4" s="1"/>
  <c r="J59" i="4"/>
  <c r="K59" i="4" s="1"/>
  <c r="J44" i="4"/>
  <c r="K44" i="4" s="1"/>
  <c r="J51" i="4"/>
  <c r="K51" i="4" s="1"/>
  <c r="J64" i="4"/>
  <c r="K64" i="4" s="1"/>
  <c r="J15" i="4"/>
  <c r="K15" i="4" s="1"/>
  <c r="J16" i="4"/>
  <c r="K16" i="4" s="1"/>
  <c r="J58" i="4"/>
  <c r="K58" i="4" s="1"/>
  <c r="J26" i="4"/>
  <c r="K26" i="4" s="1"/>
  <c r="J29" i="4"/>
  <c r="K29" i="4" s="1"/>
  <c r="J19" i="4"/>
  <c r="K19" i="4" s="1"/>
  <c r="J18" i="4"/>
  <c r="K18" i="4" s="1"/>
  <c r="J41" i="4"/>
  <c r="K41" i="4" s="1"/>
  <c r="J34" i="4"/>
  <c r="K34" i="4" s="1"/>
  <c r="J11" i="4"/>
  <c r="K11" i="4" s="1"/>
  <c r="J55" i="4"/>
  <c r="K55" i="4" s="1"/>
  <c r="J33" i="4"/>
  <c r="K33" i="4" s="1"/>
  <c r="J27" i="4"/>
  <c r="K27" i="4" s="1"/>
  <c r="J57" i="4"/>
  <c r="K57" i="4" s="1"/>
  <c r="J61" i="4"/>
  <c r="K61" i="4" s="1"/>
  <c r="J62" i="4"/>
  <c r="K62" i="4" s="1"/>
  <c r="J35" i="4"/>
  <c r="K35" i="4" s="1"/>
  <c r="J46" i="4"/>
  <c r="K46" i="4" s="1"/>
  <c r="J60" i="4"/>
  <c r="K60" i="4" s="1"/>
  <c r="J37" i="4"/>
  <c r="K37" i="4" s="1"/>
  <c r="J30" i="4"/>
  <c r="K30" i="4" s="1"/>
  <c r="J32" i="4"/>
  <c r="K32" i="4" s="1"/>
  <c r="J48" i="4"/>
  <c r="K48" i="4" s="1"/>
  <c r="J54" i="4"/>
  <c r="K54" i="4" s="1"/>
  <c r="J63" i="4"/>
  <c r="K63" i="4" s="1"/>
  <c r="J31" i="4"/>
  <c r="K31" i="4" s="1"/>
  <c r="J47" i="4"/>
  <c r="K47" i="4" s="1"/>
  <c r="J50" i="4"/>
  <c r="K50" i="4" s="1"/>
  <c r="J9" i="4"/>
  <c r="K9" i="4" s="1"/>
  <c r="J38" i="4"/>
  <c r="K38" i="4" s="1"/>
  <c r="J23" i="4"/>
  <c r="K23" i="4" s="1"/>
  <c r="J22" i="4"/>
  <c r="K22" i="4" s="1"/>
  <c r="J20" i="4"/>
  <c r="K20" i="4" s="1"/>
  <c r="J40" i="4"/>
  <c r="K40" i="4" s="1"/>
  <c r="J79" i="4" l="1"/>
  <c r="G79" i="4"/>
  <c r="J80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J36" i="4"/>
  <c r="K36" i="4" s="1"/>
  <c r="J13" i="4"/>
  <c r="K13" i="4" s="1"/>
  <c r="D5" i="8"/>
  <c r="D13" i="5" l="1"/>
  <c r="C10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2" i="4" l="1"/>
  <c r="K42" i="4" s="1"/>
  <c r="J24" i="4"/>
  <c r="K24" i="4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C10" i="7" l="1"/>
  <c r="E10" i="7" s="1"/>
  <c r="F10" i="7" s="1"/>
  <c r="E9" i="7"/>
  <c r="F9" i="7" s="1"/>
  <c r="A26" i="5"/>
  <c r="E12" i="7"/>
  <c r="F12" i="7" s="1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<sst xmlns="http://schemas.openxmlformats.org/spreadsheetml/2006/main" count="493" uniqueCount="308">
  <si>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</si>
  <si>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</si>
  <si>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</si>
  <si>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</si>
  <si>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</si>
  <si>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</si>
  <si>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</si>
  <si>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</si>
  <si>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</si>
  <si>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</si>
  <si>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</si>
  <si>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</si>
  <si>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</si>
  <si>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</si>
  <si>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</si>
  <si>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</si>
  <si>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</si>
  <si>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</si>
  <si>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</si>
  <si>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</si>
  <si>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</si>
  <si>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</si>
  <si>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</si>
  <si>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</si>
  <si>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</si>
  <si>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</si>
  <si>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</si>
  <si>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</si>
  <si>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</si>
  <si>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</si>
  <si>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</si>
  <si>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</si>
  <si>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</si>
  <si>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</si>
  <si>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</si>
  <si>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</si>
  <si>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</si>
  <si>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</si>
  <si>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</si>
  <si>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</si>
  <si>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</si>
  <si>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</si>
  <si>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</si>
  <si>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</si>
  <si>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</si>
  <si>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</si>
  <si>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</si>
  <si>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</si>
  <si>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</si>
  <si>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</si>
  <si>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</si>
  <si>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</si>
  <si>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</si>
  <si>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</si>
  <si>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</si>
  <si>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</si>
  <si>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</si>
  <si>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</si>
  <si>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</si>
  <si>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</si>
  <si>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</si>
  <si>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</si>
  <si>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</si>
  <si>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</si>
  <si>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</si>
  <si>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</si>
  <si>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</si>
  <si>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</si>
  <si>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</si>
  <si>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</si>
  <si>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</si>
  <si>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</si>
  <si>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</si>
  <si>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</si>
  <si>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</si>
  <si>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</si>
  <si>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</si>
  <si>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</si>
  <si>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</si>
  <si>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</si>
  <si>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</si>
  <si>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</si>
  <si>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</si>
  <si>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</si>
  <si>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</si>
  <si>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</si>
  <si>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</si>
  <si>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</si>
  <si>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</si>
  <si>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</si>
  <si>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</si>
  <si>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</si>
  <si>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</si>
  <si>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</si>
  <si>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</si>
  <si>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</si>
  <si>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</si>
  <si>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</si>
  <si>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</si>
  <si>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</si>
  <si>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</si>
  <si>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</si>
  <si>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</si>
  <si>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</si>
  <si>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</si>
  <si>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</si>
  <si>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</si>
  <si>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</si>
  <si>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</si>
  <si>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</si>
  <si>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</si>
  <si>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</si>
  <si>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</si>
  <si>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</si>
  <si>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</si>
  <si>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</si>
  <si>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</si>
  <si>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</si>
  <si>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</si>
  <si>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</si>
  <si>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</si>
  <si>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</si>
  <si>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</si>
  <si>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</si>
  <si>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</si>
  <si>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</si>
  <si>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</si>
  <si>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</si>
  <si>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</si>
  <si>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</si>
  <si>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</si>
  <si>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</si>
  <si>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</si>
  <si>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</si>
  <si>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</si>
  <si>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</si>
  <si>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</si>
  <si>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</si>
  <si>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</si>
  <si>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</si>
  <si>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</si>
  <si>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</si>
  <si>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</si>
  <si>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</si>
  <si>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</si>
  <si>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</si>
  <si>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</si>
  <si>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</si>
  <si>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</si>
  <si>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</si>
  <si>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</si>
  <si>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</si>
  <si>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</si>
  <si>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</si>
  <si>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</si>
  <si>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</si>
  <si>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</si>
  <si>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</si>
  <si>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</si>
  <si>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</si>
  <si>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</si>
  <si>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</si>
  <si>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</si>
  <si>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</si>
  <si>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</si>
  <si>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</si>
  <si>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</si>
  <si>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</si>
  <si>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</si>
  <si>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</si>
  <si>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</si>
  <si>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</si>
  <si>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</si>
  <si>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</si>
  <si>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</si>
  <si>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</si>
  <si>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</si>
  <si>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</si>
  <si>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</si>
  <si>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</si>
  <si>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</si>
  <si>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</si>
  <si>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</si>
  <si>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</si>
  <si>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</si>
  <si>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</si>
  <si>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</si>
  <si>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</si>
  <si>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</si>
  <si>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</si>
  <si>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</si>
  <si>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</si>
  <si>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</si>
  <si>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</si>
  <si>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</si>
  <si>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</si>
  <si>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</si>
  <si>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</si>
  <si>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</si>
  <si>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</si>
  <si>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</si>
  <si>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</si>
  <si>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</si>
  <si>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</si>
  <si>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</si>
  <si>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</si>
  <si>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</si>
  <si>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</si>
  <si>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</si>
  <si>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</si>
  <si>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</si>
  <si>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</si>
  <si>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</si>
  <si>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</si>
  <si>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</si>
  <si>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</si>
  <si>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</si>
  <si>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</si>
  <si>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</si>
  <si>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</si>
  <si>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</si>
  <si>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</si>
  <si>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</si>
  <si>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</si>
  <si>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</si>
  <si>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</si>
  <si>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</si>
  <si>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</si>
  <si>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</si>
  <si>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</si>
  <si>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</si>
  <si>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</si>
  <si>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</si>
  <si>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</si>
  <si>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</si>
  <si>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</si>
  <si>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U64210B0N382662</t>
  </si>
  <si>
    <t>#</t>
  </si>
  <si>
    <t>TIPO 5MA3</t>
  </si>
  <si>
    <t>TIPO 1M</t>
  </si>
  <si>
    <t>TIPO 2M</t>
  </si>
  <si>
    <t>TIPO 1</t>
  </si>
  <si>
    <t>TIPO 2</t>
  </si>
  <si>
    <t>Franquia Mensal MONO</t>
  </si>
  <si>
    <t>Produzido mono</t>
  </si>
  <si>
    <t>Franquia Mensal poli</t>
  </si>
  <si>
    <t>Produzido poli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</si>
  <si>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</si>
  <si>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</si>
  <si>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</si>
  <si>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</si>
  <si>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</si>
  <si>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</si>
  <si>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</si>
  <si>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</si>
  <si>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</si>
  <si>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</si>
  <si>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</si>
  <si>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</si>
  <si>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</si>
  <si>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</si>
  <si>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</si>
  <si>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</si>
  <si>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</si>
  <si>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</si>
  <si>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</si>
  <si>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</si>
  <si>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</si>
  <si>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</si>
  <si>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</si>
  <si>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</si>
  <si>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</si>
  <si>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</si>
  <si>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</si>
  <si>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</si>
  <si>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</si>
  <si>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</si>
  <si>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</si>
  <si>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FATURAMENTO</t>
  </si>
  <si>
    <t>AMB_OFTALMO</t>
  </si>
  <si>
    <t>AMB_CCIR</t>
  </si>
  <si>
    <t>AMB_CLM</t>
  </si>
  <si>
    <t>AMB_GINECO</t>
  </si>
  <si>
    <t>AMB_REUMATOLOGIA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</si>
  <si>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</si>
  <si>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</si>
  <si>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</si>
  <si>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</si>
  <si>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</si>
  <si>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</si>
  <si>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</si>
  <si>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</si>
  <si>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</si>
  <si>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</si>
  <si>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</si>
  <si>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Mês 13</t>
  </si>
  <si>
    <t>Mês 14</t>
  </si>
  <si>
    <t>Mês 15</t>
  </si>
  <si>
    <t>Mês 16</t>
  </si>
  <si>
    <t>Mês 17</t>
  </si>
  <si>
    <t>Mês 18</t>
  </si>
  <si>
    <t>10.42.205.98</t>
  </si>
  <si>
    <t>ENDOSCOPIA</t>
  </si>
  <si>
    <t>10.42.205.80</t>
  </si>
  <si>
    <t>AMB_RADIOTERAPIA</t>
  </si>
  <si>
    <t>Meses</t>
  </si>
  <si>
    <t>SETISD</t>
  </si>
  <si>
    <t>AMBULATORIO_GUICHE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</si>
</sst>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4" fontId="4" fillId="4" borderId="11" xfId="1" applyFont="1" applyFill="1" applyBorder="1" applyAlignment="1" applyProtection="1">
      <alignment horizontal="center" vertical="center" wrapText="1"/>
    </xf>
    <xf numFmtId="164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 applyProtection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 applyProtection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 applyProtection="1">
      <alignment horizontal="center" vertical="center" wrapText="1"/>
    </xf>
    <xf numFmtId="164" fontId="2" fillId="6" borderId="14" xfId="1" applyFont="1" applyFill="1" applyBorder="1" applyAlignment="1" applyProtection="1">
      <alignment horizontal="center" vertical="center" wrapText="1"/>
    </xf>
    <xf numFmtId="164" fontId="2" fillId="6" borderId="9" xfId="1" applyFont="1" applyFill="1" applyBorder="1" applyAlignment="1" applyProtection="1">
      <alignment horizontal="center" vertical="center" wrapText="1"/>
    </xf>
    <xf numFmtId="164" fontId="2" fillId="6" borderId="17" xfId="1" applyFont="1" applyFill="1" applyBorder="1" applyAlignment="1" applyProtection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Border="1" applyAlignment="1">
      <alignment horizontal="center" vertical="center"/>
    </xf>
    <xf numFmtId="164" fontId="4" fillId="4" borderId="27" xfId="1" applyFont="1" applyFill="1" applyBorder="1" applyAlignment="1" applyProtection="1">
      <alignment horizontal="center" vertical="center"/>
    </xf>
    <xf numFmtId="164" fontId="4" fillId="4" borderId="28" xfId="1" applyFont="1" applyFill="1" applyBorder="1" applyAlignment="1" applyProtection="1">
      <alignment horizontal="center" vertical="center"/>
    </xf>
    <xf numFmtId="164" fontId="4" fillId="4" borderId="29" xfId="1" applyFont="1" applyFill="1" applyBorder="1" applyAlignment="1" applyProtection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 applyProtection="1">
      <alignment horizontal="center" vertical="center" wrapText="1"/>
    </xf>
    <xf numFmtId="164" fontId="4" fillId="4" borderId="24" xfId="1" applyFont="1" applyFill="1" applyBorder="1" applyAlignment="1" applyProtection="1">
      <alignment horizontal="center" vertical="center"/>
    </xf>
    <xf numFmtId="164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 applyProtection="1">
      <alignment horizontal="center" wrapText="1"/>
    </xf>
    <xf numFmtId="164" fontId="4" fillId="5" borderId="6" xfId="1" applyFont="1" applyFill="1" applyBorder="1" applyAlignment="1" applyProtection="1">
      <alignment horizontal="center" wrapText="1"/>
    </xf>
    <xf numFmtId="164" fontId="2" fillId="6" borderId="5" xfId="1" applyFont="1" applyFill="1" applyBorder="1" applyAlignment="1" applyProtection="1">
      <alignment horizontal="center" vertical="center" wrapText="1"/>
    </xf>
    <xf numFmtId="164" fontId="2" fillId="6" borderId="6" xfId="1" applyFont="1" applyFill="1" applyBorder="1" applyAlignment="1" applyProtection="1">
      <alignment horizontal="center" vertical="center" wrapText="1"/>
    </xf>
    <xf numFmtId="164" fontId="4" fillId="5" borderId="7" xfId="1" applyFont="1" applyFill="1" applyBorder="1" applyAlignment="1" applyProtection="1">
      <alignment horizontal="center" wrapText="1"/>
    </xf>
    <xf numFmtId="164" fontId="4" fillId="5" borderId="8" xfId="1" applyFont="1" applyFill="1" applyBorder="1" applyAlignment="1" applyProtection="1">
      <alignment horizontal="center" wrapText="1"/>
    </xf>
    <xf numFmtId="164" fontId="2" fillId="6" borderId="2" xfId="1" applyFont="1" applyFill="1" applyBorder="1" applyAlignment="1" applyProtection="1">
      <alignment horizontal="center" vertical="center" wrapText="1"/>
    </xf>
    <xf numFmtId="164" fontId="2" fillId="6" borderId="3" xfId="1" applyFont="1" applyFill="1" applyBorder="1" applyAlignment="1" applyProtection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E21" sqref="E21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237</v>
      </c>
      <c r="C1" s="82" t="s">
        <v>23</v>
      </c>
      <c r="D1" s="82" t="s">
        <v>21</v>
      </c>
      <c r="E1" s="83" t="s">
        <v>10</v>
      </c>
      <c r="F1" s="83" t="s">
        <v>1</v>
      </c>
      <c r="G1" s="83" t="s">
        <v>2</v>
      </c>
      <c r="H1" s="82" t="s">
        <v>24</v>
      </c>
      <c r="I1" s="82" t="s">
        <v>25</v>
      </c>
      <c r="J1" s="84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77</v>
      </c>
      <c r="B2" s="71">
        <v>1</v>
      </c>
      <c r="C2" s="2">
        <v>44046</v>
      </c>
      <c r="D2" s="85" t="s">
        <v>238</v>
      </c>
      <c r="E2" s="35" t="s">
        <v>233</v>
      </c>
      <c r="F2" s="35" t="s">
        <v>128</v>
      </c>
      <c r="G2" s="35" t="s">
        <v>180</v>
      </c>
      <c r="H2" s="35">
        <v>114124</v>
      </c>
      <c r="I2" s="35">
        <v>116511</v>
      </c>
      <c r="J2" s="86">
        <v>0</v>
      </c>
      <c r="K2" s="86">
        <f>J2</f>
        <v>0</v>
      </c>
      <c r="L2" s="3"/>
      <c r="M2" s="3">
        <f>I2-H2</f>
        <v>2387</v>
      </c>
      <c r="N2" s="3"/>
      <c r="O2" s="87"/>
      <c r="P2" s="35">
        <v>9</v>
      </c>
      <c r="Q2" s="35">
        <v>2020</v>
      </c>
    </row>
    <row r="3" spans="1:17" x14ac:dyDescent="0.25">
      <c r="A3" s="35" t="s">
        <v>302</v>
      </c>
      <c r="B3" s="71">
        <v>59</v>
      </c>
      <c r="C3" s="2">
        <v>44137</v>
      </c>
      <c r="D3" s="85" t="s">
        <v>241</v>
      </c>
      <c r="E3" s="35" t="s">
        <v>235</v>
      </c>
      <c r="F3" s="35" t="s">
        <v>263</v>
      </c>
      <c r="G3" s="35" t="s">
        <v>222</v>
      </c>
      <c r="H3" s="35">
        <v>3023</v>
      </c>
      <c r="I3" s="35">
        <v>3809</v>
      </c>
      <c r="J3" s="86">
        <f>I3-H3</f>
        <v>786</v>
      </c>
      <c r="K3" s="86">
        <f>J3</f>
        <v>786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279</v>
      </c>
      <c r="B4" s="71">
        <v>65</v>
      </c>
      <c r="C4" s="2">
        <v>44218</v>
      </c>
      <c r="D4" s="85" t="s">
        <v>241</v>
      </c>
      <c r="E4" s="35" t="s">
        <v>235</v>
      </c>
      <c r="F4" s="35" t="s">
        <v>284</v>
      </c>
      <c r="G4" s="35" t="s">
        <v>290</v>
      </c>
      <c r="H4" s="35">
        <v>32273</v>
      </c>
      <c r="I4" s="35">
        <v>35398</v>
      </c>
      <c r="J4" s="86">
        <f>I4-H4</f>
        <v>3125</v>
      </c>
      <c r="K4" s="86">
        <f>J4</f>
        <v>3125</v>
      </c>
      <c r="L4" s="35"/>
      <c r="M4" s="35"/>
      <c r="N4" s="35"/>
      <c r="O4" s="35"/>
      <c r="P4" s="35"/>
      <c r="Q4" s="35"/>
    </row>
    <row r="5" spans="1:17" x14ac:dyDescent="0.25">
      <c r="A5" s="35" t="s">
        <v>270</v>
      </c>
      <c r="B5" s="71">
        <v>60</v>
      </c>
      <c r="C5" s="2">
        <v>44137</v>
      </c>
      <c r="D5" s="85" t="s">
        <v>241</v>
      </c>
      <c r="E5" s="35" t="s">
        <v>235</v>
      </c>
      <c r="F5" s="35" t="s">
        <v>267</v>
      </c>
      <c r="G5" s="35" t="s">
        <v>264</v>
      </c>
      <c r="H5" s="35">
        <v>37669</v>
      </c>
      <c r="I5" s="35">
        <v>40751</v>
      </c>
      <c r="J5" s="86">
        <f>I5-H5</f>
        <v>3082</v>
      </c>
      <c r="K5" s="86">
        <f>J5</f>
        <v>3082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271</v>
      </c>
      <c r="B6" s="71">
        <v>61</v>
      </c>
      <c r="C6" s="2">
        <v>44137</v>
      </c>
      <c r="D6" s="85" t="s">
        <v>241</v>
      </c>
      <c r="E6" s="35" t="s">
        <v>235</v>
      </c>
      <c r="F6" s="35" t="s">
        <v>268</v>
      </c>
      <c r="G6" s="35" t="s">
        <v>265</v>
      </c>
      <c r="H6" s="35">
        <v>4981</v>
      </c>
      <c r="I6" s="35">
        <v>5312</v>
      </c>
      <c r="J6" s="86">
        <f>I6-H6</f>
        <v>331</v>
      </c>
      <c r="K6" s="86">
        <f>J6</f>
        <v>331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272</v>
      </c>
      <c r="B7" s="71">
        <v>62</v>
      </c>
      <c r="C7" s="2">
        <v>44137</v>
      </c>
      <c r="D7" s="85" t="s">
        <v>241</v>
      </c>
      <c r="E7" s="35" t="s">
        <v>235</v>
      </c>
      <c r="F7" s="35" t="s">
        <v>269</v>
      </c>
      <c r="G7" s="35" t="s">
        <v>266</v>
      </c>
      <c r="H7" s="35">
        <v>32557</v>
      </c>
      <c r="I7" s="35">
        <v>36290</v>
      </c>
      <c r="J7" s="86">
        <f>I7-H7</f>
        <v>3733</v>
      </c>
      <c r="K7" s="86">
        <f>J7</f>
        <v>3733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119</v>
      </c>
      <c r="B8" s="71">
        <v>45</v>
      </c>
      <c r="C8" s="2">
        <v>44042</v>
      </c>
      <c r="D8" s="85" t="s">
        <v>242</v>
      </c>
      <c r="E8" s="35" t="s">
        <v>235</v>
      </c>
      <c r="F8" s="35" t="s">
        <v>172</v>
      </c>
      <c r="G8" s="35" t="s">
        <v>224</v>
      </c>
      <c r="H8" s="35">
        <v>9304</v>
      </c>
      <c r="I8" s="35">
        <v>10274</v>
      </c>
      <c r="J8" s="86">
        <f>I8-H8</f>
        <v>970</v>
      </c>
      <c r="K8" s="86">
        <f>J8</f>
        <v>970</v>
      </c>
      <c r="L8" s="35"/>
      <c r="M8" s="95"/>
      <c r="N8" s="35"/>
      <c r="O8" s="35"/>
      <c r="P8" s="35">
        <v>9</v>
      </c>
      <c r="Q8" s="35">
        <v>2020</v>
      </c>
    </row>
    <row r="9" spans="1:17" x14ac:dyDescent="0.25">
      <c r="A9" s="35" t="s">
        <v>120</v>
      </c>
      <c r="B9" s="71">
        <v>46</v>
      </c>
      <c r="C9" s="2">
        <v>44040</v>
      </c>
      <c r="D9" s="85" t="s">
        <v>242</v>
      </c>
      <c r="E9" s="35" t="s">
        <v>235</v>
      </c>
      <c r="F9" s="35" t="s">
        <v>173</v>
      </c>
      <c r="G9" s="35" t="s">
        <v>225</v>
      </c>
      <c r="H9" s="35">
        <v>230332</v>
      </c>
      <c r="I9" s="35">
        <v>249579</v>
      </c>
      <c r="J9" s="86">
        <f>I9-H9</f>
        <v>19247</v>
      </c>
      <c r="K9" s="86">
        <f>J9</f>
        <v>19247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262</v>
      </c>
      <c r="B10" s="71">
        <v>43</v>
      </c>
      <c r="C10" s="2">
        <v>44041</v>
      </c>
      <c r="D10" s="85" t="s">
        <v>241</v>
      </c>
      <c r="E10" s="35" t="s">
        <v>235</v>
      </c>
      <c r="F10" s="35" t="s">
        <v>170</v>
      </c>
      <c r="G10" s="35" t="s">
        <v>303</v>
      </c>
      <c r="H10" s="35">
        <v>14096</v>
      </c>
      <c r="I10" s="35">
        <v>18962</v>
      </c>
      <c r="J10" s="86">
        <f>I10-H10</f>
        <v>4866</v>
      </c>
      <c r="K10" s="86">
        <f>J10</f>
        <v>4866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88</v>
      </c>
      <c r="B11" s="71">
        <v>12</v>
      </c>
      <c r="C11" s="2">
        <v>44043</v>
      </c>
      <c r="D11" s="85" t="s">
        <v>239</v>
      </c>
      <c r="E11" s="35" t="s">
        <v>234</v>
      </c>
      <c r="F11" s="35" t="s">
        <v>139</v>
      </c>
      <c r="G11" s="35" t="s">
        <v>191</v>
      </c>
      <c r="H11" s="35">
        <v>53051</v>
      </c>
      <c r="I11" s="35">
        <v>56006</v>
      </c>
      <c r="J11" s="86">
        <f>I11-H11</f>
        <v>2955</v>
      </c>
      <c r="K11" s="86">
        <f>J11</f>
        <v>2955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273</v>
      </c>
      <c r="B12" s="71">
        <v>64</v>
      </c>
      <c r="C12" s="2">
        <v>44137</v>
      </c>
      <c r="D12" s="85" t="s">
        <v>239</v>
      </c>
      <c r="E12" s="35" t="s">
        <v>234</v>
      </c>
      <c r="F12" s="35" t="s">
        <v>277</v>
      </c>
      <c r="G12" s="35" t="s">
        <v>274</v>
      </c>
      <c r="H12" s="35">
        <v>33342</v>
      </c>
      <c r="I12" s="35">
        <v>34746</v>
      </c>
      <c r="J12" s="86">
        <f>I12-H12</f>
        <v>1404</v>
      </c>
      <c r="K12" s="86">
        <f>J12</f>
        <v>1404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306</v>
      </c>
      <c r="B13" s="71">
        <v>54</v>
      </c>
      <c r="C13" s="2">
        <v>44074</v>
      </c>
      <c r="D13" s="85" t="s">
        <v>239</v>
      </c>
      <c r="E13" s="35" t="s">
        <v>234</v>
      </c>
      <c r="F13" s="35" t="s">
        <v>138</v>
      </c>
      <c r="G13" s="35" t="s">
        <v>248</v>
      </c>
      <c r="H13" s="35">
        <v>283975</v>
      </c>
      <c r="I13" s="35">
        <v>294966</v>
      </c>
      <c r="J13" s="86">
        <f>I13-H13</f>
        <v>10991</v>
      </c>
      <c r="K13" s="86">
        <f>J13</f>
        <v>10991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110</v>
      </c>
      <c r="B14" s="71">
        <v>35</v>
      </c>
      <c r="C14" s="2">
        <v>44046</v>
      </c>
      <c r="D14" s="85" t="s">
        <v>239</v>
      </c>
      <c r="E14" s="35" t="s">
        <v>234</v>
      </c>
      <c r="F14" s="35" t="s">
        <v>161</v>
      </c>
      <c r="G14" s="35" t="s">
        <v>213</v>
      </c>
      <c r="H14" s="35">
        <v>4488</v>
      </c>
      <c r="I14" s="35">
        <v>4835</v>
      </c>
      <c r="J14" s="86">
        <f>I14-H14</f>
        <v>347</v>
      </c>
      <c r="K14" s="86">
        <f>J14</f>
        <v>347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118</v>
      </c>
      <c r="B15" s="71">
        <v>44</v>
      </c>
      <c r="C15" s="2">
        <v>44043</v>
      </c>
      <c r="D15" s="85" t="s">
        <v>239</v>
      </c>
      <c r="E15" s="35" t="s">
        <v>234</v>
      </c>
      <c r="F15" s="35" t="s">
        <v>171</v>
      </c>
      <c r="G15" s="35" t="s">
        <v>223</v>
      </c>
      <c r="H15" s="35">
        <v>35534</v>
      </c>
      <c r="I15" s="35">
        <v>36811</v>
      </c>
      <c r="J15" s="86">
        <f>I15-H15</f>
        <v>1277</v>
      </c>
      <c r="K15" s="86">
        <f>J15</f>
        <v>1277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106</v>
      </c>
      <c r="B16" s="71">
        <v>31</v>
      </c>
      <c r="C16" s="2">
        <v>44043</v>
      </c>
      <c r="D16" s="85" t="s">
        <v>239</v>
      </c>
      <c r="E16" s="35" t="s">
        <v>234</v>
      </c>
      <c r="F16" s="35" t="s">
        <v>157</v>
      </c>
      <c r="G16" s="35" t="s">
        <v>209</v>
      </c>
      <c r="H16" s="35">
        <v>31055</v>
      </c>
      <c r="I16" s="35">
        <v>33032</v>
      </c>
      <c r="J16" s="86">
        <f>I16-H16</f>
        <v>1977</v>
      </c>
      <c r="K16" s="86">
        <f>J16</f>
        <v>1977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307</v>
      </c>
      <c r="B17" s="71">
        <v>55</v>
      </c>
      <c r="C17" s="2">
        <v>44046</v>
      </c>
      <c r="D17" s="85" t="s">
        <v>239</v>
      </c>
      <c r="E17" s="35" t="s">
        <v>234</v>
      </c>
      <c r="F17" s="35" t="s">
        <v>236</v>
      </c>
      <c r="G17" s="35" t="s">
        <v>261</v>
      </c>
      <c r="H17" s="35">
        <v>59941</v>
      </c>
      <c r="I17" s="35">
        <v>66549</v>
      </c>
      <c r="J17" s="86">
        <f>I17-H17</f>
        <v>6608</v>
      </c>
      <c r="K17" s="86">
        <f>J17</f>
        <v>6608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85</v>
      </c>
      <c r="B18" s="71">
        <v>9</v>
      </c>
      <c r="C18" s="2">
        <v>44041</v>
      </c>
      <c r="D18" s="85" t="s">
        <v>239</v>
      </c>
      <c r="E18" s="35" t="s">
        <v>234</v>
      </c>
      <c r="F18" s="35" t="s">
        <v>136</v>
      </c>
      <c r="G18" s="35" t="s">
        <v>188</v>
      </c>
      <c r="H18" s="35">
        <v>43236</v>
      </c>
      <c r="I18" s="35">
        <v>46307</v>
      </c>
      <c r="J18" s="86">
        <f>I18-H18</f>
        <v>3071</v>
      </c>
      <c r="K18" s="86">
        <f>J18</f>
        <v>3071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89</v>
      </c>
      <c r="B19" s="71">
        <v>13</v>
      </c>
      <c r="C19" s="2">
        <v>44041</v>
      </c>
      <c r="D19" s="85" t="s">
        <v>239</v>
      </c>
      <c r="E19" s="35" t="s">
        <v>234</v>
      </c>
      <c r="F19" s="35" t="s">
        <v>140</v>
      </c>
      <c r="G19" s="35" t="s">
        <v>192</v>
      </c>
      <c r="H19" s="35">
        <v>35819</v>
      </c>
      <c r="I19" s="35">
        <v>39147</v>
      </c>
      <c r="J19" s="86">
        <f>I19-H19</f>
        <v>3328</v>
      </c>
      <c r="K19" s="86">
        <f>J19</f>
        <v>3328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87</v>
      </c>
      <c r="B20" s="71">
        <v>11</v>
      </c>
      <c r="C20" s="2">
        <v>44040</v>
      </c>
      <c r="D20" s="85" t="s">
        <v>240</v>
      </c>
      <c r="E20" s="35" t="s">
        <v>234</v>
      </c>
      <c r="F20" s="35" t="s">
        <v>247</v>
      </c>
      <c r="G20" s="35" t="s">
        <v>190</v>
      </c>
      <c r="H20" s="35">
        <v>2719</v>
      </c>
      <c r="I20" s="35">
        <v>14325</v>
      </c>
      <c r="J20" s="86">
        <f>I20-H20</f>
        <v>11606</v>
      </c>
      <c r="K20" s="86">
        <f>J20</f>
        <v>11606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100</v>
      </c>
      <c r="B21" s="71">
        <v>25</v>
      </c>
      <c r="C21" s="2">
        <v>44041</v>
      </c>
      <c r="D21" s="85" t="s">
        <v>239</v>
      </c>
      <c r="E21" s="35" t="s">
        <v>234</v>
      </c>
      <c r="F21" s="35" t="s">
        <v>151</v>
      </c>
      <c r="G21" s="35" t="s">
        <v>203</v>
      </c>
      <c r="H21" s="35">
        <v>14418</v>
      </c>
      <c r="I21" s="35">
        <v>15643</v>
      </c>
      <c r="J21" s="86">
        <f>I21-H21</f>
        <v>1225</v>
      </c>
      <c r="K21" s="86">
        <f>J21</f>
        <v>1225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113</v>
      </c>
      <c r="B22" s="71">
        <v>38</v>
      </c>
      <c r="C22" s="2">
        <v>44040</v>
      </c>
      <c r="D22" s="85" t="s">
        <v>240</v>
      </c>
      <c r="E22" s="35" t="s">
        <v>234</v>
      </c>
      <c r="F22" s="35" t="s">
        <v>164</v>
      </c>
      <c r="G22" s="35" t="s">
        <v>216</v>
      </c>
      <c r="H22" s="35">
        <v>211119</v>
      </c>
      <c r="I22" s="35">
        <v>226911</v>
      </c>
      <c r="J22" s="86">
        <f>I22-H22</f>
        <v>15792</v>
      </c>
      <c r="K22" s="86">
        <f>J22</f>
        <v>15792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84</v>
      </c>
      <c r="B23" s="71">
        <v>8</v>
      </c>
      <c r="C23" s="2">
        <v>44041</v>
      </c>
      <c r="D23" s="85" t="s">
        <v>240</v>
      </c>
      <c r="E23" s="35" t="s">
        <v>234</v>
      </c>
      <c r="F23" s="35" t="s">
        <v>135</v>
      </c>
      <c r="G23" s="35" t="s">
        <v>187</v>
      </c>
      <c r="H23" s="35">
        <v>179363</v>
      </c>
      <c r="I23" s="35">
        <v>192034</v>
      </c>
      <c r="J23" s="86">
        <f>I23-H23</f>
        <v>12671</v>
      </c>
      <c r="K23" s="86">
        <f>J23</f>
        <v>12671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127</v>
      </c>
      <c r="B24" s="71">
        <v>53</v>
      </c>
      <c r="C24" s="2">
        <v>44074</v>
      </c>
      <c r="D24" s="85" t="s">
        <v>239</v>
      </c>
      <c r="E24" s="35" t="s">
        <v>234</v>
      </c>
      <c r="F24" s="35" t="s">
        <v>179</v>
      </c>
      <c r="G24" s="35" t="s">
        <v>232</v>
      </c>
      <c r="H24" s="35">
        <v>62392</v>
      </c>
      <c r="I24" s="35">
        <v>67417</v>
      </c>
      <c r="J24" s="86">
        <f>I24-H24</f>
        <v>5025</v>
      </c>
      <c r="K24" s="86">
        <f>J24</f>
        <v>5025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123</v>
      </c>
      <c r="B25" s="71">
        <v>49</v>
      </c>
      <c r="C25" s="2">
        <v>44042</v>
      </c>
      <c r="D25" s="85" t="s">
        <v>239</v>
      </c>
      <c r="E25" s="35" t="s">
        <v>234</v>
      </c>
      <c r="F25" s="35" t="s">
        <v>175</v>
      </c>
      <c r="G25" s="35" t="s">
        <v>228</v>
      </c>
      <c r="H25" s="35">
        <v>10391</v>
      </c>
      <c r="I25" s="35">
        <v>11820</v>
      </c>
      <c r="J25" s="86">
        <f>I25-H25</f>
        <v>1429</v>
      </c>
      <c r="K25" s="86">
        <f>J25</f>
        <v>1429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115</v>
      </c>
      <c r="B26" s="71">
        <v>40</v>
      </c>
      <c r="C26" s="2">
        <v>44040</v>
      </c>
      <c r="D26" s="85" t="s">
        <v>239</v>
      </c>
      <c r="E26" s="35" t="s">
        <v>234</v>
      </c>
      <c r="F26" s="35" t="s">
        <v>166</v>
      </c>
      <c r="G26" s="35" t="s">
        <v>218</v>
      </c>
      <c r="H26" s="35">
        <v>26321</v>
      </c>
      <c r="I26" s="35">
        <v>28122</v>
      </c>
      <c r="J26" s="86">
        <f>I26-H26</f>
        <v>1801</v>
      </c>
      <c r="K26" s="86">
        <f>J26</f>
        <v>1801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82</v>
      </c>
      <c r="B27" s="71">
        <v>6</v>
      </c>
      <c r="C27" s="2">
        <v>44042</v>
      </c>
      <c r="D27" s="85" t="s">
        <v>239</v>
      </c>
      <c r="E27" s="35" t="s">
        <v>234</v>
      </c>
      <c r="F27" s="35" t="s">
        <v>133</v>
      </c>
      <c r="G27" s="35" t="s">
        <v>185</v>
      </c>
      <c r="H27" s="35">
        <v>67152</v>
      </c>
      <c r="I27" s="35">
        <v>69763</v>
      </c>
      <c r="J27" s="86">
        <f>I27-H27</f>
        <v>2611</v>
      </c>
      <c r="K27" s="86">
        <f>J27</f>
        <v>2611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278</v>
      </c>
      <c r="B28" s="71">
        <v>56</v>
      </c>
      <c r="C28" s="2">
        <v>44075</v>
      </c>
      <c r="D28" s="85" t="s">
        <v>239</v>
      </c>
      <c r="E28" s="35" t="s">
        <v>234</v>
      </c>
      <c r="F28" s="35" t="s">
        <v>169</v>
      </c>
      <c r="G28" s="35" t="s">
        <v>221</v>
      </c>
      <c r="H28" s="35">
        <v>54696</v>
      </c>
      <c r="I28" s="35">
        <v>55991</v>
      </c>
      <c r="J28" s="86">
        <f>I28-H28</f>
        <v>1295</v>
      </c>
      <c r="K28" s="86">
        <f>J28</f>
        <v>1295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98</v>
      </c>
      <c r="B29" s="71">
        <v>23</v>
      </c>
      <c r="C29" s="2">
        <v>44041</v>
      </c>
      <c r="D29" s="85" t="s">
        <v>239</v>
      </c>
      <c r="E29" s="35" t="s">
        <v>234</v>
      </c>
      <c r="F29" s="35" t="s">
        <v>149</v>
      </c>
      <c r="G29" s="35" t="s">
        <v>201</v>
      </c>
      <c r="H29" s="35">
        <v>38503</v>
      </c>
      <c r="I29" s="35">
        <v>41394</v>
      </c>
      <c r="J29" s="86">
        <f>I29-H29</f>
        <v>2891</v>
      </c>
      <c r="K29" s="86">
        <f>J29</f>
        <v>2891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80</v>
      </c>
      <c r="B30" s="71">
        <v>4</v>
      </c>
      <c r="C30" s="2">
        <v>44040</v>
      </c>
      <c r="D30" s="85" t="s">
        <v>239</v>
      </c>
      <c r="E30" s="35" t="s">
        <v>234</v>
      </c>
      <c r="F30" s="35" t="s">
        <v>131</v>
      </c>
      <c r="G30" s="35" t="s">
        <v>183</v>
      </c>
      <c r="H30" s="35">
        <v>81273</v>
      </c>
      <c r="I30" s="35">
        <v>89894</v>
      </c>
      <c r="J30" s="86">
        <f>I30-H30</f>
        <v>8621</v>
      </c>
      <c r="K30" s="86">
        <f>J30</f>
        <v>8621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104</v>
      </c>
      <c r="B31" s="71">
        <v>29</v>
      </c>
      <c r="C31" s="2">
        <v>44040</v>
      </c>
      <c r="D31" s="85" t="s">
        <v>240</v>
      </c>
      <c r="E31" s="35" t="s">
        <v>234</v>
      </c>
      <c r="F31" s="35" t="s">
        <v>155</v>
      </c>
      <c r="G31" s="35" t="s">
        <v>207</v>
      </c>
      <c r="H31" s="35">
        <v>119586</v>
      </c>
      <c r="I31" s="35">
        <v>128856</v>
      </c>
      <c r="J31" s="86">
        <f>I31-H31</f>
        <v>9270</v>
      </c>
      <c r="K31" s="86">
        <f>J31</f>
        <v>9270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107</v>
      </c>
      <c r="B32" s="71">
        <v>32</v>
      </c>
      <c r="C32" s="2">
        <v>44043</v>
      </c>
      <c r="D32" s="85" t="s">
        <v>240</v>
      </c>
      <c r="E32" s="35" t="s">
        <v>234</v>
      </c>
      <c r="F32" s="35" t="s">
        <v>158</v>
      </c>
      <c r="G32" s="35" t="s">
        <v>210</v>
      </c>
      <c r="H32" s="35">
        <v>120115</v>
      </c>
      <c r="I32" s="35">
        <v>128883</v>
      </c>
      <c r="J32" s="86">
        <f>I32-H32</f>
        <v>8768</v>
      </c>
      <c r="K32" s="86">
        <f>J32</f>
        <v>8768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94</v>
      </c>
      <c r="B33" s="71">
        <v>18</v>
      </c>
      <c r="C33" s="2">
        <v>44042</v>
      </c>
      <c r="D33" s="85" t="s">
        <v>240</v>
      </c>
      <c r="E33" s="35" t="s">
        <v>234</v>
      </c>
      <c r="F33" s="35" t="s">
        <v>145</v>
      </c>
      <c r="G33" s="35" t="s">
        <v>197</v>
      </c>
      <c r="H33" s="35">
        <v>77413</v>
      </c>
      <c r="I33" s="35">
        <v>85425</v>
      </c>
      <c r="J33" s="86">
        <f>I33-H33</f>
        <v>8012</v>
      </c>
      <c r="K33" s="86">
        <f>J33</f>
        <v>8012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117</v>
      </c>
      <c r="B34" s="71">
        <v>42</v>
      </c>
      <c r="C34" s="2">
        <v>44043</v>
      </c>
      <c r="D34" s="85" t="s">
        <v>239</v>
      </c>
      <c r="E34" s="35" t="s">
        <v>234</v>
      </c>
      <c r="F34" s="35" t="s">
        <v>168</v>
      </c>
      <c r="G34" s="35" t="s">
        <v>220</v>
      </c>
      <c r="H34" s="35">
        <v>34035</v>
      </c>
      <c r="I34" s="35">
        <v>36352</v>
      </c>
      <c r="J34" s="86">
        <f>I34-H34</f>
        <v>2317</v>
      </c>
      <c r="K34" s="86">
        <f>J34</f>
        <v>2317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83</v>
      </c>
      <c r="B35" s="71">
        <v>7</v>
      </c>
      <c r="C35" s="2">
        <v>44040</v>
      </c>
      <c r="D35" s="85" t="s">
        <v>240</v>
      </c>
      <c r="E35" s="35" t="s">
        <v>234</v>
      </c>
      <c r="F35" s="35" t="s">
        <v>134</v>
      </c>
      <c r="G35" s="35" t="s">
        <v>186</v>
      </c>
      <c r="H35" s="35">
        <v>83811</v>
      </c>
      <c r="I35" s="35">
        <v>89948</v>
      </c>
      <c r="J35" s="86">
        <f>I35-H35</f>
        <v>6137</v>
      </c>
      <c r="K35" s="86">
        <f>J35</f>
        <v>6137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251</v>
      </c>
      <c r="B36" s="71">
        <v>57</v>
      </c>
      <c r="C36" s="88">
        <v>44074</v>
      </c>
      <c r="D36" s="85" t="s">
        <v>239</v>
      </c>
      <c r="E36" s="35" t="s">
        <v>234</v>
      </c>
      <c r="F36" s="35" t="s">
        <v>249</v>
      </c>
      <c r="G36" s="35" t="s">
        <v>250</v>
      </c>
      <c r="H36" s="35">
        <v>4913</v>
      </c>
      <c r="I36" s="35">
        <v>5317</v>
      </c>
      <c r="J36" s="86">
        <f>I36-H36</f>
        <v>404</v>
      </c>
      <c r="K36" s="86">
        <f>J36</f>
        <v>404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116</v>
      </c>
      <c r="B37" s="71">
        <v>41</v>
      </c>
      <c r="C37" s="2">
        <v>44040</v>
      </c>
      <c r="D37" s="85" t="s">
        <v>240</v>
      </c>
      <c r="E37" s="35" t="s">
        <v>234</v>
      </c>
      <c r="F37" s="35" t="s">
        <v>167</v>
      </c>
      <c r="G37" s="35" t="s">
        <v>219</v>
      </c>
      <c r="H37" s="35">
        <v>90136</v>
      </c>
      <c r="I37" s="35">
        <v>98714</v>
      </c>
      <c r="J37" s="86">
        <f>I37-H37</f>
        <v>8578</v>
      </c>
      <c r="K37" s="86">
        <f>J37</f>
        <v>8578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79</v>
      </c>
      <c r="B38" s="71">
        <v>3</v>
      </c>
      <c r="C38" s="2">
        <v>44040</v>
      </c>
      <c r="D38" s="85" t="s">
        <v>240</v>
      </c>
      <c r="E38" s="35" t="s">
        <v>234</v>
      </c>
      <c r="F38" s="35" t="s">
        <v>130</v>
      </c>
      <c r="G38" s="35" t="s">
        <v>182</v>
      </c>
      <c r="H38" s="35">
        <v>151257</v>
      </c>
      <c r="I38" s="35">
        <v>162609</v>
      </c>
      <c r="J38" s="86">
        <f>I38-H38</f>
        <v>11352</v>
      </c>
      <c r="K38" s="86">
        <f>J38</f>
        <v>11352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122</v>
      </c>
      <c r="B39" s="71">
        <v>48</v>
      </c>
      <c r="C39" s="88">
        <v>44043</v>
      </c>
      <c r="D39" s="85" t="s">
        <v>239</v>
      </c>
      <c r="E39" s="35" t="s">
        <v>234</v>
      </c>
      <c r="F39" s="35" t="s">
        <v>174</v>
      </c>
      <c r="G39" s="35" t="s">
        <v>227</v>
      </c>
      <c r="H39" s="35">
        <v>6681</v>
      </c>
      <c r="I39" s="35">
        <v>6764</v>
      </c>
      <c r="J39" s="86">
        <f>I39-H39</f>
        <v>83</v>
      </c>
      <c r="K39" s="86">
        <f>J39</f>
        <v>83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109</v>
      </c>
      <c r="B40" s="71">
        <v>34</v>
      </c>
      <c r="C40" s="2">
        <v>44041</v>
      </c>
      <c r="D40" s="85" t="s">
        <v>240</v>
      </c>
      <c r="E40" s="35" t="s">
        <v>234</v>
      </c>
      <c r="F40" s="35" t="s">
        <v>160</v>
      </c>
      <c r="G40" s="35" t="s">
        <v>212</v>
      </c>
      <c r="H40" s="35">
        <v>290768</v>
      </c>
      <c r="I40" s="35">
        <v>310521</v>
      </c>
      <c r="J40" s="86">
        <f>I40-H40</f>
        <v>19753</v>
      </c>
      <c r="K40" s="86">
        <f>J40</f>
        <v>19753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95</v>
      </c>
      <c r="B41" s="71">
        <v>20</v>
      </c>
      <c r="C41" s="88">
        <v>44043</v>
      </c>
      <c r="D41" s="85" t="s">
        <v>239</v>
      </c>
      <c r="E41" s="35" t="s">
        <v>234</v>
      </c>
      <c r="F41" s="35" t="s">
        <v>146</v>
      </c>
      <c r="G41" s="35" t="s">
        <v>198</v>
      </c>
      <c r="H41" s="35">
        <v>38202</v>
      </c>
      <c r="I41" s="35">
        <v>40565</v>
      </c>
      <c r="J41" s="86">
        <f>I41-H41</f>
        <v>2363</v>
      </c>
      <c r="K41" s="86">
        <f>J41</f>
        <v>2363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126</v>
      </c>
      <c r="B42" s="71">
        <v>52</v>
      </c>
      <c r="C42" s="88">
        <v>44074</v>
      </c>
      <c r="D42" s="85" t="s">
        <v>239</v>
      </c>
      <c r="E42" s="35" t="s">
        <v>234</v>
      </c>
      <c r="F42" s="35" t="s">
        <v>178</v>
      </c>
      <c r="G42" s="35" t="s">
        <v>231</v>
      </c>
      <c r="H42" s="35">
        <v>7331</v>
      </c>
      <c r="I42" s="35">
        <v>8127</v>
      </c>
      <c r="J42" s="86">
        <f>I42-H42</f>
        <v>796</v>
      </c>
      <c r="K42" s="86">
        <f>J42</f>
        <v>796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124</v>
      </c>
      <c r="B43" s="71">
        <v>50</v>
      </c>
      <c r="C43" s="88">
        <v>44064</v>
      </c>
      <c r="D43" s="90" t="s">
        <v>239</v>
      </c>
      <c r="E43" s="35" t="s">
        <v>234</v>
      </c>
      <c r="F43" s="35" t="s">
        <v>176</v>
      </c>
      <c r="G43" s="35" t="s">
        <v>229</v>
      </c>
      <c r="H43" s="35">
        <v>11099</v>
      </c>
      <c r="I43" s="35">
        <v>11826</v>
      </c>
      <c r="J43" s="86">
        <f>I43-H43</f>
        <v>727</v>
      </c>
      <c r="K43" s="86">
        <f>J43</f>
        <v>727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108</v>
      </c>
      <c r="B44" s="71">
        <v>33</v>
      </c>
      <c r="C44" s="2">
        <v>44041</v>
      </c>
      <c r="D44" s="85" t="s">
        <v>239</v>
      </c>
      <c r="E44" s="35" t="s">
        <v>234</v>
      </c>
      <c r="F44" s="35" t="s">
        <v>159</v>
      </c>
      <c r="G44" s="35" t="s">
        <v>211</v>
      </c>
      <c r="H44" s="35">
        <v>24621</v>
      </c>
      <c r="I44" s="35">
        <v>26335</v>
      </c>
      <c r="J44" s="86">
        <f>I44-H44</f>
        <v>1714</v>
      </c>
      <c r="K44" s="86">
        <f>J44</f>
        <v>1714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93</v>
      </c>
      <c r="B45" s="71">
        <v>17</v>
      </c>
      <c r="C45" s="88">
        <v>44043</v>
      </c>
      <c r="D45" s="85" t="s">
        <v>239</v>
      </c>
      <c r="E45" s="35" t="s">
        <v>234</v>
      </c>
      <c r="F45" s="35" t="s">
        <v>144</v>
      </c>
      <c r="G45" s="35" t="s">
        <v>196</v>
      </c>
      <c r="H45" s="35">
        <v>19719</v>
      </c>
      <c r="I45" s="35">
        <v>20636</v>
      </c>
      <c r="J45" s="86">
        <f>I45-H45</f>
        <v>917</v>
      </c>
      <c r="K45" s="86">
        <f>J45</f>
        <v>917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111</v>
      </c>
      <c r="B46" s="71">
        <v>36</v>
      </c>
      <c r="C46" s="88">
        <v>44042</v>
      </c>
      <c r="D46" s="85" t="s">
        <v>240</v>
      </c>
      <c r="E46" s="35" t="s">
        <v>234</v>
      </c>
      <c r="F46" s="35" t="s">
        <v>162</v>
      </c>
      <c r="G46" s="35" t="s">
        <v>214</v>
      </c>
      <c r="H46" s="35">
        <v>76449</v>
      </c>
      <c r="I46" s="35">
        <v>82696</v>
      </c>
      <c r="J46" s="86">
        <f>I46-H46</f>
        <v>6247</v>
      </c>
      <c r="K46" s="86">
        <f>J46</f>
        <v>6247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81</v>
      </c>
      <c r="B47" s="71">
        <v>5</v>
      </c>
      <c r="C47" s="2">
        <v>44040</v>
      </c>
      <c r="D47" s="85" t="s">
        <v>240</v>
      </c>
      <c r="E47" s="35" t="s">
        <v>234</v>
      </c>
      <c r="F47" s="35" t="s">
        <v>132</v>
      </c>
      <c r="G47" s="35" t="s">
        <v>184</v>
      </c>
      <c r="H47" s="35">
        <v>138384</v>
      </c>
      <c r="I47" s="35">
        <v>150557</v>
      </c>
      <c r="J47" s="86">
        <f>I47-H47</f>
        <v>12173</v>
      </c>
      <c r="K47" s="86">
        <f>J47</f>
        <v>12173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103</v>
      </c>
      <c r="B48" s="71">
        <v>28</v>
      </c>
      <c r="C48" s="2">
        <v>44046</v>
      </c>
      <c r="D48" s="85" t="s">
        <v>240</v>
      </c>
      <c r="E48" s="35" t="s">
        <v>234</v>
      </c>
      <c r="F48" s="35" t="s">
        <v>154</v>
      </c>
      <c r="G48" s="35" t="s">
        <v>206</v>
      </c>
      <c r="H48" s="35">
        <v>166689</v>
      </c>
      <c r="I48" s="35">
        <v>178446</v>
      </c>
      <c r="J48" s="86">
        <f>I48-H48</f>
        <v>11757</v>
      </c>
      <c r="K48" s="86">
        <f>J48</f>
        <v>11757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99</v>
      </c>
      <c r="B49" s="71">
        <v>24</v>
      </c>
      <c r="C49" s="88">
        <v>44043</v>
      </c>
      <c r="D49" s="85" t="s">
        <v>239</v>
      </c>
      <c r="E49" s="35" t="s">
        <v>234</v>
      </c>
      <c r="F49" s="35" t="s">
        <v>150</v>
      </c>
      <c r="G49" s="35" t="s">
        <v>202</v>
      </c>
      <c r="H49" s="35">
        <v>14486</v>
      </c>
      <c r="I49" s="35">
        <v>14674</v>
      </c>
      <c r="J49" s="86">
        <f>I49-H49</f>
        <v>188</v>
      </c>
      <c r="K49" s="86">
        <f>J49</f>
        <v>188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97</v>
      </c>
      <c r="B50" s="71">
        <v>22</v>
      </c>
      <c r="C50" s="2">
        <v>44040</v>
      </c>
      <c r="D50" s="85" t="s">
        <v>240</v>
      </c>
      <c r="E50" s="35" t="s">
        <v>234</v>
      </c>
      <c r="F50" s="35" t="s">
        <v>148</v>
      </c>
      <c r="G50" s="35" t="s">
        <v>200</v>
      </c>
      <c r="H50" s="35">
        <v>191321</v>
      </c>
      <c r="I50" s="35">
        <v>203974</v>
      </c>
      <c r="J50" s="86">
        <f>I50-H50</f>
        <v>12653</v>
      </c>
      <c r="K50" s="86">
        <f>J50</f>
        <v>12653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92</v>
      </c>
      <c r="B51" s="71">
        <v>16</v>
      </c>
      <c r="C51" s="2">
        <v>44046</v>
      </c>
      <c r="D51" s="85" t="s">
        <v>239</v>
      </c>
      <c r="E51" s="35" t="s">
        <v>234</v>
      </c>
      <c r="F51" s="35" t="s">
        <v>143</v>
      </c>
      <c r="G51" s="35" t="s">
        <v>195</v>
      </c>
      <c r="H51" s="35">
        <v>16775</v>
      </c>
      <c r="I51" s="35">
        <v>17926</v>
      </c>
      <c r="J51" s="86">
        <f>I51-H51</f>
        <v>1151</v>
      </c>
      <c r="K51" s="86">
        <f>J51</f>
        <v>1151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125</v>
      </c>
      <c r="B52" s="71">
        <v>51</v>
      </c>
      <c r="C52" s="88">
        <v>44064</v>
      </c>
      <c r="D52" s="90" t="s">
        <v>239</v>
      </c>
      <c r="E52" s="35" t="s">
        <v>234</v>
      </c>
      <c r="F52" s="35" t="s">
        <v>177</v>
      </c>
      <c r="G52" s="35" t="s">
        <v>230</v>
      </c>
      <c r="H52" s="35">
        <v>17548</v>
      </c>
      <c r="I52" s="35">
        <v>18803</v>
      </c>
      <c r="J52" s="86">
        <f>I52-H52</f>
        <v>1255</v>
      </c>
      <c r="K52" s="86">
        <f>J52</f>
        <v>1255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276</v>
      </c>
      <c r="B53" s="71">
        <v>58</v>
      </c>
      <c r="C53" s="88">
        <v>44125</v>
      </c>
      <c r="D53" s="90" t="s">
        <v>239</v>
      </c>
      <c r="E53" s="35" t="s">
        <v>234</v>
      </c>
      <c r="F53" s="35" t="s">
        <v>259</v>
      </c>
      <c r="G53" s="35" t="s">
        <v>260</v>
      </c>
      <c r="H53" s="35">
        <v>40965</v>
      </c>
      <c r="I53" s="35">
        <v>45160</v>
      </c>
      <c r="J53" s="86">
        <f>I53-H53</f>
        <v>4195</v>
      </c>
      <c r="K53" s="86">
        <f>J53</f>
        <v>4195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102</v>
      </c>
      <c r="B54" s="71">
        <v>27</v>
      </c>
      <c r="C54" s="88">
        <v>44041</v>
      </c>
      <c r="D54" s="90" t="s">
        <v>240</v>
      </c>
      <c r="E54" s="35" t="s">
        <v>234</v>
      </c>
      <c r="F54" s="35" t="s">
        <v>153</v>
      </c>
      <c r="G54" s="35" t="s">
        <v>205</v>
      </c>
      <c r="H54" s="35">
        <v>88458</v>
      </c>
      <c r="I54" s="35">
        <v>95121</v>
      </c>
      <c r="J54" s="86">
        <f>I54-H54</f>
        <v>6663</v>
      </c>
      <c r="K54" s="86">
        <f>J54</f>
        <v>6663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78</v>
      </c>
      <c r="B55" s="71">
        <v>2</v>
      </c>
      <c r="C55" s="88">
        <v>44040</v>
      </c>
      <c r="D55" s="90" t="s">
        <v>239</v>
      </c>
      <c r="E55" s="35" t="s">
        <v>234</v>
      </c>
      <c r="F55" s="35" t="s">
        <v>129</v>
      </c>
      <c r="G55" s="35" t="s">
        <v>181</v>
      </c>
      <c r="H55" s="35">
        <v>74674</v>
      </c>
      <c r="I55" s="35">
        <v>82756</v>
      </c>
      <c r="J55" s="86">
        <f>I55-H55</f>
        <v>8082</v>
      </c>
      <c r="K55" s="86">
        <f>J55</f>
        <v>8082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304</v>
      </c>
      <c r="B56" s="71">
        <v>70</v>
      </c>
      <c r="C56" s="88">
        <v>44040</v>
      </c>
      <c r="D56" s="90" t="s">
        <v>239</v>
      </c>
      <c r="E56" s="35" t="s">
        <v>234</v>
      </c>
      <c r="F56" s="35" t="s">
        <v>289</v>
      </c>
      <c r="G56" s="35" t="s">
        <v>301</v>
      </c>
      <c r="H56" s="35">
        <v>7999</v>
      </c>
      <c r="I56" s="35">
        <v>8186</v>
      </c>
      <c r="J56" s="86">
        <f>I56-H56</f>
        <v>187</v>
      </c>
      <c r="K56" s="86">
        <f>J56</f>
        <v>187</v>
      </c>
      <c r="L56" s="35"/>
      <c r="M56" s="35"/>
      <c r="N56" s="35"/>
      <c r="O56" s="35"/>
      <c r="P56" s="35"/>
      <c r="Q56" s="35"/>
    </row>
    <row r="57" spans="1:17" x14ac:dyDescent="0.25">
      <c r="A57" s="35" t="s">
        <v>114</v>
      </c>
      <c r="B57" s="71">
        <v>39</v>
      </c>
      <c r="C57" s="88">
        <v>44041</v>
      </c>
      <c r="D57" s="90" t="s">
        <v>239</v>
      </c>
      <c r="E57" s="35" t="s">
        <v>234</v>
      </c>
      <c r="F57" s="35" t="s">
        <v>165</v>
      </c>
      <c r="G57" s="35" t="s">
        <v>217</v>
      </c>
      <c r="H57" s="35">
        <v>68505</v>
      </c>
      <c r="I57" s="35">
        <v>73126</v>
      </c>
      <c r="J57" s="86">
        <f>I57-H57</f>
        <v>4621</v>
      </c>
      <c r="K57" s="86">
        <f>J57</f>
        <v>4621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105</v>
      </c>
      <c r="B58" s="71">
        <v>30</v>
      </c>
      <c r="C58" s="88">
        <v>44043</v>
      </c>
      <c r="D58" s="90" t="s">
        <v>239</v>
      </c>
      <c r="E58" s="35" t="s">
        <v>234</v>
      </c>
      <c r="F58" s="35" t="s">
        <v>156</v>
      </c>
      <c r="G58" s="35" t="s">
        <v>208</v>
      </c>
      <c r="H58" s="35">
        <v>32553</v>
      </c>
      <c r="I58" s="35">
        <v>35749</v>
      </c>
      <c r="J58" s="86">
        <f>I58-H58</f>
        <v>3196</v>
      </c>
      <c r="K58" s="86">
        <f>J58</f>
        <v>3196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112</v>
      </c>
      <c r="B59" s="71">
        <v>37</v>
      </c>
      <c r="C59" s="88">
        <v>44042</v>
      </c>
      <c r="D59" s="90" t="s">
        <v>239</v>
      </c>
      <c r="E59" s="35" t="s">
        <v>234</v>
      </c>
      <c r="F59" s="35" t="s">
        <v>163</v>
      </c>
      <c r="G59" s="35" t="s">
        <v>215</v>
      </c>
      <c r="H59" s="35">
        <v>19706</v>
      </c>
      <c r="I59" s="35">
        <v>21436</v>
      </c>
      <c r="J59" s="86">
        <f>I59-H59</f>
        <v>1730</v>
      </c>
      <c r="K59" s="86">
        <f>J59</f>
        <v>1730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101</v>
      </c>
      <c r="B60" s="71">
        <v>26</v>
      </c>
      <c r="C60" s="88">
        <v>44043</v>
      </c>
      <c r="D60" s="90" t="s">
        <v>240</v>
      </c>
      <c r="E60" s="35" t="s">
        <v>234</v>
      </c>
      <c r="F60" s="35" t="s">
        <v>152</v>
      </c>
      <c r="G60" s="35" t="s">
        <v>204</v>
      </c>
      <c r="H60" s="35">
        <v>93584</v>
      </c>
      <c r="I60" s="35">
        <v>98102</v>
      </c>
      <c r="J60" s="86">
        <f>I60-H60</f>
        <v>4518</v>
      </c>
      <c r="K60" s="86">
        <f>J60</f>
        <v>4518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91</v>
      </c>
      <c r="B61" s="71">
        <v>15</v>
      </c>
      <c r="C61" s="88">
        <v>44042</v>
      </c>
      <c r="D61" s="90" t="s">
        <v>240</v>
      </c>
      <c r="E61" s="35" t="s">
        <v>234</v>
      </c>
      <c r="F61" s="35" t="s">
        <v>142</v>
      </c>
      <c r="G61" s="35" t="s">
        <v>194</v>
      </c>
      <c r="H61" s="35">
        <v>77055</v>
      </c>
      <c r="I61" s="35">
        <v>85369</v>
      </c>
      <c r="J61" s="86">
        <f>I61-H61</f>
        <v>8314</v>
      </c>
      <c r="K61" s="86">
        <f>J61</f>
        <v>8314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86</v>
      </c>
      <c r="B62" s="71">
        <v>10</v>
      </c>
      <c r="C62" s="88">
        <v>44042</v>
      </c>
      <c r="D62" s="90" t="s">
        <v>240</v>
      </c>
      <c r="E62" s="35" t="s">
        <v>234</v>
      </c>
      <c r="F62" s="35" t="s">
        <v>137</v>
      </c>
      <c r="G62" s="35" t="s">
        <v>189</v>
      </c>
      <c r="H62" s="35">
        <v>90018</v>
      </c>
      <c r="I62" s="35">
        <v>97748</v>
      </c>
      <c r="J62" s="86">
        <f>I62-H62</f>
        <v>7730</v>
      </c>
      <c r="K62" s="86">
        <f>J62</f>
        <v>7730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90</v>
      </c>
      <c r="B63" s="71">
        <v>14</v>
      </c>
      <c r="C63" s="88">
        <v>44040</v>
      </c>
      <c r="D63" s="90" t="s">
        <v>240</v>
      </c>
      <c r="E63" s="35" t="s">
        <v>234</v>
      </c>
      <c r="F63" s="35" t="s">
        <v>141</v>
      </c>
      <c r="G63" s="35" t="s">
        <v>193</v>
      </c>
      <c r="H63" s="35">
        <v>112778</v>
      </c>
      <c r="I63" s="35">
        <v>120855</v>
      </c>
      <c r="J63" s="86">
        <f>I63-H63</f>
        <v>8077</v>
      </c>
      <c r="K63" s="86">
        <f>J63</f>
        <v>8077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1">
        <v>21</v>
      </c>
      <c r="C64" s="88">
        <v>44042</v>
      </c>
      <c r="D64" s="90" t="s">
        <v>239</v>
      </c>
      <c r="E64" s="35" t="s">
        <v>234</v>
      </c>
      <c r="F64" s="35" t="s">
        <v>147</v>
      </c>
      <c r="G64" s="35" t="s">
        <v>199</v>
      </c>
      <c r="H64" s="35">
        <v>20886</v>
      </c>
      <c r="I64" s="35">
        <v>21996</v>
      </c>
      <c r="J64" s="86">
        <f>I64-H64</f>
        <v>1110</v>
      </c>
      <c r="K64" s="86">
        <f>J64</f>
        <v>1110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121</v>
      </c>
      <c r="B65" s="71">
        <v>63</v>
      </c>
      <c r="C65" s="88">
        <v>44137</v>
      </c>
      <c r="D65" s="90" t="s">
        <v>239</v>
      </c>
      <c r="E65" s="35" t="s">
        <v>234</v>
      </c>
      <c r="F65" s="35" t="s">
        <v>275</v>
      </c>
      <c r="G65" s="35" t="s">
        <v>226</v>
      </c>
      <c r="H65" s="35">
        <v>27947</v>
      </c>
      <c r="I65" s="35">
        <v>31950</v>
      </c>
      <c r="J65" s="86">
        <f>I65-H65</f>
        <v>4003</v>
      </c>
      <c r="K65" s="86">
        <f>J65</f>
        <v>4003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283</v>
      </c>
      <c r="B66" s="71">
        <v>69</v>
      </c>
      <c r="C66" s="88">
        <v>44225</v>
      </c>
      <c r="D66" s="90" t="s">
        <v>239</v>
      </c>
      <c r="E66" s="35" t="s">
        <v>234</v>
      </c>
      <c r="F66" s="35" t="s">
        <v>288</v>
      </c>
      <c r="G66" s="35" t="s">
        <v>294</v>
      </c>
      <c r="H66" s="35">
        <v>41582</v>
      </c>
      <c r="I66" s="35">
        <v>46378</v>
      </c>
      <c r="J66" s="86">
        <f>I66-H66</f>
        <v>4796</v>
      </c>
      <c r="K66" s="86">
        <f>J66</f>
        <v>4796</v>
      </c>
      <c r="L66" s="35"/>
      <c r="M66" s="35"/>
      <c r="N66" s="35"/>
      <c r="O66" s="35"/>
      <c r="P66" s="35"/>
      <c r="Q66" s="35"/>
    </row>
    <row r="67" spans="1:17" x14ac:dyDescent="0.25">
      <c r="A67" s="35" t="s">
        <v>281</v>
      </c>
      <c r="B67" s="71">
        <v>67</v>
      </c>
      <c r="C67" s="88">
        <v>44225</v>
      </c>
      <c r="D67" s="90" t="s">
        <v>239</v>
      </c>
      <c r="E67" s="35" t="s">
        <v>234</v>
      </c>
      <c r="F67" s="35" t="s">
        <v>286</v>
      </c>
      <c r="G67" s="35" t="s">
        <v>292</v>
      </c>
      <c r="H67" s="35">
        <v>58539</v>
      </c>
      <c r="I67" s="35">
        <v>66222</v>
      </c>
      <c r="J67" s="86">
        <f>I67-H67</f>
        <v>7683</v>
      </c>
      <c r="K67" s="86">
        <f>J67</f>
        <v>7683</v>
      </c>
      <c r="L67" s="35"/>
      <c r="M67" s="35"/>
      <c r="N67" s="35"/>
      <c r="O67" s="35"/>
      <c r="P67" s="35"/>
      <c r="Q67" s="35"/>
    </row>
    <row r="68" spans="1:17" x14ac:dyDescent="0.25">
      <c r="A68" s="35" t="s">
        <v>282</v>
      </c>
      <c r="B68" s="71">
        <v>68</v>
      </c>
      <c r="C68" s="88">
        <v>44225</v>
      </c>
      <c r="D68" s="90" t="s">
        <v>239</v>
      </c>
      <c r="E68" s="35" t="s">
        <v>234</v>
      </c>
      <c r="F68" s="35" t="s">
        <v>287</v>
      </c>
      <c r="G68" s="35" t="s">
        <v>293</v>
      </c>
      <c r="H68" s="35">
        <v>24737</v>
      </c>
      <c r="I68" s="35">
        <v>27670</v>
      </c>
      <c r="J68" s="86">
        <f>I68-H68</f>
        <v>2933</v>
      </c>
      <c r="K68" s="86">
        <f>J68</f>
        <v>2933</v>
      </c>
      <c r="L68" s="35"/>
      <c r="M68" s="35"/>
      <c r="N68" s="35"/>
      <c r="O68" s="35"/>
      <c r="P68" s="35"/>
      <c r="Q68" s="35"/>
    </row>
    <row r="69" spans="1:17" x14ac:dyDescent="0.25">
      <c r="A69" s="35" t="s">
        <v>280</v>
      </c>
      <c r="B69" s="71">
        <v>66</v>
      </c>
      <c r="C69" s="88">
        <v>44225</v>
      </c>
      <c r="D69" s="90" t="s">
        <v>239</v>
      </c>
      <c r="E69" s="35" t="s">
        <v>234</v>
      </c>
      <c r="F69" s="35" t="s">
        <v>285</v>
      </c>
      <c r="G69" s="35" t="s">
        <v>291</v>
      </c>
      <c r="H69" s="35">
        <v>14114</v>
      </c>
      <c r="I69" s="35">
        <v>16090</v>
      </c>
      <c r="J69" s="86">
        <f>I69-H69</f>
        <v>1976</v>
      </c>
      <c r="K69" s="86">
        <f>J69</f>
        <v>1976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1" t="s">
        <v>0</v>
      </c>
      <c r="F73" s="92" t="s">
        <v>252</v>
      </c>
      <c r="G73" s="92" t="s">
        <v>253</v>
      </c>
      <c r="H73" s="92" t="s">
        <v>254</v>
      </c>
      <c r="I73" s="92" t="s">
        <v>255</v>
      </c>
      <c r="J73" s="93" t="s">
        <v>256</v>
      </c>
      <c r="K73" s="103"/>
    </row>
    <row r="74" spans="1:17" x14ac:dyDescent="0.25">
      <c r="E74" s="94" t="s">
        <v>241</v>
      </c>
      <c r="F74" s="95">
        <f>COUNTIF($D$2:$D$71,E74)</f>
        <v>6</v>
      </c>
      <c r="G74" s="96">
        <f>2052*F74</f>
        <v>12312</v>
      </c>
      <c r="H74" s="96">
        <f>1368*F74</f>
        <v>8208</v>
      </c>
      <c r="I74" s="96"/>
      <c r="J74" s="97"/>
      <c r="K74" s="104"/>
    </row>
    <row r="75" spans="1:17" x14ac:dyDescent="0.25">
      <c r="E75" s="94" t="s">
        <v>242</v>
      </c>
      <c r="F75" s="95">
        <f>COUNTIF($D$2:$D$71,E75)</f>
        <v>2</v>
      </c>
      <c r="G75" s="96">
        <f>5290*F75</f>
        <v>10580</v>
      </c>
      <c r="H75" s="96">
        <f>3527*F75</f>
        <v>7054</v>
      </c>
      <c r="I75" s="96"/>
      <c r="J75" s="97"/>
      <c r="K75" s="104"/>
    </row>
    <row r="76" spans="1:17" x14ac:dyDescent="0.25">
      <c r="E76" s="94" t="s">
        <v>239</v>
      </c>
      <c r="F76" s="95">
        <f>COUNTIF($D$2:$D$71,E76)</f>
        <v>40</v>
      </c>
      <c r="G76" s="96">
        <f>3048*F76</f>
        <v>121920</v>
      </c>
      <c r="H76" s="96">
        <f>2032*F76</f>
        <v>81280</v>
      </c>
      <c r="I76" s="96"/>
      <c r="J76" s="97"/>
      <c r="K76" s="104"/>
    </row>
    <row r="77" spans="1:17" x14ac:dyDescent="0.25">
      <c r="E77" s="94" t="s">
        <v>240</v>
      </c>
      <c r="F77" s="95">
        <f>COUNTIF($D$2:$D$71,E77)</f>
        <v>19</v>
      </c>
      <c r="G77" s="96">
        <f>6198*F77</f>
        <v>117762</v>
      </c>
      <c r="H77" s="96">
        <f>4132*F77</f>
        <v>78508</v>
      </c>
      <c r="I77" s="96"/>
      <c r="J77" s="97"/>
      <c r="K77" s="104"/>
    </row>
    <row r="78" spans="1:17" x14ac:dyDescent="0.25">
      <c r="E78" s="94" t="s">
        <v>257</v>
      </c>
      <c r="F78" s="95">
        <v>0</v>
      </c>
      <c r="G78" s="96">
        <f>6780*F78</f>
        <v>0</v>
      </c>
      <c r="H78" s="96">
        <f>4520*F78</f>
        <v>0</v>
      </c>
      <c r="I78" s="96">
        <f>6600*F78</f>
        <v>0</v>
      </c>
      <c r="J78" s="97">
        <f>4400*F78</f>
        <v>0</v>
      </c>
      <c r="K78" s="104"/>
    </row>
    <row r="79" spans="1:17" x14ac:dyDescent="0.25">
      <c r="E79" s="94" t="s">
        <v>238</v>
      </c>
      <c r="F79" s="95">
        <f>COUNTIF($D$2:$D$71,E79)</f>
        <v>1</v>
      </c>
      <c r="G79" s="96">
        <f>8582*F79</f>
        <v>8582</v>
      </c>
      <c r="H79" s="96">
        <f>5722*F79</f>
        <v>5722</v>
      </c>
      <c r="I79" s="96">
        <f>6600*F79</f>
        <v>6600</v>
      </c>
      <c r="J79" s="97">
        <f>4400*F79</f>
        <v>4400</v>
      </c>
      <c r="K79" s="104"/>
    </row>
    <row r="80" spans="1:17" ht="15.75" thickBot="1" x14ac:dyDescent="0.3">
      <c r="E80" s="98" t="s">
        <v>258</v>
      </c>
      <c r="F80" s="99">
        <f>SUM(F74:F79)</f>
        <v>68</v>
      </c>
      <c r="G80" s="100">
        <f t="shared" ref="G80:H80" si="0">SUM(G74:G79)</f>
        <v>271156</v>
      </c>
      <c r="H80" s="100">
        <f t="shared" si="0"/>
        <v>180772</v>
      </c>
      <c r="I80" s="100">
        <f>SUM(I74:I79)</f>
        <v>6600</v>
      </c>
      <c r="J80" s="101">
        <f>SUM(J74:J79)</f>
        <v>4400</v>
      </c>
      <c r="K80" s="105"/>
    </row>
    <row r="82" spans="6:10" x14ac:dyDescent="0.25">
      <c r="F82" t="s">
        <v>305</v>
      </c>
      <c r="G82" s="106">
        <f>G80*CONSOLIDADO!B6</f>
        <v>18980.920000000002</v>
      </c>
      <c r="H82" s="106">
        <f>H80*CONSOLIDADO!B7</f>
        <v>4519.3</v>
      </c>
      <c r="I82" s="106">
        <f>I80*CONSOLIDADO!B8</f>
        <v>4620</v>
      </c>
      <c r="J82" s="106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1">$F$83*H82</f>
        <v>9038.6</v>
      </c>
      <c r="I83" s="58">
        <f t="shared" si="1"/>
        <v>9240</v>
      </c>
      <c r="J83" s="58">
        <f t="shared" si="1"/>
        <v>2200</v>
      </c>
    </row>
    <row r="85" spans="6:10" x14ac:dyDescent="0.25">
      <c r="G85" s="107">
        <f>SUM(G83:J83)</f>
        <v>58440.44</v>
      </c>
      <c r="H85" s="108"/>
      <c r="I85" s="108"/>
      <c r="J85" s="108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10" sqref="I10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75</v>
      </c>
    </row>
    <row r="2" spans="1:4" ht="23.25" x14ac:dyDescent="0.35">
      <c r="A2" s="33" t="s">
        <v>34</v>
      </c>
      <c r="B2" s="33" t="s">
        <v>76</v>
      </c>
    </row>
    <row r="3" spans="1:4" ht="23.25" x14ac:dyDescent="0.35">
      <c r="A3" s="33" t="s">
        <v>35</v>
      </c>
      <c r="B3" s="34">
        <v>44501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6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7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8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5" t="s">
        <v>15</v>
      </c>
      <c r="B12" s="116"/>
      <c r="C12" s="117" t="s">
        <v>16</v>
      </c>
      <c r="D12" s="118"/>
    </row>
    <row r="13" spans="1:4" x14ac:dyDescent="0.25">
      <c r="A13" s="16" t="s">
        <v>17</v>
      </c>
      <c r="B13" s="17">
        <f>IF((SUM(BASE!$K2:$K69)+(SUM(BASE!$L2:$L69)*2))&gt;=$C$6,$C$6,(SUM(BASE!$K2:$K69)+(SUM(BASE!$L2:$L69)*2)))</f>
        <v>271156</v>
      </c>
      <c r="C13" s="18" t="s">
        <v>17</v>
      </c>
      <c r="D13" s="17">
        <f>IF((SUM(BASE!$M2:$M61)+(SUM(BASE!$N2:$N72)*2))&gt;=$C$8,$C$8,(SUM(BASE!$M2:$M69)+(SUM(BASE!$N2:$N69)*2)))</f>
        <v>2387</v>
      </c>
    </row>
    <row r="14" spans="1:4" x14ac:dyDescent="0.25">
      <c r="A14" s="6" t="s">
        <v>18</v>
      </c>
      <c r="B14" s="15">
        <f>$D$6</f>
        <v>18980.920000000002</v>
      </c>
      <c r="C14" s="12" t="s">
        <v>18</v>
      </c>
      <c r="D14" s="15">
        <f>$D$8</f>
        <v>4620</v>
      </c>
    </row>
    <row r="15" spans="1:4" x14ac:dyDescent="0.25">
      <c r="A15" s="6" t="s">
        <v>19</v>
      </c>
      <c r="B15" s="14">
        <f>IF((SUM(BASE!$K2:$K69)+(SUM(BASE!$L2:$L69)*2))&gt;$C$6,(SUM(BASE!$K2:$K69)+(SUM(BASE!$L2:$L69)*2))-$C$6,0)</f>
        <v>68338</v>
      </c>
      <c r="C15" s="12" t="s">
        <v>19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20</v>
      </c>
      <c r="B16" s="27">
        <f>$B$15*$B$7</f>
        <v>1708.45</v>
      </c>
      <c r="C16" s="13" t="s">
        <v>20</v>
      </c>
      <c r="D16" s="32">
        <f>$D$15*$B$9</f>
        <v>0</v>
      </c>
    </row>
    <row r="17" spans="1:10" ht="15.75" thickBot="1" x14ac:dyDescent="0.3">
      <c r="A17" s="119" t="s">
        <v>30</v>
      </c>
      <c r="B17" s="120"/>
      <c r="C17" s="121" t="s">
        <v>31</v>
      </c>
      <c r="D17" s="122"/>
    </row>
    <row r="18" spans="1:10" ht="16.5" thickBot="1" x14ac:dyDescent="0.3">
      <c r="A18" s="123">
        <f>SUM($B$14,$B$16)</f>
        <v>20689.370000000003</v>
      </c>
      <c r="B18" s="124"/>
      <c r="C18" s="125">
        <f>SUM($D$14,$D$16)</f>
        <v>4620</v>
      </c>
      <c r="D18" s="124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9" t="s">
        <v>26</v>
      </c>
      <c r="B20" s="110"/>
      <c r="C20" s="111"/>
      <c r="D20" s="112"/>
    </row>
    <row r="21" spans="1:10" ht="16.5" thickBot="1" x14ac:dyDescent="0.3">
      <c r="A21" s="109" t="s">
        <v>27</v>
      </c>
      <c r="B21" s="110"/>
      <c r="C21" s="113"/>
      <c r="D21" s="114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7" t="s">
        <v>32</v>
      </c>
      <c r="B23" s="128"/>
      <c r="C23" s="129">
        <f>SUM(A18:D18)+C21-C20</f>
        <v>25309.370000000003</v>
      </c>
      <c r="D23" s="130"/>
    </row>
    <row r="25" spans="1:10" x14ac:dyDescent="0.25">
      <c r="A25" s="126" t="str">
        <f>IF(B13&lt;C6,"Favor atentar para o correto dimensionamento do recurso de impressão, pois o volume impresso está abaixo da franquia monocromática contratada!","")</f>
        <v/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126" t="str">
        <f>IF(B13&lt;C6,"Favor atentar para o correto dimensionamento do recurso de impressão, pois o volume impresso está abaixo da franquia color contratada!","")</f>
        <v/>
      </c>
      <c r="B26" s="126"/>
      <c r="C26" s="126"/>
      <c r="D26" s="126"/>
      <c r="E26" s="126"/>
      <c r="F26" s="126"/>
      <c r="G26" s="126"/>
      <c r="H26" s="126"/>
      <c r="I26" s="126"/>
      <c r="J26" s="126"/>
    </row>
    <row r="27" spans="1:10" x14ac:dyDescent="0.25">
      <c r="A27" s="126" t="str">
        <f>IF(D15&gt;C9,"Favor atentar para o uso do recurso de impressão, pois o volume policromático impresso está acima da volumetria total contratada!","")</f>
        <v/>
      </c>
      <c r="B27" s="126"/>
      <c r="C27" s="126"/>
      <c r="D27" s="126"/>
      <c r="E27" s="126"/>
      <c r="F27" s="126"/>
      <c r="G27" s="126"/>
      <c r="H27" s="126"/>
      <c r="I27" s="126"/>
      <c r="J27" s="126"/>
    </row>
    <row r="28" spans="1:10" x14ac:dyDescent="0.25">
      <c r="A28" s="126" t="str">
        <f>IF(B16&gt;C8,"Favor atentar para o uso do recurso de impressão, pois o volume monocromático impresso está acima da volumetria total contratada!","")</f>
        <v/>
      </c>
      <c r="B28" s="126"/>
      <c r="C28" s="126"/>
      <c r="D28" s="126"/>
      <c r="E28" s="126"/>
      <c r="F28" s="126"/>
      <c r="G28" s="126"/>
      <c r="H28" s="126"/>
      <c r="I28" s="126"/>
      <c r="J28" s="126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4" sqref="C14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2">
        <f>SUM(BASE!G80)</f>
        <v>271156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243</v>
      </c>
      <c r="C6" s="42" t="s">
        <v>244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295</v>
      </c>
      <c r="B7" s="72">
        <f>$D$3</f>
        <v>271156</v>
      </c>
      <c r="C7" s="75">
        <v>323889</v>
      </c>
      <c r="D7" s="45">
        <f>$D$4</f>
        <v>14640.64</v>
      </c>
      <c r="E7" s="45">
        <f>IF(C7-B7&lt;0,0,(C7-B7)*$D$5)</f>
        <v>1054.6600000000001</v>
      </c>
      <c r="F7" s="45">
        <f>E7+D7</f>
        <v>15695.3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296</v>
      </c>
      <c r="B8" s="72">
        <f t="shared" ref="B8:B12" si="0">$D$3</f>
        <v>271156</v>
      </c>
      <c r="C8" s="75">
        <v>453251</v>
      </c>
      <c r="D8" s="45">
        <f t="shared" ref="D8:D12" si="1">$D$4</f>
        <v>14640.64</v>
      </c>
      <c r="E8" s="45">
        <f t="shared" ref="E8:E12" si="2">IF(C8-B8&lt;0,0,(C8-B8)*$D$5)</f>
        <v>3641.9</v>
      </c>
      <c r="F8" s="45">
        <f t="shared" ref="F8:F11" si="3">E8+D8</f>
        <v>18282.54</v>
      </c>
      <c r="H8" s="143" t="s">
        <v>52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297</v>
      </c>
      <c r="B9" s="72">
        <f t="shared" si="0"/>
        <v>271156</v>
      </c>
      <c r="C9" s="75">
        <v>311126</v>
      </c>
      <c r="D9" s="45">
        <f t="shared" si="1"/>
        <v>14640.64</v>
      </c>
      <c r="E9" s="45">
        <f t="shared" si="2"/>
        <v>799.4</v>
      </c>
      <c r="F9" s="45">
        <f t="shared" si="3"/>
        <v>15440.039999999999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298</v>
      </c>
      <c r="B10" s="72">
        <f t="shared" si="0"/>
        <v>271156</v>
      </c>
      <c r="C10" s="75">
        <f>SUM(CONSOLIDADO!B13,CONSOLIDADO!B15)</f>
        <v>339494</v>
      </c>
      <c r="D10" s="45">
        <f t="shared" si="1"/>
        <v>14640.64</v>
      </c>
      <c r="E10" s="45">
        <f t="shared" si="2"/>
        <v>1366.76</v>
      </c>
      <c r="F10" s="45">
        <f t="shared" si="3"/>
        <v>16007.4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299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53</v>
      </c>
      <c r="H11" s="46" t="s">
        <v>54</v>
      </c>
    </row>
    <row r="12" spans="1:15" ht="15.75" thickBot="1" x14ac:dyDescent="0.3">
      <c r="A12" s="44" t="s">
        <v>300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6862.72</v>
      </c>
      <c r="H12" s="50">
        <f>F12-G12</f>
        <v>7777.9199999999992</v>
      </c>
    </row>
    <row r="13" spans="1:15" ht="19.5" thickBot="1" x14ac:dyDescent="0.35">
      <c r="A13" s="51" t="s">
        <v>55</v>
      </c>
      <c r="B13" s="74">
        <f>SUM(B7:B12)</f>
        <v>1626936</v>
      </c>
      <c r="C13" s="76">
        <f>SUM(C7:C12)</f>
        <v>1427760</v>
      </c>
      <c r="D13" s="54">
        <f>SUM(D7:D12)</f>
        <v>87843.839999999997</v>
      </c>
      <c r="E13" s="55">
        <f>SUM(E7:E12)</f>
        <v>6862.72</v>
      </c>
      <c r="F13" s="144" t="s">
        <v>56</v>
      </c>
      <c r="G13" s="145"/>
      <c r="H13" s="56">
        <f>SUM(F7:F11)+H12</f>
        <v>87843.839999999997</v>
      </c>
    </row>
    <row r="14" spans="1:15" ht="15.75" thickBot="1" x14ac:dyDescent="0.3">
      <c r="A14" s="131" t="s">
        <v>57</v>
      </c>
      <c r="B14" s="132"/>
      <c r="C14" s="77">
        <f>C13-B13</f>
        <v>-199176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  <row r="27" spans="1:10" x14ac:dyDescent="0.25">
      <c r="E27" s="58">
        <f>H13/C13</f>
        <v>6.1525634560430323E-2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0" sqref="C10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8">
        <f>SUM(BASE!I80)</f>
        <v>6600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4620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245</v>
      </c>
      <c r="C6" s="42" t="s">
        <v>246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295</v>
      </c>
      <c r="B7" s="72">
        <f>$D$3</f>
        <v>6600</v>
      </c>
      <c r="C7" s="75">
        <v>2012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296</v>
      </c>
      <c r="B8" s="72">
        <f t="shared" ref="B8:B12" si="0">$D$3</f>
        <v>6600</v>
      </c>
      <c r="C8" s="75">
        <v>2335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3" t="s">
        <v>52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297</v>
      </c>
      <c r="B9" s="72">
        <f t="shared" si="0"/>
        <v>6600</v>
      </c>
      <c r="C9" s="75">
        <v>1309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298</v>
      </c>
      <c r="B10" s="72">
        <f t="shared" si="0"/>
        <v>6600</v>
      </c>
      <c r="C10" s="75">
        <f>SUM(CONSOLIDADO!D13,CONSOLIDADO!D15)</f>
        <v>2387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299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53</v>
      </c>
      <c r="H11" s="46" t="s">
        <v>54</v>
      </c>
    </row>
    <row r="12" spans="1:15" ht="15.75" thickBot="1" x14ac:dyDescent="0.3">
      <c r="A12" s="44" t="s">
        <v>300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55</v>
      </c>
      <c r="B13" s="74">
        <f>SUM(B7:B12)</f>
        <v>39600</v>
      </c>
      <c r="C13" s="76">
        <f>SUM(C7:C12)</f>
        <v>8043</v>
      </c>
      <c r="D13" s="54">
        <f>SUM(D7:D12)</f>
        <v>27720</v>
      </c>
      <c r="E13" s="55">
        <f>SUM(E7:E12)</f>
        <v>0</v>
      </c>
      <c r="F13" s="144" t="s">
        <v>56</v>
      </c>
      <c r="G13" s="145"/>
      <c r="H13" s="56">
        <f>SUM(F7:F11)+H12</f>
        <v>27720</v>
      </c>
    </row>
    <row r="14" spans="1:15" ht="15.75" thickBot="1" x14ac:dyDescent="0.3">
      <c r="A14" s="131" t="s">
        <v>57</v>
      </c>
      <c r="B14" s="132"/>
      <c r="C14" s="77">
        <f>C13-B13</f>
        <v>-31557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76045822-f663-47fe-a980-18965f3af854"/>
    <ds:schemaRef ds:uri="e0c41287-3fae-4d33-9378-24a2e4e94c8b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2021-11-30T14:05:03Z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