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1\"/>
    </mc:Choice>
  </mc:AlternateContent>
  <bookViews>
    <workbookView xWindow="-120" yWindow="-120" windowWidth="29040" windowHeight="15840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BASE!$A$1:$Q$66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F79" i="4" l="1"/>
  <c r="J5" i="4" l="1"/>
  <c r="K5" i="4" s="1"/>
  <c r="J68" i="4"/>
  <c r="K68" i="4" s="1"/>
  <c r="J69" i="4"/>
  <c r="K69" i="4" s="1"/>
  <c r="J67" i="4"/>
  <c r="K67" i="4" s="1"/>
  <c r="J57" i="4"/>
  <c r="K57" i="4" s="1"/>
  <c r="J70" i="4"/>
  <c r="K70" i="4" s="1"/>
  <c r="J66" i="4" l="1"/>
  <c r="K66" i="4" s="1"/>
  <c r="J13" i="4"/>
  <c r="K13" i="4" s="1"/>
  <c r="J6" i="4"/>
  <c r="K6" i="4" s="1"/>
  <c r="J7" i="4"/>
  <c r="K7" i="4" s="1"/>
  <c r="J8" i="4"/>
  <c r="K8" i="4" s="1"/>
  <c r="J4" i="4"/>
  <c r="K4" i="4" s="1"/>
  <c r="M3" i="4" l="1"/>
  <c r="K3" i="4"/>
  <c r="K2" i="4"/>
  <c r="J54" i="4"/>
  <c r="K54" i="4" s="1"/>
  <c r="J29" i="4" l="1"/>
  <c r="K29" i="4" s="1"/>
  <c r="F76" i="4" l="1"/>
  <c r="H76" i="4" s="1"/>
  <c r="F77" i="4"/>
  <c r="H77" i="4" s="1"/>
  <c r="F78" i="4"/>
  <c r="H78" i="4" s="1"/>
  <c r="J79" i="4"/>
  <c r="F80" i="4"/>
  <c r="J80" i="4" s="1"/>
  <c r="F75" i="4"/>
  <c r="G75" i="4" s="1"/>
  <c r="J53" i="4"/>
  <c r="K53" i="4" s="1"/>
  <c r="J26" i="4"/>
  <c r="K26" i="4" s="1"/>
  <c r="J44" i="4"/>
  <c r="K44" i="4" s="1"/>
  <c r="J9" i="4"/>
  <c r="K9" i="4" s="1"/>
  <c r="J15" i="4"/>
  <c r="K15" i="4" s="1"/>
  <c r="J40" i="4"/>
  <c r="K40" i="4" s="1"/>
  <c r="J50" i="4"/>
  <c r="K50" i="4" s="1"/>
  <c r="J22" i="4"/>
  <c r="K22" i="4" s="1"/>
  <c r="J18" i="4"/>
  <c r="K18" i="4" s="1"/>
  <c r="J46" i="4"/>
  <c r="K46" i="4" s="1"/>
  <c r="J11" i="4"/>
  <c r="K11" i="4" s="1"/>
  <c r="J60" i="4"/>
  <c r="K60" i="4" s="1"/>
  <c r="J45" i="4"/>
  <c r="K45" i="4" s="1"/>
  <c r="J52" i="4"/>
  <c r="K52" i="4" s="1"/>
  <c r="J65" i="4"/>
  <c r="K65" i="4" s="1"/>
  <c r="J16" i="4"/>
  <c r="K16" i="4" s="1"/>
  <c r="J17" i="4"/>
  <c r="K17" i="4" s="1"/>
  <c r="J59" i="4"/>
  <c r="K59" i="4" s="1"/>
  <c r="J27" i="4"/>
  <c r="K27" i="4" s="1"/>
  <c r="J30" i="4"/>
  <c r="K30" i="4" s="1"/>
  <c r="J20" i="4"/>
  <c r="K20" i="4" s="1"/>
  <c r="J19" i="4"/>
  <c r="K19" i="4" s="1"/>
  <c r="J42" i="4"/>
  <c r="K42" i="4" s="1"/>
  <c r="J35" i="4"/>
  <c r="K35" i="4" s="1"/>
  <c r="J12" i="4"/>
  <c r="K12" i="4" s="1"/>
  <c r="J56" i="4"/>
  <c r="K56" i="4" s="1"/>
  <c r="J34" i="4"/>
  <c r="K34" i="4" s="1"/>
  <c r="J28" i="4"/>
  <c r="K28" i="4" s="1"/>
  <c r="J58" i="4"/>
  <c r="K58" i="4" s="1"/>
  <c r="J62" i="4"/>
  <c r="K62" i="4" s="1"/>
  <c r="J63" i="4"/>
  <c r="K63" i="4" s="1"/>
  <c r="J36" i="4"/>
  <c r="K36" i="4" s="1"/>
  <c r="J47" i="4"/>
  <c r="K47" i="4" s="1"/>
  <c r="J61" i="4"/>
  <c r="K61" i="4" s="1"/>
  <c r="J38" i="4"/>
  <c r="K38" i="4" s="1"/>
  <c r="J31" i="4"/>
  <c r="K31" i="4" s="1"/>
  <c r="J33" i="4"/>
  <c r="K33" i="4" s="1"/>
  <c r="J49" i="4"/>
  <c r="K49" i="4" s="1"/>
  <c r="J55" i="4"/>
  <c r="K55" i="4" s="1"/>
  <c r="J64" i="4"/>
  <c r="K64" i="4" s="1"/>
  <c r="J32" i="4"/>
  <c r="K32" i="4" s="1"/>
  <c r="J48" i="4"/>
  <c r="K48" i="4" s="1"/>
  <c r="J51" i="4"/>
  <c r="K51" i="4" s="1"/>
  <c r="J10" i="4"/>
  <c r="K10" i="4" s="1"/>
  <c r="J39" i="4"/>
  <c r="K39" i="4" s="1"/>
  <c r="J24" i="4"/>
  <c r="K24" i="4" s="1"/>
  <c r="J23" i="4"/>
  <c r="K23" i="4" s="1"/>
  <c r="J14" i="4"/>
  <c r="K14" i="4" s="1"/>
  <c r="J41" i="4"/>
  <c r="K41" i="4" s="1"/>
  <c r="J81" i="4" l="1"/>
  <c r="C9" i="5" s="1"/>
  <c r="H75" i="4"/>
  <c r="G78" i="4"/>
  <c r="G80" i="4"/>
  <c r="H80" i="4"/>
  <c r="I80" i="4"/>
  <c r="G76" i="4"/>
  <c r="G79" i="4"/>
  <c r="H79" i="4"/>
  <c r="F81" i="4"/>
  <c r="G77" i="4"/>
  <c r="I79" i="4"/>
  <c r="I81" i="4" l="1"/>
  <c r="H81" i="4"/>
  <c r="C7" i="5" s="1"/>
  <c r="G81" i="4"/>
  <c r="C6" i="5" l="1"/>
  <c r="D3" i="7"/>
  <c r="D3" i="8"/>
  <c r="B10" i="8" s="1"/>
  <c r="C8" i="5"/>
  <c r="J37" i="4"/>
  <c r="K37" i="4" s="1"/>
  <c r="J21" i="4"/>
  <c r="K21" i="4" s="1"/>
  <c r="D5" i="8"/>
  <c r="D13" i="5" l="1"/>
  <c r="C9" i="8" s="1"/>
  <c r="D15" i="5"/>
  <c r="B8" i="8"/>
  <c r="B9" i="8"/>
  <c r="B12" i="8"/>
  <c r="B11" i="8"/>
  <c r="B7" i="8"/>
  <c r="E9" i="8" l="1"/>
  <c r="E12" i="8"/>
  <c r="E11" i="8"/>
  <c r="E10" i="8"/>
  <c r="E8" i="8"/>
  <c r="B13" i="8"/>
  <c r="C13" i="8" l="1"/>
  <c r="C14" i="8" s="1"/>
  <c r="C15" i="8" s="1"/>
  <c r="E7" i="8"/>
  <c r="E13" i="8" l="1"/>
  <c r="G12" i="8" s="1"/>
  <c r="J43" i="4" l="1"/>
  <c r="K43" i="4" s="1"/>
  <c r="J25" i="4"/>
  <c r="K25" i="4" s="1"/>
  <c r="B15" i="5" l="1"/>
  <c r="B13" i="5"/>
  <c r="D12" i="7"/>
  <c r="B12" i="7"/>
  <c r="D11" i="7"/>
  <c r="B11" i="7"/>
  <c r="D10" i="7"/>
  <c r="B10" i="7"/>
  <c r="D9" i="7"/>
  <c r="B9" i="7"/>
  <c r="D8" i="7"/>
  <c r="B8" i="7"/>
  <c r="D7" i="7"/>
  <c r="D13" i="7" s="1"/>
  <c r="B7" i="7"/>
  <c r="C9" i="7" l="1"/>
  <c r="E9" i="7" s="1"/>
  <c r="F9" i="7" s="1"/>
  <c r="A26" i="5"/>
  <c r="E12" i="7"/>
  <c r="F12" i="7" s="1"/>
  <c r="E10" i="7"/>
  <c r="F10" i="7" s="1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<sst xmlns="http://schemas.openxmlformats.org/spreadsheetml/2006/main" count="496" uniqueCount="310">
  <si>
    <t>TIPO</t>
  </si>
  <si>
    <t>Nº DE SÉRIE</t>
  </si>
  <si>
    <t>IP</t>
  </si>
  <si>
    <t>OBSERVAÇÕES</t>
  </si>
  <si>
    <t>VALOR UNITÁRIO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</si>
  <si>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</si>
  <si>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</si>
  <si>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</si>
  <si>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</si>
  <si>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DEPARTAMENTO
(localização do equipamento)</t>
  </si>
  <si>
    <t>MARCA e MODELO</t>
  </si>
  <si>
    <t>VOLUMETRIA A4
(MONOCROMÁTICO)</t>
  </si>
  <si>
    <t>VOLUMETRIA A4
(POLICROMÁTICO)</t>
  </si>
  <si>
    <t>VOLUMETRIA A3
(MONOCROMÁTICO)</t>
  </si>
  <si>
    <t>VOLUMETRIA A3
(POLICROMÁTICO)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</si>
  <si>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</si>
  <si>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</si>
  <si>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</si>
  <si>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</si>
  <si>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</si>
  <si>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</si>
  <si>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TIPO EQUIPAMENTO 
(CONFORME EDITAL)</t>
  </si>
  <si>
    <t>VOLUMETRIA TOTAL
(MÊS)</t>
  </si>
  <si>
    <t>DATA DE 
INSTALAÇÃO</t>
  </si>
  <si>
    <t>CONTADOR 
INICIAL</t>
  </si>
  <si>
    <t>CONTADOR 
FINAL</t>
  </si>
  <si>
    <t>GLOSAS E DESCONTOS</t>
  </si>
  <si>
    <t>ACRESCIMOS</t>
  </si>
  <si>
    <t>SERVIÇO MENSAL CONTRATADO</t>
  </si>
  <si>
    <t>VALOR CONTRATADO</t>
  </si>
  <si>
    <t>Valor Total Mono</t>
  </si>
  <si>
    <t>Valor Total Color</t>
  </si>
  <si>
    <t>VALOR A PAGAR</t>
  </si>
  <si>
    <t>Contratante:</t>
  </si>
  <si>
    <t>Contratada:</t>
  </si>
  <si>
    <t>Mês de Referência:</t>
  </si>
  <si>
    <t>MÊS</t>
  </si>
  <si>
    <t>ANO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</si>
  <si>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</si>
  <si>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</si>
  <si>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</si>
  <si>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</si>
  <si>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</si>
  <si>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</si>
  <si>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</si>
  <si>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</si>
  <si>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</si>
  <si>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</si>
  <si>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</si>
  <si>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</si>
  <si>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</si>
  <si>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</si>
  <si>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</si>
  <si>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</si>
  <si>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</si>
  <si>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</si>
  <si>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</si>
  <si>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</si>
  <si>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</si>
  <si>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</si>
  <si>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</si>
  <si>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</si>
  <si>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</si>
  <si>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</si>
  <si>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</si>
  <si>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</si>
  <si>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</si>
  <si>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</si>
  <si>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</si>
  <si>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</si>
  <si>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</si>
  <si>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</si>
  <si>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</si>
  <si>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</si>
  <si>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</si>
  <si>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Humap</t>
  </si>
  <si>
    <t>W.A.</t>
  </si>
  <si>
    <t>PROTOCOLO</t>
  </si>
  <si>
    <t>CTI PEDIATRICO</t>
  </si>
  <si>
    <t>CTI ADULTO</t>
  </si>
  <si>
    <t>ENFERMARIA PEDIATRIA</t>
  </si>
  <si>
    <t>CCII</t>
  </si>
  <si>
    <t>CCI</t>
  </si>
  <si>
    <t>DIP</t>
  </si>
  <si>
    <t>ENFERMARIA CLINICA MEDICA</t>
  </si>
  <si>
    <t>SUPRIMENTOS</t>
  </si>
  <si>
    <t>AMB_PEDIATRIA</t>
  </si>
  <si>
    <t>PAM POSTO ENF</t>
  </si>
  <si>
    <t>NUTRICAO</t>
  </si>
  <si>
    <t>HEMODINAMICA</t>
  </si>
  <si>
    <t>PAM RECEPCAO</t>
  </si>
  <si>
    <t>CENTRO_CIRURGICO</t>
  </si>
  <si>
    <t>AMB_ONCOLOGIA</t>
  </si>
  <si>
    <t>UAF</t>
  </si>
  <si>
    <t>PAM_PED</t>
  </si>
  <si>
    <t>SOST</t>
  </si>
  <si>
    <t>SERVICO_SOCIAL</t>
  </si>
  <si>
    <t>MAT PRE PARTO</t>
  </si>
  <si>
    <t>PULSOTERAPIA</t>
  </si>
  <si>
    <t>JURIDICO</t>
  </si>
  <si>
    <t>PATOLOGIA</t>
  </si>
  <si>
    <t>AMB_ARQUIVO_MEDICO</t>
  </si>
  <si>
    <t>RENAL</t>
  </si>
  <si>
    <t>LAC_RECEPCAO</t>
  </si>
  <si>
    <t>UCO</t>
  </si>
  <si>
    <t>COREME</t>
  </si>
  <si>
    <t>ENGENHARIA</t>
  </si>
  <si>
    <t>HDIA</t>
  </si>
  <si>
    <t>ORTESE E PROTESE</t>
  </si>
  <si>
    <t>FARMACIA</t>
  </si>
  <si>
    <t>FARMACIA_MANIPULACAO</t>
  </si>
  <si>
    <t>AMB_ORTOPEDIA</t>
  </si>
  <si>
    <t>DIVGP</t>
  </si>
  <si>
    <t>UTI NEO</t>
  </si>
  <si>
    <t>RAIOX</t>
  </si>
  <si>
    <t>BANCO LEITE</t>
  </si>
  <si>
    <t>PAM NIR</t>
  </si>
  <si>
    <t>CCIH</t>
  </si>
  <si>
    <t>EPIDEMIOLOGIA</t>
  </si>
  <si>
    <t>AMB_ELETRO</t>
  </si>
  <si>
    <t>MATERNIDADE</t>
  </si>
  <si>
    <t>DIRECAO</t>
  </si>
  <si>
    <t>AUDITORIA_MEDICA</t>
  </si>
  <si>
    <t>RECEPCAO_CENTRAL</t>
  </si>
  <si>
    <t>HEMONUCLEO</t>
  </si>
  <si>
    <t>CME</t>
  </si>
  <si>
    <t>CHEFIA ENFERMAGEM</t>
  </si>
  <si>
    <t>ENFERMARIA PEDIATRICA SALA MED</t>
  </si>
  <si>
    <t>2TX074066</t>
  </si>
  <si>
    <t>U64210B0N382790</t>
  </si>
  <si>
    <t>U64210B0N382713</t>
  </si>
  <si>
    <t>U64210B0N382703</t>
  </si>
  <si>
    <t>U64210B0N382743</t>
  </si>
  <si>
    <t>U64210B0N382699</t>
  </si>
  <si>
    <t>U64210B0N382708</t>
  </si>
  <si>
    <t>U64210B0N382692</t>
  </si>
  <si>
    <t>U64210B0N382663</t>
  </si>
  <si>
    <t>U64210B0N382849</t>
  </si>
  <si>
    <t>U64210B0N382654</t>
  </si>
  <si>
    <t>U64210B0N382645</t>
  </si>
  <si>
    <t>U64210B0N382666</t>
  </si>
  <si>
    <t>U64210B0N382871</t>
  </si>
  <si>
    <t>U64210B0N382815</t>
  </si>
  <si>
    <t>U64210B0N382778</t>
  </si>
  <si>
    <t>U64210B0N382738</t>
  </si>
  <si>
    <t>U64210B0N382706</t>
  </si>
  <si>
    <t>U64210B0N382720</t>
  </si>
  <si>
    <t>U64210B0N382878</t>
  </si>
  <si>
    <t>U64210B0N382772</t>
  </si>
  <si>
    <t>U64210B0N382701</t>
  </si>
  <si>
    <t>U64210B0N382745</t>
  </si>
  <si>
    <t>U64210B0N382668</t>
  </si>
  <si>
    <t>U64210B0N382813</t>
  </si>
  <si>
    <t>U64210B0N382788</t>
  </si>
  <si>
    <t>U64210B0N382744</t>
  </si>
  <si>
    <t>U64210B0N382704</t>
  </si>
  <si>
    <t>U64210B0N382809</t>
  </si>
  <si>
    <t>U64210B0N382660</t>
  </si>
  <si>
    <t>U64210B0N382705</t>
  </si>
  <si>
    <t>U64210B0N382736</t>
  </si>
  <si>
    <t>U64210B0N382718</t>
  </si>
  <si>
    <t>U64210B0N382656</t>
  </si>
  <si>
    <t>U64210B0N382740</t>
  </si>
  <si>
    <t>U64210B0N382811</t>
  </si>
  <si>
    <t>U64210B0N382684</t>
  </si>
  <si>
    <t>U64210B0N382806</t>
  </si>
  <si>
    <t>U64210B0N382698</t>
  </si>
  <si>
    <t>U64210B0N382712</t>
  </si>
  <si>
    <t>U64210B0N382707</t>
  </si>
  <si>
    <t>U64210B0N382700</t>
  </si>
  <si>
    <t>U64182J9N677001</t>
  </si>
  <si>
    <t>U64210B0N382658</t>
  </si>
  <si>
    <t>U64182J9N675229</t>
  </si>
  <si>
    <t>U64182J9N675412</t>
  </si>
  <si>
    <t>3RB706855</t>
  </si>
  <si>
    <t>U64210B0N382714</t>
  </si>
  <si>
    <t>U64210B0N382696</t>
  </si>
  <si>
    <t>U64210B0N382734</t>
  </si>
  <si>
    <t>U64210B0N382781</t>
  </si>
  <si>
    <t>U64210B0N382733</t>
  </si>
  <si>
    <t>U64210B0N382695</t>
  </si>
  <si>
    <t>10.42.205.78</t>
  </si>
  <si>
    <t>10.42.205.26</t>
  </si>
  <si>
    <t>10.42.205.25</t>
  </si>
  <si>
    <t>10.42.205.32</t>
  </si>
  <si>
    <t>10.42.205.18</t>
  </si>
  <si>
    <t>10.42.205.16</t>
  </si>
  <si>
    <t>10.42.205.27</t>
  </si>
  <si>
    <t>10.42.205.22</t>
  </si>
  <si>
    <t>10.42.205.56</t>
  </si>
  <si>
    <t>10.42.205.61</t>
  </si>
  <si>
    <t>10.42.205.71</t>
  </si>
  <si>
    <t>10.42.205.91</t>
  </si>
  <si>
    <t>10.42.205.62</t>
  </si>
  <si>
    <t>10.42.205.72</t>
  </si>
  <si>
    <t>10.42.205.82</t>
  </si>
  <si>
    <t>10.42.205.92</t>
  </si>
  <si>
    <t>10.42.205.67</t>
  </si>
  <si>
    <t>10.42.205.87</t>
  </si>
  <si>
    <t>10.42.205.69</t>
  </si>
  <si>
    <t>10.42.205.89</t>
  </si>
  <si>
    <t>10.42.205.93</t>
  </si>
  <si>
    <t>10.42.205.79</t>
  </si>
  <si>
    <t>10.42.205.60</t>
  </si>
  <si>
    <t>10.42.205.48</t>
  </si>
  <si>
    <t>10.42.205.3</t>
  </si>
  <si>
    <t>10.42.205.52</t>
  </si>
  <si>
    <t>10.42.205.51</t>
  </si>
  <si>
    <t>10.42.205.59</t>
  </si>
  <si>
    <t>10.42.205.23</t>
  </si>
  <si>
    <t>10.42.205.33</t>
  </si>
  <si>
    <t>10.42.205.37</t>
  </si>
  <si>
    <t>10.42.205.44</t>
  </si>
  <si>
    <t>10.42.205.34</t>
  </si>
  <si>
    <t>10.42.205.84</t>
  </si>
  <si>
    <t>10.42.205.10</t>
  </si>
  <si>
    <t>10.42.205.30</t>
  </si>
  <si>
    <t>10.42.205.58</t>
  </si>
  <si>
    <t>10.42.205.50</t>
  </si>
  <si>
    <t>10.42.205.15</t>
  </si>
  <si>
    <t>10.42.205.70</t>
  </si>
  <si>
    <t>10.42.205.96</t>
  </si>
  <si>
    <t>10.42.205.97</t>
  </si>
  <si>
    <t>10.42.205.76</t>
  </si>
  <si>
    <t>10.42.205.55</t>
  </si>
  <si>
    <t>10.42.205.41</t>
  </si>
  <si>
    <t>10.42.205.40</t>
  </si>
  <si>
    <t>10.42.205.29</t>
  </si>
  <si>
    <t>10.42.205.65</t>
  </si>
  <si>
    <t>10.42.205.90</t>
  </si>
  <si>
    <t>10.42.205.38</t>
  </si>
  <si>
    <t>10.42.205.88</t>
  </si>
  <si>
    <t>10.42.205.31</t>
  </si>
  <si>
    <t>10.42.205.86</t>
  </si>
  <si>
    <t>Xerox AltaLink C8035</t>
  </si>
  <si>
    <t>Brother MFC-L6902DW</t>
  </si>
  <si>
    <t>Brother HL-L6202DW</t>
  </si>
  <si>
    <t>Xerox VersaLink C505</t>
  </si>
  <si>
    <t>U64210B0N382662</t>
  </si>
  <si>
    <t>#</t>
  </si>
  <si>
    <t>TIPO 5MA3</t>
  </si>
  <si>
    <t>TIPO 1M</t>
  </si>
  <si>
    <t>TIPO 2M</t>
  </si>
  <si>
    <t>TIPO 1</t>
  </si>
  <si>
    <t>TIPO 2</t>
  </si>
  <si>
    <t>TIPO 5M</t>
  </si>
  <si>
    <t>Franquia Mensal MONO</t>
  </si>
  <si>
    <t>Produzido mono</t>
  </si>
  <si>
    <t>Franquia Mensal poli</t>
  </si>
  <si>
    <t>Produzido poli</t>
  </si>
  <si>
    <t>SGPTI</t>
  </si>
  <si>
    <t>U64210B0N382667</t>
  </si>
  <si>
    <t>10.42.205.54</t>
  </si>
  <si>
    <t>U64210B0N382711</t>
  </si>
  <si>
    <t>10.42.205.95</t>
  </si>
  <si>
    <t>ENGENHARIA CLINICA</t>
  </si>
  <si>
    <t>QTD</t>
  </si>
  <si>
    <t>MONO</t>
  </si>
  <si>
    <t>MONO EXC</t>
  </si>
  <si>
    <t>POLI</t>
  </si>
  <si>
    <t>POLI EXC</t>
  </si>
  <si>
    <t>tipo 5M</t>
  </si>
  <si>
    <t>TOTAL</t>
  </si>
  <si>
    <t>U64210B0N382783</t>
  </si>
  <si>
    <t>10.42.205.11</t>
  </si>
  <si>
    <t>10.42.205.8</t>
  </si>
  <si>
    <t>CETROGEN</t>
  </si>
  <si>
    <t>U64182B0N831004</t>
  </si>
  <si>
    <t>10.42.205.14</t>
  </si>
  <si>
    <t>10.42.205.42</t>
  </si>
  <si>
    <t>10.42.205.12</t>
  </si>
  <si>
    <t>U64182B0N831063</t>
  </si>
  <si>
    <t>U64182B0N831097</t>
  </si>
  <si>
    <t>U64182B0N831112</t>
  </si>
  <si>
    <t>AMB_UROLOGIA</t>
  </si>
  <si>
    <t>AMB_ERGO</t>
  </si>
  <si>
    <t>AMB_PNEUMOLOGIA</t>
  </si>
  <si>
    <t>AMB_URA</t>
  </si>
  <si>
    <t>10.42.205.6</t>
  </si>
  <si>
    <t>U64210C0N399922</t>
  </si>
  <si>
    <t>AMB_DERMATO</t>
  </si>
  <si>
    <t>U64210B0N382647</t>
  </si>
  <si>
    <t>AMB_GUICHE</t>
  </si>
  <si>
    <t>FATURAMENTO</t>
  </si>
  <si>
    <t>AMB_OFTALMO</t>
  </si>
  <si>
    <t>AMB_CCIR</t>
  </si>
  <si>
    <t>AMB_CLM</t>
  </si>
  <si>
    <t>AMB_GINECO</t>
  </si>
  <si>
    <t>AMB_REUMATOLOGIA</t>
  </si>
  <si>
    <t>U64182B0N831007</t>
  </si>
  <si>
    <t>U64210C0N400112</t>
  </si>
  <si>
    <t>U64210C0N400093</t>
  </si>
  <si>
    <t>U64210C0N400097</t>
  </si>
  <si>
    <t>U64210C0N399968</t>
  </si>
  <si>
    <t>U64210B0N382796</t>
  </si>
  <si>
    <t>10.42.205.9</t>
  </si>
  <si>
    <t>10.42.205.4</t>
  </si>
  <si>
    <t>10.42.205.5</t>
  </si>
  <si>
    <t>10.42.205.7</t>
  </si>
  <si>
    <t>10.42.205.13</t>
  </si>
  <si>
    <t>Mês 13</t>
  </si>
  <si>
    <t>Mês 14</t>
  </si>
  <si>
    <t>Mês 15</t>
  </si>
  <si>
    <t>Mês 16</t>
  </si>
  <si>
    <t>Mês 17</t>
  </si>
  <si>
    <t>Mês 18</t>
  </si>
  <si>
    <t>10.42.205.98</t>
  </si>
  <si>
    <t>ENDOSCOPIA</t>
  </si>
  <si>
    <t>10.42.205.80</t>
  </si>
  <si>
    <t>AMB_RADIOTERAPIA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</si>
</sst>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3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4" fontId="4" fillId="4" borderId="11" xfId="1" applyFont="1" applyFill="1" applyBorder="1" applyAlignment="1" applyProtection="1">
      <alignment horizontal="center" vertical="center" wrapText="1"/>
    </xf>
    <xf numFmtId="164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 applyProtection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 applyProtection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 applyProtection="1">
      <alignment horizontal="center" vertical="center" wrapText="1"/>
    </xf>
    <xf numFmtId="164" fontId="2" fillId="6" borderId="14" xfId="1" applyFont="1" applyFill="1" applyBorder="1" applyAlignment="1" applyProtection="1">
      <alignment horizontal="center" vertical="center" wrapText="1"/>
    </xf>
    <xf numFmtId="164" fontId="2" fillId="6" borderId="9" xfId="1" applyFont="1" applyFill="1" applyBorder="1" applyAlignment="1" applyProtection="1">
      <alignment horizontal="center" vertical="center" wrapText="1"/>
    </xf>
    <xf numFmtId="164" fontId="2" fillId="6" borderId="17" xfId="1" applyFont="1" applyFill="1" applyBorder="1" applyAlignment="1" applyProtection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Border="1" applyAlignment="1">
      <alignment horizontal="center" vertical="center"/>
    </xf>
    <xf numFmtId="164" fontId="4" fillId="4" borderId="27" xfId="1" applyFont="1" applyFill="1" applyBorder="1" applyAlignment="1" applyProtection="1">
      <alignment horizontal="center" vertical="center"/>
    </xf>
    <xf numFmtId="164" fontId="4" fillId="4" borderId="28" xfId="1" applyFont="1" applyFill="1" applyBorder="1" applyAlignment="1" applyProtection="1">
      <alignment horizontal="center" vertical="center"/>
    </xf>
    <xf numFmtId="164" fontId="4" fillId="4" borderId="29" xfId="1" applyFont="1" applyFill="1" applyBorder="1" applyAlignment="1" applyProtection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 applyProtection="1">
      <alignment horizontal="center" vertical="center" wrapText="1"/>
    </xf>
    <xf numFmtId="164" fontId="4" fillId="4" borderId="24" xfId="1" applyFont="1" applyFill="1" applyBorder="1" applyAlignment="1" applyProtection="1">
      <alignment horizontal="center" vertical="center"/>
    </xf>
    <xf numFmtId="164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 applyProtection="1">
      <alignment horizontal="center" wrapText="1"/>
    </xf>
    <xf numFmtId="164" fontId="4" fillId="5" borderId="6" xfId="1" applyFont="1" applyFill="1" applyBorder="1" applyAlignment="1" applyProtection="1">
      <alignment horizontal="center" wrapText="1"/>
    </xf>
    <xf numFmtId="164" fontId="2" fillId="6" borderId="5" xfId="1" applyFont="1" applyFill="1" applyBorder="1" applyAlignment="1" applyProtection="1">
      <alignment horizontal="center" vertical="center" wrapText="1"/>
    </xf>
    <xf numFmtId="164" fontId="2" fillId="6" borderId="6" xfId="1" applyFont="1" applyFill="1" applyBorder="1" applyAlignment="1" applyProtection="1">
      <alignment horizontal="center" vertical="center" wrapText="1"/>
    </xf>
    <xf numFmtId="164" fontId="4" fillId="5" borderId="7" xfId="1" applyFont="1" applyFill="1" applyBorder="1" applyAlignment="1" applyProtection="1">
      <alignment horizontal="center" wrapText="1"/>
    </xf>
    <xf numFmtId="164" fontId="4" fillId="5" borderId="8" xfId="1" applyFont="1" applyFill="1" applyBorder="1" applyAlignment="1" applyProtection="1">
      <alignment horizontal="center" wrapText="1"/>
    </xf>
    <xf numFmtId="164" fontId="2" fillId="6" borderId="2" xfId="1" applyFont="1" applyFill="1" applyBorder="1" applyAlignment="1" applyProtection="1">
      <alignment horizontal="center" vertical="center" wrapText="1"/>
    </xf>
    <xf numFmtId="164" fontId="2" fillId="6" borderId="3" xfId="1" applyFont="1" applyFill="1" applyBorder="1" applyAlignment="1" applyProtection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>
        <row r="3">
          <cell r="C3">
            <v>85</v>
          </cell>
          <cell r="I3">
            <v>8</v>
          </cell>
          <cell r="O3">
            <v>0</v>
          </cell>
        </row>
        <row r="4">
          <cell r="C4">
            <v>49</v>
          </cell>
          <cell r="I4">
            <v>0</v>
          </cell>
          <cell r="O4">
            <v>0</v>
          </cell>
        </row>
        <row r="5">
          <cell r="C5">
            <v>32</v>
          </cell>
          <cell r="I5">
            <v>1</v>
          </cell>
          <cell r="O5">
            <v>0</v>
          </cell>
        </row>
        <row r="6">
          <cell r="C6">
            <v>21</v>
          </cell>
          <cell r="I6">
            <v>0</v>
          </cell>
          <cell r="O6">
            <v>0</v>
          </cell>
        </row>
        <row r="7">
          <cell r="C7">
            <v>0</v>
          </cell>
          <cell r="I7">
            <v>0</v>
          </cell>
          <cell r="O7">
            <v>0</v>
          </cell>
        </row>
        <row r="8">
          <cell r="C8">
            <v>68</v>
          </cell>
          <cell r="I8">
            <v>0</v>
          </cell>
          <cell r="O8">
            <v>0</v>
          </cell>
        </row>
        <row r="9">
          <cell r="C9">
            <v>20</v>
          </cell>
          <cell r="I9">
            <v>0</v>
          </cell>
          <cell r="O9">
            <v>0</v>
          </cell>
        </row>
        <row r="10">
          <cell r="C10">
            <v>42</v>
          </cell>
          <cell r="I10">
            <v>0</v>
          </cell>
          <cell r="O10">
            <v>0</v>
          </cell>
        </row>
        <row r="11">
          <cell r="C11">
            <v>30</v>
          </cell>
          <cell r="I11">
            <v>0</v>
          </cell>
          <cell r="O11">
            <v>0</v>
          </cell>
        </row>
        <row r="12">
          <cell r="C12">
            <v>94</v>
          </cell>
          <cell r="I12">
            <v>1</v>
          </cell>
          <cell r="O12">
            <v>0</v>
          </cell>
        </row>
        <row r="13">
          <cell r="C13">
            <v>162</v>
          </cell>
          <cell r="I13">
            <v>0</v>
          </cell>
          <cell r="O13">
            <v>0</v>
          </cell>
        </row>
        <row r="14">
          <cell r="C14">
            <v>210</v>
          </cell>
          <cell r="I14">
            <v>1</v>
          </cell>
          <cell r="O14">
            <v>0</v>
          </cell>
        </row>
        <row r="15">
          <cell r="C15">
            <v>24</v>
          </cell>
          <cell r="I15">
            <v>0</v>
          </cell>
          <cell r="O15">
            <v>0</v>
          </cell>
        </row>
        <row r="16">
          <cell r="C16">
            <v>0</v>
          </cell>
          <cell r="I16">
            <v>0</v>
          </cell>
          <cell r="O16">
            <v>0</v>
          </cell>
        </row>
        <row r="17">
          <cell r="C17">
            <v>0</v>
          </cell>
          <cell r="I17">
            <v>0</v>
          </cell>
          <cell r="O17">
            <v>0</v>
          </cell>
        </row>
        <row r="18">
          <cell r="C18">
            <v>32</v>
          </cell>
          <cell r="I18">
            <v>0</v>
          </cell>
          <cell r="O18">
            <v>0</v>
          </cell>
        </row>
        <row r="19">
          <cell r="C19">
            <v>76</v>
          </cell>
          <cell r="I19">
            <v>0</v>
          </cell>
          <cell r="O19">
            <v>0</v>
          </cell>
        </row>
        <row r="20">
          <cell r="C20">
            <v>180</v>
          </cell>
          <cell r="I20">
            <v>2</v>
          </cell>
          <cell r="O20">
            <v>0</v>
          </cell>
        </row>
        <row r="21">
          <cell r="C21">
            <v>18</v>
          </cell>
          <cell r="I21">
            <v>0</v>
          </cell>
          <cell r="O21">
            <v>0</v>
          </cell>
        </row>
      </sheetData>
      <sheetData sheetId="2" refreshError="1"/>
      <sheetData sheetId="3" refreshError="1"/>
      <sheetData sheetId="4" refreshError="1"/>
      <sheetData sheetId="5">
        <row r="1">
          <cell r="L1">
            <v>19098.180899999963</v>
          </cell>
        </row>
      </sheetData>
      <sheetData sheetId="6">
        <row r="1">
          <cell r="L1">
            <v>9265.4541000000008</v>
          </cell>
        </row>
      </sheetData>
      <sheetData sheetId="7">
        <row r="1">
          <cell r="L1">
            <v>6429.0906000000023</v>
          </cell>
        </row>
      </sheetData>
      <sheetData sheetId="8">
        <row r="1">
          <cell r="L1">
            <v>3970.9089000000013</v>
          </cell>
        </row>
      </sheetData>
      <sheetData sheetId="9">
        <row r="1">
          <cell r="L1">
            <v>0</v>
          </cell>
        </row>
      </sheetData>
      <sheetData sheetId="10">
        <row r="1">
          <cell r="L1">
            <v>12858.181199999986</v>
          </cell>
        </row>
      </sheetData>
      <sheetData sheetId="11">
        <row r="1">
          <cell r="L1">
            <v>3781.8180000000011</v>
          </cell>
        </row>
      </sheetData>
      <sheetData sheetId="12">
        <row r="1">
          <cell r="L1">
            <v>7941.8178000000044</v>
          </cell>
        </row>
      </sheetData>
      <sheetData sheetId="13">
        <row r="1">
          <cell r="L1">
            <v>5672.7270000000026</v>
          </cell>
        </row>
      </sheetData>
      <sheetData sheetId="14">
        <row r="1">
          <cell r="L1">
            <v>18152.726399999963</v>
          </cell>
        </row>
      </sheetData>
      <sheetData sheetId="15">
        <row r="1">
          <cell r="L1">
            <v>30632.725799999916</v>
          </cell>
        </row>
      </sheetData>
      <sheetData sheetId="16">
        <row r="1">
          <cell r="L1">
            <v>40087.27080000002</v>
          </cell>
        </row>
      </sheetData>
      <sheetData sheetId="17">
        <row r="1">
          <cell r="L1">
            <v>4538.1816000000017</v>
          </cell>
        </row>
      </sheetData>
      <sheetData sheetId="18">
        <row r="1">
          <cell r="L1">
            <v>0</v>
          </cell>
        </row>
      </sheetData>
      <sheetData sheetId="19">
        <row r="1">
          <cell r="L1">
            <v>0</v>
          </cell>
        </row>
      </sheetData>
      <sheetData sheetId="20">
        <row r="1">
          <cell r="L1">
            <v>6050.9088000000029</v>
          </cell>
        </row>
      </sheetData>
      <sheetData sheetId="21">
        <row r="1">
          <cell r="L1">
            <v>14370.90839999998</v>
          </cell>
        </row>
      </sheetData>
      <sheetData sheetId="22">
        <row r="1">
          <cell r="L1">
            <v>34792.725599999932</v>
          </cell>
        </row>
      </sheetData>
      <sheetData sheetId="23">
        <row r="1">
          <cell r="L1">
            <v>3403.6362000000008</v>
          </cell>
        </row>
      </sheetData>
      <sheetData sheetId="24">
        <row r="1">
          <cell r="L1">
            <v>8130.9087000000045</v>
          </cell>
        </row>
      </sheetData>
      <sheetData sheetId="25">
        <row r="1">
          <cell r="L1">
            <v>4159.9998000000014</v>
          </cell>
        </row>
      </sheetData>
      <sheetData sheetId="26">
        <row r="1">
          <cell r="L1">
            <v>2647.2726000000002</v>
          </cell>
        </row>
      </sheetData>
      <sheetData sheetId="27">
        <row r="1">
          <cell r="L1">
            <v>3403.6362000000008</v>
          </cell>
        </row>
      </sheetData>
      <sheetData sheetId="28">
        <row r="1">
          <cell r="L1">
            <v>1890.9089999999997</v>
          </cell>
        </row>
      </sheetData>
      <sheetData sheetId="29" refreshError="1"/>
      <sheetData sheetId="30">
        <row r="1">
          <cell r="L1">
            <v>5672.7270000000026</v>
          </cell>
        </row>
      </sheetData>
      <sheetData sheetId="31">
        <row r="1">
          <cell r="L1">
            <v>5294.5452000000023</v>
          </cell>
        </row>
      </sheetData>
      <sheetData sheetId="32">
        <row r="1">
          <cell r="L1">
            <v>7563.6360000000041</v>
          </cell>
        </row>
      </sheetData>
      <sheetData sheetId="33">
        <row r="1">
          <cell r="L1">
            <v>378.18180000000001</v>
          </cell>
        </row>
      </sheetData>
      <sheetData sheetId="34">
        <row r="1">
          <cell r="L1">
            <v>9265.454099999999</v>
          </cell>
        </row>
      </sheetData>
      <sheetData sheetId="35">
        <row r="1">
          <cell r="L1">
            <v>18530.908199999965</v>
          </cell>
        </row>
      </sheetData>
      <sheetData sheetId="36">
        <row r="1">
          <cell r="L1">
            <v>8319.9996000000046</v>
          </cell>
        </row>
      </sheetData>
      <sheetData sheetId="37" refreshError="1"/>
      <sheetData sheetId="38">
        <row r="1">
          <cell r="L1">
            <v>26472.725999999933</v>
          </cell>
        </row>
      </sheetData>
      <sheetData sheetId="39">
        <row r="1">
          <cell r="L1">
            <v>945.45450000000005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zoomScaleNormal="100" workbookViewId="0">
      <selection activeCell="E10" sqref="E10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9</v>
      </c>
      <c r="B1" s="4" t="s">
        <v>239</v>
      </c>
      <c r="C1" s="82" t="s">
        <v>23</v>
      </c>
      <c r="D1" s="82" t="s">
        <v>21</v>
      </c>
      <c r="E1" s="83" t="s">
        <v>10</v>
      </c>
      <c r="F1" s="83" t="s">
        <v>1</v>
      </c>
      <c r="G1" s="83" t="s">
        <v>2</v>
      </c>
      <c r="H1" s="82" t="s">
        <v>24</v>
      </c>
      <c r="I1" s="82" t="s">
        <v>25</v>
      </c>
      <c r="J1" s="84" t="s">
        <v>22</v>
      </c>
      <c r="K1" s="19" t="s">
        <v>11</v>
      </c>
      <c r="L1" s="19" t="s">
        <v>13</v>
      </c>
      <c r="M1" s="25" t="s">
        <v>12</v>
      </c>
      <c r="N1" s="26" t="s">
        <v>14</v>
      </c>
      <c r="O1" s="11" t="s">
        <v>3</v>
      </c>
      <c r="P1" s="11" t="s">
        <v>36</v>
      </c>
      <c r="Q1" s="11" t="s">
        <v>37</v>
      </c>
    </row>
    <row r="2" spans="1:17" x14ac:dyDescent="0.25">
      <c r="A2" s="35" t="s">
        <v>77</v>
      </c>
      <c r="B2" s="71">
        <v>1</v>
      </c>
      <c r="C2" s="2">
        <v>44046</v>
      </c>
      <c r="D2" s="85" t="s">
        <v>240</v>
      </c>
      <c r="E2" s="35" t="s">
        <v>234</v>
      </c>
      <c r="F2" s="35" t="s">
        <v>128</v>
      </c>
      <c r="G2" s="35" t="s">
        <v>181</v>
      </c>
      <c r="H2" s="35">
        <v>112815</v>
      </c>
      <c r="I2" s="35">
        <v>114124</v>
      </c>
      <c r="J2" s="86">
        <v>0</v>
      </c>
      <c r="K2" s="86">
        <f t="shared" ref="K2:K33" si="0">J2</f>
        <v>0</v>
      </c>
      <c r="L2" s="3"/>
      <c r="M2" s="3">
        <f>I2-H2</f>
        <v>1309</v>
      </c>
      <c r="N2" s="3"/>
      <c r="O2" s="87"/>
      <c r="P2" s="35">
        <v>9</v>
      </c>
      <c r="Q2" s="35">
        <v>2020</v>
      </c>
    </row>
    <row r="3" spans="1:17" x14ac:dyDescent="0.25">
      <c r="A3" s="35" t="s">
        <v>121</v>
      </c>
      <c r="B3" s="71">
        <v>47</v>
      </c>
      <c r="C3" s="2">
        <v>44046</v>
      </c>
      <c r="D3" s="85" t="s">
        <v>245</v>
      </c>
      <c r="E3" s="35" t="s">
        <v>237</v>
      </c>
      <c r="F3" s="35" t="s">
        <v>174</v>
      </c>
      <c r="G3" s="35"/>
      <c r="H3" s="35">
        <v>6293</v>
      </c>
      <c r="I3" s="35">
        <v>6293</v>
      </c>
      <c r="J3" s="86">
        <v>0</v>
      </c>
      <c r="K3" s="86">
        <f t="shared" si="0"/>
        <v>0</v>
      </c>
      <c r="L3" s="35"/>
      <c r="M3" s="3">
        <f>I3-H3</f>
        <v>0</v>
      </c>
      <c r="N3" s="35"/>
      <c r="O3" s="35"/>
      <c r="P3" s="35">
        <v>9</v>
      </c>
      <c r="Q3" s="35">
        <v>2020</v>
      </c>
    </row>
    <row r="4" spans="1:17" x14ac:dyDescent="0.25">
      <c r="A4" s="35" t="s">
        <v>307</v>
      </c>
      <c r="B4" s="71">
        <v>59</v>
      </c>
      <c r="C4" s="2">
        <v>44137</v>
      </c>
      <c r="D4" s="85" t="s">
        <v>243</v>
      </c>
      <c r="E4" s="35" t="s">
        <v>236</v>
      </c>
      <c r="F4" s="35" t="s">
        <v>267</v>
      </c>
      <c r="G4" s="35" t="s">
        <v>223</v>
      </c>
      <c r="H4" s="35">
        <v>2427</v>
      </c>
      <c r="I4" s="35">
        <v>3023</v>
      </c>
      <c r="J4" s="86">
        <f t="shared" ref="J4:J35" si="1">I4-H4</f>
        <v>596</v>
      </c>
      <c r="K4" s="86">
        <f t="shared" si="0"/>
        <v>596</v>
      </c>
      <c r="L4" s="35"/>
      <c r="M4" s="3"/>
      <c r="N4" s="35"/>
      <c r="O4" s="35"/>
      <c r="P4" s="35">
        <v>9</v>
      </c>
      <c r="Q4" s="35">
        <v>2020</v>
      </c>
    </row>
    <row r="5" spans="1:17" x14ac:dyDescent="0.25">
      <c r="A5" s="35" t="s">
        <v>284</v>
      </c>
      <c r="B5" s="71">
        <v>65</v>
      </c>
      <c r="C5" s="2">
        <v>44218</v>
      </c>
      <c r="D5" s="85" t="s">
        <v>243</v>
      </c>
      <c r="E5" s="35" t="s">
        <v>236</v>
      </c>
      <c r="F5" s="35" t="s">
        <v>289</v>
      </c>
      <c r="G5" s="35" t="s">
        <v>295</v>
      </c>
      <c r="H5" s="35">
        <v>28824</v>
      </c>
      <c r="I5" s="35">
        <v>32273</v>
      </c>
      <c r="J5" s="86">
        <f t="shared" si="1"/>
        <v>3449</v>
      </c>
      <c r="K5" s="86">
        <f t="shared" si="0"/>
        <v>3449</v>
      </c>
      <c r="L5" s="35"/>
      <c r="M5" s="35"/>
      <c r="N5" s="35"/>
      <c r="O5" s="35"/>
      <c r="P5" s="35"/>
      <c r="Q5" s="35"/>
    </row>
    <row r="6" spans="1:17" x14ac:dyDescent="0.25">
      <c r="A6" s="35" t="s">
        <v>274</v>
      </c>
      <c r="B6" s="71">
        <v>60</v>
      </c>
      <c r="C6" s="2">
        <v>44137</v>
      </c>
      <c r="D6" s="85" t="s">
        <v>243</v>
      </c>
      <c r="E6" s="35" t="s">
        <v>236</v>
      </c>
      <c r="F6" s="35" t="s">
        <v>271</v>
      </c>
      <c r="G6" s="35" t="s">
        <v>268</v>
      </c>
      <c r="H6" s="35">
        <v>33266</v>
      </c>
      <c r="I6" s="35">
        <v>37669</v>
      </c>
      <c r="J6" s="86">
        <f t="shared" si="1"/>
        <v>4403</v>
      </c>
      <c r="K6" s="86">
        <f t="shared" si="0"/>
        <v>4403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275</v>
      </c>
      <c r="B7" s="71">
        <v>61</v>
      </c>
      <c r="C7" s="2">
        <v>44137</v>
      </c>
      <c r="D7" s="85" t="s">
        <v>243</v>
      </c>
      <c r="E7" s="35" t="s">
        <v>236</v>
      </c>
      <c r="F7" s="35" t="s">
        <v>272</v>
      </c>
      <c r="G7" s="35" t="s">
        <v>269</v>
      </c>
      <c r="H7" s="35">
        <v>3894</v>
      </c>
      <c r="I7" s="35">
        <v>4981</v>
      </c>
      <c r="J7" s="86">
        <f t="shared" si="1"/>
        <v>1087</v>
      </c>
      <c r="K7" s="86">
        <f t="shared" si="0"/>
        <v>1087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276</v>
      </c>
      <c r="B8" s="71">
        <v>62</v>
      </c>
      <c r="C8" s="2">
        <v>44137</v>
      </c>
      <c r="D8" s="85" t="s">
        <v>243</v>
      </c>
      <c r="E8" s="35" t="s">
        <v>236</v>
      </c>
      <c r="F8" s="35" t="s">
        <v>273</v>
      </c>
      <c r="G8" s="35" t="s">
        <v>270</v>
      </c>
      <c r="H8" s="35">
        <v>29325</v>
      </c>
      <c r="I8" s="35">
        <v>32557</v>
      </c>
      <c r="J8" s="86">
        <f t="shared" si="1"/>
        <v>3232</v>
      </c>
      <c r="K8" s="86">
        <f t="shared" si="0"/>
        <v>3232</v>
      </c>
      <c r="L8" s="35"/>
      <c r="M8" s="3"/>
      <c r="N8" s="35"/>
      <c r="O8" s="35"/>
      <c r="P8" s="35">
        <v>9</v>
      </c>
      <c r="Q8" s="35">
        <v>2020</v>
      </c>
    </row>
    <row r="9" spans="1:17" x14ac:dyDescent="0.25">
      <c r="A9" s="35" t="s">
        <v>119</v>
      </c>
      <c r="B9" s="71">
        <v>45</v>
      </c>
      <c r="C9" s="2">
        <v>44042</v>
      </c>
      <c r="D9" s="85" t="s">
        <v>244</v>
      </c>
      <c r="E9" s="35" t="s">
        <v>236</v>
      </c>
      <c r="F9" s="35" t="s">
        <v>172</v>
      </c>
      <c r="G9" s="35" t="s">
        <v>225</v>
      </c>
      <c r="H9" s="35">
        <v>8496</v>
      </c>
      <c r="I9" s="35">
        <v>9304</v>
      </c>
      <c r="J9" s="86">
        <f t="shared" si="1"/>
        <v>808</v>
      </c>
      <c r="K9" s="86">
        <f t="shared" si="0"/>
        <v>808</v>
      </c>
      <c r="L9" s="35"/>
      <c r="M9" s="95"/>
      <c r="N9" s="35"/>
      <c r="O9" s="35"/>
      <c r="P9" s="35">
        <v>9</v>
      </c>
      <c r="Q9" s="35">
        <v>2020</v>
      </c>
    </row>
    <row r="10" spans="1:17" x14ac:dyDescent="0.25">
      <c r="A10" s="35" t="s">
        <v>120</v>
      </c>
      <c r="B10" s="71">
        <v>46</v>
      </c>
      <c r="C10" s="2">
        <v>44040</v>
      </c>
      <c r="D10" s="85" t="s">
        <v>244</v>
      </c>
      <c r="E10" s="35" t="s">
        <v>236</v>
      </c>
      <c r="F10" s="35" t="s">
        <v>173</v>
      </c>
      <c r="G10" s="35" t="s">
        <v>226</v>
      </c>
      <c r="H10" s="35">
        <v>211874</v>
      </c>
      <c r="I10" s="35">
        <v>230332</v>
      </c>
      <c r="J10" s="86">
        <f t="shared" si="1"/>
        <v>18458</v>
      </c>
      <c r="K10" s="86">
        <f t="shared" si="0"/>
        <v>18458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266</v>
      </c>
      <c r="B11" s="71">
        <v>43</v>
      </c>
      <c r="C11" s="2">
        <v>44041</v>
      </c>
      <c r="D11" s="85" t="s">
        <v>243</v>
      </c>
      <c r="E11" s="35" t="s">
        <v>236</v>
      </c>
      <c r="F11" s="35" t="s">
        <v>170</v>
      </c>
      <c r="G11" s="35" t="s">
        <v>308</v>
      </c>
      <c r="H11" s="35">
        <v>13040</v>
      </c>
      <c r="I11" s="35">
        <v>14096</v>
      </c>
      <c r="J11" s="86">
        <f t="shared" si="1"/>
        <v>1056</v>
      </c>
      <c r="K11" s="86">
        <f t="shared" si="0"/>
        <v>1056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88</v>
      </c>
      <c r="B12" s="71">
        <v>12</v>
      </c>
      <c r="C12" s="2">
        <v>44043</v>
      </c>
      <c r="D12" s="85" t="s">
        <v>241</v>
      </c>
      <c r="E12" s="35" t="s">
        <v>235</v>
      </c>
      <c r="F12" s="35" t="s">
        <v>139</v>
      </c>
      <c r="G12" s="35" t="s">
        <v>192</v>
      </c>
      <c r="H12" s="35">
        <v>49262</v>
      </c>
      <c r="I12" s="35">
        <v>53051</v>
      </c>
      <c r="J12" s="86">
        <f t="shared" si="1"/>
        <v>3789</v>
      </c>
      <c r="K12" s="86">
        <f t="shared" si="0"/>
        <v>3789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277</v>
      </c>
      <c r="B13" s="71">
        <v>64</v>
      </c>
      <c r="C13" s="2">
        <v>44137</v>
      </c>
      <c r="D13" s="85" t="s">
        <v>241</v>
      </c>
      <c r="E13" s="35" t="s">
        <v>235</v>
      </c>
      <c r="F13" s="35" t="s">
        <v>281</v>
      </c>
      <c r="G13" s="35" t="s">
        <v>278</v>
      </c>
      <c r="H13" s="35">
        <v>32443</v>
      </c>
      <c r="I13" s="35">
        <v>33342</v>
      </c>
      <c r="J13" s="86">
        <f t="shared" si="1"/>
        <v>899</v>
      </c>
      <c r="K13" s="86">
        <f t="shared" si="0"/>
        <v>899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87</v>
      </c>
      <c r="B14" s="71">
        <v>11</v>
      </c>
      <c r="C14" s="2">
        <v>44040</v>
      </c>
      <c r="D14" s="85" t="s">
        <v>242</v>
      </c>
      <c r="E14" s="35" t="s">
        <v>235</v>
      </c>
      <c r="F14" s="35" t="s">
        <v>138</v>
      </c>
      <c r="G14" s="35" t="s">
        <v>191</v>
      </c>
      <c r="H14" s="35">
        <v>264537</v>
      </c>
      <c r="I14" s="35">
        <v>283975</v>
      </c>
      <c r="J14" s="86">
        <f t="shared" si="1"/>
        <v>19438</v>
      </c>
      <c r="K14" s="86">
        <f t="shared" si="0"/>
        <v>19438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110</v>
      </c>
      <c r="B15" s="71">
        <v>35</v>
      </c>
      <c r="C15" s="2">
        <v>44046</v>
      </c>
      <c r="D15" s="85" t="s">
        <v>241</v>
      </c>
      <c r="E15" s="35" t="s">
        <v>235</v>
      </c>
      <c r="F15" s="35" t="s">
        <v>161</v>
      </c>
      <c r="G15" s="35" t="s">
        <v>214</v>
      </c>
      <c r="H15" s="35">
        <v>4177</v>
      </c>
      <c r="I15" s="35">
        <v>4488</v>
      </c>
      <c r="J15" s="86">
        <f t="shared" si="1"/>
        <v>311</v>
      </c>
      <c r="K15" s="86">
        <f t="shared" si="0"/>
        <v>311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118</v>
      </c>
      <c r="B16" s="71">
        <v>44</v>
      </c>
      <c r="C16" s="2">
        <v>44043</v>
      </c>
      <c r="D16" s="85" t="s">
        <v>241</v>
      </c>
      <c r="E16" s="35" t="s">
        <v>235</v>
      </c>
      <c r="F16" s="35" t="s">
        <v>171</v>
      </c>
      <c r="G16" s="35" t="s">
        <v>224</v>
      </c>
      <c r="H16" s="35">
        <v>33967</v>
      </c>
      <c r="I16" s="35">
        <v>35534</v>
      </c>
      <c r="J16" s="86">
        <f t="shared" si="1"/>
        <v>1567</v>
      </c>
      <c r="K16" s="86">
        <f t="shared" si="0"/>
        <v>1567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106</v>
      </c>
      <c r="B17" s="71">
        <v>31</v>
      </c>
      <c r="C17" s="2">
        <v>44043</v>
      </c>
      <c r="D17" s="85" t="s">
        <v>241</v>
      </c>
      <c r="E17" s="35" t="s">
        <v>235</v>
      </c>
      <c r="F17" s="35" t="s">
        <v>157</v>
      </c>
      <c r="G17" s="35" t="s">
        <v>210</v>
      </c>
      <c r="H17" s="35">
        <v>28809</v>
      </c>
      <c r="I17" s="35">
        <v>31055</v>
      </c>
      <c r="J17" s="86">
        <f t="shared" si="1"/>
        <v>2246</v>
      </c>
      <c r="K17" s="86">
        <f t="shared" si="0"/>
        <v>2246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282</v>
      </c>
      <c r="B18" s="71">
        <v>55</v>
      </c>
      <c r="C18" s="2">
        <v>44046</v>
      </c>
      <c r="D18" s="85" t="s">
        <v>241</v>
      </c>
      <c r="E18" s="35" t="s">
        <v>235</v>
      </c>
      <c r="F18" s="35" t="s">
        <v>238</v>
      </c>
      <c r="G18" s="35" t="s">
        <v>265</v>
      </c>
      <c r="H18" s="35">
        <v>53581</v>
      </c>
      <c r="I18" s="35">
        <v>59941</v>
      </c>
      <c r="J18" s="86">
        <f t="shared" si="1"/>
        <v>6360</v>
      </c>
      <c r="K18" s="86">
        <f t="shared" si="0"/>
        <v>6360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85</v>
      </c>
      <c r="B19" s="71">
        <v>9</v>
      </c>
      <c r="C19" s="2">
        <v>44041</v>
      </c>
      <c r="D19" s="85" t="s">
        <v>241</v>
      </c>
      <c r="E19" s="35" t="s">
        <v>235</v>
      </c>
      <c r="F19" s="35" t="s">
        <v>136</v>
      </c>
      <c r="G19" s="35" t="s">
        <v>189</v>
      </c>
      <c r="H19" s="35">
        <v>40131</v>
      </c>
      <c r="I19" s="35">
        <v>43236</v>
      </c>
      <c r="J19" s="86">
        <f t="shared" si="1"/>
        <v>3105</v>
      </c>
      <c r="K19" s="86">
        <f t="shared" si="0"/>
        <v>3105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89</v>
      </c>
      <c r="B20" s="71">
        <v>13</v>
      </c>
      <c r="C20" s="2">
        <v>44041</v>
      </c>
      <c r="D20" s="85" t="s">
        <v>241</v>
      </c>
      <c r="E20" s="35" t="s">
        <v>235</v>
      </c>
      <c r="F20" s="35" t="s">
        <v>140</v>
      </c>
      <c r="G20" s="35" t="s">
        <v>193</v>
      </c>
      <c r="H20" s="35">
        <v>33939</v>
      </c>
      <c r="I20" s="35">
        <v>35819</v>
      </c>
      <c r="J20" s="86">
        <f t="shared" si="1"/>
        <v>1880</v>
      </c>
      <c r="K20" s="86">
        <f t="shared" si="0"/>
        <v>1880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250</v>
      </c>
      <c r="B21" s="71">
        <v>54</v>
      </c>
      <c r="C21" s="2">
        <v>44074</v>
      </c>
      <c r="D21" s="85" t="s">
        <v>241</v>
      </c>
      <c r="E21" s="35" t="s">
        <v>235</v>
      </c>
      <c r="F21" s="35" t="s">
        <v>251</v>
      </c>
      <c r="G21" s="35" t="s">
        <v>252</v>
      </c>
      <c r="H21" s="35">
        <v>2336</v>
      </c>
      <c r="I21" s="35">
        <v>2719</v>
      </c>
      <c r="J21" s="86">
        <f t="shared" si="1"/>
        <v>383</v>
      </c>
      <c r="K21" s="86">
        <f t="shared" si="0"/>
        <v>383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100</v>
      </c>
      <c r="B22" s="71">
        <v>25</v>
      </c>
      <c r="C22" s="2">
        <v>44041</v>
      </c>
      <c r="D22" s="85" t="s">
        <v>241</v>
      </c>
      <c r="E22" s="35" t="s">
        <v>235</v>
      </c>
      <c r="F22" s="35" t="s">
        <v>151</v>
      </c>
      <c r="G22" s="35" t="s">
        <v>204</v>
      </c>
      <c r="H22" s="35">
        <v>13164</v>
      </c>
      <c r="I22" s="35">
        <v>14418</v>
      </c>
      <c r="J22" s="86">
        <f t="shared" si="1"/>
        <v>1254</v>
      </c>
      <c r="K22" s="86">
        <f t="shared" si="0"/>
        <v>1254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113</v>
      </c>
      <c r="B23" s="71">
        <v>38</v>
      </c>
      <c r="C23" s="2">
        <v>44040</v>
      </c>
      <c r="D23" s="85" t="s">
        <v>242</v>
      </c>
      <c r="E23" s="35" t="s">
        <v>235</v>
      </c>
      <c r="F23" s="35" t="s">
        <v>164</v>
      </c>
      <c r="G23" s="35" t="s">
        <v>217</v>
      </c>
      <c r="H23" s="35">
        <v>196461</v>
      </c>
      <c r="I23" s="35">
        <v>211119</v>
      </c>
      <c r="J23" s="86">
        <f t="shared" si="1"/>
        <v>14658</v>
      </c>
      <c r="K23" s="86">
        <f t="shared" si="0"/>
        <v>14658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84</v>
      </c>
      <c r="B24" s="71">
        <v>8</v>
      </c>
      <c r="C24" s="2">
        <v>44041</v>
      </c>
      <c r="D24" s="85" t="s">
        <v>242</v>
      </c>
      <c r="E24" s="35" t="s">
        <v>235</v>
      </c>
      <c r="F24" s="35" t="s">
        <v>135</v>
      </c>
      <c r="G24" s="35" t="s">
        <v>188</v>
      </c>
      <c r="H24" s="35">
        <v>167550</v>
      </c>
      <c r="I24" s="35">
        <v>179363</v>
      </c>
      <c r="J24" s="86">
        <f t="shared" si="1"/>
        <v>11813</v>
      </c>
      <c r="K24" s="86">
        <f t="shared" si="0"/>
        <v>11813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127</v>
      </c>
      <c r="B25" s="71">
        <v>53</v>
      </c>
      <c r="C25" s="2">
        <v>44074</v>
      </c>
      <c r="D25" s="85" t="s">
        <v>241</v>
      </c>
      <c r="E25" s="35" t="s">
        <v>235</v>
      </c>
      <c r="F25" s="35" t="s">
        <v>180</v>
      </c>
      <c r="G25" s="35" t="s">
        <v>233</v>
      </c>
      <c r="H25" s="35">
        <v>57009</v>
      </c>
      <c r="I25" s="35">
        <v>62392</v>
      </c>
      <c r="J25" s="86">
        <f t="shared" si="1"/>
        <v>5383</v>
      </c>
      <c r="K25" s="86">
        <f t="shared" si="0"/>
        <v>5383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123</v>
      </c>
      <c r="B26" s="71">
        <v>49</v>
      </c>
      <c r="C26" s="2">
        <v>44042</v>
      </c>
      <c r="D26" s="85" t="s">
        <v>241</v>
      </c>
      <c r="E26" s="35" t="s">
        <v>235</v>
      </c>
      <c r="F26" s="35" t="s">
        <v>176</v>
      </c>
      <c r="G26" s="35" t="s">
        <v>229</v>
      </c>
      <c r="H26" s="35">
        <v>9558</v>
      </c>
      <c r="I26" s="35">
        <v>10391</v>
      </c>
      <c r="J26" s="86">
        <f t="shared" si="1"/>
        <v>833</v>
      </c>
      <c r="K26" s="86">
        <f t="shared" si="0"/>
        <v>833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115</v>
      </c>
      <c r="B27" s="71">
        <v>40</v>
      </c>
      <c r="C27" s="2">
        <v>44040</v>
      </c>
      <c r="D27" s="85" t="s">
        <v>241</v>
      </c>
      <c r="E27" s="35" t="s">
        <v>235</v>
      </c>
      <c r="F27" s="35" t="s">
        <v>166</v>
      </c>
      <c r="G27" s="35" t="s">
        <v>219</v>
      </c>
      <c r="H27" s="35">
        <v>24628</v>
      </c>
      <c r="I27" s="35">
        <v>26321</v>
      </c>
      <c r="J27" s="86">
        <f t="shared" si="1"/>
        <v>1693</v>
      </c>
      <c r="K27" s="86">
        <f t="shared" si="0"/>
        <v>1693</v>
      </c>
      <c r="L27" s="35"/>
      <c r="M27" s="35"/>
      <c r="N27" s="35"/>
      <c r="O27" s="35"/>
      <c r="P27" s="35">
        <v>9</v>
      </c>
      <c r="Q27" s="35">
        <v>2020</v>
      </c>
    </row>
    <row r="28" spans="1:17" x14ac:dyDescent="0.25">
      <c r="A28" s="35" t="s">
        <v>82</v>
      </c>
      <c r="B28" s="71">
        <v>6</v>
      </c>
      <c r="C28" s="2">
        <v>44042</v>
      </c>
      <c r="D28" s="85" t="s">
        <v>241</v>
      </c>
      <c r="E28" s="35" t="s">
        <v>235</v>
      </c>
      <c r="F28" s="35" t="s">
        <v>133</v>
      </c>
      <c r="G28" s="35" t="s">
        <v>186</v>
      </c>
      <c r="H28" s="35">
        <v>63998</v>
      </c>
      <c r="I28" s="35">
        <v>67152</v>
      </c>
      <c r="J28" s="86">
        <f t="shared" si="1"/>
        <v>3154</v>
      </c>
      <c r="K28" s="86">
        <f t="shared" si="0"/>
        <v>3154</v>
      </c>
      <c r="L28" s="89"/>
      <c r="M28" s="89"/>
      <c r="N28" s="89"/>
      <c r="O28" s="35"/>
      <c r="P28" s="35">
        <v>9</v>
      </c>
      <c r="Q28" s="35">
        <v>2020</v>
      </c>
    </row>
    <row r="29" spans="1:17" x14ac:dyDescent="0.25">
      <c r="A29" s="35" t="s">
        <v>283</v>
      </c>
      <c r="B29" s="71">
        <v>56</v>
      </c>
      <c r="C29" s="2">
        <v>44075</v>
      </c>
      <c r="D29" s="85" t="s">
        <v>241</v>
      </c>
      <c r="E29" s="35" t="s">
        <v>235</v>
      </c>
      <c r="F29" s="35" t="s">
        <v>169</v>
      </c>
      <c r="G29" s="35" t="s">
        <v>222</v>
      </c>
      <c r="H29" s="35">
        <v>53566</v>
      </c>
      <c r="I29" s="35">
        <v>54696</v>
      </c>
      <c r="J29" s="86">
        <f t="shared" si="1"/>
        <v>1130</v>
      </c>
      <c r="K29" s="86">
        <f t="shared" si="0"/>
        <v>1130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98</v>
      </c>
      <c r="B30" s="71">
        <v>23</v>
      </c>
      <c r="C30" s="2">
        <v>44041</v>
      </c>
      <c r="D30" s="85" t="s">
        <v>241</v>
      </c>
      <c r="E30" s="35" t="s">
        <v>235</v>
      </c>
      <c r="F30" s="35" t="s">
        <v>149</v>
      </c>
      <c r="G30" s="35" t="s">
        <v>202</v>
      </c>
      <c r="H30" s="35">
        <v>36095</v>
      </c>
      <c r="I30" s="35">
        <v>38503</v>
      </c>
      <c r="J30" s="86">
        <f t="shared" si="1"/>
        <v>2408</v>
      </c>
      <c r="K30" s="86">
        <f t="shared" si="0"/>
        <v>2408</v>
      </c>
      <c r="L30" s="35"/>
      <c r="M30" s="35"/>
      <c r="N30" s="35"/>
      <c r="O30" s="35"/>
      <c r="P30" s="35">
        <v>9</v>
      </c>
      <c r="Q30" s="35">
        <v>2020</v>
      </c>
    </row>
    <row r="31" spans="1:17" x14ac:dyDescent="0.25">
      <c r="A31" s="35" t="s">
        <v>80</v>
      </c>
      <c r="B31" s="71">
        <v>4</v>
      </c>
      <c r="C31" s="2">
        <v>44040</v>
      </c>
      <c r="D31" s="85" t="s">
        <v>241</v>
      </c>
      <c r="E31" s="35" t="s">
        <v>235</v>
      </c>
      <c r="F31" s="35" t="s">
        <v>131</v>
      </c>
      <c r="G31" s="35" t="s">
        <v>184</v>
      </c>
      <c r="H31" s="35">
        <v>74264</v>
      </c>
      <c r="I31" s="35">
        <v>81273</v>
      </c>
      <c r="J31" s="86">
        <f t="shared" si="1"/>
        <v>7009</v>
      </c>
      <c r="K31" s="86">
        <f t="shared" si="0"/>
        <v>7009</v>
      </c>
      <c r="L31" s="3"/>
      <c r="M31" s="3"/>
      <c r="N31" s="3"/>
      <c r="O31" s="87"/>
      <c r="P31" s="35">
        <v>9</v>
      </c>
      <c r="Q31" s="35">
        <v>2020</v>
      </c>
    </row>
    <row r="32" spans="1:17" x14ac:dyDescent="0.25">
      <c r="A32" s="35" t="s">
        <v>104</v>
      </c>
      <c r="B32" s="71">
        <v>29</v>
      </c>
      <c r="C32" s="2">
        <v>44040</v>
      </c>
      <c r="D32" s="85" t="s">
        <v>242</v>
      </c>
      <c r="E32" s="35" t="s">
        <v>235</v>
      </c>
      <c r="F32" s="35" t="s">
        <v>155</v>
      </c>
      <c r="G32" s="35" t="s">
        <v>208</v>
      </c>
      <c r="H32" s="35">
        <v>110279</v>
      </c>
      <c r="I32" s="35">
        <v>119586</v>
      </c>
      <c r="J32" s="86">
        <f t="shared" si="1"/>
        <v>9307</v>
      </c>
      <c r="K32" s="86">
        <f t="shared" si="0"/>
        <v>9307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107</v>
      </c>
      <c r="B33" s="71">
        <v>32</v>
      </c>
      <c r="C33" s="2">
        <v>44043</v>
      </c>
      <c r="D33" s="85" t="s">
        <v>242</v>
      </c>
      <c r="E33" s="35" t="s">
        <v>235</v>
      </c>
      <c r="F33" s="35" t="s">
        <v>158</v>
      </c>
      <c r="G33" s="35" t="s">
        <v>211</v>
      </c>
      <c r="H33" s="35">
        <v>110253</v>
      </c>
      <c r="I33" s="35">
        <v>120115</v>
      </c>
      <c r="J33" s="86">
        <f t="shared" si="1"/>
        <v>9862</v>
      </c>
      <c r="K33" s="86">
        <f t="shared" si="0"/>
        <v>9862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94</v>
      </c>
      <c r="B34" s="71">
        <v>18</v>
      </c>
      <c r="C34" s="2">
        <v>44042</v>
      </c>
      <c r="D34" s="85" t="s">
        <v>242</v>
      </c>
      <c r="E34" s="35" t="s">
        <v>235</v>
      </c>
      <c r="F34" s="35" t="s">
        <v>145</v>
      </c>
      <c r="G34" s="35" t="s">
        <v>198</v>
      </c>
      <c r="H34" s="35">
        <v>70980</v>
      </c>
      <c r="I34" s="35">
        <v>77413</v>
      </c>
      <c r="J34" s="86">
        <f t="shared" si="1"/>
        <v>6433</v>
      </c>
      <c r="K34" s="86">
        <f t="shared" ref="K34:K65" si="2">J34</f>
        <v>6433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117</v>
      </c>
      <c r="B35" s="71">
        <v>42</v>
      </c>
      <c r="C35" s="2">
        <v>44043</v>
      </c>
      <c r="D35" s="85" t="s">
        <v>241</v>
      </c>
      <c r="E35" s="35" t="s">
        <v>235</v>
      </c>
      <c r="F35" s="35" t="s">
        <v>168</v>
      </c>
      <c r="G35" s="35" t="s">
        <v>221</v>
      </c>
      <c r="H35" s="35">
        <v>32585</v>
      </c>
      <c r="I35" s="35">
        <v>34035</v>
      </c>
      <c r="J35" s="86">
        <f t="shared" si="1"/>
        <v>1450</v>
      </c>
      <c r="K35" s="86">
        <f t="shared" si="2"/>
        <v>1450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83</v>
      </c>
      <c r="B36" s="71">
        <v>7</v>
      </c>
      <c r="C36" s="2">
        <v>44040</v>
      </c>
      <c r="D36" s="85" t="s">
        <v>242</v>
      </c>
      <c r="E36" s="35" t="s">
        <v>235</v>
      </c>
      <c r="F36" s="35" t="s">
        <v>134</v>
      </c>
      <c r="G36" s="35" t="s">
        <v>187</v>
      </c>
      <c r="H36" s="35">
        <v>78054</v>
      </c>
      <c r="I36" s="35">
        <v>83811</v>
      </c>
      <c r="J36" s="86">
        <f t="shared" ref="J36:J67" si="3">I36-H36</f>
        <v>5757</v>
      </c>
      <c r="K36" s="86">
        <f t="shared" si="2"/>
        <v>5757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255</v>
      </c>
      <c r="B37" s="71">
        <v>57</v>
      </c>
      <c r="C37" s="88">
        <v>44074</v>
      </c>
      <c r="D37" s="85" t="s">
        <v>241</v>
      </c>
      <c r="E37" s="35" t="s">
        <v>235</v>
      </c>
      <c r="F37" s="35" t="s">
        <v>253</v>
      </c>
      <c r="G37" s="35" t="s">
        <v>254</v>
      </c>
      <c r="H37" s="35">
        <v>4303</v>
      </c>
      <c r="I37" s="35">
        <v>4913</v>
      </c>
      <c r="J37" s="86">
        <f t="shared" si="3"/>
        <v>610</v>
      </c>
      <c r="K37" s="86">
        <f t="shared" si="2"/>
        <v>610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116</v>
      </c>
      <c r="B38" s="71">
        <v>41</v>
      </c>
      <c r="C38" s="2">
        <v>44040</v>
      </c>
      <c r="D38" s="85" t="s">
        <v>242</v>
      </c>
      <c r="E38" s="35" t="s">
        <v>235</v>
      </c>
      <c r="F38" s="35" t="s">
        <v>167</v>
      </c>
      <c r="G38" s="35" t="s">
        <v>220</v>
      </c>
      <c r="H38" s="35">
        <v>83045</v>
      </c>
      <c r="I38" s="35">
        <v>90136</v>
      </c>
      <c r="J38" s="86">
        <f t="shared" si="3"/>
        <v>7091</v>
      </c>
      <c r="K38" s="86">
        <f t="shared" si="2"/>
        <v>7091</v>
      </c>
      <c r="L38" s="35"/>
      <c r="M38" s="35"/>
      <c r="N38" s="35"/>
      <c r="O38" s="35"/>
      <c r="P38" s="35">
        <v>9</v>
      </c>
      <c r="Q38" s="35">
        <v>2020</v>
      </c>
    </row>
    <row r="39" spans="1:17" x14ac:dyDescent="0.25">
      <c r="A39" s="35" t="s">
        <v>79</v>
      </c>
      <c r="B39" s="71">
        <v>3</v>
      </c>
      <c r="C39" s="2">
        <v>44040</v>
      </c>
      <c r="D39" s="85" t="s">
        <v>242</v>
      </c>
      <c r="E39" s="35" t="s">
        <v>235</v>
      </c>
      <c r="F39" s="35" t="s">
        <v>130</v>
      </c>
      <c r="G39" s="35" t="s">
        <v>183</v>
      </c>
      <c r="H39" s="35">
        <v>141688</v>
      </c>
      <c r="I39" s="35">
        <v>151257</v>
      </c>
      <c r="J39" s="86">
        <f t="shared" si="3"/>
        <v>9569</v>
      </c>
      <c r="K39" s="86">
        <f t="shared" si="2"/>
        <v>9569</v>
      </c>
      <c r="L39" s="3"/>
      <c r="M39" s="3"/>
      <c r="N39" s="3"/>
      <c r="O39" s="87"/>
      <c r="P39" s="35">
        <v>9</v>
      </c>
      <c r="Q39" s="35">
        <v>2020</v>
      </c>
    </row>
    <row r="40" spans="1:17" x14ac:dyDescent="0.25">
      <c r="A40" s="35" t="s">
        <v>122</v>
      </c>
      <c r="B40" s="71">
        <v>48</v>
      </c>
      <c r="C40" s="88">
        <v>44043</v>
      </c>
      <c r="D40" s="85" t="s">
        <v>241</v>
      </c>
      <c r="E40" s="35" t="s">
        <v>235</v>
      </c>
      <c r="F40" s="35" t="s">
        <v>175</v>
      </c>
      <c r="G40" s="35" t="s">
        <v>228</v>
      </c>
      <c r="H40" s="35">
        <v>6617</v>
      </c>
      <c r="I40" s="35">
        <v>6681</v>
      </c>
      <c r="J40" s="86">
        <f t="shared" si="3"/>
        <v>64</v>
      </c>
      <c r="K40" s="86">
        <f t="shared" si="2"/>
        <v>64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109</v>
      </c>
      <c r="B41" s="71">
        <v>34</v>
      </c>
      <c r="C41" s="2">
        <v>44041</v>
      </c>
      <c r="D41" s="85" t="s">
        <v>242</v>
      </c>
      <c r="E41" s="35" t="s">
        <v>235</v>
      </c>
      <c r="F41" s="35" t="s">
        <v>160</v>
      </c>
      <c r="G41" s="35" t="s">
        <v>213</v>
      </c>
      <c r="H41" s="35">
        <v>274895</v>
      </c>
      <c r="I41" s="35">
        <v>290768</v>
      </c>
      <c r="J41" s="86">
        <f t="shared" si="3"/>
        <v>15873</v>
      </c>
      <c r="K41" s="86">
        <f t="shared" si="2"/>
        <v>15873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95</v>
      </c>
      <c r="B42" s="71">
        <v>20</v>
      </c>
      <c r="C42" s="88">
        <v>44043</v>
      </c>
      <c r="D42" s="85" t="s">
        <v>241</v>
      </c>
      <c r="E42" s="35" t="s">
        <v>235</v>
      </c>
      <c r="F42" s="35" t="s">
        <v>146</v>
      </c>
      <c r="G42" s="35" t="s">
        <v>199</v>
      </c>
      <c r="H42" s="35">
        <v>36201</v>
      </c>
      <c r="I42" s="35">
        <v>38202</v>
      </c>
      <c r="J42" s="86">
        <f t="shared" si="3"/>
        <v>2001</v>
      </c>
      <c r="K42" s="86">
        <f t="shared" si="2"/>
        <v>2001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126</v>
      </c>
      <c r="B43" s="71">
        <v>52</v>
      </c>
      <c r="C43" s="88">
        <v>44074</v>
      </c>
      <c r="D43" s="85" t="s">
        <v>241</v>
      </c>
      <c r="E43" s="35" t="s">
        <v>235</v>
      </c>
      <c r="F43" s="35" t="s">
        <v>179</v>
      </c>
      <c r="G43" s="35" t="s">
        <v>232</v>
      </c>
      <c r="H43" s="35">
        <v>6828</v>
      </c>
      <c r="I43" s="35">
        <v>7331</v>
      </c>
      <c r="J43" s="86">
        <f t="shared" si="3"/>
        <v>503</v>
      </c>
      <c r="K43" s="86">
        <f t="shared" si="2"/>
        <v>503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124</v>
      </c>
      <c r="B44" s="71">
        <v>50</v>
      </c>
      <c r="C44" s="88">
        <v>44064</v>
      </c>
      <c r="D44" s="90" t="s">
        <v>241</v>
      </c>
      <c r="E44" s="35" t="s">
        <v>235</v>
      </c>
      <c r="F44" s="35" t="s">
        <v>177</v>
      </c>
      <c r="G44" s="35" t="s">
        <v>230</v>
      </c>
      <c r="H44" s="35">
        <v>9861</v>
      </c>
      <c r="I44" s="35">
        <v>11099</v>
      </c>
      <c r="J44" s="86">
        <f t="shared" si="3"/>
        <v>1238</v>
      </c>
      <c r="K44" s="86">
        <f t="shared" si="2"/>
        <v>1238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108</v>
      </c>
      <c r="B45" s="71">
        <v>33</v>
      </c>
      <c r="C45" s="2">
        <v>44041</v>
      </c>
      <c r="D45" s="85" t="s">
        <v>241</v>
      </c>
      <c r="E45" s="35" t="s">
        <v>235</v>
      </c>
      <c r="F45" s="35" t="s">
        <v>159</v>
      </c>
      <c r="G45" s="35" t="s">
        <v>212</v>
      </c>
      <c r="H45" s="35">
        <v>23165</v>
      </c>
      <c r="I45" s="35">
        <v>24621</v>
      </c>
      <c r="J45" s="86">
        <f t="shared" si="3"/>
        <v>1456</v>
      </c>
      <c r="K45" s="86">
        <f t="shared" si="2"/>
        <v>1456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93</v>
      </c>
      <c r="B46" s="71">
        <v>17</v>
      </c>
      <c r="C46" s="88">
        <v>44043</v>
      </c>
      <c r="D46" s="85" t="s">
        <v>241</v>
      </c>
      <c r="E46" s="35" t="s">
        <v>235</v>
      </c>
      <c r="F46" s="35" t="s">
        <v>144</v>
      </c>
      <c r="G46" s="35" t="s">
        <v>197</v>
      </c>
      <c r="H46" s="35">
        <v>18495</v>
      </c>
      <c r="I46" s="35">
        <v>19719</v>
      </c>
      <c r="J46" s="86">
        <f t="shared" si="3"/>
        <v>1224</v>
      </c>
      <c r="K46" s="86">
        <f t="shared" si="2"/>
        <v>1224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111</v>
      </c>
      <c r="B47" s="71">
        <v>36</v>
      </c>
      <c r="C47" s="88">
        <v>44042</v>
      </c>
      <c r="D47" s="85" t="s">
        <v>242</v>
      </c>
      <c r="E47" s="35" t="s">
        <v>235</v>
      </c>
      <c r="F47" s="35" t="s">
        <v>162</v>
      </c>
      <c r="G47" s="35" t="s">
        <v>215</v>
      </c>
      <c r="H47" s="35">
        <v>70756</v>
      </c>
      <c r="I47" s="35">
        <v>76449</v>
      </c>
      <c r="J47" s="86">
        <f t="shared" si="3"/>
        <v>5693</v>
      </c>
      <c r="K47" s="86">
        <f t="shared" si="2"/>
        <v>5693</v>
      </c>
      <c r="L47" s="35"/>
      <c r="M47" s="35"/>
      <c r="N47" s="35"/>
      <c r="O47" s="35"/>
      <c r="P47" s="35">
        <v>9</v>
      </c>
      <c r="Q47" s="35">
        <v>2020</v>
      </c>
    </row>
    <row r="48" spans="1:17" x14ac:dyDescent="0.25">
      <c r="A48" s="35" t="s">
        <v>81</v>
      </c>
      <c r="B48" s="71">
        <v>5</v>
      </c>
      <c r="C48" s="2">
        <v>44040</v>
      </c>
      <c r="D48" s="85" t="s">
        <v>242</v>
      </c>
      <c r="E48" s="35" t="s">
        <v>235</v>
      </c>
      <c r="F48" s="35" t="s">
        <v>132</v>
      </c>
      <c r="G48" s="35" t="s">
        <v>185</v>
      </c>
      <c r="H48" s="35">
        <v>124614</v>
      </c>
      <c r="I48" s="35">
        <v>138384</v>
      </c>
      <c r="J48" s="86">
        <f t="shared" si="3"/>
        <v>13770</v>
      </c>
      <c r="K48" s="86">
        <f t="shared" si="2"/>
        <v>13770</v>
      </c>
      <c r="L48" s="3"/>
      <c r="M48" s="3"/>
      <c r="N48" s="3"/>
      <c r="O48" s="87"/>
      <c r="P48" s="35">
        <v>9</v>
      </c>
      <c r="Q48" s="35">
        <v>2020</v>
      </c>
    </row>
    <row r="49" spans="1:17" x14ac:dyDescent="0.25">
      <c r="A49" s="35" t="s">
        <v>103</v>
      </c>
      <c r="B49" s="71">
        <v>28</v>
      </c>
      <c r="C49" s="2">
        <v>44046</v>
      </c>
      <c r="D49" s="85" t="s">
        <v>242</v>
      </c>
      <c r="E49" s="35" t="s">
        <v>235</v>
      </c>
      <c r="F49" s="35" t="s">
        <v>154</v>
      </c>
      <c r="G49" s="35" t="s">
        <v>207</v>
      </c>
      <c r="H49" s="35">
        <v>155745</v>
      </c>
      <c r="I49" s="35">
        <v>166689</v>
      </c>
      <c r="J49" s="86">
        <f t="shared" si="3"/>
        <v>10944</v>
      </c>
      <c r="K49" s="86">
        <f t="shared" si="2"/>
        <v>10944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99</v>
      </c>
      <c r="B50" s="71">
        <v>24</v>
      </c>
      <c r="C50" s="88">
        <v>44043</v>
      </c>
      <c r="D50" s="85" t="s">
        <v>241</v>
      </c>
      <c r="E50" s="35" t="s">
        <v>235</v>
      </c>
      <c r="F50" s="35" t="s">
        <v>150</v>
      </c>
      <c r="G50" s="35" t="s">
        <v>203</v>
      </c>
      <c r="H50" s="35">
        <v>14250</v>
      </c>
      <c r="I50" s="35">
        <v>14486</v>
      </c>
      <c r="J50" s="86">
        <f t="shared" si="3"/>
        <v>236</v>
      </c>
      <c r="K50" s="86">
        <f t="shared" si="2"/>
        <v>236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97</v>
      </c>
      <c r="B51" s="71">
        <v>22</v>
      </c>
      <c r="C51" s="2">
        <v>44040</v>
      </c>
      <c r="D51" s="85" t="s">
        <v>242</v>
      </c>
      <c r="E51" s="35" t="s">
        <v>235</v>
      </c>
      <c r="F51" s="35" t="s">
        <v>148</v>
      </c>
      <c r="G51" s="35" t="s">
        <v>201</v>
      </c>
      <c r="H51" s="35">
        <v>178996</v>
      </c>
      <c r="I51" s="35">
        <v>191321</v>
      </c>
      <c r="J51" s="86">
        <f t="shared" si="3"/>
        <v>12325</v>
      </c>
      <c r="K51" s="86">
        <f t="shared" si="2"/>
        <v>12325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92</v>
      </c>
      <c r="B52" s="71">
        <v>16</v>
      </c>
      <c r="C52" s="2">
        <v>44046</v>
      </c>
      <c r="D52" s="85" t="s">
        <v>241</v>
      </c>
      <c r="E52" s="35" t="s">
        <v>235</v>
      </c>
      <c r="F52" s="35" t="s">
        <v>143</v>
      </c>
      <c r="G52" s="35" t="s">
        <v>196</v>
      </c>
      <c r="H52" s="35">
        <v>15906</v>
      </c>
      <c r="I52" s="35">
        <v>16775</v>
      </c>
      <c r="J52" s="86">
        <f t="shared" si="3"/>
        <v>869</v>
      </c>
      <c r="K52" s="86">
        <f t="shared" si="2"/>
        <v>869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125</v>
      </c>
      <c r="B53" s="71">
        <v>51</v>
      </c>
      <c r="C53" s="88">
        <v>44064</v>
      </c>
      <c r="D53" s="90" t="s">
        <v>241</v>
      </c>
      <c r="E53" s="35" t="s">
        <v>235</v>
      </c>
      <c r="F53" s="35" t="s">
        <v>178</v>
      </c>
      <c r="G53" s="35" t="s">
        <v>231</v>
      </c>
      <c r="H53" s="35">
        <v>16002</v>
      </c>
      <c r="I53" s="35">
        <v>17548</v>
      </c>
      <c r="J53" s="86">
        <f t="shared" si="3"/>
        <v>1546</v>
      </c>
      <c r="K53" s="86">
        <f t="shared" si="2"/>
        <v>1546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280</v>
      </c>
      <c r="B54" s="71">
        <v>58</v>
      </c>
      <c r="C54" s="88">
        <v>44125</v>
      </c>
      <c r="D54" s="90" t="s">
        <v>241</v>
      </c>
      <c r="E54" s="35" t="s">
        <v>235</v>
      </c>
      <c r="F54" s="35" t="s">
        <v>263</v>
      </c>
      <c r="G54" s="35" t="s">
        <v>264</v>
      </c>
      <c r="H54" s="35">
        <v>37016</v>
      </c>
      <c r="I54" s="35">
        <v>40965</v>
      </c>
      <c r="J54" s="86">
        <f t="shared" si="3"/>
        <v>3949</v>
      </c>
      <c r="K54" s="86">
        <f t="shared" si="2"/>
        <v>3949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102</v>
      </c>
      <c r="B55" s="71">
        <v>27</v>
      </c>
      <c r="C55" s="88">
        <v>44041</v>
      </c>
      <c r="D55" s="90" t="s">
        <v>242</v>
      </c>
      <c r="E55" s="35" t="s">
        <v>235</v>
      </c>
      <c r="F55" s="35" t="s">
        <v>153</v>
      </c>
      <c r="G55" s="35" t="s">
        <v>206</v>
      </c>
      <c r="H55" s="35">
        <v>83323</v>
      </c>
      <c r="I55" s="35">
        <v>88458</v>
      </c>
      <c r="J55" s="86">
        <f t="shared" si="3"/>
        <v>5135</v>
      </c>
      <c r="K55" s="86">
        <f t="shared" si="2"/>
        <v>5135</v>
      </c>
      <c r="L55" s="35"/>
      <c r="M55" s="35"/>
      <c r="N55" s="35"/>
      <c r="O55" s="35"/>
      <c r="P55" s="35">
        <v>9</v>
      </c>
      <c r="Q55" s="35">
        <v>2020</v>
      </c>
    </row>
    <row r="56" spans="1:17" x14ac:dyDescent="0.25">
      <c r="A56" s="35" t="s">
        <v>78</v>
      </c>
      <c r="B56" s="71">
        <v>2</v>
      </c>
      <c r="C56" s="88">
        <v>44040</v>
      </c>
      <c r="D56" s="90" t="s">
        <v>241</v>
      </c>
      <c r="E56" s="35" t="s">
        <v>235</v>
      </c>
      <c r="F56" s="35" t="s">
        <v>129</v>
      </c>
      <c r="G56" s="35" t="s">
        <v>182</v>
      </c>
      <c r="H56" s="35">
        <v>68591</v>
      </c>
      <c r="I56" s="35">
        <v>74674</v>
      </c>
      <c r="J56" s="86">
        <f t="shared" si="3"/>
        <v>6083</v>
      </c>
      <c r="K56" s="86">
        <f t="shared" si="2"/>
        <v>6083</v>
      </c>
      <c r="L56" s="3"/>
      <c r="M56" s="3"/>
      <c r="N56" s="3"/>
      <c r="O56" s="87"/>
      <c r="P56" s="35">
        <v>9</v>
      </c>
      <c r="Q56" s="35">
        <v>2020</v>
      </c>
    </row>
    <row r="57" spans="1:17" x14ac:dyDescent="0.25">
      <c r="A57" s="35" t="s">
        <v>309</v>
      </c>
      <c r="B57" s="71">
        <v>70</v>
      </c>
      <c r="C57" s="88">
        <v>44040</v>
      </c>
      <c r="D57" s="90" t="s">
        <v>241</v>
      </c>
      <c r="E57" s="35" t="s">
        <v>235</v>
      </c>
      <c r="F57" s="35" t="s">
        <v>294</v>
      </c>
      <c r="G57" s="35" t="s">
        <v>306</v>
      </c>
      <c r="H57" s="35">
        <v>7581</v>
      </c>
      <c r="I57" s="35">
        <v>7999</v>
      </c>
      <c r="J57" s="86">
        <f t="shared" si="3"/>
        <v>418</v>
      </c>
      <c r="K57" s="86">
        <f t="shared" si="2"/>
        <v>418</v>
      </c>
      <c r="L57" s="35"/>
      <c r="M57" s="35"/>
      <c r="N57" s="35"/>
      <c r="O57" s="35"/>
      <c r="P57" s="35"/>
      <c r="Q57" s="35"/>
    </row>
    <row r="58" spans="1:17" x14ac:dyDescent="0.25">
      <c r="A58" s="35" t="s">
        <v>114</v>
      </c>
      <c r="B58" s="71">
        <v>39</v>
      </c>
      <c r="C58" s="88">
        <v>44041</v>
      </c>
      <c r="D58" s="90" t="s">
        <v>241</v>
      </c>
      <c r="E58" s="35" t="s">
        <v>235</v>
      </c>
      <c r="F58" s="35" t="s">
        <v>165</v>
      </c>
      <c r="G58" s="35" t="s">
        <v>218</v>
      </c>
      <c r="H58" s="35">
        <v>63997</v>
      </c>
      <c r="I58" s="35">
        <v>68505</v>
      </c>
      <c r="J58" s="86">
        <f t="shared" si="3"/>
        <v>4508</v>
      </c>
      <c r="K58" s="86">
        <f t="shared" si="2"/>
        <v>4508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105</v>
      </c>
      <c r="B59" s="71">
        <v>30</v>
      </c>
      <c r="C59" s="88">
        <v>44043</v>
      </c>
      <c r="D59" s="90" t="s">
        <v>241</v>
      </c>
      <c r="E59" s="35" t="s">
        <v>235</v>
      </c>
      <c r="F59" s="35" t="s">
        <v>156</v>
      </c>
      <c r="G59" s="35" t="s">
        <v>209</v>
      </c>
      <c r="H59" s="35">
        <v>30429</v>
      </c>
      <c r="I59" s="35">
        <v>32553</v>
      </c>
      <c r="J59" s="86">
        <f t="shared" si="3"/>
        <v>2124</v>
      </c>
      <c r="K59" s="86">
        <f t="shared" si="2"/>
        <v>2124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112</v>
      </c>
      <c r="B60" s="71">
        <v>37</v>
      </c>
      <c r="C60" s="88">
        <v>44042</v>
      </c>
      <c r="D60" s="90" t="s">
        <v>241</v>
      </c>
      <c r="E60" s="35" t="s">
        <v>235</v>
      </c>
      <c r="F60" s="35" t="s">
        <v>163</v>
      </c>
      <c r="G60" s="35" t="s">
        <v>216</v>
      </c>
      <c r="H60" s="35">
        <v>18576</v>
      </c>
      <c r="I60" s="35">
        <v>19706</v>
      </c>
      <c r="J60" s="86">
        <f t="shared" si="3"/>
        <v>1130</v>
      </c>
      <c r="K60" s="86">
        <f t="shared" si="2"/>
        <v>1130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101</v>
      </c>
      <c r="B61" s="71">
        <v>26</v>
      </c>
      <c r="C61" s="88">
        <v>44043</v>
      </c>
      <c r="D61" s="90" t="s">
        <v>242</v>
      </c>
      <c r="E61" s="35" t="s">
        <v>235</v>
      </c>
      <c r="F61" s="35" t="s">
        <v>152</v>
      </c>
      <c r="G61" s="35" t="s">
        <v>205</v>
      </c>
      <c r="H61" s="35">
        <v>88830</v>
      </c>
      <c r="I61" s="35">
        <v>93584</v>
      </c>
      <c r="J61" s="86">
        <f t="shared" si="3"/>
        <v>4754</v>
      </c>
      <c r="K61" s="86">
        <f t="shared" si="2"/>
        <v>4754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91</v>
      </c>
      <c r="B62" s="71">
        <v>15</v>
      </c>
      <c r="C62" s="88">
        <v>44042</v>
      </c>
      <c r="D62" s="90" t="s">
        <v>242</v>
      </c>
      <c r="E62" s="35" t="s">
        <v>235</v>
      </c>
      <c r="F62" s="35" t="s">
        <v>142</v>
      </c>
      <c r="G62" s="35" t="s">
        <v>195</v>
      </c>
      <c r="H62" s="35">
        <v>71002</v>
      </c>
      <c r="I62" s="35">
        <v>77055</v>
      </c>
      <c r="J62" s="86">
        <f t="shared" si="3"/>
        <v>6053</v>
      </c>
      <c r="K62" s="86">
        <f t="shared" si="2"/>
        <v>6053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86</v>
      </c>
      <c r="B63" s="71">
        <v>10</v>
      </c>
      <c r="C63" s="88">
        <v>44042</v>
      </c>
      <c r="D63" s="90" t="s">
        <v>242</v>
      </c>
      <c r="E63" s="35" t="s">
        <v>235</v>
      </c>
      <c r="F63" s="35" t="s">
        <v>137</v>
      </c>
      <c r="G63" s="35" t="s">
        <v>190</v>
      </c>
      <c r="H63" s="35">
        <v>83034</v>
      </c>
      <c r="I63" s="35">
        <v>90018</v>
      </c>
      <c r="J63" s="86">
        <f t="shared" si="3"/>
        <v>6984</v>
      </c>
      <c r="K63" s="86">
        <f t="shared" si="2"/>
        <v>6984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90</v>
      </c>
      <c r="B64" s="71">
        <v>14</v>
      </c>
      <c r="C64" s="88">
        <v>44040</v>
      </c>
      <c r="D64" s="90" t="s">
        <v>242</v>
      </c>
      <c r="E64" s="35" t="s">
        <v>235</v>
      </c>
      <c r="F64" s="35" t="s">
        <v>141</v>
      </c>
      <c r="G64" s="35" t="s">
        <v>194</v>
      </c>
      <c r="H64" s="35">
        <v>104393</v>
      </c>
      <c r="I64" s="35">
        <v>112778</v>
      </c>
      <c r="J64" s="86">
        <f t="shared" si="3"/>
        <v>8385</v>
      </c>
      <c r="K64" s="86">
        <f t="shared" si="2"/>
        <v>8385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96</v>
      </c>
      <c r="B65" s="71">
        <v>21</v>
      </c>
      <c r="C65" s="88">
        <v>44042</v>
      </c>
      <c r="D65" s="90" t="s">
        <v>241</v>
      </c>
      <c r="E65" s="35" t="s">
        <v>235</v>
      </c>
      <c r="F65" s="35" t="s">
        <v>147</v>
      </c>
      <c r="G65" s="35" t="s">
        <v>200</v>
      </c>
      <c r="H65" s="35">
        <v>19848</v>
      </c>
      <c r="I65" s="35">
        <v>20886</v>
      </c>
      <c r="J65" s="86">
        <f t="shared" si="3"/>
        <v>1038</v>
      </c>
      <c r="K65" s="86">
        <f t="shared" si="2"/>
        <v>1038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121</v>
      </c>
      <c r="B66" s="71">
        <v>63</v>
      </c>
      <c r="C66" s="88">
        <v>44137</v>
      </c>
      <c r="D66" s="90" t="s">
        <v>241</v>
      </c>
      <c r="E66" s="35" t="s">
        <v>235</v>
      </c>
      <c r="F66" s="35" t="s">
        <v>279</v>
      </c>
      <c r="G66" s="35" t="s">
        <v>227</v>
      </c>
      <c r="H66" s="35">
        <v>24538</v>
      </c>
      <c r="I66" s="35">
        <v>27947</v>
      </c>
      <c r="J66" s="86">
        <f t="shared" si="3"/>
        <v>3409</v>
      </c>
      <c r="K66" s="86">
        <f t="shared" ref="K66:K70" si="4">J66</f>
        <v>3409</v>
      </c>
      <c r="L66" s="35"/>
      <c r="M66" s="35"/>
      <c r="N66" s="35"/>
      <c r="O66" s="35"/>
      <c r="P66" s="35">
        <v>9</v>
      </c>
      <c r="Q66" s="35">
        <v>2020</v>
      </c>
    </row>
    <row r="67" spans="1:17" x14ac:dyDescent="0.25">
      <c r="A67" s="35" t="s">
        <v>288</v>
      </c>
      <c r="B67" s="71">
        <v>69</v>
      </c>
      <c r="C67" s="88">
        <v>44225</v>
      </c>
      <c r="D67" s="90" t="s">
        <v>241</v>
      </c>
      <c r="E67" s="35" t="s">
        <v>235</v>
      </c>
      <c r="F67" s="35" t="s">
        <v>293</v>
      </c>
      <c r="G67" s="35" t="s">
        <v>299</v>
      </c>
      <c r="H67" s="35">
        <v>37232</v>
      </c>
      <c r="I67" s="35">
        <v>41582</v>
      </c>
      <c r="J67" s="86">
        <f t="shared" si="3"/>
        <v>4350</v>
      </c>
      <c r="K67" s="86">
        <f t="shared" si="4"/>
        <v>4350</v>
      </c>
      <c r="L67" s="35"/>
      <c r="M67" s="35"/>
      <c r="N67" s="35"/>
      <c r="O67" s="35"/>
      <c r="P67" s="35"/>
      <c r="Q67" s="35"/>
    </row>
    <row r="68" spans="1:17" x14ac:dyDescent="0.25">
      <c r="A68" s="35" t="s">
        <v>286</v>
      </c>
      <c r="B68" s="71">
        <v>67</v>
      </c>
      <c r="C68" s="88">
        <v>44225</v>
      </c>
      <c r="D68" s="90" t="s">
        <v>241</v>
      </c>
      <c r="E68" s="35" t="s">
        <v>235</v>
      </c>
      <c r="F68" s="35" t="s">
        <v>291</v>
      </c>
      <c r="G68" s="35" t="s">
        <v>297</v>
      </c>
      <c r="H68" s="35">
        <v>51318</v>
      </c>
      <c r="I68" s="35">
        <v>58539</v>
      </c>
      <c r="J68" s="86">
        <f t="shared" ref="J68:J70" si="5">I68-H68</f>
        <v>7221</v>
      </c>
      <c r="K68" s="86">
        <f t="shared" si="4"/>
        <v>7221</v>
      </c>
      <c r="L68" s="35"/>
      <c r="M68" s="35"/>
      <c r="N68" s="35"/>
      <c r="O68" s="35"/>
      <c r="P68" s="35"/>
      <c r="Q68" s="35"/>
    </row>
    <row r="69" spans="1:17" x14ac:dyDescent="0.25">
      <c r="A69" s="35" t="s">
        <v>287</v>
      </c>
      <c r="B69" s="71">
        <v>68</v>
      </c>
      <c r="C69" s="88">
        <v>44225</v>
      </c>
      <c r="D69" s="90" t="s">
        <v>241</v>
      </c>
      <c r="E69" s="35" t="s">
        <v>235</v>
      </c>
      <c r="F69" s="35" t="s">
        <v>292</v>
      </c>
      <c r="G69" s="35" t="s">
        <v>298</v>
      </c>
      <c r="H69" s="35">
        <v>21492</v>
      </c>
      <c r="I69" s="35">
        <v>24737</v>
      </c>
      <c r="J69" s="86">
        <f t="shared" si="5"/>
        <v>3245</v>
      </c>
      <c r="K69" s="86">
        <f t="shared" si="4"/>
        <v>3245</v>
      </c>
      <c r="L69" s="35"/>
      <c r="M69" s="35"/>
      <c r="N69" s="35"/>
      <c r="O69" s="35"/>
      <c r="P69" s="35"/>
      <c r="Q69" s="35"/>
    </row>
    <row r="70" spans="1:17" x14ac:dyDescent="0.25">
      <c r="A70" s="35" t="s">
        <v>285</v>
      </c>
      <c r="B70" s="71">
        <v>66</v>
      </c>
      <c r="C70" s="88">
        <v>44225</v>
      </c>
      <c r="D70" s="90" t="s">
        <v>241</v>
      </c>
      <c r="E70" s="35" t="s">
        <v>235</v>
      </c>
      <c r="F70" s="35" t="s">
        <v>290</v>
      </c>
      <c r="G70" s="35" t="s">
        <v>296</v>
      </c>
      <c r="H70" s="35">
        <v>11997</v>
      </c>
      <c r="I70" s="35">
        <v>14114</v>
      </c>
      <c r="J70" s="86">
        <f t="shared" si="5"/>
        <v>2117</v>
      </c>
      <c r="K70" s="86">
        <f t="shared" si="4"/>
        <v>2117</v>
      </c>
      <c r="L70" s="35"/>
      <c r="M70" s="35"/>
      <c r="N70" s="35"/>
      <c r="O70" s="35"/>
      <c r="P70" s="35"/>
      <c r="Q70" s="35"/>
    </row>
    <row r="73" spans="1:17" ht="15.75" thickBot="1" x14ac:dyDescent="0.3"/>
    <row r="74" spans="1:17" x14ac:dyDescent="0.25">
      <c r="E74" s="91" t="s">
        <v>0</v>
      </c>
      <c r="F74" s="92" t="s">
        <v>256</v>
      </c>
      <c r="G74" s="92" t="s">
        <v>257</v>
      </c>
      <c r="H74" s="92" t="s">
        <v>258</v>
      </c>
      <c r="I74" s="92" t="s">
        <v>259</v>
      </c>
      <c r="J74" s="93" t="s">
        <v>260</v>
      </c>
      <c r="K74" s="103"/>
    </row>
    <row r="75" spans="1:17" x14ac:dyDescent="0.25">
      <c r="E75" s="94" t="s">
        <v>243</v>
      </c>
      <c r="F75" s="95">
        <f t="shared" ref="F75:F80" si="6">COUNTIF($D$2:$D$72,E75)</f>
        <v>6</v>
      </c>
      <c r="G75" s="96">
        <f>2052*F75</f>
        <v>12312</v>
      </c>
      <c r="H75" s="96">
        <f>1368*F75</f>
        <v>8208</v>
      </c>
      <c r="I75" s="96"/>
      <c r="J75" s="97"/>
      <c r="K75" s="104"/>
    </row>
    <row r="76" spans="1:17" x14ac:dyDescent="0.25">
      <c r="E76" s="94" t="s">
        <v>244</v>
      </c>
      <c r="F76" s="95">
        <f t="shared" si="6"/>
        <v>2</v>
      </c>
      <c r="G76" s="96">
        <f>5290*F76</f>
        <v>10580</v>
      </c>
      <c r="H76" s="96">
        <f>3527*F76</f>
        <v>7054</v>
      </c>
      <c r="I76" s="96"/>
      <c r="J76" s="97"/>
      <c r="K76" s="104"/>
    </row>
    <row r="77" spans="1:17" x14ac:dyDescent="0.25">
      <c r="E77" s="94" t="s">
        <v>241</v>
      </c>
      <c r="F77" s="95">
        <f t="shared" si="6"/>
        <v>40</v>
      </c>
      <c r="G77" s="96">
        <f>3048*F77</f>
        <v>121920</v>
      </c>
      <c r="H77" s="96">
        <f>2032*F77</f>
        <v>81280</v>
      </c>
      <c r="I77" s="96"/>
      <c r="J77" s="97"/>
      <c r="K77" s="104"/>
    </row>
    <row r="78" spans="1:17" x14ac:dyDescent="0.25">
      <c r="E78" s="94" t="s">
        <v>242</v>
      </c>
      <c r="F78" s="95">
        <f t="shared" si="6"/>
        <v>19</v>
      </c>
      <c r="G78" s="96">
        <f>6198*F78</f>
        <v>117762</v>
      </c>
      <c r="H78" s="96">
        <f>4132*F78</f>
        <v>78508</v>
      </c>
      <c r="I78" s="96"/>
      <c r="J78" s="97"/>
      <c r="K78" s="104"/>
    </row>
    <row r="79" spans="1:17" x14ac:dyDescent="0.25">
      <c r="E79" s="94" t="s">
        <v>261</v>
      </c>
      <c r="F79" s="95">
        <f t="shared" si="6"/>
        <v>1</v>
      </c>
      <c r="G79" s="96">
        <f>6780*F79</f>
        <v>6780</v>
      </c>
      <c r="H79" s="96">
        <f>4520*F79</f>
        <v>4520</v>
      </c>
      <c r="I79" s="96">
        <f>6600*F79</f>
        <v>6600</v>
      </c>
      <c r="J79" s="97">
        <f>4400*F79</f>
        <v>4400</v>
      </c>
      <c r="K79" s="104"/>
    </row>
    <row r="80" spans="1:17" x14ac:dyDescent="0.25">
      <c r="E80" s="94" t="s">
        <v>240</v>
      </c>
      <c r="F80" s="95">
        <f t="shared" si="6"/>
        <v>1</v>
      </c>
      <c r="G80" s="96">
        <f>8582*F79</f>
        <v>8582</v>
      </c>
      <c r="H80" s="96">
        <f>5722*F80</f>
        <v>5722</v>
      </c>
      <c r="I80" s="96">
        <f>6600*F80</f>
        <v>6600</v>
      </c>
      <c r="J80" s="97">
        <f>4400*F80</f>
        <v>4400</v>
      </c>
      <c r="K80" s="104"/>
    </row>
    <row r="81" spans="5:11" ht="15.75" thickBot="1" x14ac:dyDescent="0.3">
      <c r="E81" s="98" t="s">
        <v>262</v>
      </c>
      <c r="F81" s="99">
        <f>SUM(F75:F80)</f>
        <v>69</v>
      </c>
      <c r="G81" s="100">
        <f t="shared" ref="G81:H81" si="7">SUM(G75:G80)</f>
        <v>277936</v>
      </c>
      <c r="H81" s="100">
        <f t="shared" si="7"/>
        <v>185292</v>
      </c>
      <c r="I81" s="100">
        <f>SUM(I75:I80)</f>
        <v>13200</v>
      </c>
      <c r="J81" s="101">
        <f>SUM(J75:J80)</f>
        <v>8800</v>
      </c>
      <c r="K81" s="105"/>
    </row>
  </sheetData>
  <autoFilter ref="A1:Q66">
    <sortState ref="A2:Q70">
      <sortCondition ref="F1:F66"/>
    </sortState>
  </autoFilter>
  <conditionalFormatting sqref="L2:N2 M3:M7">
    <cfRule type="cellIs" dxfId="5" priority="9" operator="lessThan">
      <formula>0</formula>
    </cfRule>
  </conditionalFormatting>
  <conditionalFormatting sqref="L8:N10 L3:L7 N3:N7">
    <cfRule type="cellIs" dxfId="4" priority="6" operator="lessThan">
      <formula>0</formula>
    </cfRule>
  </conditionalFormatting>
  <conditionalFormatting sqref="G1:G2 G37:G53 G71:G1048576">
    <cfRule type="duplicateValues" dxfId="3" priority="3"/>
  </conditionalFormatting>
  <conditionalFormatting sqref="G3:G36">
    <cfRule type="duplicateValues" dxfId="1" priority="2"/>
  </conditionalFormatting>
  <conditionalFormatting sqref="G54:G70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4" sqref="B4"/>
    </sheetView>
  </sheetViews>
  <sheetFormatPr defaultRowHeight="15" x14ac:dyDescent="0.25"/>
  <cols>
    <col min="1" max="1" width="36.42578125" customWidth="1"/>
    <col min="2" max="2" width="24" bestFit="1" customWidth="1"/>
    <col min="3" max="3" width="33" customWidth="1"/>
    <col min="4" max="4" width="30.5703125" customWidth="1"/>
  </cols>
  <sheetData>
    <row r="1" spans="1:4" ht="23.25" x14ac:dyDescent="0.35">
      <c r="A1" s="33" t="s">
        <v>33</v>
      </c>
      <c r="B1" s="33" t="s">
        <v>75</v>
      </c>
    </row>
    <row r="2" spans="1:4" ht="23.25" x14ac:dyDescent="0.35">
      <c r="A2" s="33" t="s">
        <v>34</v>
      </c>
      <c r="B2" s="33" t="s">
        <v>76</v>
      </c>
    </row>
    <row r="3" spans="1:4" ht="23.25" x14ac:dyDescent="0.35">
      <c r="A3" s="33" t="s">
        <v>35</v>
      </c>
      <c r="B3" s="34">
        <v>44470</v>
      </c>
    </row>
    <row r="4" spans="1:4" ht="15.75" thickBot="1" x14ac:dyDescent="0.3"/>
    <row r="5" spans="1:4" ht="15.75" thickBot="1" x14ac:dyDescent="0.3">
      <c r="A5" s="29" t="s">
        <v>0</v>
      </c>
      <c r="B5" s="30" t="s">
        <v>4</v>
      </c>
      <c r="C5" s="30" t="s">
        <v>28</v>
      </c>
      <c r="D5" s="31" t="s">
        <v>29</v>
      </c>
    </row>
    <row r="6" spans="1:4" ht="30" x14ac:dyDescent="0.25">
      <c r="A6" s="7" t="s">
        <v>5</v>
      </c>
      <c r="B6" s="20">
        <v>7.0000000000000007E-2</v>
      </c>
      <c r="C6" s="79">
        <f>SUM(BASE!G81)</f>
        <v>277936</v>
      </c>
      <c r="D6" s="8">
        <f>C6*B6</f>
        <v>19455.52</v>
      </c>
    </row>
    <row r="7" spans="1:4" ht="30" x14ac:dyDescent="0.25">
      <c r="A7" s="5" t="s">
        <v>6</v>
      </c>
      <c r="B7" s="21">
        <v>2.5000000000000001E-2</v>
      </c>
      <c r="C7" s="80">
        <f>SUM(BASE!H81)</f>
        <v>185292</v>
      </c>
      <c r="D7" s="9">
        <f>C7*B7</f>
        <v>4632.3</v>
      </c>
    </row>
    <row r="8" spans="1:4" ht="30" x14ac:dyDescent="0.25">
      <c r="A8" s="23" t="s">
        <v>7</v>
      </c>
      <c r="B8" s="21">
        <v>0.7</v>
      </c>
      <c r="C8" s="80">
        <f>SUM(BASE!I81)</f>
        <v>13200</v>
      </c>
      <c r="D8" s="9">
        <f>C8*B8</f>
        <v>9240</v>
      </c>
    </row>
    <row r="9" spans="1:4" ht="30.75" thickBot="1" x14ac:dyDescent="0.3">
      <c r="A9" s="24" t="s">
        <v>8</v>
      </c>
      <c r="B9" s="22">
        <v>0.25</v>
      </c>
      <c r="C9" s="81">
        <f>SUM(BASE!J81)</f>
        <v>8800</v>
      </c>
      <c r="D9" s="10">
        <f>C9*B9</f>
        <v>2200</v>
      </c>
    </row>
    <row r="11" spans="1:4" ht="15.75" thickBot="1" x14ac:dyDescent="0.3"/>
    <row r="12" spans="1:4" ht="15.75" thickBot="1" x14ac:dyDescent="0.3">
      <c r="A12" s="112" t="s">
        <v>15</v>
      </c>
      <c r="B12" s="113"/>
      <c r="C12" s="114" t="s">
        <v>16</v>
      </c>
      <c r="D12" s="115"/>
    </row>
    <row r="13" spans="1:4" x14ac:dyDescent="0.25">
      <c r="A13" s="16" t="s">
        <v>17</v>
      </c>
      <c r="B13" s="17">
        <f>IF((SUM(BASE!$K2:$K70)+(SUM(BASE!$L2:$L70)*2))&gt;=$C$6,$C$6,(SUM(BASE!$K2:$K70)+(SUM(BASE!$L2:$L70)*2)))</f>
        <v>277936</v>
      </c>
      <c r="C13" s="18" t="s">
        <v>17</v>
      </c>
      <c r="D13" s="17">
        <f>IF((SUM(BASE!$M2:$M62)+(SUM(BASE!$N2:$N73)*2))&gt;=$C$8,$C$8,(SUM(BASE!$M2:$M70)+(SUM(BASE!$N2:$N70)*2)))</f>
        <v>1309</v>
      </c>
    </row>
    <row r="14" spans="1:4" x14ac:dyDescent="0.25">
      <c r="A14" s="6" t="s">
        <v>18</v>
      </c>
      <c r="B14" s="15">
        <f>$D$6</f>
        <v>19455.52</v>
      </c>
      <c r="C14" s="12" t="s">
        <v>18</v>
      </c>
      <c r="D14" s="15">
        <f>$D$8</f>
        <v>9240</v>
      </c>
    </row>
    <row r="15" spans="1:4" x14ac:dyDescent="0.25">
      <c r="A15" s="6" t="s">
        <v>19</v>
      </c>
      <c r="B15" s="14">
        <f>IF((SUM(BASE!$K2:$K70)+(SUM(BASE!$L2:$L70)*2))&gt;$C$6,(SUM(BASE!$K2:$K70)+(SUM(BASE!$L2:$L70)*2))-$C$6,0)</f>
        <v>33190</v>
      </c>
      <c r="C15" s="12" t="s">
        <v>19</v>
      </c>
      <c r="D15" s="14">
        <f>IF((SUM(BASE!$M2:$M70)+(SUM(BASE!$N2:$N70)*2))&gt;$C$8,(SUM(BASE!$M2:$M70)+(SUM(BASE!$N2:$N70)*2))-$C$8,0)</f>
        <v>0</v>
      </c>
    </row>
    <row r="16" spans="1:4" ht="15.75" thickBot="1" x14ac:dyDescent="0.3">
      <c r="A16" s="6" t="s">
        <v>20</v>
      </c>
      <c r="B16" s="27">
        <f>$B$15*$B$7</f>
        <v>829.75</v>
      </c>
      <c r="C16" s="13" t="s">
        <v>20</v>
      </c>
      <c r="D16" s="32">
        <f>$D$15*$B$9</f>
        <v>0</v>
      </c>
    </row>
    <row r="17" spans="1:10" ht="15.75" thickBot="1" x14ac:dyDescent="0.3">
      <c r="A17" s="116" t="s">
        <v>30</v>
      </c>
      <c r="B17" s="117"/>
      <c r="C17" s="118" t="s">
        <v>31</v>
      </c>
      <c r="D17" s="119"/>
    </row>
    <row r="18" spans="1:10" ht="16.5" thickBot="1" x14ac:dyDescent="0.3">
      <c r="A18" s="120">
        <f>SUM($B$14,$B$16)</f>
        <v>20285.27</v>
      </c>
      <c r="B18" s="121"/>
      <c r="C18" s="122">
        <f>SUM($D$14,$D$16)</f>
        <v>9240</v>
      </c>
      <c r="D18" s="121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6" t="s">
        <v>26</v>
      </c>
      <c r="B20" s="107"/>
      <c r="C20" s="108"/>
      <c r="D20" s="109"/>
    </row>
    <row r="21" spans="1:10" ht="16.5" thickBot="1" x14ac:dyDescent="0.3">
      <c r="A21" s="106" t="s">
        <v>27</v>
      </c>
      <c r="B21" s="107"/>
      <c r="C21" s="110"/>
      <c r="D21" s="111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4" t="s">
        <v>32</v>
      </c>
      <c r="B23" s="125"/>
      <c r="C23" s="126">
        <f>SUM(A18:D18)+C21-C20</f>
        <v>29525.27</v>
      </c>
      <c r="D23" s="127"/>
    </row>
    <row r="25" spans="1:10" x14ac:dyDescent="0.25">
      <c r="A25" s="123" t="str">
        <f>IF(B13&lt;C6,"Favor atentar para o correto dimensionamento do recurso de impressão, pois o volume impresso está abaixo da franquia monocromática contratada!","")</f>
        <v/>
      </c>
      <c r="B25" s="123"/>
      <c r="C25" s="123"/>
      <c r="D25" s="123"/>
      <c r="E25" s="123"/>
      <c r="F25" s="123"/>
      <c r="G25" s="123"/>
      <c r="H25" s="123"/>
      <c r="I25" s="123"/>
      <c r="J25" s="123"/>
    </row>
    <row r="26" spans="1:10" x14ac:dyDescent="0.25">
      <c r="A26" s="123" t="str">
        <f>IF(B13&lt;C6,"Favor atentar para o correto dimensionamento do recurso de impressão, pois o volume impresso está abaixo da franquia color contratada!","")</f>
        <v/>
      </c>
      <c r="B26" s="123"/>
      <c r="C26" s="123"/>
      <c r="D26" s="123"/>
      <c r="E26" s="123"/>
      <c r="F26" s="123"/>
      <c r="G26" s="123"/>
      <c r="H26" s="123"/>
      <c r="I26" s="123"/>
      <c r="J26" s="123"/>
    </row>
    <row r="27" spans="1:10" x14ac:dyDescent="0.25">
      <c r="A27" s="123" t="str">
        <f>IF(D15&gt;C9,"Favor atentar para o uso do recurso de impressão, pois o volume policromático impresso está acima da volumetria total contratada!","")</f>
        <v/>
      </c>
      <c r="B27" s="123"/>
      <c r="C27" s="123"/>
      <c r="D27" s="123"/>
      <c r="E27" s="123"/>
      <c r="F27" s="123"/>
      <c r="G27" s="123"/>
      <c r="H27" s="123"/>
      <c r="I27" s="123"/>
      <c r="J27" s="123"/>
    </row>
    <row r="28" spans="1:10" x14ac:dyDescent="0.25">
      <c r="A28" s="123" t="str">
        <f>IF(B16&gt;C8,"Favor atentar para o uso do recurso de impressão, pois o volume monocromático impresso está acima da volumetria total contratada!","")</f>
        <v/>
      </c>
      <c r="B28" s="123"/>
      <c r="C28" s="123"/>
      <c r="D28" s="123"/>
      <c r="E28" s="123"/>
      <c r="F28" s="123"/>
      <c r="G28" s="123"/>
      <c r="H28" s="123"/>
      <c r="I28" s="123"/>
      <c r="J28" s="123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9" sqref="C9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0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1" t="s">
        <v>41</v>
      </c>
      <c r="B3" s="132"/>
      <c r="C3" s="133"/>
      <c r="D3" s="102">
        <f>SUM(BASE!G81)</f>
        <v>277936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4" t="s">
        <v>43</v>
      </c>
      <c r="B4" s="135"/>
      <c r="C4" s="136"/>
      <c r="D4" s="38">
        <v>14640.64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7" t="s">
        <v>45</v>
      </c>
      <c r="B5" s="138"/>
      <c r="C5" s="139"/>
      <c r="D5" s="39">
        <v>0.02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246</v>
      </c>
      <c r="C6" s="42" t="s">
        <v>247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300</v>
      </c>
      <c r="B7" s="72">
        <f>$D$3</f>
        <v>277936</v>
      </c>
      <c r="C7" s="75">
        <v>323889</v>
      </c>
      <c r="D7" s="45">
        <f>$D$4</f>
        <v>14640.64</v>
      </c>
      <c r="E7" s="45">
        <f>IF(C7-B7&lt;0,0,(C7-B7)*$D$5)</f>
        <v>919.06000000000006</v>
      </c>
      <c r="F7" s="45">
        <f>E7+D7</f>
        <v>15559.699999999999</v>
      </c>
      <c r="H7" s="37" t="s">
        <v>51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301</v>
      </c>
      <c r="B8" s="72">
        <f t="shared" ref="B8:B12" si="0">$D$3</f>
        <v>277936</v>
      </c>
      <c r="C8" s="75">
        <v>453251</v>
      </c>
      <c r="D8" s="45">
        <f t="shared" ref="D8:D12" si="1">$D$4</f>
        <v>14640.64</v>
      </c>
      <c r="E8" s="45">
        <f t="shared" ref="E8:E12" si="2">IF(C8-B8&lt;0,0,(C8-B8)*$D$5)</f>
        <v>3506.3</v>
      </c>
      <c r="F8" s="45">
        <f t="shared" ref="F8:F11" si="3">E8+D8</f>
        <v>18146.939999999999</v>
      </c>
      <c r="H8" s="140" t="s">
        <v>52</v>
      </c>
      <c r="I8" s="140"/>
      <c r="J8" s="140"/>
      <c r="K8" s="140"/>
      <c r="L8" s="140"/>
      <c r="M8" s="140"/>
      <c r="N8" s="140"/>
      <c r="O8" s="140"/>
    </row>
    <row r="9" spans="1:15" x14ac:dyDescent="0.25">
      <c r="A9" s="44" t="s">
        <v>302</v>
      </c>
      <c r="B9" s="72">
        <f t="shared" si="0"/>
        <v>277936</v>
      </c>
      <c r="C9" s="75">
        <f>SUM(CONSOLIDADO!B13,CONSOLIDADO!B15)</f>
        <v>311126</v>
      </c>
      <c r="D9" s="45">
        <f t="shared" si="1"/>
        <v>14640.64</v>
      </c>
      <c r="E9" s="45">
        <f t="shared" si="2"/>
        <v>663.80000000000007</v>
      </c>
      <c r="F9" s="45">
        <f t="shared" si="3"/>
        <v>15304.439999999999</v>
      </c>
      <c r="H9" s="140"/>
      <c r="I9" s="140"/>
      <c r="J9" s="140"/>
      <c r="K9" s="140"/>
      <c r="L9" s="140"/>
      <c r="M9" s="140"/>
      <c r="N9" s="140"/>
      <c r="O9" s="140"/>
    </row>
    <row r="10" spans="1:15" x14ac:dyDescent="0.25">
      <c r="A10" s="44" t="s">
        <v>303</v>
      </c>
      <c r="B10" s="72">
        <f t="shared" si="0"/>
        <v>277936</v>
      </c>
      <c r="C10" s="75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0"/>
      <c r="I10" s="140"/>
      <c r="J10" s="140"/>
      <c r="K10" s="140"/>
      <c r="L10" s="140"/>
      <c r="M10" s="140"/>
      <c r="N10" s="140"/>
      <c r="O10" s="140"/>
    </row>
    <row r="11" spans="1:15" ht="15.75" thickBot="1" x14ac:dyDescent="0.3">
      <c r="A11" s="44" t="s">
        <v>304</v>
      </c>
      <c r="B11" s="72">
        <f t="shared" si="0"/>
        <v>277936</v>
      </c>
      <c r="C11" s="75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53</v>
      </c>
      <c r="H11" s="46" t="s">
        <v>54</v>
      </c>
    </row>
    <row r="12" spans="1:15" ht="15.75" thickBot="1" x14ac:dyDescent="0.3">
      <c r="A12" s="44" t="s">
        <v>305</v>
      </c>
      <c r="B12" s="73">
        <f t="shared" si="0"/>
        <v>277936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5089.1600000000008</v>
      </c>
      <c r="H12" s="50">
        <f>F12-G12</f>
        <v>9551.48</v>
      </c>
    </row>
    <row r="13" spans="1:15" ht="19.5" thickBot="1" x14ac:dyDescent="0.35">
      <c r="A13" s="51" t="s">
        <v>55</v>
      </c>
      <c r="B13" s="74">
        <f>SUM(B7:B12)</f>
        <v>1667616</v>
      </c>
      <c r="C13" s="76">
        <f>SUM(C7:C12)</f>
        <v>1088266</v>
      </c>
      <c r="D13" s="54">
        <f>SUM(D7:D12)</f>
        <v>87843.839999999997</v>
      </c>
      <c r="E13" s="55">
        <f>SUM(E7:E12)</f>
        <v>5089.1600000000008</v>
      </c>
      <c r="F13" s="141" t="s">
        <v>56</v>
      </c>
      <c r="G13" s="142"/>
      <c r="H13" s="56">
        <f>SUM(F7:F11)+H12</f>
        <v>87843.839999999997</v>
      </c>
    </row>
    <row r="14" spans="1:15" ht="15.75" thickBot="1" x14ac:dyDescent="0.3">
      <c r="A14" s="128" t="s">
        <v>57</v>
      </c>
      <c r="B14" s="129"/>
      <c r="C14" s="77">
        <f>C13-B13</f>
        <v>-579350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58</v>
      </c>
      <c r="C17" s="61" t="s">
        <v>59</v>
      </c>
      <c r="F17" s="37" t="s">
        <v>60</v>
      </c>
    </row>
    <row r="18" spans="1:10" ht="15.75" thickBot="1" x14ac:dyDescent="0.3">
      <c r="A18" s="53"/>
      <c r="B18" s="62" t="s">
        <v>61</v>
      </c>
      <c r="C18" s="63" t="s">
        <v>62</v>
      </c>
    </row>
    <row r="19" spans="1:10" ht="15.75" thickBot="1" x14ac:dyDescent="0.3">
      <c r="A19" s="64"/>
      <c r="B19" s="62" t="s">
        <v>63</v>
      </c>
      <c r="C19" s="63" t="s">
        <v>64</v>
      </c>
    </row>
    <row r="20" spans="1:10" ht="15.75" thickBot="1" x14ac:dyDescent="0.3">
      <c r="A20" s="57"/>
      <c r="B20" s="65" t="s">
        <v>65</v>
      </c>
      <c r="C20" s="63" t="s">
        <v>66</v>
      </c>
      <c r="E20" s="66" t="s">
        <v>67</v>
      </c>
    </row>
    <row r="21" spans="1:10" ht="15.75" thickBot="1" x14ac:dyDescent="0.3">
      <c r="A21" s="67"/>
      <c r="B21" s="65" t="s">
        <v>68</v>
      </c>
      <c r="C21" s="63" t="s">
        <v>69</v>
      </c>
      <c r="E21" s="66" t="s">
        <v>70</v>
      </c>
      <c r="F21" s="61"/>
      <c r="G21" s="61"/>
    </row>
    <row r="22" spans="1:10" ht="15.75" thickBot="1" x14ac:dyDescent="0.3">
      <c r="A22" s="68"/>
      <c r="B22" s="65" t="s">
        <v>53</v>
      </c>
      <c r="C22" s="63" t="s">
        <v>71</v>
      </c>
      <c r="E22" s="69" t="s">
        <v>72</v>
      </c>
      <c r="F22" s="63"/>
      <c r="G22" s="63"/>
    </row>
    <row r="23" spans="1:10" ht="15.75" thickBot="1" x14ac:dyDescent="0.3">
      <c r="A23" s="70"/>
      <c r="B23" s="65" t="s">
        <v>54</v>
      </c>
      <c r="C23" s="63" t="s">
        <v>73</v>
      </c>
      <c r="E23" s="61" t="s">
        <v>74</v>
      </c>
      <c r="F23" s="61"/>
      <c r="G23" s="61"/>
      <c r="H23" s="61"/>
      <c r="I23" s="61"/>
      <c r="J23" s="61"/>
    </row>
    <row r="27" spans="1:10" x14ac:dyDescent="0.25">
      <c r="E27" s="58">
        <f>H13/C13</f>
        <v>8.0719088899221331E-2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9" sqref="C9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0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1" t="s">
        <v>41</v>
      </c>
      <c r="B3" s="132"/>
      <c r="C3" s="133"/>
      <c r="D3" s="78">
        <f>SUM(BASE!I81)</f>
        <v>13200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4" t="s">
        <v>43</v>
      </c>
      <c r="B4" s="135"/>
      <c r="C4" s="136"/>
      <c r="D4" s="38">
        <f>SUM(CONSOLIDADO!D8)</f>
        <v>9240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7" t="s">
        <v>45</v>
      </c>
      <c r="B5" s="138"/>
      <c r="C5" s="139"/>
      <c r="D5" s="39">
        <f>SUM(CONSOLIDADO!B9)</f>
        <v>0.25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248</v>
      </c>
      <c r="C6" s="42" t="s">
        <v>249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300</v>
      </c>
      <c r="B7" s="72">
        <f>$D$3</f>
        <v>13200</v>
      </c>
      <c r="C7" s="75">
        <v>2012</v>
      </c>
      <c r="D7" s="45">
        <f>$D$4</f>
        <v>9240</v>
      </c>
      <c r="E7" s="45">
        <f>IF(C7-B7&lt;0,0,(C7-B7)*$D$5)</f>
        <v>0</v>
      </c>
      <c r="F7" s="45">
        <f>E7+D7</f>
        <v>9240</v>
      </c>
      <c r="H7" s="37" t="s">
        <v>51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301</v>
      </c>
      <c r="B8" s="72">
        <f t="shared" ref="B8:B12" si="0">$D$3</f>
        <v>13200</v>
      </c>
      <c r="C8" s="75">
        <v>2335</v>
      </c>
      <c r="D8" s="45">
        <f t="shared" ref="D8:D12" si="1">$D$4</f>
        <v>9240</v>
      </c>
      <c r="E8" s="45">
        <f t="shared" ref="E8:E12" si="2">IF(C8-B8&lt;0,0,(C8-B8)*$D$5)</f>
        <v>0</v>
      </c>
      <c r="F8" s="45">
        <f t="shared" ref="F8:F11" si="3">E8+D8</f>
        <v>9240</v>
      </c>
      <c r="H8" s="140" t="s">
        <v>52</v>
      </c>
      <c r="I8" s="140"/>
      <c r="J8" s="140"/>
      <c r="K8" s="140"/>
      <c r="L8" s="140"/>
      <c r="M8" s="140"/>
      <c r="N8" s="140"/>
      <c r="O8" s="140"/>
    </row>
    <row r="9" spans="1:15" x14ac:dyDescent="0.25">
      <c r="A9" s="44" t="s">
        <v>302</v>
      </c>
      <c r="B9" s="72">
        <f t="shared" si="0"/>
        <v>13200</v>
      </c>
      <c r="C9" s="75">
        <f>SUM(CONSOLIDADO!D13,CONSOLIDADO!D15)</f>
        <v>1309</v>
      </c>
      <c r="D9" s="45">
        <f t="shared" si="1"/>
        <v>9240</v>
      </c>
      <c r="E9" s="45">
        <f t="shared" si="2"/>
        <v>0</v>
      </c>
      <c r="F9" s="45">
        <f t="shared" si="3"/>
        <v>9240</v>
      </c>
      <c r="H9" s="140"/>
      <c r="I9" s="140"/>
      <c r="J9" s="140"/>
      <c r="K9" s="140"/>
      <c r="L9" s="140"/>
      <c r="M9" s="140"/>
      <c r="N9" s="140"/>
      <c r="O9" s="140"/>
    </row>
    <row r="10" spans="1:15" x14ac:dyDescent="0.25">
      <c r="A10" s="44" t="s">
        <v>303</v>
      </c>
      <c r="B10" s="72">
        <f t="shared" si="0"/>
        <v>13200</v>
      </c>
      <c r="C10" s="75"/>
      <c r="D10" s="45">
        <f t="shared" si="1"/>
        <v>9240</v>
      </c>
      <c r="E10" s="45">
        <f t="shared" si="2"/>
        <v>0</v>
      </c>
      <c r="F10" s="45">
        <f t="shared" si="3"/>
        <v>9240</v>
      </c>
      <c r="H10" s="140"/>
      <c r="I10" s="140"/>
      <c r="J10" s="140"/>
      <c r="K10" s="140"/>
      <c r="L10" s="140"/>
      <c r="M10" s="140"/>
      <c r="N10" s="140"/>
      <c r="O10" s="140"/>
    </row>
    <row r="11" spans="1:15" ht="15.75" thickBot="1" x14ac:dyDescent="0.3">
      <c r="A11" s="44" t="s">
        <v>304</v>
      </c>
      <c r="B11" s="72">
        <f t="shared" si="0"/>
        <v>13200</v>
      </c>
      <c r="C11" s="75"/>
      <c r="D11" s="45">
        <f t="shared" si="1"/>
        <v>9240</v>
      </c>
      <c r="E11" s="45">
        <f t="shared" si="2"/>
        <v>0</v>
      </c>
      <c r="F11" s="45">
        <f t="shared" si="3"/>
        <v>9240</v>
      </c>
      <c r="G11" s="46" t="s">
        <v>53</v>
      </c>
      <c r="H11" s="46" t="s">
        <v>54</v>
      </c>
    </row>
    <row r="12" spans="1:15" ht="15.75" thickBot="1" x14ac:dyDescent="0.3">
      <c r="A12" s="44" t="s">
        <v>305</v>
      </c>
      <c r="B12" s="73">
        <f t="shared" si="0"/>
        <v>13200</v>
      </c>
      <c r="C12" s="75"/>
      <c r="D12" s="47">
        <f t="shared" si="1"/>
        <v>9240</v>
      </c>
      <c r="E12" s="47">
        <f t="shared" si="2"/>
        <v>0</v>
      </c>
      <c r="F12" s="48">
        <f>E12+D12</f>
        <v>9240</v>
      </c>
      <c r="G12" s="49">
        <f>IF(C13&gt;B13,E13-C15,E13)</f>
        <v>0</v>
      </c>
      <c r="H12" s="50">
        <f>F12-G12</f>
        <v>9240</v>
      </c>
    </row>
    <row r="13" spans="1:15" ht="19.5" thickBot="1" x14ac:dyDescent="0.35">
      <c r="A13" s="51" t="s">
        <v>55</v>
      </c>
      <c r="B13" s="74">
        <f>SUM(B7:B12)</f>
        <v>79200</v>
      </c>
      <c r="C13" s="76">
        <f>SUM(C7:C12)</f>
        <v>5656</v>
      </c>
      <c r="D13" s="54">
        <f>SUM(D7:D12)</f>
        <v>55440</v>
      </c>
      <c r="E13" s="55">
        <f>SUM(E7:E12)</f>
        <v>0</v>
      </c>
      <c r="F13" s="141" t="s">
        <v>56</v>
      </c>
      <c r="G13" s="142"/>
      <c r="H13" s="56">
        <f>SUM(F7:F11)+H12</f>
        <v>55440</v>
      </c>
    </row>
    <row r="14" spans="1:15" ht="15.75" thickBot="1" x14ac:dyDescent="0.3">
      <c r="A14" s="128" t="s">
        <v>57</v>
      </c>
      <c r="B14" s="129"/>
      <c r="C14" s="77">
        <f>C13-B13</f>
        <v>-73544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58</v>
      </c>
      <c r="C17" s="61" t="s">
        <v>59</v>
      </c>
      <c r="F17" s="37" t="s">
        <v>60</v>
      </c>
    </row>
    <row r="18" spans="1:10" ht="15.75" thickBot="1" x14ac:dyDescent="0.3">
      <c r="A18" s="53"/>
      <c r="B18" s="62" t="s">
        <v>61</v>
      </c>
      <c r="C18" s="63" t="s">
        <v>62</v>
      </c>
    </row>
    <row r="19" spans="1:10" ht="15.75" thickBot="1" x14ac:dyDescent="0.3">
      <c r="A19" s="64"/>
      <c r="B19" s="62" t="s">
        <v>63</v>
      </c>
      <c r="C19" s="63" t="s">
        <v>64</v>
      </c>
    </row>
    <row r="20" spans="1:10" ht="15.75" thickBot="1" x14ac:dyDescent="0.3">
      <c r="A20" s="57"/>
      <c r="B20" s="65" t="s">
        <v>65</v>
      </c>
      <c r="C20" s="63" t="s">
        <v>66</v>
      </c>
      <c r="E20" s="66" t="s">
        <v>67</v>
      </c>
    </row>
    <row r="21" spans="1:10" ht="15.75" thickBot="1" x14ac:dyDescent="0.3">
      <c r="A21" s="67"/>
      <c r="B21" s="65" t="s">
        <v>68</v>
      </c>
      <c r="C21" s="63" t="s">
        <v>69</v>
      </c>
      <c r="E21" s="66" t="s">
        <v>70</v>
      </c>
      <c r="F21" s="61"/>
      <c r="G21" s="61"/>
    </row>
    <row r="22" spans="1:10" ht="15.75" thickBot="1" x14ac:dyDescent="0.3">
      <c r="A22" s="68"/>
      <c r="B22" s="65" t="s">
        <v>53</v>
      </c>
      <c r="C22" s="63" t="s">
        <v>71</v>
      </c>
      <c r="E22" s="69" t="s">
        <v>72</v>
      </c>
      <c r="F22" s="63"/>
      <c r="G22" s="63"/>
    </row>
    <row r="23" spans="1:10" ht="15.75" thickBot="1" x14ac:dyDescent="0.3">
      <c r="A23" s="70"/>
      <c r="B23" s="65" t="s">
        <v>54</v>
      </c>
      <c r="C23" s="63" t="s">
        <v>73</v>
      </c>
      <c r="E23" s="61" t="s">
        <v>74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C45C41-E8DF-422B-B7D8-A7ACB502A8B9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76045822-f663-47fe-a980-18965f3af854"/>
    <ds:schemaRef ds:uri="e0c41287-3fae-4d33-9378-24a2e4e94c8b"/>
  </ds:schemaRefs>
</ds:datastoreItem>
</file>

<file path=customXml/itemProps3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Company>EBSERH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Ildeney De Sousa Barbosa</dc:creator>
  <cp:lastModifiedBy>Christian Ferraz Pinto Pacheco</cp:lastModifiedBy>
  <dcterms:created xsi:type="dcterms:W3CDTF">2019-04-12T18:07:17Z</dcterms:created>
  <dcterms:modified xsi:type="dcterms:W3CDTF">2021-11-03T14:47:54Z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