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https://ebserhnet-my.sharepoint.com/personal/christian_pacheco_ebserh_gov_br/Documents/Licitação e contratos/Meus contratos/Impressoras - WA/Impressoes/"/>
    </mc:Choice>
  </mc:AlternateContent>
  <xr:revisionPtr revIDLastSave="0" documentId="11_CF922A7B32436700310BE329AFF870D5E2CFC9FF" xr6:coauthVersionLast="47" xr6:coauthVersionMax="47" xr10:uidLastSave="{00000000-0000-0000-0000-000000000000}"/>
  <bookViews>
    <workbookView xWindow="0" yWindow="0" windowWidth="24000" windowHeight="9600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BASE!$A$1:$Q$1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4" l="1"/>
  <c r="M2" i="4"/>
  <c r="K48" i="4"/>
  <c r="K2" i="4"/>
  <c r="J59" i="4"/>
  <c r="K59" i="4" s="1"/>
  <c r="J57" i="4" l="1"/>
  <c r="K57" i="4" s="1"/>
  <c r="F67" i="4" l="1"/>
  <c r="H67" i="4" s="1"/>
  <c r="F68" i="4"/>
  <c r="H68" i="4" s="1"/>
  <c r="F69" i="4"/>
  <c r="H69" i="4" s="1"/>
  <c r="F70" i="4"/>
  <c r="J70" i="4" s="1"/>
  <c r="F71" i="4"/>
  <c r="J71" i="4" s="1"/>
  <c r="F66" i="4"/>
  <c r="G66" i="4" s="1"/>
  <c r="J52" i="4"/>
  <c r="K52" i="4" s="1"/>
  <c r="J50" i="4"/>
  <c r="K50" i="4" s="1"/>
  <c r="J51" i="4"/>
  <c r="K51" i="4" s="1"/>
  <c r="J46" i="4"/>
  <c r="K46" i="4" s="1"/>
  <c r="J36" i="4"/>
  <c r="K36" i="4" s="1"/>
  <c r="J49" i="4"/>
  <c r="K49" i="4" s="1"/>
  <c r="J25" i="4"/>
  <c r="K25" i="4" s="1"/>
  <c r="J26" i="4"/>
  <c r="K26" i="4" s="1"/>
  <c r="J56" i="4"/>
  <c r="K56" i="4" s="1"/>
  <c r="J18" i="4"/>
  <c r="K18" i="4" s="1"/>
  <c r="J44" i="4"/>
  <c r="K44" i="4" s="1"/>
  <c r="J38" i="4"/>
  <c r="K38" i="4" s="1"/>
  <c r="J34" i="4"/>
  <c r="K34" i="4" s="1"/>
  <c r="J17" i="4"/>
  <c r="K17" i="4" s="1"/>
  <c r="J22" i="4"/>
  <c r="K22" i="4" s="1"/>
  <c r="J45" i="4"/>
  <c r="K45" i="4" s="1"/>
  <c r="J32" i="4"/>
  <c r="K32" i="4" s="1"/>
  <c r="J31" i="4"/>
  <c r="K31" i="4" s="1"/>
  <c r="J41" i="4"/>
  <c r="K41" i="4" s="1"/>
  <c r="J24" i="4"/>
  <c r="K24" i="4" s="1"/>
  <c r="J14" i="4"/>
  <c r="K14" i="4" s="1"/>
  <c r="J10" i="4"/>
  <c r="K10" i="4" s="1"/>
  <c r="J21" i="4"/>
  <c r="K21" i="4" s="1"/>
  <c r="J43" i="4"/>
  <c r="K43" i="4" s="1"/>
  <c r="J13" i="4"/>
  <c r="K13" i="4" s="1"/>
  <c r="J3" i="4"/>
  <c r="K3" i="4" s="1"/>
  <c r="J19" i="4"/>
  <c r="K19" i="4" s="1"/>
  <c r="J7" i="4"/>
  <c r="K7" i="4" s="1"/>
  <c r="J40" i="4"/>
  <c r="K40" i="4" s="1"/>
  <c r="J16" i="4"/>
  <c r="K16" i="4" s="1"/>
  <c r="J11" i="4"/>
  <c r="K11" i="4" s="1"/>
  <c r="J8" i="4"/>
  <c r="K8" i="4" s="1"/>
  <c r="J37" i="4"/>
  <c r="K37" i="4" s="1"/>
  <c r="J27" i="4"/>
  <c r="K27" i="4" s="1"/>
  <c r="J42" i="4"/>
  <c r="K42" i="4" s="1"/>
  <c r="J5" i="4"/>
  <c r="K5" i="4" s="1"/>
  <c r="J33" i="4"/>
  <c r="K33" i="4" s="1"/>
  <c r="J29" i="4"/>
  <c r="K29" i="4" s="1"/>
  <c r="J28" i="4"/>
  <c r="K28" i="4" s="1"/>
  <c r="J20" i="4"/>
  <c r="K20" i="4" s="1"/>
  <c r="J15" i="4"/>
  <c r="K15" i="4" s="1"/>
  <c r="J30" i="4"/>
  <c r="K30" i="4" s="1"/>
  <c r="J6" i="4"/>
  <c r="K6" i="4" s="1"/>
  <c r="J23" i="4"/>
  <c r="K23" i="4" s="1"/>
  <c r="J47" i="4"/>
  <c r="K47" i="4" s="1"/>
  <c r="J4" i="4"/>
  <c r="K4" i="4" s="1"/>
  <c r="J9" i="4"/>
  <c r="K9" i="4" s="1"/>
  <c r="J39" i="4"/>
  <c r="K39" i="4" s="1"/>
  <c r="J12" i="4"/>
  <c r="K12" i="4" s="1"/>
  <c r="J35" i="4"/>
  <c r="K35" i="4" s="1"/>
  <c r="J72" i="4" l="1"/>
  <c r="C9" i="5" s="1"/>
  <c r="H66" i="4"/>
  <c r="G69" i="4"/>
  <c r="G71" i="4"/>
  <c r="H71" i="4"/>
  <c r="I71" i="4"/>
  <c r="G67" i="4"/>
  <c r="G70" i="4"/>
  <c r="H70" i="4"/>
  <c r="F72" i="4"/>
  <c r="G68" i="4"/>
  <c r="I70" i="4"/>
  <c r="I72" i="4" l="1"/>
  <c r="H72" i="4"/>
  <c r="C7" i="5" s="1"/>
  <c r="G72" i="4"/>
  <c r="C6" i="5" l="1"/>
  <c r="D3" i="7"/>
  <c r="D3" i="8"/>
  <c r="B10" i="8" s="1"/>
  <c r="C8" i="5"/>
  <c r="J58" i="4"/>
  <c r="K58" i="4" s="1"/>
  <c r="D15" i="5"/>
  <c r="D13" i="5"/>
  <c r="J55" i="4"/>
  <c r="K55" i="4" s="1"/>
  <c r="D5" i="8"/>
  <c r="C8" i="8" l="1"/>
  <c r="E10" i="8"/>
  <c r="B8" i="8"/>
  <c r="B9" i="8"/>
  <c r="E9" i="8" s="1"/>
  <c r="B12" i="8"/>
  <c r="E12" i="8" s="1"/>
  <c r="B11" i="8"/>
  <c r="E11" i="8" s="1"/>
  <c r="B7" i="8"/>
  <c r="E8" i="8" l="1"/>
  <c r="B13" i="8"/>
  <c r="C13" i="8" l="1"/>
  <c r="C14" i="8" s="1"/>
  <c r="C15" i="8" s="1"/>
  <c r="E7" i="8"/>
  <c r="E13" i="8" l="1"/>
  <c r="G12" i="8" s="1"/>
  <c r="J53" i="4" l="1"/>
  <c r="K53" i="4" s="1"/>
  <c r="J54" i="4"/>
  <c r="K54" i="4" s="1"/>
  <c r="B15" i="5" l="1"/>
  <c r="B13" i="5"/>
  <c r="D12" i="7"/>
  <c r="B12" i="7"/>
  <c r="E12" i="7" s="1"/>
  <c r="F12" i="7" s="1"/>
  <c r="D11" i="7"/>
  <c r="B11" i="7"/>
  <c r="E11" i="7" s="1"/>
  <c r="D10" i="7"/>
  <c r="B10" i="7"/>
  <c r="E10" i="7" s="1"/>
  <c r="D9" i="7"/>
  <c r="B9" i="7"/>
  <c r="E9" i="7" s="1"/>
  <c r="F9" i="7" s="1"/>
  <c r="D8" i="7"/>
  <c r="B8" i="7"/>
  <c r="D7" i="7"/>
  <c r="D13" i="7" s="1"/>
  <c r="B7" i="7"/>
  <c r="E7" i="7" s="1"/>
  <c r="C8" i="7" l="1"/>
  <c r="C13" i="7" s="1"/>
  <c r="F11" i="7"/>
  <c r="F10" i="7"/>
  <c r="B13" i="7"/>
  <c r="F7" i="7"/>
  <c r="E8" i="7" l="1"/>
  <c r="E13" i="7" s="1"/>
  <c r="G12" i="7" s="1"/>
  <c r="H12" i="7" s="1"/>
  <c r="C14" i="7"/>
  <c r="C15" i="7" s="1"/>
  <c r="F8" i="7" l="1"/>
  <c r="H13" i="7" s="1"/>
  <c r="E27" i="7" s="1"/>
  <c r="A25" i="5"/>
  <c r="D6" i="5"/>
  <c r="B14" i="5" s="1"/>
  <c r="D16" i="5"/>
  <c r="A26" i="5"/>
  <c r="B16" i="5"/>
  <c r="A28" i="5" s="1"/>
  <c r="D9" i="5"/>
  <c r="D7" i="5"/>
  <c r="D8" i="5"/>
  <c r="D14" i="5" l="1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<sst xmlns="http://schemas.openxmlformats.org/spreadsheetml/2006/main" count="442" uniqueCount="279">
  <si>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</si>
  <si>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</si>
  <si>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</si>
  <si>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</si>
  <si>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</si>
  <si>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</si>
  <si>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</si>
  <si>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</si>
  <si>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</si>
  <si>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</si>
  <si>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</si>
  <si>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</si>
  <si>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</si>
  <si>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</si>
  <si>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</si>
  <si>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</si>
  <si>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</si>
  <si>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</si>
  <si>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</si>
  <si>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</si>
  <si>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</si>
  <si>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</si>
  <si>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CTI PEDIATRICO</t>
  </si>
  <si>
    <t>TIPO 1M</t>
  </si>
  <si>
    <t>Brother MFC-L6902DW</t>
  </si>
  <si>
    <t>U64210B0N382790</t>
  </si>
  <si>
    <t>10.42.205.26</t>
  </si>
  <si>
    <t>CTI ADULTO</t>
  </si>
  <si>
    <t>TIPO 2M</t>
  </si>
  <si>
    <t>U64210B0N382713</t>
  </si>
  <si>
    <t>10.42.205.25</t>
  </si>
  <si>
    <t>ENFERMARIA PEDIATRIA</t>
  </si>
  <si>
    <t>U64210B0N382703</t>
  </si>
  <si>
    <t>10.42.205.32</t>
  </si>
  <si>
    <t>CCII</t>
  </si>
  <si>
    <t>U64210B0N382743</t>
  </si>
  <si>
    <t>10.42.205.18</t>
  </si>
  <si>
    <t>CCI</t>
  </si>
  <si>
    <t>U64210B0N382699</t>
  </si>
  <si>
    <t>10.42.205.16</t>
  </si>
  <si>
    <t>DIP</t>
  </si>
  <si>
    <t>U64210B0N382708</t>
  </si>
  <si>
    <t>10.42.205.27</t>
  </si>
  <si>
    <t>ENFERMARIA CLINICA MEDICA</t>
  </si>
  <si>
    <t>U64210B0N382692</t>
  </si>
  <si>
    <t>10.42.205.22</t>
  </si>
  <si>
    <t>SUPRIMENTOS</t>
  </si>
  <si>
    <t>U64210B0N382663</t>
  </si>
  <si>
    <t>10.42.205.56</t>
  </si>
  <si>
    <t>AMB_PEDIATRIA</t>
  </si>
  <si>
    <t>U64210B0N382849</t>
  </si>
  <si>
    <t>10.42.205.61</t>
  </si>
  <si>
    <t>PAM POSTO ENF</t>
  </si>
  <si>
    <t>U64210B0N382654</t>
  </si>
  <si>
    <t>10.42.205.71</t>
  </si>
  <si>
    <t>NUTRICAO</t>
  </si>
  <si>
    <t>U64210B0N382645</t>
  </si>
  <si>
    <t>10.42.205.91</t>
  </si>
  <si>
    <t>HEMODINAMICA</t>
  </si>
  <si>
    <t>U64210B0N382666</t>
  </si>
  <si>
    <t>10.42.205.62</t>
  </si>
  <si>
    <t>PAM RECEPCAO</t>
  </si>
  <si>
    <t>U64210B0N382871</t>
  </si>
  <si>
    <t>10.42.205.72</t>
  </si>
  <si>
    <t>CENTRO_CIRURGICO</t>
  </si>
  <si>
    <t>U64210B0N382815</t>
  </si>
  <si>
    <t>10.42.205.82</t>
  </si>
  <si>
    <t>AMB_ONCOLOGIA</t>
  </si>
  <si>
    <t>U64210B0N382778</t>
  </si>
  <si>
    <t>10.42.205.92</t>
  </si>
  <si>
    <t>UAF</t>
  </si>
  <si>
    <t>U64210B0N382738</t>
  </si>
  <si>
    <t>10.42.205.67</t>
  </si>
  <si>
    <t>PAM_PED</t>
  </si>
  <si>
    <t>U64210B0N382706</t>
  </si>
  <si>
    <t>10.42.205.87</t>
  </si>
  <si>
    <t>CTI COVID</t>
  </si>
  <si>
    <t>U64210B0N382647</t>
  </si>
  <si>
    <t>10.42.205.94</t>
  </si>
  <si>
    <t>SOST</t>
  </si>
  <si>
    <t>U64210B0N382720</t>
  </si>
  <si>
    <t>10.42.205.69</t>
  </si>
  <si>
    <t>SERVICO_SOCIAL</t>
  </si>
  <si>
    <t>U64210B0N382878</t>
  </si>
  <si>
    <t>10.42.205.89</t>
  </si>
  <si>
    <t>MAT PRE PARTO</t>
  </si>
  <si>
    <t>U64210B0N382772</t>
  </si>
  <si>
    <t>10.42.205.93</t>
  </si>
  <si>
    <t>PULSOTERAPIA</t>
  </si>
  <si>
    <t>U64210B0N382701</t>
  </si>
  <si>
    <t>10.42.205.79</t>
  </si>
  <si>
    <t>JURIDICO</t>
  </si>
  <si>
    <t>U64210B0N382745</t>
  </si>
  <si>
    <t>10.42.205.60</t>
  </si>
  <si>
    <t>PATOLOGIA</t>
  </si>
  <si>
    <t>U64210B0N382668</t>
  </si>
  <si>
    <t>10.42.205.48</t>
  </si>
  <si>
    <t>AMB_ARQUIVO_MEDICO</t>
  </si>
  <si>
    <t>U64210B0N382813</t>
  </si>
  <si>
    <t>10.42.205.3</t>
  </si>
  <si>
    <t>RENAL</t>
  </si>
  <si>
    <t>U64210B0N382788</t>
  </si>
  <si>
    <t>10.42.205.52</t>
  </si>
  <si>
    <t>LAC_RECEPCAO</t>
  </si>
  <si>
    <t>U64210B0N382744</t>
  </si>
  <si>
    <t>10.42.205.51</t>
  </si>
  <si>
    <t>UCO</t>
  </si>
  <si>
    <t>U64210B0N382704</t>
  </si>
  <si>
    <t>10.42.205.59</t>
  </si>
  <si>
    <t>COREME</t>
  </si>
  <si>
    <t>U64210B0N382809</t>
  </si>
  <si>
    <t>10.42.205.23</t>
  </si>
  <si>
    <t>ENGENHARIA</t>
  </si>
  <si>
    <t>U64210B0N382660</t>
  </si>
  <si>
    <t>10.42.205.33</t>
  </si>
  <si>
    <t>HDIA</t>
  </si>
  <si>
    <t>U64210B0N382705</t>
  </si>
  <si>
    <t>10.42.205.37</t>
  </si>
  <si>
    <t>ORTESE E PROTESE</t>
  </si>
  <si>
    <t>U64210B0N382736</t>
  </si>
  <si>
    <t>10.42.205.44</t>
  </si>
  <si>
    <t>FARMACIA</t>
  </si>
  <si>
    <t>U64210B0N382718</t>
  </si>
  <si>
    <t>10.42.205.34</t>
  </si>
  <si>
    <t>FARMACIA_MANIPULACAO</t>
  </si>
  <si>
    <t>U64210B0N382656</t>
  </si>
  <si>
    <t>10.42.205.84</t>
  </si>
  <si>
    <t>AMB_ORTOPEDIA</t>
  </si>
  <si>
    <t>U64210B0N382740</t>
  </si>
  <si>
    <t>10.42.205.10</t>
  </si>
  <si>
    <t>DIVGP</t>
  </si>
  <si>
    <t>U64210B0N382811</t>
  </si>
  <si>
    <t>10.42.205.30</t>
  </si>
  <si>
    <t>UTI NEO</t>
  </si>
  <si>
    <t>U64210B0N382684</t>
  </si>
  <si>
    <t>10.42.205.58</t>
  </si>
  <si>
    <t>RAIOX</t>
  </si>
  <si>
    <t>U64210B0N382806</t>
  </si>
  <si>
    <t>10.42.205.50</t>
  </si>
  <si>
    <t>BANCO LEITE</t>
  </si>
  <si>
    <t>U64210B0N382698</t>
  </si>
  <si>
    <t>10.42.205.15</t>
  </si>
  <si>
    <t>PAM NIR</t>
  </si>
  <si>
    <t>U64210B0N382712</t>
  </si>
  <si>
    <t>10.42.205.70</t>
  </si>
  <si>
    <t>CCIH</t>
  </si>
  <si>
    <t>U64210B0N382707</t>
  </si>
  <si>
    <t>10.42.205.96</t>
  </si>
  <si>
    <t>ENDOSCOPIA</t>
  </si>
  <si>
    <t>TIPO 1</t>
  </si>
  <si>
    <t>Brother HL-L6202DW</t>
  </si>
  <si>
    <t>U64182J9N677001</t>
  </si>
  <si>
    <t>10.42.205.76</t>
  </si>
  <si>
    <t>EPIDEMIOLOGIA</t>
  </si>
  <si>
    <t>U64210B0N382658</t>
  </si>
  <si>
    <t>10.42.205.55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</si>
  <si>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</si>
  <si>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</si>
  <si>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</si>
  <si>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</si>
  <si>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</si>
  <si>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</si>
  <si>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</si>
  <si>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DIRECAO</t>
  </si>
  <si>
    <t>TIPO 5M</t>
  </si>
  <si>
    <t>Xerox VersaLink C505</t>
  </si>
  <si>
    <t>3RB706855</t>
  </si>
  <si>
    <t>10.42.205.29</t>
  </si>
  <si>
    <t>AUDITORIA_MEDICA</t>
  </si>
  <si>
    <t>U64210B0N382714</t>
  </si>
  <si>
    <t>10.42.205.65</t>
  </si>
  <si>
    <t>RECEPCAO_CENTRAL</t>
  </si>
  <si>
    <t>U64210B0N382696</t>
  </si>
  <si>
    <t>10.42.205.90</t>
  </si>
  <si>
    <t>HEMONUCLEO</t>
  </si>
  <si>
    <t>U64210B0N382734</t>
  </si>
  <si>
    <t>10.42.205.38</t>
  </si>
  <si>
    <t>CME</t>
  </si>
  <si>
    <t>U64210B0N382781</t>
  </si>
  <si>
    <t>10.42.205.88</t>
  </si>
  <si>
    <t>CHEFIA ENFERMAGEM</t>
  </si>
  <si>
    <t>U64210B0N382733</t>
  </si>
  <si>
    <t>10.42.205.31</t>
  </si>
  <si>
    <t>ENFERMARIA PEDIATRICA SALA MED</t>
  </si>
  <si>
    <t>U64210B0N382695</t>
  </si>
  <si>
    <t>10.42.205.86</t>
  </si>
  <si>
    <t>SGPTI</t>
  </si>
  <si>
    <t>U64210B0N382667</t>
  </si>
  <si>
    <t>10.42.205.54</t>
  </si>
  <si>
    <t>AMB UROLOGIA - INISA</t>
  </si>
  <si>
    <t>U64210B0N382662</t>
  </si>
  <si>
    <t>200.129.210.80</t>
  </si>
  <si>
    <t>AMB FATURAMENTO</t>
  </si>
  <si>
    <t>U64210B0N382700</t>
  </si>
  <si>
    <t>10.42.205.97</t>
  </si>
  <si>
    <t>ENGENHARIA CLINICA</t>
  </si>
  <si>
    <t>U64210B0N382711</t>
  </si>
  <si>
    <t>10.42.205.95</t>
  </si>
  <si>
    <t>AMBULATORIO URA</t>
  </si>
  <si>
    <t>U64210B0N382783</t>
  </si>
  <si>
    <t>10.42.205.11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</si>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</sst>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Normal="100" workbookViewId="0">
      <selection activeCell="G53" sqref="G53"/>
    </sheetView>
  </sheetViews>
  <sheetFormatPr defaultRowHeight="1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>
      <c r="A1" s="4" t="s">
        <v>0</v>
      </c>
      <c r="B1" s="4" t="s">
        <v>1</v>
      </c>
      <c r="C1" s="83" t="s">
        <v>2</v>
      </c>
      <c r="D1" s="83" t="s">
        <v>3</v>
      </c>
      <c r="E1" s="84" t="s">
        <v>4</v>
      </c>
      <c r="F1" s="84" t="s">
        <v>5</v>
      </c>
      <c r="G1" s="84" t="s">
        <v>6</v>
      </c>
      <c r="H1" s="83" t="s">
        <v>7</v>
      </c>
      <c r="I1" s="83" t="s">
        <v>8</v>
      </c>
      <c r="J1" s="85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>
      <c r="A2" s="35" t="s">
        <v>17</v>
      </c>
      <c r="B2" s="72">
        <v>1</v>
      </c>
      <c r="C2" s="2">
        <v>44046</v>
      </c>
      <c r="D2" s="86" t="s">
        <v>18</v>
      </c>
      <c r="E2" s="35" t="s">
        <v>19</v>
      </c>
      <c r="F2" s="35" t="s">
        <v>20</v>
      </c>
      <c r="G2" s="35" t="s">
        <v>21</v>
      </c>
      <c r="H2" s="3">
        <v>13161</v>
      </c>
      <c r="I2" s="35">
        <v>30369</v>
      </c>
      <c r="J2" s="87">
        <v>0</v>
      </c>
      <c r="K2" s="87">
        <f>J2</f>
        <v>0</v>
      </c>
      <c r="L2" s="3">
        <v>0</v>
      </c>
      <c r="M2" s="3">
        <f>I2-H2</f>
        <v>17208</v>
      </c>
      <c r="N2" s="3"/>
      <c r="O2" s="89"/>
      <c r="P2" s="35">
        <v>9</v>
      </c>
      <c r="Q2" s="35">
        <v>2020</v>
      </c>
    </row>
    <row r="3" spans="1:17">
      <c r="A3" s="35" t="s">
        <v>22</v>
      </c>
      <c r="B3" s="72">
        <v>2</v>
      </c>
      <c r="C3" s="2">
        <v>44040</v>
      </c>
      <c r="D3" s="86" t="s">
        <v>23</v>
      </c>
      <c r="E3" s="35" t="s">
        <v>24</v>
      </c>
      <c r="F3" s="35" t="s">
        <v>25</v>
      </c>
      <c r="G3" s="35" t="s">
        <v>26</v>
      </c>
      <c r="H3" s="97">
        <v>3589</v>
      </c>
      <c r="I3" s="35">
        <v>6175</v>
      </c>
      <c r="J3" s="87">
        <f>I3-H3</f>
        <v>2586</v>
      </c>
      <c r="K3" s="87">
        <f>J3</f>
        <v>2586</v>
      </c>
      <c r="L3" s="3">
        <v>0</v>
      </c>
      <c r="M3" s="3"/>
      <c r="N3" s="3"/>
      <c r="O3" s="89"/>
      <c r="P3" s="35">
        <v>9</v>
      </c>
      <c r="Q3" s="35">
        <v>2020</v>
      </c>
    </row>
    <row r="4" spans="1:17">
      <c r="A4" s="35" t="s">
        <v>27</v>
      </c>
      <c r="B4" s="72">
        <v>3</v>
      </c>
      <c r="C4" s="2">
        <v>44040</v>
      </c>
      <c r="D4" s="86" t="s">
        <v>28</v>
      </c>
      <c r="E4" s="35" t="s">
        <v>24</v>
      </c>
      <c r="F4" s="35" t="s">
        <v>29</v>
      </c>
      <c r="G4" s="35" t="s">
        <v>30</v>
      </c>
      <c r="H4" s="97">
        <v>12242</v>
      </c>
      <c r="I4" s="35">
        <v>21516</v>
      </c>
      <c r="J4" s="87">
        <f>I4-H4</f>
        <v>9274</v>
      </c>
      <c r="K4" s="87">
        <f>J4</f>
        <v>9274</v>
      </c>
      <c r="L4" s="3"/>
      <c r="M4" s="3"/>
      <c r="N4" s="3"/>
      <c r="O4" s="89"/>
      <c r="P4" s="35">
        <v>9</v>
      </c>
      <c r="Q4" s="35">
        <v>2020</v>
      </c>
    </row>
    <row r="5" spans="1:17">
      <c r="A5" s="35" t="s">
        <v>31</v>
      </c>
      <c r="B5" s="72">
        <v>4</v>
      </c>
      <c r="C5" s="2">
        <v>44040</v>
      </c>
      <c r="D5" s="86" t="s">
        <v>23</v>
      </c>
      <c r="E5" s="35" t="s">
        <v>24</v>
      </c>
      <c r="F5" s="35" t="s">
        <v>32</v>
      </c>
      <c r="G5" s="35" t="s">
        <v>33</v>
      </c>
      <c r="H5" s="97">
        <v>6130</v>
      </c>
      <c r="I5" s="35">
        <v>10511</v>
      </c>
      <c r="J5" s="87">
        <f>I5-H5</f>
        <v>4381</v>
      </c>
      <c r="K5" s="87">
        <f>J5</f>
        <v>4381</v>
      </c>
      <c r="L5" s="3"/>
      <c r="M5" s="3"/>
      <c r="N5" s="3"/>
      <c r="O5" s="89"/>
      <c r="P5" s="35">
        <v>9</v>
      </c>
      <c r="Q5" s="35">
        <v>2020</v>
      </c>
    </row>
    <row r="6" spans="1:17">
      <c r="A6" s="35" t="s">
        <v>34</v>
      </c>
      <c r="B6" s="72">
        <v>5</v>
      </c>
      <c r="C6" s="2">
        <v>44040</v>
      </c>
      <c r="D6" s="86" t="s">
        <v>23</v>
      </c>
      <c r="E6" s="35" t="s">
        <v>24</v>
      </c>
      <c r="F6" s="35" t="s">
        <v>35</v>
      </c>
      <c r="G6" s="35" t="s">
        <v>36</v>
      </c>
      <c r="H6" s="97">
        <v>9826</v>
      </c>
      <c r="I6" s="35">
        <v>18204</v>
      </c>
      <c r="J6" s="87">
        <f>I6-H6</f>
        <v>8378</v>
      </c>
      <c r="K6" s="87">
        <f>J6</f>
        <v>8378</v>
      </c>
      <c r="L6" s="3"/>
      <c r="M6" s="3"/>
      <c r="N6" s="3"/>
      <c r="O6" s="89"/>
      <c r="P6" s="35">
        <v>9</v>
      </c>
      <c r="Q6" s="35">
        <v>2020</v>
      </c>
    </row>
    <row r="7" spans="1:17">
      <c r="A7" s="35" t="s">
        <v>37</v>
      </c>
      <c r="B7" s="72">
        <v>6</v>
      </c>
      <c r="C7" s="90">
        <v>44042</v>
      </c>
      <c r="D7" s="86" t="s">
        <v>23</v>
      </c>
      <c r="E7" s="35" t="s">
        <v>24</v>
      </c>
      <c r="F7" s="35" t="s">
        <v>38</v>
      </c>
      <c r="G7" s="35" t="s">
        <v>39</v>
      </c>
      <c r="H7" s="97">
        <v>4032</v>
      </c>
      <c r="I7" s="35">
        <v>6801</v>
      </c>
      <c r="J7" s="87">
        <f>I7-H7</f>
        <v>2769</v>
      </c>
      <c r="K7" s="87">
        <f>J7</f>
        <v>2769</v>
      </c>
      <c r="L7" s="91"/>
      <c r="M7" s="91"/>
      <c r="N7" s="91"/>
      <c r="O7" s="35"/>
      <c r="P7" s="35">
        <v>9</v>
      </c>
      <c r="Q7" s="35">
        <v>2020</v>
      </c>
    </row>
    <row r="8" spans="1:17">
      <c r="A8" s="35" t="s">
        <v>40</v>
      </c>
      <c r="B8" s="72">
        <v>7</v>
      </c>
      <c r="C8" s="2">
        <v>44040</v>
      </c>
      <c r="D8" s="86" t="s">
        <v>23</v>
      </c>
      <c r="E8" s="35" t="s">
        <v>24</v>
      </c>
      <c r="F8" s="35" t="s">
        <v>41</v>
      </c>
      <c r="G8" s="35" t="s">
        <v>42</v>
      </c>
      <c r="H8" s="97">
        <v>5457</v>
      </c>
      <c r="I8" s="35">
        <v>10479</v>
      </c>
      <c r="J8" s="87">
        <f>I8-H8</f>
        <v>5022</v>
      </c>
      <c r="K8" s="87">
        <f>J8</f>
        <v>5022</v>
      </c>
      <c r="L8" s="35"/>
      <c r="M8" s="35"/>
      <c r="N8" s="35"/>
      <c r="O8" s="35"/>
      <c r="P8" s="35">
        <v>9</v>
      </c>
      <c r="Q8" s="35">
        <v>2020</v>
      </c>
    </row>
    <row r="9" spans="1:17">
      <c r="A9" s="35" t="s">
        <v>43</v>
      </c>
      <c r="B9" s="72">
        <v>8</v>
      </c>
      <c r="C9" s="2">
        <v>44041</v>
      </c>
      <c r="D9" s="86" t="s">
        <v>28</v>
      </c>
      <c r="E9" s="35" t="s">
        <v>24</v>
      </c>
      <c r="F9" s="35" t="s">
        <v>44</v>
      </c>
      <c r="G9" s="35" t="s">
        <v>45</v>
      </c>
      <c r="H9" s="97">
        <v>12845</v>
      </c>
      <c r="I9" s="35">
        <v>23768</v>
      </c>
      <c r="J9" s="87">
        <f>I9-H9</f>
        <v>10923</v>
      </c>
      <c r="K9" s="87">
        <f>J9</f>
        <v>10923</v>
      </c>
      <c r="L9" s="35"/>
      <c r="M9" s="35"/>
      <c r="N9" s="35"/>
      <c r="O9" s="35"/>
      <c r="P9" s="35">
        <v>9</v>
      </c>
      <c r="Q9" s="35">
        <v>2020</v>
      </c>
    </row>
    <row r="10" spans="1:17">
      <c r="A10" s="35" t="s">
        <v>46</v>
      </c>
      <c r="B10" s="72">
        <v>9</v>
      </c>
      <c r="C10" s="2">
        <v>44041</v>
      </c>
      <c r="D10" s="86" t="s">
        <v>23</v>
      </c>
      <c r="E10" s="35" t="s">
        <v>24</v>
      </c>
      <c r="F10" s="35" t="s">
        <v>47</v>
      </c>
      <c r="G10" s="35" t="s">
        <v>48</v>
      </c>
      <c r="H10" s="97">
        <v>2572</v>
      </c>
      <c r="I10" s="35">
        <v>5768</v>
      </c>
      <c r="J10" s="87">
        <f>I10-H10</f>
        <v>3196</v>
      </c>
      <c r="K10" s="87">
        <f>J10</f>
        <v>3196</v>
      </c>
      <c r="L10" s="35"/>
      <c r="M10" s="35"/>
      <c r="N10" s="35"/>
      <c r="O10" s="35"/>
      <c r="P10" s="35">
        <v>9</v>
      </c>
      <c r="Q10" s="35">
        <v>2020</v>
      </c>
    </row>
    <row r="11" spans="1:17">
      <c r="A11" s="35" t="s">
        <v>49</v>
      </c>
      <c r="B11" s="72">
        <v>10</v>
      </c>
      <c r="C11" s="90">
        <v>44042</v>
      </c>
      <c r="D11" s="86" t="s">
        <v>23</v>
      </c>
      <c r="E11" s="35" t="s">
        <v>24</v>
      </c>
      <c r="F11" s="35" t="s">
        <v>50</v>
      </c>
      <c r="G11" s="35" t="s">
        <v>51</v>
      </c>
      <c r="H11" s="97">
        <v>5266</v>
      </c>
      <c r="I11" s="35">
        <v>10807</v>
      </c>
      <c r="J11" s="87">
        <f>I11-H11</f>
        <v>5541</v>
      </c>
      <c r="K11" s="87">
        <f>J11</f>
        <v>5541</v>
      </c>
      <c r="L11" s="35"/>
      <c r="M11" s="35"/>
      <c r="N11" s="35"/>
      <c r="O11" s="35"/>
      <c r="P11" s="35">
        <v>9</v>
      </c>
      <c r="Q11" s="35">
        <v>2020</v>
      </c>
    </row>
    <row r="12" spans="1:17">
      <c r="A12" s="35" t="s">
        <v>52</v>
      </c>
      <c r="B12" s="72">
        <v>11</v>
      </c>
      <c r="C12" s="2">
        <v>44040</v>
      </c>
      <c r="D12" s="86" t="s">
        <v>28</v>
      </c>
      <c r="E12" s="35" t="s">
        <v>24</v>
      </c>
      <c r="F12" s="35" t="s">
        <v>53</v>
      </c>
      <c r="G12" s="35" t="s">
        <v>54</v>
      </c>
      <c r="H12" s="97">
        <v>18683</v>
      </c>
      <c r="I12" s="35">
        <v>34312</v>
      </c>
      <c r="J12" s="87">
        <f>I12-H12</f>
        <v>15629</v>
      </c>
      <c r="K12" s="87">
        <f>J12</f>
        <v>15629</v>
      </c>
      <c r="L12" s="35"/>
      <c r="M12" s="35"/>
      <c r="N12" s="35"/>
      <c r="O12" s="35"/>
      <c r="P12" s="35">
        <v>9</v>
      </c>
      <c r="Q12" s="35">
        <v>2020</v>
      </c>
    </row>
    <row r="13" spans="1:17">
      <c r="A13" s="35" t="s">
        <v>55</v>
      </c>
      <c r="B13" s="72">
        <v>12</v>
      </c>
      <c r="C13" s="90">
        <v>44043</v>
      </c>
      <c r="D13" s="86" t="s">
        <v>23</v>
      </c>
      <c r="E13" s="35" t="s">
        <v>24</v>
      </c>
      <c r="F13" s="35" t="s">
        <v>56</v>
      </c>
      <c r="G13" s="35" t="s">
        <v>57</v>
      </c>
      <c r="H13" s="97">
        <v>3223</v>
      </c>
      <c r="I13" s="35">
        <v>6664</v>
      </c>
      <c r="J13" s="87">
        <f>I13-H13</f>
        <v>3441</v>
      </c>
      <c r="K13" s="87">
        <f>J13</f>
        <v>3441</v>
      </c>
      <c r="L13" s="35"/>
      <c r="M13" s="35"/>
      <c r="N13" s="35"/>
      <c r="O13" s="35"/>
      <c r="P13" s="35">
        <v>9</v>
      </c>
      <c r="Q13" s="35">
        <v>2020</v>
      </c>
    </row>
    <row r="14" spans="1:17">
      <c r="A14" s="35" t="s">
        <v>58</v>
      </c>
      <c r="B14" s="72">
        <v>13</v>
      </c>
      <c r="C14" s="2">
        <v>44041</v>
      </c>
      <c r="D14" s="86" t="s">
        <v>23</v>
      </c>
      <c r="E14" s="35" t="s">
        <v>24</v>
      </c>
      <c r="F14" s="35" t="s">
        <v>59</v>
      </c>
      <c r="G14" s="35" t="s">
        <v>60</v>
      </c>
      <c r="H14" s="97">
        <v>2438</v>
      </c>
      <c r="I14" s="35">
        <v>3797</v>
      </c>
      <c r="J14" s="87">
        <f>I14-H14</f>
        <v>1359</v>
      </c>
      <c r="K14" s="87">
        <f>J14</f>
        <v>1359</v>
      </c>
      <c r="L14" s="35"/>
      <c r="M14" s="35"/>
      <c r="N14" s="35"/>
      <c r="O14" s="35"/>
      <c r="P14" s="35">
        <v>9</v>
      </c>
      <c r="Q14" s="35">
        <v>2020</v>
      </c>
    </row>
    <row r="15" spans="1:17">
      <c r="A15" s="35" t="s">
        <v>61</v>
      </c>
      <c r="B15" s="72">
        <v>14</v>
      </c>
      <c r="C15" s="2">
        <v>44040</v>
      </c>
      <c r="D15" s="86" t="s">
        <v>28</v>
      </c>
      <c r="E15" s="35" t="s">
        <v>24</v>
      </c>
      <c r="F15" s="35" t="s">
        <v>62</v>
      </c>
      <c r="G15" s="35" t="s">
        <v>63</v>
      </c>
      <c r="H15" s="97">
        <v>7932</v>
      </c>
      <c r="I15" s="35">
        <v>15431</v>
      </c>
      <c r="J15" s="87">
        <f>I15-H15</f>
        <v>7499</v>
      </c>
      <c r="K15" s="87">
        <f>J15</f>
        <v>7499</v>
      </c>
      <c r="L15" s="35"/>
      <c r="M15" s="35"/>
      <c r="N15" s="35"/>
      <c r="O15" s="35"/>
      <c r="P15" s="35">
        <v>9</v>
      </c>
      <c r="Q15" s="35">
        <v>2020</v>
      </c>
    </row>
    <row r="16" spans="1:17">
      <c r="A16" s="35" t="s">
        <v>64</v>
      </c>
      <c r="B16" s="72">
        <v>15</v>
      </c>
      <c r="C16" s="90">
        <v>44042</v>
      </c>
      <c r="D16" s="86" t="s">
        <v>28</v>
      </c>
      <c r="E16" s="35" t="s">
        <v>24</v>
      </c>
      <c r="F16" s="35" t="s">
        <v>65</v>
      </c>
      <c r="G16" s="35" t="s">
        <v>66</v>
      </c>
      <c r="H16" s="97">
        <v>5063</v>
      </c>
      <c r="I16" s="35">
        <v>9785</v>
      </c>
      <c r="J16" s="87">
        <f>I16-H16</f>
        <v>4722</v>
      </c>
      <c r="K16" s="87">
        <f>J16</f>
        <v>4722</v>
      </c>
      <c r="L16" s="35"/>
      <c r="M16" s="35"/>
      <c r="N16" s="35"/>
      <c r="O16" s="35"/>
      <c r="P16" s="35">
        <v>9</v>
      </c>
      <c r="Q16" s="35">
        <v>2020</v>
      </c>
    </row>
    <row r="17" spans="1:17">
      <c r="A17" s="35" t="s">
        <v>67</v>
      </c>
      <c r="B17" s="72">
        <v>16</v>
      </c>
      <c r="C17" s="2">
        <v>44046</v>
      </c>
      <c r="D17" s="86" t="s">
        <v>23</v>
      </c>
      <c r="E17" s="35" t="s">
        <v>24</v>
      </c>
      <c r="F17" s="35" t="s">
        <v>68</v>
      </c>
      <c r="G17" s="35" t="s">
        <v>69</v>
      </c>
      <c r="H17" s="97">
        <v>1920</v>
      </c>
      <c r="I17" s="35">
        <v>3493</v>
      </c>
      <c r="J17" s="87">
        <f>I17-H17</f>
        <v>1573</v>
      </c>
      <c r="K17" s="87">
        <f>J17</f>
        <v>1573</v>
      </c>
      <c r="L17" s="35"/>
      <c r="M17" s="35"/>
      <c r="N17" s="35"/>
      <c r="O17" s="35"/>
      <c r="P17" s="35">
        <v>9</v>
      </c>
      <c r="Q17" s="35">
        <v>2020</v>
      </c>
    </row>
    <row r="18" spans="1:17">
      <c r="A18" s="35" t="s">
        <v>70</v>
      </c>
      <c r="B18" s="72">
        <v>17</v>
      </c>
      <c r="C18" s="90">
        <v>44043</v>
      </c>
      <c r="D18" s="86" t="s">
        <v>23</v>
      </c>
      <c r="E18" s="35" t="s">
        <v>24</v>
      </c>
      <c r="F18" s="35" t="s">
        <v>71</v>
      </c>
      <c r="G18" s="35" t="s">
        <v>72</v>
      </c>
      <c r="H18" s="97">
        <v>1477</v>
      </c>
      <c r="I18" s="35">
        <v>2835</v>
      </c>
      <c r="J18" s="87">
        <f>I18-H18</f>
        <v>1358</v>
      </c>
      <c r="K18" s="87">
        <f>J18</f>
        <v>1358</v>
      </c>
      <c r="L18" s="35"/>
      <c r="M18" s="35"/>
      <c r="N18" s="35"/>
      <c r="O18" s="35"/>
      <c r="P18" s="35">
        <v>9</v>
      </c>
      <c r="Q18" s="35">
        <v>2020</v>
      </c>
    </row>
    <row r="19" spans="1:17">
      <c r="A19" s="35" t="s">
        <v>73</v>
      </c>
      <c r="B19" s="72">
        <v>18</v>
      </c>
      <c r="C19" s="90">
        <v>44042</v>
      </c>
      <c r="D19" s="86" t="s">
        <v>23</v>
      </c>
      <c r="E19" s="35" t="s">
        <v>24</v>
      </c>
      <c r="F19" s="35" t="s">
        <v>74</v>
      </c>
      <c r="G19" s="35" t="s">
        <v>75</v>
      </c>
      <c r="H19" s="97">
        <v>3949</v>
      </c>
      <c r="I19" s="35">
        <v>7952</v>
      </c>
      <c r="J19" s="87">
        <f>I19-H19</f>
        <v>4003</v>
      </c>
      <c r="K19" s="87">
        <f>J19</f>
        <v>4003</v>
      </c>
      <c r="L19" s="35"/>
      <c r="M19" s="35"/>
      <c r="N19" s="35"/>
      <c r="O19" s="35"/>
      <c r="P19" s="35">
        <v>9</v>
      </c>
      <c r="Q19" s="35">
        <v>2020</v>
      </c>
    </row>
    <row r="20" spans="1:17">
      <c r="A20" s="35" t="s">
        <v>76</v>
      </c>
      <c r="B20" s="72">
        <v>19</v>
      </c>
      <c r="C20" s="2">
        <v>44040</v>
      </c>
      <c r="D20" s="86" t="s">
        <v>23</v>
      </c>
      <c r="E20" s="35" t="s">
        <v>24</v>
      </c>
      <c r="F20" s="35" t="s">
        <v>77</v>
      </c>
      <c r="G20" s="35" t="s">
        <v>78</v>
      </c>
      <c r="H20" s="97">
        <v>7846</v>
      </c>
      <c r="I20" s="35">
        <v>14680</v>
      </c>
      <c r="J20" s="87">
        <f>I20-H20</f>
        <v>6834</v>
      </c>
      <c r="K20" s="87">
        <f>J20</f>
        <v>6834</v>
      </c>
      <c r="L20" s="35"/>
      <c r="M20" s="35"/>
      <c r="N20" s="35"/>
      <c r="O20" s="35"/>
      <c r="P20" s="35">
        <v>9</v>
      </c>
      <c r="Q20" s="35">
        <v>2020</v>
      </c>
    </row>
    <row r="21" spans="1:17">
      <c r="A21" s="35" t="s">
        <v>79</v>
      </c>
      <c r="B21" s="72">
        <v>20</v>
      </c>
      <c r="C21" s="90">
        <v>44043</v>
      </c>
      <c r="D21" s="86" t="s">
        <v>23</v>
      </c>
      <c r="E21" s="35" t="s">
        <v>24</v>
      </c>
      <c r="F21" s="35" t="s">
        <v>80</v>
      </c>
      <c r="G21" s="35" t="s">
        <v>81</v>
      </c>
      <c r="H21" s="97">
        <v>2772</v>
      </c>
      <c r="I21" s="35">
        <v>6093</v>
      </c>
      <c r="J21" s="87">
        <f>I21-H21</f>
        <v>3321</v>
      </c>
      <c r="K21" s="87">
        <f>J21</f>
        <v>3321</v>
      </c>
      <c r="L21" s="35"/>
      <c r="M21" s="35"/>
      <c r="N21" s="35"/>
      <c r="O21" s="35"/>
      <c r="P21" s="35">
        <v>9</v>
      </c>
      <c r="Q21" s="35">
        <v>2020</v>
      </c>
    </row>
    <row r="22" spans="1:17">
      <c r="A22" s="35" t="s">
        <v>82</v>
      </c>
      <c r="B22" s="72">
        <v>21</v>
      </c>
      <c r="C22" s="90">
        <v>44042</v>
      </c>
      <c r="D22" s="86" t="s">
        <v>23</v>
      </c>
      <c r="E22" s="35" t="s">
        <v>24</v>
      </c>
      <c r="F22" s="35" t="s">
        <v>83</v>
      </c>
      <c r="G22" s="35" t="s">
        <v>84</v>
      </c>
      <c r="H22" s="97">
        <v>2103</v>
      </c>
      <c r="I22" s="35">
        <v>4083</v>
      </c>
      <c r="J22" s="87">
        <f>I22-H22</f>
        <v>1980</v>
      </c>
      <c r="K22" s="87">
        <f>J22</f>
        <v>1980</v>
      </c>
      <c r="L22" s="35"/>
      <c r="M22" s="35"/>
      <c r="N22" s="35"/>
      <c r="O22" s="35"/>
      <c r="P22" s="35">
        <v>9</v>
      </c>
      <c r="Q22" s="35">
        <v>2020</v>
      </c>
    </row>
    <row r="23" spans="1:17">
      <c r="A23" s="35" t="s">
        <v>85</v>
      </c>
      <c r="B23" s="72">
        <v>22</v>
      </c>
      <c r="C23" s="2">
        <v>44040</v>
      </c>
      <c r="D23" s="86" t="s">
        <v>28</v>
      </c>
      <c r="E23" s="35" t="s">
        <v>24</v>
      </c>
      <c r="F23" s="35" t="s">
        <v>86</v>
      </c>
      <c r="G23" s="35" t="s">
        <v>87</v>
      </c>
      <c r="H23" s="97">
        <v>11340</v>
      </c>
      <c r="I23" s="35">
        <v>22389</v>
      </c>
      <c r="J23" s="87">
        <f>I23-H23</f>
        <v>11049</v>
      </c>
      <c r="K23" s="87">
        <f>J23</f>
        <v>11049</v>
      </c>
      <c r="L23" s="35"/>
      <c r="M23" s="35"/>
      <c r="N23" s="35"/>
      <c r="O23" s="35"/>
      <c r="P23" s="35">
        <v>9</v>
      </c>
      <c r="Q23" s="35">
        <v>2020</v>
      </c>
    </row>
    <row r="24" spans="1:17">
      <c r="A24" s="35" t="s">
        <v>88</v>
      </c>
      <c r="B24" s="72">
        <v>23</v>
      </c>
      <c r="C24" s="2">
        <v>44041</v>
      </c>
      <c r="D24" s="86" t="s">
        <v>23</v>
      </c>
      <c r="E24" s="35" t="s">
        <v>24</v>
      </c>
      <c r="F24" s="35" t="s">
        <v>89</v>
      </c>
      <c r="G24" s="108" t="s">
        <v>90</v>
      </c>
      <c r="H24" s="97">
        <v>2302</v>
      </c>
      <c r="I24" s="35">
        <v>4952</v>
      </c>
      <c r="J24" s="87">
        <f>I24-H24</f>
        <v>2650</v>
      </c>
      <c r="K24" s="87">
        <f>J24</f>
        <v>2650</v>
      </c>
      <c r="L24" s="35"/>
      <c r="M24" s="35"/>
      <c r="N24" s="35"/>
      <c r="O24" s="35"/>
      <c r="P24" s="35">
        <v>9</v>
      </c>
      <c r="Q24" s="35">
        <v>2020</v>
      </c>
    </row>
    <row r="25" spans="1:17">
      <c r="A25" s="35" t="s">
        <v>91</v>
      </c>
      <c r="B25" s="72">
        <v>24</v>
      </c>
      <c r="C25" s="90">
        <v>44043</v>
      </c>
      <c r="D25" s="86" t="s">
        <v>23</v>
      </c>
      <c r="E25" s="35" t="s">
        <v>24</v>
      </c>
      <c r="F25" s="35" t="s">
        <v>92</v>
      </c>
      <c r="G25" s="35" t="s">
        <v>93</v>
      </c>
      <c r="H25" s="97">
        <v>617</v>
      </c>
      <c r="I25" s="35">
        <v>2023</v>
      </c>
      <c r="J25" s="87">
        <f>I25-H25</f>
        <v>1406</v>
      </c>
      <c r="K25" s="87">
        <f>J25</f>
        <v>1406</v>
      </c>
      <c r="L25" s="35"/>
      <c r="M25" s="35"/>
      <c r="N25" s="35"/>
      <c r="O25" s="35"/>
      <c r="P25" s="35">
        <v>9</v>
      </c>
      <c r="Q25" s="35">
        <v>2020</v>
      </c>
    </row>
    <row r="26" spans="1:17">
      <c r="A26" s="35" t="s">
        <v>94</v>
      </c>
      <c r="B26" s="72">
        <v>25</v>
      </c>
      <c r="C26" s="2">
        <v>44041</v>
      </c>
      <c r="D26" s="86" t="s">
        <v>23</v>
      </c>
      <c r="E26" s="35" t="s">
        <v>24</v>
      </c>
      <c r="F26" s="35" t="s">
        <v>95</v>
      </c>
      <c r="G26" s="35" t="s">
        <v>96</v>
      </c>
      <c r="H26" s="97">
        <v>846</v>
      </c>
      <c r="I26" s="35">
        <v>1516</v>
      </c>
      <c r="J26" s="87">
        <f>I26-H26</f>
        <v>670</v>
      </c>
      <c r="K26" s="87">
        <f>J26</f>
        <v>670</v>
      </c>
      <c r="L26" s="35"/>
      <c r="M26" s="35"/>
      <c r="N26" s="35"/>
      <c r="O26" s="35"/>
      <c r="P26" s="35">
        <v>9</v>
      </c>
      <c r="Q26" s="35">
        <v>2020</v>
      </c>
    </row>
    <row r="27" spans="1:17">
      <c r="A27" s="35" t="s">
        <v>97</v>
      </c>
      <c r="B27" s="72">
        <v>26</v>
      </c>
      <c r="C27" s="90">
        <v>44043</v>
      </c>
      <c r="D27" s="86" t="s">
        <v>23</v>
      </c>
      <c r="E27" s="35" t="s">
        <v>24</v>
      </c>
      <c r="F27" s="35" t="s">
        <v>98</v>
      </c>
      <c r="G27" s="35" t="s">
        <v>99</v>
      </c>
      <c r="H27" s="97">
        <v>5810</v>
      </c>
      <c r="I27" s="35">
        <v>15180</v>
      </c>
      <c r="J27" s="87">
        <f>I27-H27</f>
        <v>9370</v>
      </c>
      <c r="K27" s="87">
        <f>J27</f>
        <v>9370</v>
      </c>
      <c r="L27" s="35"/>
      <c r="M27" s="35"/>
      <c r="N27" s="35"/>
      <c r="O27" s="35"/>
      <c r="P27" s="35">
        <v>9</v>
      </c>
      <c r="Q27" s="35">
        <v>2020</v>
      </c>
    </row>
    <row r="28" spans="1:17">
      <c r="A28" s="35" t="s">
        <v>100</v>
      </c>
      <c r="B28" s="72">
        <v>27</v>
      </c>
      <c r="C28" s="2">
        <v>44041</v>
      </c>
      <c r="D28" s="86" t="s">
        <v>28</v>
      </c>
      <c r="E28" s="35" t="s">
        <v>24</v>
      </c>
      <c r="F28" s="35" t="s">
        <v>101</v>
      </c>
      <c r="G28" s="35" t="s">
        <v>102</v>
      </c>
      <c r="H28" s="97">
        <v>7783</v>
      </c>
      <c r="I28" s="35">
        <v>13979</v>
      </c>
      <c r="J28" s="87">
        <f>I28-H28</f>
        <v>6196</v>
      </c>
      <c r="K28" s="87">
        <f>J28</f>
        <v>6196</v>
      </c>
      <c r="L28" s="35"/>
      <c r="M28" s="35"/>
      <c r="N28" s="35"/>
      <c r="O28" s="35"/>
      <c r="P28" s="35">
        <v>9</v>
      </c>
      <c r="Q28" s="35">
        <v>2020</v>
      </c>
    </row>
    <row r="29" spans="1:17">
      <c r="A29" s="35" t="s">
        <v>103</v>
      </c>
      <c r="B29" s="72">
        <v>28</v>
      </c>
      <c r="C29" s="2">
        <v>44046</v>
      </c>
      <c r="D29" s="86" t="s">
        <v>28</v>
      </c>
      <c r="E29" s="35" t="s">
        <v>24</v>
      </c>
      <c r="F29" s="35" t="s">
        <v>104</v>
      </c>
      <c r="G29" s="35" t="s">
        <v>105</v>
      </c>
      <c r="H29" s="97">
        <v>7390</v>
      </c>
      <c r="I29" s="35">
        <v>18025</v>
      </c>
      <c r="J29" s="87">
        <f>I29-H29</f>
        <v>10635</v>
      </c>
      <c r="K29" s="87">
        <f>J29</f>
        <v>10635</v>
      </c>
      <c r="L29" s="35"/>
      <c r="M29" s="35"/>
      <c r="N29" s="35"/>
      <c r="O29" s="35"/>
      <c r="P29" s="35">
        <v>9</v>
      </c>
      <c r="Q29" s="35">
        <v>2020</v>
      </c>
    </row>
    <row r="30" spans="1:17">
      <c r="A30" s="35" t="s">
        <v>106</v>
      </c>
      <c r="B30" s="72">
        <v>29</v>
      </c>
      <c r="C30" s="2">
        <v>44040</v>
      </c>
      <c r="D30" s="86" t="s">
        <v>23</v>
      </c>
      <c r="E30" s="35" t="s">
        <v>24</v>
      </c>
      <c r="F30" s="35" t="s">
        <v>107</v>
      </c>
      <c r="G30" s="35" t="s">
        <v>108</v>
      </c>
      <c r="H30" s="97">
        <v>9673</v>
      </c>
      <c r="I30" s="35">
        <v>17755</v>
      </c>
      <c r="J30" s="87">
        <f>I30-H30</f>
        <v>8082</v>
      </c>
      <c r="K30" s="87">
        <f>J30</f>
        <v>8082</v>
      </c>
      <c r="L30" s="35"/>
      <c r="M30" s="35"/>
      <c r="N30" s="35"/>
      <c r="O30" s="35"/>
      <c r="P30" s="35">
        <v>9</v>
      </c>
      <c r="Q30" s="35">
        <v>2020</v>
      </c>
    </row>
    <row r="31" spans="1:17">
      <c r="A31" s="35" t="s">
        <v>109</v>
      </c>
      <c r="B31" s="72">
        <v>30</v>
      </c>
      <c r="C31" s="90">
        <v>44043</v>
      </c>
      <c r="D31" s="86" t="s">
        <v>23</v>
      </c>
      <c r="E31" s="35" t="s">
        <v>24</v>
      </c>
      <c r="F31" s="35" t="s">
        <v>110</v>
      </c>
      <c r="G31" s="35" t="s">
        <v>111</v>
      </c>
      <c r="H31" s="97">
        <v>2250</v>
      </c>
      <c r="I31" s="35">
        <v>6080</v>
      </c>
      <c r="J31" s="87">
        <f>I31-H31</f>
        <v>3830</v>
      </c>
      <c r="K31" s="87">
        <f>J31</f>
        <v>3830</v>
      </c>
      <c r="L31" s="35"/>
      <c r="M31" s="35"/>
      <c r="N31" s="35"/>
      <c r="O31" s="35"/>
      <c r="P31" s="35">
        <v>9</v>
      </c>
      <c r="Q31" s="35">
        <v>2020</v>
      </c>
    </row>
    <row r="32" spans="1:17">
      <c r="A32" s="35" t="s">
        <v>112</v>
      </c>
      <c r="B32" s="72">
        <v>31</v>
      </c>
      <c r="C32" s="90">
        <v>44043</v>
      </c>
      <c r="D32" s="86" t="s">
        <v>23</v>
      </c>
      <c r="E32" s="35" t="s">
        <v>24</v>
      </c>
      <c r="F32" s="35" t="s">
        <v>113</v>
      </c>
      <c r="G32" s="35" t="s">
        <v>114</v>
      </c>
      <c r="H32" s="97">
        <v>2232</v>
      </c>
      <c r="I32" s="35">
        <v>3897</v>
      </c>
      <c r="J32" s="87">
        <f>I32-H32</f>
        <v>1665</v>
      </c>
      <c r="K32" s="87">
        <f>J32</f>
        <v>1665</v>
      </c>
      <c r="L32" s="35"/>
      <c r="M32" s="35"/>
      <c r="N32" s="35"/>
      <c r="O32" s="35"/>
      <c r="P32" s="35">
        <v>9</v>
      </c>
      <c r="Q32" s="35">
        <v>2020</v>
      </c>
    </row>
    <row r="33" spans="1:17">
      <c r="A33" s="35" t="s">
        <v>115</v>
      </c>
      <c r="B33" s="72">
        <v>32</v>
      </c>
      <c r="C33" s="90">
        <v>44043</v>
      </c>
      <c r="D33" s="86" t="s">
        <v>28</v>
      </c>
      <c r="E33" s="35" t="s">
        <v>24</v>
      </c>
      <c r="F33" s="35" t="s">
        <v>116</v>
      </c>
      <c r="G33" s="35" t="s">
        <v>117</v>
      </c>
      <c r="H33" s="97">
        <v>7106</v>
      </c>
      <c r="I33" s="35">
        <v>12896</v>
      </c>
      <c r="J33" s="87">
        <f>I33-H33</f>
        <v>5790</v>
      </c>
      <c r="K33" s="87">
        <f>J33</f>
        <v>5790</v>
      </c>
      <c r="L33" s="35"/>
      <c r="M33" s="35"/>
      <c r="N33" s="35"/>
      <c r="O33" s="35"/>
      <c r="P33" s="35">
        <v>9</v>
      </c>
      <c r="Q33" s="35">
        <v>2020</v>
      </c>
    </row>
    <row r="34" spans="1:17">
      <c r="A34" s="35" t="s">
        <v>118</v>
      </c>
      <c r="B34" s="72">
        <v>33</v>
      </c>
      <c r="C34" s="2">
        <v>44041</v>
      </c>
      <c r="D34" s="86" t="s">
        <v>23</v>
      </c>
      <c r="E34" s="35" t="s">
        <v>24</v>
      </c>
      <c r="F34" s="35" t="s">
        <v>119</v>
      </c>
      <c r="G34" s="35" t="s">
        <v>120</v>
      </c>
      <c r="H34" s="97">
        <v>1861</v>
      </c>
      <c r="I34" s="35">
        <v>3272</v>
      </c>
      <c r="J34" s="87">
        <f>I34-H34</f>
        <v>1411</v>
      </c>
      <c r="K34" s="87">
        <f>J34</f>
        <v>1411</v>
      </c>
      <c r="L34" s="35"/>
      <c r="M34" s="35"/>
      <c r="N34" s="35"/>
      <c r="O34" s="35"/>
      <c r="P34" s="35">
        <v>9</v>
      </c>
      <c r="Q34" s="35">
        <v>2020</v>
      </c>
    </row>
    <row r="35" spans="1:17">
      <c r="A35" s="35" t="s">
        <v>121</v>
      </c>
      <c r="B35" s="72">
        <v>34</v>
      </c>
      <c r="C35" s="2">
        <v>44041</v>
      </c>
      <c r="D35" s="86" t="s">
        <v>28</v>
      </c>
      <c r="E35" s="35" t="s">
        <v>24</v>
      </c>
      <c r="F35" s="35" t="s">
        <v>122</v>
      </c>
      <c r="G35" s="35" t="s">
        <v>123</v>
      </c>
      <c r="H35" s="97">
        <v>18690</v>
      </c>
      <c r="I35" s="35">
        <v>36077</v>
      </c>
      <c r="J35" s="87">
        <f>I35-H35</f>
        <v>17387</v>
      </c>
      <c r="K35" s="87">
        <f>J35</f>
        <v>17387</v>
      </c>
      <c r="L35" s="35"/>
      <c r="M35" s="35"/>
      <c r="N35" s="35"/>
      <c r="O35" s="35"/>
      <c r="P35" s="35">
        <v>9</v>
      </c>
      <c r="Q35" s="35">
        <v>2020</v>
      </c>
    </row>
    <row r="36" spans="1:17">
      <c r="A36" s="35" t="s">
        <v>124</v>
      </c>
      <c r="B36" s="72">
        <v>35</v>
      </c>
      <c r="C36" s="2">
        <v>44046</v>
      </c>
      <c r="D36" s="86" t="s">
        <v>23</v>
      </c>
      <c r="E36" s="35" t="s">
        <v>24</v>
      </c>
      <c r="F36" s="35" t="s">
        <v>125</v>
      </c>
      <c r="G36" s="35" t="s">
        <v>126</v>
      </c>
      <c r="H36" s="97">
        <v>413</v>
      </c>
      <c r="I36" s="35">
        <v>730</v>
      </c>
      <c r="J36" s="87">
        <f>I36-H36</f>
        <v>317</v>
      </c>
      <c r="K36" s="87">
        <f>J36</f>
        <v>317</v>
      </c>
      <c r="L36" s="35"/>
      <c r="M36" s="35"/>
      <c r="N36" s="35"/>
      <c r="O36" s="35"/>
      <c r="P36" s="35">
        <v>9</v>
      </c>
      <c r="Q36" s="35">
        <v>2020</v>
      </c>
    </row>
    <row r="37" spans="1:17">
      <c r="A37" s="35" t="s">
        <v>127</v>
      </c>
      <c r="B37" s="72">
        <v>36</v>
      </c>
      <c r="C37" s="90">
        <v>44042</v>
      </c>
      <c r="D37" s="86" t="s">
        <v>28</v>
      </c>
      <c r="E37" s="35" t="s">
        <v>24</v>
      </c>
      <c r="F37" s="35" t="s">
        <v>128</v>
      </c>
      <c r="G37" s="35" t="s">
        <v>129</v>
      </c>
      <c r="H37" s="97">
        <v>5681</v>
      </c>
      <c r="I37" s="35">
        <v>10562</v>
      </c>
      <c r="J37" s="87">
        <f>I37-H37</f>
        <v>4881</v>
      </c>
      <c r="K37" s="87">
        <f>J37</f>
        <v>4881</v>
      </c>
      <c r="L37" s="35"/>
      <c r="M37" s="35"/>
      <c r="N37" s="35"/>
      <c r="O37" s="35"/>
      <c r="P37" s="35">
        <v>9</v>
      </c>
      <c r="Q37" s="35">
        <v>2020</v>
      </c>
    </row>
    <row r="38" spans="1:17">
      <c r="A38" s="35" t="s">
        <v>130</v>
      </c>
      <c r="B38" s="72">
        <v>37</v>
      </c>
      <c r="C38" s="90">
        <v>44042</v>
      </c>
      <c r="D38" s="86" t="s">
        <v>23</v>
      </c>
      <c r="E38" s="35" t="s">
        <v>24</v>
      </c>
      <c r="F38" s="35" t="s">
        <v>131</v>
      </c>
      <c r="G38" s="35" t="s">
        <v>132</v>
      </c>
      <c r="H38" s="97">
        <v>1551</v>
      </c>
      <c r="I38" s="35">
        <v>4086</v>
      </c>
      <c r="J38" s="87">
        <f>I38-H38</f>
        <v>2535</v>
      </c>
      <c r="K38" s="87">
        <f>J38</f>
        <v>2535</v>
      </c>
      <c r="L38" s="35"/>
      <c r="M38" s="35"/>
      <c r="N38" s="35"/>
      <c r="O38" s="35"/>
      <c r="P38" s="35">
        <v>9</v>
      </c>
      <c r="Q38" s="35">
        <v>2020</v>
      </c>
    </row>
    <row r="39" spans="1:17">
      <c r="A39" s="35" t="s">
        <v>133</v>
      </c>
      <c r="B39" s="72">
        <v>38</v>
      </c>
      <c r="C39" s="2">
        <v>44040</v>
      </c>
      <c r="D39" s="86" t="s">
        <v>28</v>
      </c>
      <c r="E39" s="35" t="s">
        <v>24</v>
      </c>
      <c r="F39" s="35" t="s">
        <v>134</v>
      </c>
      <c r="G39" s="35" t="s">
        <v>135</v>
      </c>
      <c r="H39" s="97">
        <v>14551</v>
      </c>
      <c r="I39" s="35">
        <v>28243</v>
      </c>
      <c r="J39" s="87">
        <f>I39-H39</f>
        <v>13692</v>
      </c>
      <c r="K39" s="87">
        <f>J39</f>
        <v>13692</v>
      </c>
      <c r="L39" s="35"/>
      <c r="M39" s="35"/>
      <c r="N39" s="35"/>
      <c r="O39" s="35"/>
      <c r="P39" s="35">
        <v>9</v>
      </c>
      <c r="Q39" s="35">
        <v>2020</v>
      </c>
    </row>
    <row r="40" spans="1:17">
      <c r="A40" s="35" t="s">
        <v>136</v>
      </c>
      <c r="B40" s="72">
        <v>39</v>
      </c>
      <c r="C40" s="2">
        <v>44041</v>
      </c>
      <c r="D40" s="86" t="s">
        <v>23</v>
      </c>
      <c r="E40" s="35" t="s">
        <v>24</v>
      </c>
      <c r="F40" s="35" t="s">
        <v>137</v>
      </c>
      <c r="G40" s="35" t="s">
        <v>138</v>
      </c>
      <c r="H40" s="97">
        <v>4744</v>
      </c>
      <c r="I40" s="35">
        <v>9254</v>
      </c>
      <c r="J40" s="87">
        <f>I40-H40</f>
        <v>4510</v>
      </c>
      <c r="K40" s="87">
        <f>J40</f>
        <v>4510</v>
      </c>
      <c r="L40" s="35"/>
      <c r="M40" s="35"/>
      <c r="N40" s="35"/>
      <c r="O40" s="35"/>
      <c r="P40" s="35">
        <v>9</v>
      </c>
      <c r="Q40" s="35">
        <v>2020</v>
      </c>
    </row>
    <row r="41" spans="1:17">
      <c r="A41" s="35" t="s">
        <v>139</v>
      </c>
      <c r="B41" s="72">
        <v>40</v>
      </c>
      <c r="C41" s="2">
        <v>44040</v>
      </c>
      <c r="D41" s="86" t="s">
        <v>23</v>
      </c>
      <c r="E41" s="35" t="s">
        <v>24</v>
      </c>
      <c r="F41" s="35" t="s">
        <v>140</v>
      </c>
      <c r="G41" s="35" t="s">
        <v>141</v>
      </c>
      <c r="H41" s="97">
        <v>2287</v>
      </c>
      <c r="I41" s="35">
        <v>4255</v>
      </c>
      <c r="J41" s="87">
        <f>I41-H41</f>
        <v>1968</v>
      </c>
      <c r="K41" s="87">
        <f>J41</f>
        <v>1968</v>
      </c>
      <c r="L41" s="35"/>
      <c r="M41" s="35"/>
      <c r="N41" s="35"/>
      <c r="O41" s="35"/>
      <c r="P41" s="35">
        <v>9</v>
      </c>
      <c r="Q41" s="35">
        <v>2020</v>
      </c>
    </row>
    <row r="42" spans="1:17">
      <c r="A42" s="35" t="s">
        <v>142</v>
      </c>
      <c r="B42" s="72">
        <v>41</v>
      </c>
      <c r="C42" s="2">
        <v>44040</v>
      </c>
      <c r="D42" s="86" t="s">
        <v>28</v>
      </c>
      <c r="E42" s="35" t="s">
        <v>24</v>
      </c>
      <c r="F42" s="35" t="s">
        <v>143</v>
      </c>
      <c r="G42" s="35" t="s">
        <v>144</v>
      </c>
      <c r="H42" s="97">
        <v>6007</v>
      </c>
      <c r="I42" s="35">
        <v>10675</v>
      </c>
      <c r="J42" s="87">
        <f>I42-H42</f>
        <v>4668</v>
      </c>
      <c r="K42" s="87">
        <f>J42</f>
        <v>4668</v>
      </c>
      <c r="L42" s="35"/>
      <c r="M42" s="35"/>
      <c r="N42" s="35"/>
      <c r="O42" s="35"/>
      <c r="P42" s="35">
        <v>9</v>
      </c>
      <c r="Q42" s="35">
        <v>2020</v>
      </c>
    </row>
    <row r="43" spans="1:17">
      <c r="A43" s="35" t="s">
        <v>145</v>
      </c>
      <c r="B43" s="72">
        <v>42</v>
      </c>
      <c r="C43" s="90">
        <v>44043</v>
      </c>
      <c r="D43" s="86" t="s">
        <v>23</v>
      </c>
      <c r="E43" s="35" t="s">
        <v>24</v>
      </c>
      <c r="F43" s="35" t="s">
        <v>146</v>
      </c>
      <c r="G43" s="35" t="s">
        <v>147</v>
      </c>
      <c r="H43" s="97">
        <v>2866</v>
      </c>
      <c r="I43" s="35">
        <v>4978</v>
      </c>
      <c r="J43" s="87">
        <f>I43-H43</f>
        <v>2112</v>
      </c>
      <c r="K43" s="87">
        <f>J43</f>
        <v>2112</v>
      </c>
      <c r="L43" s="35"/>
      <c r="M43" s="35"/>
      <c r="N43" s="35"/>
      <c r="O43" s="35"/>
      <c r="P43" s="35">
        <v>9</v>
      </c>
      <c r="Q43" s="35">
        <v>2020</v>
      </c>
    </row>
    <row r="44" spans="1:17">
      <c r="A44" s="35" t="s">
        <v>148</v>
      </c>
      <c r="B44" s="72">
        <v>43</v>
      </c>
      <c r="C44" s="2">
        <v>44041</v>
      </c>
      <c r="D44" s="88" t="s">
        <v>149</v>
      </c>
      <c r="E44" s="35" t="s">
        <v>150</v>
      </c>
      <c r="F44" s="35" t="s">
        <v>151</v>
      </c>
      <c r="G44" s="35" t="s">
        <v>152</v>
      </c>
      <c r="H44" s="97">
        <v>1539</v>
      </c>
      <c r="I44" s="35">
        <v>2404</v>
      </c>
      <c r="J44" s="87">
        <f>I44-H44</f>
        <v>865</v>
      </c>
      <c r="K44" s="87">
        <f>J44</f>
        <v>865</v>
      </c>
      <c r="L44" s="35"/>
      <c r="M44" s="35"/>
      <c r="N44" s="35"/>
      <c r="O44" s="35"/>
      <c r="P44" s="35">
        <v>9</v>
      </c>
      <c r="Q44" s="35">
        <v>2020</v>
      </c>
    </row>
    <row r="45" spans="1:17">
      <c r="A45" s="35" t="s">
        <v>153</v>
      </c>
      <c r="B45" s="72">
        <v>44</v>
      </c>
      <c r="C45" s="90">
        <v>44043</v>
      </c>
      <c r="D45" s="86" t="s">
        <v>23</v>
      </c>
      <c r="E45" s="35" t="s">
        <v>24</v>
      </c>
      <c r="F45" s="35" t="s">
        <v>154</v>
      </c>
      <c r="G45" s="35" t="s">
        <v>155</v>
      </c>
      <c r="H45" s="97">
        <v>2144</v>
      </c>
      <c r="I45" s="35">
        <v>4334</v>
      </c>
      <c r="J45" s="87">
        <f>I45-H45</f>
        <v>2190</v>
      </c>
      <c r="K45" s="87">
        <f>J45</f>
        <v>2190</v>
      </c>
      <c r="L45" s="35"/>
      <c r="M45" s="35"/>
      <c r="N45" s="35"/>
      <c r="O45" s="35"/>
      <c r="P45" s="35">
        <v>9</v>
      </c>
      <c r="Q45" s="35">
        <v>2020</v>
      </c>
    </row>
    <row r="46" spans="1:17">
      <c r="A46" s="35" t="s">
        <v>156</v>
      </c>
      <c r="B46" s="72">
        <v>45</v>
      </c>
      <c r="C46" s="90">
        <v>44042</v>
      </c>
      <c r="D46" s="88" t="s">
        <v>157</v>
      </c>
      <c r="E46" s="35" t="s">
        <v>150</v>
      </c>
      <c r="F46" s="35" t="s">
        <v>158</v>
      </c>
      <c r="G46" s="35" t="s">
        <v>159</v>
      </c>
      <c r="H46" s="97">
        <v>402</v>
      </c>
      <c r="I46" s="35">
        <v>732</v>
      </c>
      <c r="J46" s="87">
        <f>I46-H46</f>
        <v>330</v>
      </c>
      <c r="K46" s="87">
        <f>J46</f>
        <v>330</v>
      </c>
      <c r="L46" s="35"/>
      <c r="M46" s="97"/>
      <c r="N46" s="35"/>
      <c r="O46" s="35"/>
      <c r="P46" s="35">
        <v>9</v>
      </c>
      <c r="Q46" s="35">
        <v>2020</v>
      </c>
    </row>
    <row r="47" spans="1:17">
      <c r="A47" s="35" t="s">
        <v>160</v>
      </c>
      <c r="B47" s="72">
        <v>46</v>
      </c>
      <c r="C47" s="2">
        <v>44040</v>
      </c>
      <c r="D47" s="86" t="s">
        <v>157</v>
      </c>
      <c r="E47" s="35" t="s">
        <v>150</v>
      </c>
      <c r="F47" s="35" t="s">
        <v>161</v>
      </c>
      <c r="G47" s="35" t="s">
        <v>162</v>
      </c>
      <c r="H47" s="97">
        <v>11923</v>
      </c>
      <c r="I47" s="35">
        <v>25403</v>
      </c>
      <c r="J47" s="87">
        <f>I47-H47</f>
        <v>13480</v>
      </c>
      <c r="K47" s="87">
        <f>J47</f>
        <v>13480</v>
      </c>
      <c r="L47" s="35"/>
      <c r="M47" s="35"/>
      <c r="N47" s="35"/>
      <c r="O47" s="35"/>
      <c r="P47" s="35">
        <v>9</v>
      </c>
      <c r="Q47" s="35">
        <v>2020</v>
      </c>
    </row>
    <row r="48" spans="1:17">
      <c r="A48" s="35" t="s">
        <v>163</v>
      </c>
      <c r="B48" s="72">
        <v>47</v>
      </c>
      <c r="C48" s="2">
        <v>44046</v>
      </c>
      <c r="D48" s="86" t="s">
        <v>164</v>
      </c>
      <c r="E48" s="35" t="s">
        <v>165</v>
      </c>
      <c r="F48" s="35" t="s">
        <v>166</v>
      </c>
      <c r="G48" s="35" t="s">
        <v>167</v>
      </c>
      <c r="H48" s="97">
        <v>1632</v>
      </c>
      <c r="I48" s="35">
        <v>3201</v>
      </c>
      <c r="J48" s="87">
        <v>0</v>
      </c>
      <c r="K48" s="87">
        <f>J48</f>
        <v>0</v>
      </c>
      <c r="L48" s="35"/>
      <c r="M48" s="3">
        <f>I48-H48</f>
        <v>1569</v>
      </c>
      <c r="N48" s="35"/>
      <c r="O48" s="35"/>
      <c r="P48" s="35">
        <v>9</v>
      </c>
      <c r="Q48" s="35">
        <v>2020</v>
      </c>
    </row>
    <row r="49" spans="1:17">
      <c r="A49" s="35" t="s">
        <v>168</v>
      </c>
      <c r="B49" s="72">
        <v>48</v>
      </c>
      <c r="C49" s="90">
        <v>44043</v>
      </c>
      <c r="D49" s="86" t="s">
        <v>23</v>
      </c>
      <c r="E49" s="35" t="s">
        <v>24</v>
      </c>
      <c r="F49" s="35" t="s">
        <v>169</v>
      </c>
      <c r="G49" s="35" t="s">
        <v>170</v>
      </c>
      <c r="H49" s="97">
        <v>485</v>
      </c>
      <c r="I49" s="35">
        <v>1211</v>
      </c>
      <c r="J49" s="87">
        <f>I49-H49</f>
        <v>726</v>
      </c>
      <c r="K49" s="87">
        <f>J49</f>
        <v>726</v>
      </c>
      <c r="L49" s="35"/>
      <c r="M49" s="35"/>
      <c r="N49" s="35"/>
      <c r="O49" s="35"/>
      <c r="P49" s="35">
        <v>9</v>
      </c>
      <c r="Q49" s="35">
        <v>2020</v>
      </c>
    </row>
    <row r="50" spans="1:17">
      <c r="A50" s="35" t="s">
        <v>171</v>
      </c>
      <c r="B50" s="72">
        <v>49</v>
      </c>
      <c r="C50" s="90">
        <v>44042</v>
      </c>
      <c r="D50" s="92" t="s">
        <v>23</v>
      </c>
      <c r="E50" s="35" t="s">
        <v>24</v>
      </c>
      <c r="F50" s="35" t="s">
        <v>172</v>
      </c>
      <c r="G50" s="35" t="s">
        <v>173</v>
      </c>
      <c r="H50" s="97">
        <v>274</v>
      </c>
      <c r="I50" s="35">
        <v>507</v>
      </c>
      <c r="J50" s="87">
        <f>I50-H50</f>
        <v>233</v>
      </c>
      <c r="K50" s="87">
        <f>J50</f>
        <v>233</v>
      </c>
      <c r="L50" s="35"/>
      <c r="M50" s="35"/>
      <c r="N50" s="35"/>
      <c r="O50" s="35"/>
      <c r="P50" s="35">
        <v>9</v>
      </c>
      <c r="Q50" s="35">
        <v>2020</v>
      </c>
    </row>
    <row r="51" spans="1:17">
      <c r="A51" s="35" t="s">
        <v>174</v>
      </c>
      <c r="B51" s="72">
        <v>50</v>
      </c>
      <c r="C51" s="90">
        <v>44064</v>
      </c>
      <c r="D51" s="92" t="s">
        <v>23</v>
      </c>
      <c r="E51" s="35" t="s">
        <v>24</v>
      </c>
      <c r="F51" s="35" t="s">
        <v>175</v>
      </c>
      <c r="G51" s="35" t="s">
        <v>176</v>
      </c>
      <c r="H51" s="97">
        <v>347</v>
      </c>
      <c r="I51" s="35">
        <v>879</v>
      </c>
      <c r="J51" s="87">
        <f>I51-H51</f>
        <v>532</v>
      </c>
      <c r="K51" s="87">
        <f>J51</f>
        <v>532</v>
      </c>
      <c r="L51" s="35"/>
      <c r="M51" s="35"/>
      <c r="N51" s="35"/>
      <c r="O51" s="35"/>
      <c r="P51" s="35">
        <v>9</v>
      </c>
      <c r="Q51" s="35">
        <v>2020</v>
      </c>
    </row>
    <row r="52" spans="1:17">
      <c r="A52" s="35" t="s">
        <v>177</v>
      </c>
      <c r="B52" s="72">
        <v>51</v>
      </c>
      <c r="C52" s="90">
        <v>44064</v>
      </c>
      <c r="D52" s="92" t="s">
        <v>23</v>
      </c>
      <c r="E52" s="35" t="s">
        <v>24</v>
      </c>
      <c r="F52" s="35" t="s">
        <v>178</v>
      </c>
      <c r="G52" s="35" t="s">
        <v>179</v>
      </c>
      <c r="H52" s="97">
        <v>166</v>
      </c>
      <c r="I52" s="35">
        <v>680</v>
      </c>
      <c r="J52" s="87">
        <f>I52-H52</f>
        <v>514</v>
      </c>
      <c r="K52" s="87">
        <f>J52</f>
        <v>514</v>
      </c>
      <c r="L52" s="35"/>
      <c r="M52" s="35"/>
      <c r="N52" s="35"/>
      <c r="O52" s="35"/>
      <c r="P52" s="35">
        <v>9</v>
      </c>
      <c r="Q52" s="35">
        <v>2020</v>
      </c>
    </row>
    <row r="53" spans="1:17">
      <c r="A53" s="35" t="s">
        <v>180</v>
      </c>
      <c r="B53" s="72">
        <v>52</v>
      </c>
      <c r="C53" s="90">
        <v>44074</v>
      </c>
      <c r="D53" s="86" t="s">
        <v>23</v>
      </c>
      <c r="E53" s="35" t="s">
        <v>24</v>
      </c>
      <c r="F53" s="35" t="s">
        <v>181</v>
      </c>
      <c r="G53" s="35" t="s">
        <v>182</v>
      </c>
      <c r="H53" s="97">
        <v>6</v>
      </c>
      <c r="I53" s="35">
        <v>237</v>
      </c>
      <c r="J53" s="87">
        <f>I53-H53</f>
        <v>231</v>
      </c>
      <c r="K53" s="87">
        <f>J53</f>
        <v>231</v>
      </c>
      <c r="L53" s="35"/>
      <c r="M53" s="35"/>
      <c r="N53" s="35"/>
      <c r="O53" s="35"/>
      <c r="P53" s="35">
        <v>9</v>
      </c>
      <c r="Q53" s="35">
        <v>2020</v>
      </c>
    </row>
    <row r="54" spans="1:17">
      <c r="A54" s="35" t="s">
        <v>183</v>
      </c>
      <c r="B54" s="72">
        <v>53</v>
      </c>
      <c r="C54" s="90">
        <v>44074</v>
      </c>
      <c r="D54" s="88" t="s">
        <v>23</v>
      </c>
      <c r="E54" s="35" t="s">
        <v>24</v>
      </c>
      <c r="F54" s="35" t="s">
        <v>184</v>
      </c>
      <c r="G54" s="35" t="s">
        <v>185</v>
      </c>
      <c r="H54" s="97">
        <v>5</v>
      </c>
      <c r="I54" s="35">
        <v>2752</v>
      </c>
      <c r="J54" s="87">
        <f>I54-H54</f>
        <v>2747</v>
      </c>
      <c r="K54" s="87">
        <f>J54</f>
        <v>2747</v>
      </c>
      <c r="L54" s="35"/>
      <c r="M54" s="35"/>
      <c r="N54" s="35"/>
      <c r="O54" s="35"/>
      <c r="P54" s="35">
        <v>9</v>
      </c>
      <c r="Q54" s="35">
        <v>2020</v>
      </c>
    </row>
    <row r="55" spans="1:17">
      <c r="A55" s="35" t="s">
        <v>186</v>
      </c>
      <c r="B55" s="72">
        <v>54</v>
      </c>
      <c r="C55" s="90">
        <v>44074</v>
      </c>
      <c r="D55" s="35" t="s">
        <v>23</v>
      </c>
      <c r="E55" s="35" t="s">
        <v>24</v>
      </c>
      <c r="F55" s="35" t="s">
        <v>187</v>
      </c>
      <c r="G55" s="35" t="s">
        <v>188</v>
      </c>
      <c r="H55" s="97">
        <v>6</v>
      </c>
      <c r="I55" s="35">
        <v>137</v>
      </c>
      <c r="J55" s="87">
        <f>I55-H55</f>
        <v>131</v>
      </c>
      <c r="K55" s="87">
        <f>J55</f>
        <v>131</v>
      </c>
      <c r="L55" s="35"/>
      <c r="M55" s="35"/>
      <c r="N55" s="35"/>
      <c r="O55" s="35"/>
      <c r="P55" s="35">
        <v>9</v>
      </c>
      <c r="Q55" s="35">
        <v>2020</v>
      </c>
    </row>
    <row r="56" spans="1:17">
      <c r="A56" s="35" t="s">
        <v>189</v>
      </c>
      <c r="B56" s="72">
        <v>55</v>
      </c>
      <c r="C56" s="2">
        <v>44046</v>
      </c>
      <c r="D56" s="86" t="s">
        <v>23</v>
      </c>
      <c r="E56" s="35" t="s">
        <v>24</v>
      </c>
      <c r="F56" s="35" t="s">
        <v>190</v>
      </c>
      <c r="G56" s="35" t="s">
        <v>191</v>
      </c>
      <c r="H56" s="97">
        <v>1217</v>
      </c>
      <c r="I56" s="35">
        <v>2389</v>
      </c>
      <c r="J56" s="87">
        <f>I56-H56</f>
        <v>1172</v>
      </c>
      <c r="K56" s="87">
        <f>J56</f>
        <v>1172</v>
      </c>
      <c r="L56" s="35"/>
      <c r="M56" s="35"/>
      <c r="N56" s="35"/>
      <c r="O56" s="35"/>
      <c r="P56" s="35">
        <v>9</v>
      </c>
      <c r="Q56" s="35">
        <v>2020</v>
      </c>
    </row>
    <row r="57" spans="1:17">
      <c r="A57" s="92" t="s">
        <v>192</v>
      </c>
      <c r="B57" s="72">
        <v>56</v>
      </c>
      <c r="C57" s="90">
        <v>44075</v>
      </c>
      <c r="D57" s="86" t="s">
        <v>23</v>
      </c>
      <c r="E57" s="35" t="s">
        <v>24</v>
      </c>
      <c r="F57" s="35" t="s">
        <v>193</v>
      </c>
      <c r="G57" s="35" t="s">
        <v>194</v>
      </c>
      <c r="H57" s="97">
        <v>4110</v>
      </c>
      <c r="I57" s="35">
        <v>8189</v>
      </c>
      <c r="J57" s="87">
        <f>I57-H57</f>
        <v>4079</v>
      </c>
      <c r="K57" s="87">
        <f>J57</f>
        <v>4079</v>
      </c>
      <c r="L57" s="35"/>
      <c r="M57" s="35"/>
      <c r="N57" s="35"/>
      <c r="O57" s="35"/>
      <c r="P57" s="35">
        <v>9</v>
      </c>
      <c r="Q57" s="35">
        <v>2020</v>
      </c>
    </row>
    <row r="58" spans="1:17">
      <c r="A58" s="35" t="s">
        <v>195</v>
      </c>
      <c r="B58" s="72">
        <v>57</v>
      </c>
      <c r="C58" s="90">
        <v>44074</v>
      </c>
      <c r="D58" s="86" t="s">
        <v>23</v>
      </c>
      <c r="E58" s="35" t="s">
        <v>24</v>
      </c>
      <c r="F58" s="35" t="s">
        <v>196</v>
      </c>
      <c r="G58" s="35" t="s">
        <v>197</v>
      </c>
      <c r="H58" s="97">
        <v>6</v>
      </c>
      <c r="I58" s="35">
        <v>369</v>
      </c>
      <c r="J58" s="87">
        <f>I58-H58</f>
        <v>363</v>
      </c>
      <c r="K58" s="87">
        <f>J58</f>
        <v>363</v>
      </c>
      <c r="L58" s="35"/>
      <c r="M58" s="35"/>
      <c r="N58" s="35"/>
      <c r="O58" s="35"/>
      <c r="P58" s="35">
        <v>9</v>
      </c>
      <c r="Q58" s="35">
        <v>2020</v>
      </c>
    </row>
    <row r="59" spans="1:17">
      <c r="A59" s="35" t="s">
        <v>198</v>
      </c>
      <c r="B59" s="72">
        <v>58</v>
      </c>
      <c r="C59" s="90"/>
      <c r="D59" s="92" t="s">
        <v>23</v>
      </c>
      <c r="E59" s="35" t="s">
        <v>24</v>
      </c>
      <c r="F59" s="35" t="s">
        <v>199</v>
      </c>
      <c r="G59" s="35" t="s">
        <v>200</v>
      </c>
      <c r="H59" s="97">
        <v>6</v>
      </c>
      <c r="I59" s="35">
        <v>1178</v>
      </c>
      <c r="J59" s="87">
        <f>I59-H59</f>
        <v>1172</v>
      </c>
      <c r="K59" s="87">
        <f>J59</f>
        <v>1172</v>
      </c>
      <c r="L59" s="35"/>
      <c r="M59" s="35"/>
      <c r="N59" s="35"/>
      <c r="O59" s="35"/>
      <c r="P59" s="35"/>
      <c r="Q59" s="35"/>
    </row>
    <row r="64" spans="1:17" ht="15.75" thickBot="1"/>
    <row r="65" spans="5:11">
      <c r="E65" s="93" t="s">
        <v>201</v>
      </c>
      <c r="F65" s="94" t="s">
        <v>202</v>
      </c>
      <c r="G65" s="94" t="s">
        <v>203</v>
      </c>
      <c r="H65" s="94" t="s">
        <v>204</v>
      </c>
      <c r="I65" s="94" t="s">
        <v>205</v>
      </c>
      <c r="J65" s="95" t="s">
        <v>206</v>
      </c>
      <c r="K65" s="105"/>
    </row>
    <row r="66" spans="5:11">
      <c r="E66" s="96" t="s">
        <v>149</v>
      </c>
      <c r="F66" s="97">
        <f t="shared" ref="F66:F71" si="0">COUNTIF($D$2:$D$63,E66)</f>
        <v>1</v>
      </c>
      <c r="G66" s="98">
        <f>2052*F66</f>
        <v>2052</v>
      </c>
      <c r="H66" s="98">
        <f>1368*F66</f>
        <v>1368</v>
      </c>
      <c r="I66" s="98"/>
      <c r="J66" s="99"/>
      <c r="K66" s="106"/>
    </row>
    <row r="67" spans="5:11">
      <c r="E67" s="96" t="s">
        <v>157</v>
      </c>
      <c r="F67" s="97">
        <f t="shared" si="0"/>
        <v>2</v>
      </c>
      <c r="G67" s="98">
        <f>5290*F67</f>
        <v>10580</v>
      </c>
      <c r="H67" s="98">
        <f>3527*F67</f>
        <v>7054</v>
      </c>
      <c r="I67" s="98"/>
      <c r="J67" s="99"/>
      <c r="K67" s="106"/>
    </row>
    <row r="68" spans="5:11">
      <c r="E68" s="96" t="s">
        <v>23</v>
      </c>
      <c r="F68" s="97">
        <f t="shared" si="0"/>
        <v>40</v>
      </c>
      <c r="G68" s="98">
        <f>3048*F68</f>
        <v>121920</v>
      </c>
      <c r="H68" s="98">
        <f>2032*F68</f>
        <v>81280</v>
      </c>
      <c r="I68" s="98"/>
      <c r="J68" s="99"/>
      <c r="K68" s="106"/>
    </row>
    <row r="69" spans="5:11">
      <c r="E69" s="96" t="s">
        <v>28</v>
      </c>
      <c r="F69" s="97">
        <f t="shared" si="0"/>
        <v>13</v>
      </c>
      <c r="G69" s="98">
        <f>6198*F69</f>
        <v>80574</v>
      </c>
      <c r="H69" s="98">
        <f>4132*F69</f>
        <v>53716</v>
      </c>
      <c r="I69" s="98"/>
      <c r="J69" s="99"/>
      <c r="K69" s="106"/>
    </row>
    <row r="70" spans="5:11">
      <c r="E70" s="96" t="s">
        <v>207</v>
      </c>
      <c r="F70" s="97">
        <f t="shared" si="0"/>
        <v>1</v>
      </c>
      <c r="G70" s="98">
        <f>6780*F70</f>
        <v>6780</v>
      </c>
      <c r="H70" s="98">
        <f>4520*F70</f>
        <v>4520</v>
      </c>
      <c r="I70" s="98">
        <f>6600*F70</f>
        <v>6600</v>
      </c>
      <c r="J70" s="99">
        <f>4400*F70</f>
        <v>4400</v>
      </c>
      <c r="K70" s="106"/>
    </row>
    <row r="71" spans="5:11">
      <c r="E71" s="96" t="s">
        <v>18</v>
      </c>
      <c r="F71" s="97">
        <f t="shared" si="0"/>
        <v>1</v>
      </c>
      <c r="G71" s="98">
        <f>8582*F70</f>
        <v>8582</v>
      </c>
      <c r="H71" s="98">
        <f>5722*F71</f>
        <v>5722</v>
      </c>
      <c r="I71" s="98">
        <f>6600*F71</f>
        <v>6600</v>
      </c>
      <c r="J71" s="99">
        <f>4400*F71</f>
        <v>4400</v>
      </c>
      <c r="K71" s="106"/>
    </row>
    <row r="72" spans="5:11" ht="15.75" thickBot="1">
      <c r="E72" s="100" t="s">
        <v>208</v>
      </c>
      <c r="F72" s="101">
        <f>SUM(F66:F71)</f>
        <v>58</v>
      </c>
      <c r="G72" s="102">
        <f t="shared" ref="G72:H72" si="1">SUM(G66:G71)</f>
        <v>230488</v>
      </c>
      <c r="H72" s="102">
        <f t="shared" si="1"/>
        <v>153660</v>
      </c>
      <c r="I72" s="102">
        <f>SUM(I66:I71)</f>
        <v>13200</v>
      </c>
      <c r="J72" s="103">
        <f>SUM(J66:J71)</f>
        <v>8800</v>
      </c>
      <c r="K72" s="107"/>
    </row>
  </sheetData>
  <autoFilter ref="A1:Q1" xr:uid="{00000000-0009-0000-0000-000000000000}">
    <sortState xmlns:xlrd2="http://schemas.microsoft.com/office/spreadsheetml/2017/richdata2" ref="A2:Q59">
      <sortCondition ref="B1"/>
    </sortState>
  </autoFilter>
  <conditionalFormatting sqref="L2:N2 M3">
    <cfRule type="cellIs" dxfId="4" priority="6" operator="lessThan">
      <formula>0</formula>
    </cfRule>
  </conditionalFormatting>
  <conditionalFormatting sqref="L4:N6 L3 N3">
    <cfRule type="cellIs" dxfId="3" priority="3" operator="lessThan">
      <formula>0</formula>
    </cfRule>
  </conditionalFormatting>
  <conditionalFormatting sqref="H2">
    <cfRule type="cellIs" dxfId="2" priority="2" operator="lessThan">
      <formula>0</formula>
    </cfRule>
  </conditionalFormatting>
  <conditionalFormatting sqref="H3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D15" activeCellId="1" sqref="D13 D15"/>
    </sheetView>
  </sheetViews>
  <sheetFormatPr defaultRowHeight="15"/>
  <cols>
    <col min="1" max="1" width="36.42578125" customWidth="1"/>
    <col min="2" max="2" width="20.140625" customWidth="1"/>
    <col min="3" max="3" width="33" customWidth="1"/>
    <col min="4" max="4" width="30.5703125" customWidth="1"/>
  </cols>
  <sheetData>
    <row r="1" spans="1:4" ht="23.25">
      <c r="A1" s="33" t="s">
        <v>209</v>
      </c>
      <c r="B1" s="33" t="s">
        <v>210</v>
      </c>
    </row>
    <row r="2" spans="1:4" ht="23.25">
      <c r="A2" s="33" t="s">
        <v>211</v>
      </c>
      <c r="B2" s="33" t="s">
        <v>212</v>
      </c>
    </row>
    <row r="3" spans="1:4" ht="23.25">
      <c r="A3" s="33" t="s">
        <v>213</v>
      </c>
      <c r="B3" s="34">
        <v>44044</v>
      </c>
    </row>
    <row r="4" spans="1:4" ht="15.75" thickBot="1"/>
    <row r="5" spans="1:4" ht="15.75" thickBot="1">
      <c r="A5" s="29" t="s">
        <v>201</v>
      </c>
      <c r="B5" s="30" t="s">
        <v>214</v>
      </c>
      <c r="C5" s="30" t="s">
        <v>215</v>
      </c>
      <c r="D5" s="31" t="s">
        <v>216</v>
      </c>
    </row>
    <row r="6" spans="1:4" ht="30">
      <c r="A6" s="7" t="s">
        <v>217</v>
      </c>
      <c r="B6" s="20">
        <v>7.0000000000000007E-2</v>
      </c>
      <c r="C6" s="80">
        <f>SUM(BASE!G72)</f>
        <v>230488</v>
      </c>
      <c r="D6" s="8">
        <f>C6*B6</f>
        <v>16134.160000000002</v>
      </c>
    </row>
    <row r="7" spans="1:4" ht="30">
      <c r="A7" s="5" t="s">
        <v>218</v>
      </c>
      <c r="B7" s="21">
        <v>2.5000000000000001E-2</v>
      </c>
      <c r="C7" s="81">
        <f>SUM(BASE!H72)</f>
        <v>153660</v>
      </c>
      <c r="D7" s="9">
        <f>C7*B7</f>
        <v>3841.5</v>
      </c>
    </row>
    <row r="8" spans="1:4" ht="30">
      <c r="A8" s="23" t="s">
        <v>219</v>
      </c>
      <c r="B8" s="21">
        <v>0.7</v>
      </c>
      <c r="C8" s="81">
        <f>SUM(BASE!I72)</f>
        <v>13200</v>
      </c>
      <c r="D8" s="9">
        <f>C8*B8</f>
        <v>9240</v>
      </c>
    </row>
    <row r="9" spans="1:4" ht="30.75" thickBot="1">
      <c r="A9" s="24" t="s">
        <v>220</v>
      </c>
      <c r="B9" s="22">
        <v>0.25</v>
      </c>
      <c r="C9" s="82">
        <f>SUM(BASE!J72)</f>
        <v>8800</v>
      </c>
      <c r="D9" s="10">
        <f>C9*B9</f>
        <v>2200</v>
      </c>
    </row>
    <row r="11" spans="1:4" ht="15.75" thickBot="1"/>
    <row r="12" spans="1:4" ht="15.75" thickBot="1">
      <c r="A12" s="115" t="s">
        <v>221</v>
      </c>
      <c r="B12" s="116"/>
      <c r="C12" s="117" t="s">
        <v>222</v>
      </c>
      <c r="D12" s="118"/>
    </row>
    <row r="13" spans="1:4">
      <c r="A13" s="16" t="s">
        <v>223</v>
      </c>
      <c r="B13" s="17">
        <f>IF((SUM(BASE!$K2:$K60)+(SUM(BASE!$L2:$L60)*2))&gt;=$C$6,$C$6,(SUM(BASE!$K2:$K60)+(SUM(BASE!$L2:$L60)*2)))</f>
        <v>230488</v>
      </c>
      <c r="C13" s="18" t="s">
        <v>223</v>
      </c>
      <c r="D13" s="17">
        <f>IF((SUM(BASE!$M2:$M58)+(SUM(BASE!$N2:$N64)*2))&gt;=$C$8,$C$8,(SUM(BASE!$M2:$M64)+(SUM(BASE!$N2:$N64)*2)))</f>
        <v>13200</v>
      </c>
    </row>
    <row r="14" spans="1:4">
      <c r="A14" s="6" t="s">
        <v>224</v>
      </c>
      <c r="B14" s="15">
        <f>$D$6</f>
        <v>16134.160000000002</v>
      </c>
      <c r="C14" s="12" t="s">
        <v>224</v>
      </c>
      <c r="D14" s="15">
        <f>$D$8</f>
        <v>9240</v>
      </c>
    </row>
    <row r="15" spans="1:4">
      <c r="A15" s="6" t="s">
        <v>225</v>
      </c>
      <c r="B15" s="14">
        <f>IF((SUM(BASE!$K2:$K60)+(SUM(BASE!$L2:$L60)*2))&gt;$C$6,(SUM(BASE!$K2:$K60)+(SUM(BASE!$L2:$L60)*2))-$C$6,0)</f>
        <v>16890</v>
      </c>
      <c r="C15" s="12" t="s">
        <v>225</v>
      </c>
      <c r="D15" s="14">
        <f>IF((SUM(BASE!$M2:$M64)+(SUM(BASE!$N2:$N64)*2))&gt;$C$8,(SUM(BASE!$M2:$M64)+(SUM(BASE!$N2:$N64)*2))-$C$8,0)</f>
        <v>5577</v>
      </c>
    </row>
    <row r="16" spans="1:4" ht="15.75" thickBot="1">
      <c r="A16" s="6" t="s">
        <v>226</v>
      </c>
      <c r="B16" s="27">
        <f>$B$15*$B$7</f>
        <v>422.25</v>
      </c>
      <c r="C16" s="13" t="s">
        <v>226</v>
      </c>
      <c r="D16" s="32">
        <f>$D$15*$B$9</f>
        <v>1394.25</v>
      </c>
    </row>
    <row r="17" spans="1:10" ht="15.75" thickBot="1">
      <c r="A17" s="119" t="s">
        <v>227</v>
      </c>
      <c r="B17" s="120"/>
      <c r="C17" s="121" t="s">
        <v>228</v>
      </c>
      <c r="D17" s="122"/>
    </row>
    <row r="18" spans="1:10" ht="16.5" thickBot="1">
      <c r="A18" s="123">
        <f>SUM($B$14,$B$16)</f>
        <v>16556.410000000003</v>
      </c>
      <c r="B18" s="124"/>
      <c r="C18" s="125">
        <f>SUM($D$14,$D$16)</f>
        <v>10634.25</v>
      </c>
      <c r="D18" s="124"/>
    </row>
    <row r="19" spans="1:10" ht="16.5" thickBot="1">
      <c r="A19" s="28"/>
      <c r="B19" s="28"/>
      <c r="C19" s="28"/>
      <c r="D19" s="28"/>
    </row>
    <row r="20" spans="1:10" ht="16.5" thickBot="1">
      <c r="A20" s="109" t="s">
        <v>229</v>
      </c>
      <c r="B20" s="110"/>
      <c r="C20" s="111"/>
      <c r="D20" s="112"/>
    </row>
    <row r="21" spans="1:10" ht="16.5" thickBot="1">
      <c r="A21" s="109" t="s">
        <v>230</v>
      </c>
      <c r="B21" s="110"/>
      <c r="C21" s="113"/>
      <c r="D21" s="114"/>
    </row>
    <row r="22" spans="1:10" ht="15.75" thickBot="1">
      <c r="A22" s="1"/>
      <c r="B22" s="1"/>
      <c r="C22" s="1"/>
      <c r="D22" s="1"/>
    </row>
    <row r="23" spans="1:10" ht="28.5" thickBot="1">
      <c r="A23" s="127" t="s">
        <v>231</v>
      </c>
      <c r="B23" s="128"/>
      <c r="C23" s="129">
        <f>SUM(A18:D18)+C21-C20</f>
        <v>27190.660000000003</v>
      </c>
      <c r="D23" s="130"/>
    </row>
    <row r="25" spans="1:10">
      <c r="A25" s="126" t="str">
        <f>IF(B13&lt;C6,"Favor atentar para o correto dimensionamento do recurso de impressão, pois o volume impresso está abaixo da franquia monocromática contratada!","")</f>
        <v/>
      </c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>
      <c r="A26" s="126" t="str">
        <f>IF(D13&lt;C8,"Favor atentar para o correto dimensionamento do recurso de impressão, pois o volume impresso está abaixo da franquia color contratada!","")</f>
        <v/>
      </c>
      <c r="B26" s="126"/>
      <c r="C26" s="126"/>
      <c r="D26" s="126"/>
      <c r="E26" s="126"/>
      <c r="F26" s="126"/>
      <c r="G26" s="126"/>
      <c r="H26" s="126"/>
      <c r="I26" s="126"/>
      <c r="J26" s="126"/>
    </row>
    <row r="27" spans="1:10">
      <c r="A27" s="126" t="str">
        <f>IF(D15&gt;C9,"Favor atentar para o uso do recurso de impressão, pois o volume policromático impresso está acima da volumetria total contratada!","")</f>
        <v/>
      </c>
      <c r="B27" s="126"/>
      <c r="C27" s="126"/>
      <c r="D27" s="126"/>
      <c r="E27" s="126"/>
      <c r="F27" s="126"/>
      <c r="G27" s="126"/>
      <c r="H27" s="126"/>
      <c r="I27" s="126"/>
      <c r="J27" s="126"/>
    </row>
    <row r="28" spans="1:10">
      <c r="A28" s="126" t="str">
        <f>IF(B16&gt;C8,"Favor atentar para o uso do recurso de impressão, pois o volume monocromático impresso está acima da volumetria total contratada!","")</f>
        <v/>
      </c>
      <c r="B28" s="126"/>
      <c r="C28" s="126"/>
      <c r="D28" s="126"/>
      <c r="E28" s="126"/>
      <c r="F28" s="126"/>
      <c r="G28" s="126"/>
      <c r="H28" s="126"/>
      <c r="I28" s="126"/>
      <c r="J28" s="126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workbookViewId="0">
      <selection activeCell="C10" sqref="C10"/>
    </sheetView>
  </sheetViews>
  <sheetFormatPr defaultRowHeight="1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>
      <c r="A1" s="133" t="s">
        <v>232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>
      <c r="A2" s="36" t="s">
        <v>233</v>
      </c>
      <c r="H2" s="37" t="s">
        <v>234</v>
      </c>
      <c r="I2" s="37"/>
      <c r="J2" s="37"/>
      <c r="K2" s="37"/>
      <c r="L2" s="37"/>
      <c r="M2" s="37"/>
      <c r="N2" s="37"/>
      <c r="O2" s="37"/>
    </row>
    <row r="3" spans="1:15">
      <c r="A3" s="134" t="s">
        <v>235</v>
      </c>
      <c r="B3" s="135"/>
      <c r="C3" s="136"/>
      <c r="D3" s="104">
        <f>SUM(BASE!G72)</f>
        <v>230488</v>
      </c>
      <c r="H3" s="37" t="s">
        <v>236</v>
      </c>
      <c r="I3" s="37"/>
      <c r="J3" s="37"/>
      <c r="K3" s="37"/>
      <c r="L3" s="37"/>
      <c r="M3" s="37"/>
      <c r="N3" s="37"/>
      <c r="O3" s="37"/>
    </row>
    <row r="4" spans="1:15">
      <c r="A4" s="137" t="s">
        <v>237</v>
      </c>
      <c r="B4" s="138"/>
      <c r="C4" s="139"/>
      <c r="D4" s="38">
        <v>14640.64</v>
      </c>
      <c r="H4" s="37" t="s">
        <v>238</v>
      </c>
      <c r="I4" s="37"/>
      <c r="J4" s="37"/>
      <c r="K4" s="37"/>
      <c r="L4" s="37"/>
      <c r="M4" s="37"/>
      <c r="N4" s="37"/>
      <c r="O4" s="37"/>
    </row>
    <row r="5" spans="1:15" ht="15.75" thickBot="1">
      <c r="A5" s="140" t="s">
        <v>239</v>
      </c>
      <c r="B5" s="141"/>
      <c r="C5" s="142"/>
      <c r="D5" s="39">
        <v>0.02</v>
      </c>
      <c r="H5" s="37" t="s">
        <v>240</v>
      </c>
      <c r="I5" s="37"/>
      <c r="J5" s="37"/>
      <c r="K5" s="37"/>
      <c r="L5" s="37"/>
      <c r="M5" s="37"/>
      <c r="N5" s="37"/>
      <c r="O5" s="37"/>
    </row>
    <row r="6" spans="1:15" ht="15" customHeight="1">
      <c r="A6" s="40"/>
      <c r="B6" s="41" t="s">
        <v>241</v>
      </c>
      <c r="C6" s="42" t="s">
        <v>242</v>
      </c>
      <c r="D6" s="43" t="s">
        <v>243</v>
      </c>
      <c r="E6" s="43" t="s">
        <v>244</v>
      </c>
      <c r="F6" s="43" t="s">
        <v>245</v>
      </c>
      <c r="H6" s="37" t="s">
        <v>246</v>
      </c>
      <c r="I6" s="37"/>
      <c r="J6" s="37"/>
      <c r="K6" s="37"/>
      <c r="L6" s="37"/>
      <c r="M6" s="37"/>
      <c r="N6" s="37"/>
      <c r="O6" s="37"/>
    </row>
    <row r="7" spans="1:15">
      <c r="A7" s="44" t="s">
        <v>247</v>
      </c>
      <c r="B7" s="73">
        <f>$D$3</f>
        <v>230488</v>
      </c>
      <c r="C7" s="76">
        <v>257702</v>
      </c>
      <c r="D7" s="45">
        <f>$D$4</f>
        <v>14640.64</v>
      </c>
      <c r="E7" s="45">
        <f>IF(C7-B7&lt;0,0,(C7-B7)*$D$5)</f>
        <v>544.28</v>
      </c>
      <c r="F7" s="45">
        <f>E7+D7</f>
        <v>15184.92</v>
      </c>
      <c r="H7" s="37" t="s">
        <v>248</v>
      </c>
      <c r="I7" s="37"/>
      <c r="J7" s="37"/>
      <c r="K7" s="37"/>
      <c r="L7" s="37"/>
      <c r="M7" s="37"/>
      <c r="N7" s="37"/>
      <c r="O7" s="37"/>
    </row>
    <row r="8" spans="1:15">
      <c r="A8" s="44" t="s">
        <v>249</v>
      </c>
      <c r="B8" s="73">
        <f t="shared" ref="B8:B12" si="0">$D$3</f>
        <v>230488</v>
      </c>
      <c r="C8" s="76">
        <f>SUM(CONSOLIDADO!B13,CONSOLIDADO!B15)</f>
        <v>247378</v>
      </c>
      <c r="D8" s="45">
        <f t="shared" ref="D8:D12" si="1">$D$4</f>
        <v>14640.64</v>
      </c>
      <c r="E8" s="45">
        <f t="shared" ref="E8:E12" si="2">IF(C8-B8&lt;0,0,(C8-B8)*$D$5)</f>
        <v>337.8</v>
      </c>
      <c r="F8" s="45">
        <f t="shared" ref="F8:F11" si="3">E8+D8</f>
        <v>14978.439999999999</v>
      </c>
      <c r="H8" s="143" t="s">
        <v>250</v>
      </c>
      <c r="I8" s="143"/>
      <c r="J8" s="143"/>
      <c r="K8" s="143"/>
      <c r="L8" s="143"/>
      <c r="M8" s="143"/>
      <c r="N8" s="143"/>
      <c r="O8" s="143"/>
    </row>
    <row r="9" spans="1:15">
      <c r="A9" s="44" t="s">
        <v>251</v>
      </c>
      <c r="B9" s="73">
        <f t="shared" si="0"/>
        <v>230488</v>
      </c>
      <c r="C9" s="76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>
      <c r="A10" s="44" t="s">
        <v>252</v>
      </c>
      <c r="B10" s="73">
        <f t="shared" si="0"/>
        <v>230488</v>
      </c>
      <c r="C10" s="76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>
      <c r="A11" s="44" t="s">
        <v>253</v>
      </c>
      <c r="B11" s="73">
        <f t="shared" si="0"/>
        <v>230488</v>
      </c>
      <c r="C11" s="76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254</v>
      </c>
      <c r="H11" s="46" t="s">
        <v>255</v>
      </c>
    </row>
    <row r="12" spans="1:15" ht="15.75" thickBot="1">
      <c r="A12" s="47" t="s">
        <v>256</v>
      </c>
      <c r="B12" s="74">
        <f t="shared" si="0"/>
        <v>230488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882.07999999999993</v>
      </c>
      <c r="H12" s="51">
        <f>F12-G12</f>
        <v>13758.56</v>
      </c>
    </row>
    <row r="13" spans="1:15" ht="19.5" thickBot="1">
      <c r="A13" s="52" t="s">
        <v>257</v>
      </c>
      <c r="B13" s="75">
        <f>SUM(B7:B12)</f>
        <v>1382928</v>
      </c>
      <c r="C13" s="77">
        <f>SUM(C7:C12)</f>
        <v>505080</v>
      </c>
      <c r="D13" s="55">
        <f>SUM(D7:D12)</f>
        <v>87843.839999999997</v>
      </c>
      <c r="E13" s="56">
        <f>SUM(E7:E12)</f>
        <v>882.07999999999993</v>
      </c>
      <c r="F13" s="144" t="s">
        <v>258</v>
      </c>
      <c r="G13" s="145"/>
      <c r="H13" s="57">
        <f>SUM(F7:F11)+H12</f>
        <v>87843.839999999997</v>
      </c>
    </row>
    <row r="14" spans="1:15" ht="15.75" thickBot="1">
      <c r="A14" s="131" t="s">
        <v>259</v>
      </c>
      <c r="B14" s="132"/>
      <c r="C14" s="78">
        <f>C13-B13</f>
        <v>-877848</v>
      </c>
      <c r="G14" s="59"/>
    </row>
    <row r="15" spans="1:15" ht="15.75" thickBot="1">
      <c r="C15" s="60">
        <f>IF(C14&lt;0,0,C14*$D$5)</f>
        <v>0</v>
      </c>
    </row>
    <row r="16" spans="1:15" ht="15.75" thickBot="1"/>
    <row r="17" spans="1:10" ht="15.75" thickBot="1">
      <c r="A17" s="53"/>
      <c r="B17" s="61" t="s">
        <v>260</v>
      </c>
      <c r="C17" s="62" t="s">
        <v>261</v>
      </c>
      <c r="F17" s="37" t="s">
        <v>262</v>
      </c>
    </row>
    <row r="18" spans="1:10" ht="15.75" thickBot="1">
      <c r="A18" s="54"/>
      <c r="B18" s="63" t="s">
        <v>263</v>
      </c>
      <c r="C18" s="64" t="s">
        <v>264</v>
      </c>
    </row>
    <row r="19" spans="1:10" ht="15.75" thickBot="1">
      <c r="A19" s="65"/>
      <c r="B19" s="63" t="s">
        <v>265</v>
      </c>
      <c r="C19" s="64" t="s">
        <v>266</v>
      </c>
    </row>
    <row r="20" spans="1:10" ht="15.75" thickBot="1">
      <c r="A20" s="58"/>
      <c r="B20" s="66" t="s">
        <v>267</v>
      </c>
      <c r="C20" s="64" t="s">
        <v>268</v>
      </c>
      <c r="E20" s="67" t="s">
        <v>269</v>
      </c>
    </row>
    <row r="21" spans="1:10" ht="15.75" thickBot="1">
      <c r="A21" s="68"/>
      <c r="B21" s="66" t="s">
        <v>270</v>
      </c>
      <c r="C21" s="64" t="s">
        <v>271</v>
      </c>
      <c r="E21" s="67" t="s">
        <v>272</v>
      </c>
      <c r="F21" s="62"/>
      <c r="G21" s="62"/>
    </row>
    <row r="22" spans="1:10" ht="15.75" thickBot="1">
      <c r="A22" s="69"/>
      <c r="B22" s="66" t="s">
        <v>254</v>
      </c>
      <c r="C22" s="64" t="s">
        <v>273</v>
      </c>
      <c r="E22" s="70" t="s">
        <v>274</v>
      </c>
      <c r="F22" s="64"/>
      <c r="G22" s="64"/>
    </row>
    <row r="23" spans="1:10" ht="15.75" thickBot="1">
      <c r="A23" s="71"/>
      <c r="B23" s="66" t="s">
        <v>255</v>
      </c>
      <c r="C23" s="64" t="s">
        <v>275</v>
      </c>
      <c r="E23" s="62" t="s">
        <v>276</v>
      </c>
      <c r="F23" s="62"/>
      <c r="G23" s="62"/>
      <c r="H23" s="62"/>
      <c r="I23" s="62"/>
      <c r="J23" s="62"/>
    </row>
    <row r="27" spans="1:10">
      <c r="E27" s="59">
        <f>H13/C13</f>
        <v>0.1739206462342599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C11" sqref="C11"/>
    </sheetView>
  </sheetViews>
  <sheetFormatPr defaultRowHeight="1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>
      <c r="A1" s="133" t="s">
        <v>232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>
      <c r="A2" s="36" t="s">
        <v>233</v>
      </c>
      <c r="H2" s="37" t="s">
        <v>234</v>
      </c>
      <c r="I2" s="37"/>
      <c r="J2" s="37"/>
      <c r="K2" s="37"/>
      <c r="L2" s="37"/>
      <c r="M2" s="37"/>
      <c r="N2" s="37"/>
      <c r="O2" s="37"/>
    </row>
    <row r="3" spans="1:15">
      <c r="A3" s="134" t="s">
        <v>235</v>
      </c>
      <c r="B3" s="135"/>
      <c r="C3" s="136"/>
      <c r="D3" s="79">
        <f>SUM(BASE!I72)</f>
        <v>13200</v>
      </c>
      <c r="H3" s="37" t="s">
        <v>236</v>
      </c>
      <c r="I3" s="37"/>
      <c r="J3" s="37"/>
      <c r="K3" s="37"/>
      <c r="L3" s="37"/>
      <c r="M3" s="37"/>
      <c r="N3" s="37"/>
      <c r="O3" s="37"/>
    </row>
    <row r="4" spans="1:15">
      <c r="A4" s="137" t="s">
        <v>237</v>
      </c>
      <c r="B4" s="138"/>
      <c r="C4" s="139"/>
      <c r="D4" s="38">
        <f>SUM(CONSOLIDADO!D8)</f>
        <v>9240</v>
      </c>
      <c r="H4" s="37" t="s">
        <v>238</v>
      </c>
      <c r="I4" s="37"/>
      <c r="J4" s="37"/>
      <c r="K4" s="37"/>
      <c r="L4" s="37"/>
      <c r="M4" s="37"/>
      <c r="N4" s="37"/>
      <c r="O4" s="37"/>
    </row>
    <row r="5" spans="1:15" ht="15.75" thickBot="1">
      <c r="A5" s="140" t="s">
        <v>239</v>
      </c>
      <c r="B5" s="141"/>
      <c r="C5" s="142"/>
      <c r="D5" s="39">
        <f>SUM(CONSOLIDADO!B9)</f>
        <v>0.25</v>
      </c>
      <c r="H5" s="37" t="s">
        <v>240</v>
      </c>
      <c r="I5" s="37"/>
      <c r="J5" s="37"/>
      <c r="K5" s="37"/>
      <c r="L5" s="37"/>
      <c r="M5" s="37"/>
      <c r="N5" s="37"/>
      <c r="O5" s="37"/>
    </row>
    <row r="6" spans="1:15" ht="18" customHeight="1">
      <c r="A6" s="40"/>
      <c r="B6" s="41" t="s">
        <v>277</v>
      </c>
      <c r="C6" s="42" t="s">
        <v>278</v>
      </c>
      <c r="D6" s="43" t="s">
        <v>243</v>
      </c>
      <c r="E6" s="43" t="s">
        <v>244</v>
      </c>
      <c r="F6" s="43" t="s">
        <v>245</v>
      </c>
      <c r="H6" s="37" t="s">
        <v>246</v>
      </c>
      <c r="I6" s="37"/>
      <c r="J6" s="37"/>
      <c r="K6" s="37"/>
      <c r="L6" s="37"/>
      <c r="M6" s="37"/>
      <c r="N6" s="37"/>
      <c r="O6" s="37"/>
    </row>
    <row r="7" spans="1:15">
      <c r="A7" s="44" t="s">
        <v>247</v>
      </c>
      <c r="B7" s="73">
        <f>$D$3</f>
        <v>13200</v>
      </c>
      <c r="C7" s="76">
        <v>14793</v>
      </c>
      <c r="D7" s="45">
        <f>$D$4</f>
        <v>9240</v>
      </c>
      <c r="E7" s="45">
        <f>IF(C7-B7&lt;0,0,(C7-B7)*$D$5)</f>
        <v>398.25</v>
      </c>
      <c r="F7" s="45">
        <f>E7+D7</f>
        <v>9638.25</v>
      </c>
      <c r="H7" s="37" t="s">
        <v>248</v>
      </c>
      <c r="I7" s="37"/>
      <c r="J7" s="37"/>
      <c r="K7" s="37"/>
      <c r="L7" s="37"/>
      <c r="M7" s="37"/>
      <c r="N7" s="37"/>
      <c r="O7" s="37"/>
    </row>
    <row r="8" spans="1:15">
      <c r="A8" s="44" t="s">
        <v>249</v>
      </c>
      <c r="B8" s="73">
        <f t="shared" ref="B8:B12" si="0">$D$3</f>
        <v>13200</v>
      </c>
      <c r="C8" s="76">
        <f>SUM(CONSOLIDADO!D13,CONSOLIDADO!D15)</f>
        <v>18777</v>
      </c>
      <c r="D8" s="45">
        <f t="shared" ref="D8:D12" si="1">$D$4</f>
        <v>9240</v>
      </c>
      <c r="E8" s="45">
        <f t="shared" ref="E8:E12" si="2">IF(C8-B8&lt;0,0,(C8-B8)*$D$5)</f>
        <v>1394.25</v>
      </c>
      <c r="F8" s="45">
        <f t="shared" ref="F8:F11" si="3">E8+D8</f>
        <v>10634.25</v>
      </c>
      <c r="H8" s="143" t="s">
        <v>250</v>
      </c>
      <c r="I8" s="143"/>
      <c r="J8" s="143"/>
      <c r="K8" s="143"/>
      <c r="L8" s="143"/>
      <c r="M8" s="143"/>
      <c r="N8" s="143"/>
      <c r="O8" s="143"/>
    </row>
    <row r="9" spans="1:15">
      <c r="A9" s="44" t="s">
        <v>251</v>
      </c>
      <c r="B9" s="73">
        <f t="shared" si="0"/>
        <v>13200</v>
      </c>
      <c r="C9" s="76"/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>
      <c r="A10" s="44" t="s">
        <v>252</v>
      </c>
      <c r="B10" s="73">
        <f t="shared" si="0"/>
        <v>13200</v>
      </c>
      <c r="C10" s="76"/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>
      <c r="A11" s="44" t="s">
        <v>253</v>
      </c>
      <c r="B11" s="73">
        <f t="shared" si="0"/>
        <v>13200</v>
      </c>
      <c r="C11" s="76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254</v>
      </c>
      <c r="H11" s="46" t="s">
        <v>255</v>
      </c>
    </row>
    <row r="12" spans="1:15" ht="15.75" thickBot="1">
      <c r="A12" s="47" t="s">
        <v>256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1792.5</v>
      </c>
      <c r="H12" s="51">
        <f>F12-G12</f>
        <v>7447.5</v>
      </c>
    </row>
    <row r="13" spans="1:15" ht="19.5" thickBot="1">
      <c r="A13" s="52" t="s">
        <v>257</v>
      </c>
      <c r="B13" s="75">
        <f>SUM(B7:B12)</f>
        <v>79200</v>
      </c>
      <c r="C13" s="77">
        <f>SUM(C7:C12)</f>
        <v>33570</v>
      </c>
      <c r="D13" s="55">
        <f>SUM(D7:D12)</f>
        <v>55440</v>
      </c>
      <c r="E13" s="56">
        <f>SUM(E7:E12)</f>
        <v>1792.5</v>
      </c>
      <c r="F13" s="144" t="s">
        <v>258</v>
      </c>
      <c r="G13" s="145"/>
      <c r="H13" s="57">
        <f>SUM(F7:F11)+H12</f>
        <v>55440</v>
      </c>
    </row>
    <row r="14" spans="1:15" ht="15.75" thickBot="1">
      <c r="A14" s="131" t="s">
        <v>259</v>
      </c>
      <c r="B14" s="132"/>
      <c r="C14" s="78">
        <f>C13-B13</f>
        <v>-45630</v>
      </c>
      <c r="G14" s="59"/>
    </row>
    <row r="15" spans="1:15" ht="15.75" thickBot="1">
      <c r="C15" s="60">
        <f>IF(C14&lt;0,0,C14*$D$5)</f>
        <v>0</v>
      </c>
    </row>
    <row r="16" spans="1:15" ht="15.75" thickBot="1"/>
    <row r="17" spans="1:10" ht="15.75" thickBot="1">
      <c r="A17" s="53"/>
      <c r="B17" s="61" t="s">
        <v>260</v>
      </c>
      <c r="C17" s="62" t="s">
        <v>261</v>
      </c>
      <c r="F17" s="37" t="s">
        <v>262</v>
      </c>
    </row>
    <row r="18" spans="1:10" ht="15.75" thickBot="1">
      <c r="A18" s="54"/>
      <c r="B18" s="63" t="s">
        <v>263</v>
      </c>
      <c r="C18" s="64" t="s">
        <v>264</v>
      </c>
    </row>
    <row r="19" spans="1:10" ht="15.75" thickBot="1">
      <c r="A19" s="65"/>
      <c r="B19" s="63" t="s">
        <v>265</v>
      </c>
      <c r="C19" s="64" t="s">
        <v>266</v>
      </c>
    </row>
    <row r="20" spans="1:10" ht="15.75" thickBot="1">
      <c r="A20" s="58"/>
      <c r="B20" s="66" t="s">
        <v>267</v>
      </c>
      <c r="C20" s="64" t="s">
        <v>268</v>
      </c>
      <c r="E20" s="67" t="s">
        <v>269</v>
      </c>
    </row>
    <row r="21" spans="1:10" ht="15.75" thickBot="1">
      <c r="A21" s="68"/>
      <c r="B21" s="66" t="s">
        <v>270</v>
      </c>
      <c r="C21" s="64" t="s">
        <v>271</v>
      </c>
      <c r="E21" s="67" t="s">
        <v>272</v>
      </c>
      <c r="F21" s="62"/>
      <c r="G21" s="62"/>
    </row>
    <row r="22" spans="1:10" ht="15.75" thickBot="1">
      <c r="A22" s="69"/>
      <c r="B22" s="66" t="s">
        <v>254</v>
      </c>
      <c r="C22" s="64" t="s">
        <v>273</v>
      </c>
      <c r="E22" s="70" t="s">
        <v>274</v>
      </c>
      <c r="F22" s="64"/>
      <c r="G22" s="64"/>
    </row>
    <row r="23" spans="1:10" ht="15.75" thickBot="1">
      <c r="A23" s="71"/>
      <c r="B23" s="66" t="s">
        <v>255</v>
      </c>
      <c r="C23" s="64" t="s">
        <v>275</v>
      </c>
      <c r="E23" s="62" t="s">
        <v>276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45640-7C85-4954-9A4D-576C88A82A0C}"/>
</file>

<file path=customXml/itemProps2.xml><?xml version="1.0" encoding="utf-8"?>
<ds:datastoreItem xmlns:ds="http://schemas.openxmlformats.org/officeDocument/2006/customXml" ds:itemID="{41C45C41-E8DF-422B-B7D8-A7ACB502A8B9}"/>
</file>

<file path=customXml/itemProps3.xml><?xml version="1.0" encoding="utf-8"?>
<ds:datastoreItem xmlns:ds="http://schemas.openxmlformats.org/officeDocument/2006/customXml" ds:itemID="{D15BD394-332D-4C3D-98FC-C5BC288213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EBSERH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2021-06-08T22:13:51Z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