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bserhnet-my.sharepoint.com/personal/christian_pacheco_ebserh_gov_br/Documents/Licitação e contratos/Meus contratos/Impressoras - WA/Impressoes/2023/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8" l="1"/>
  <c r="C12" i="7"/>
  <c r="D7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B15" i="5" l="1"/>
  <c r="M2" i="4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D15" i="5"/>
  <c r="B8" i="8"/>
  <c r="B9" i="8"/>
  <c r="B12" i="8"/>
  <c r="B11" i="8"/>
  <c r="B7" i="8"/>
  <c r="E10" i="8" l="1"/>
  <c r="E11" i="8"/>
  <c r="E9" i="8"/>
  <c r="E12" i="8"/>
  <c r="E8" i="8"/>
  <c r="B13" i="8"/>
  <c r="C13" i="8" l="1"/>
  <c r="C14" i="8" s="1"/>
  <c r="C15" i="8" s="1"/>
  <c r="E7" i="8"/>
  <c r="E13" i="8" l="1"/>
  <c r="G12" i="8" s="1"/>
  <c r="B13" i="5" l="1"/>
  <c r="D12" i="7"/>
  <c r="B12" i="7"/>
  <c r="D11" i="7"/>
  <c r="B11" i="7"/>
  <c r="D10" i="7"/>
  <c r="B10" i="7"/>
  <c r="D9" i="7"/>
  <c r="B9" i="7"/>
  <c r="D8" i="7"/>
  <c r="B8" i="7"/>
  <c r="B7" i="7"/>
  <c r="A26" i="5" l="1"/>
  <c r="E9" i="7"/>
  <c r="F9" i="7" s="1"/>
  <c r="E11" i="7"/>
  <c r="F11" i="7" s="1"/>
  <c r="E10" i="7"/>
  <c r="F10" i="7" s="1"/>
  <c r="D13" i="7"/>
  <c r="E12" i="7"/>
  <c r="F12" i="7" s="1"/>
  <c r="E7" i="7"/>
  <c r="F7" i="7" s="1"/>
  <c r="B13" i="7"/>
  <c r="C13" i="7" l="1"/>
  <c r="C14" i="7" s="1"/>
  <c r="C15" i="7" s="1"/>
  <c r="E8" i="7"/>
  <c r="E13" i="7" s="1"/>
  <c r="G12" i="7" l="1"/>
  <c r="H12" i="7" s="1"/>
  <c r="H13" i="7" s="1"/>
  <c r="F8" i="7"/>
  <c r="A25" i="5"/>
  <c r="D6" i="5"/>
  <c r="B14" i="5" s="1"/>
  <c r="D16" i="5"/>
  <c r="B16" i="5"/>
  <c r="A28" i="5" s="1"/>
  <c r="D9" i="5"/>
  <c r="D7" i="5"/>
  <c r="D8" i="5"/>
  <c r="E27" i="7" l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<sst xmlns="http://schemas.openxmlformats.org/spreadsheetml/2006/main" count="493" uniqueCount="308">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</sst>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J5" sqref="J5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152954</v>
      </c>
      <c r="I2" s="35">
        <v>155132</v>
      </c>
      <c r="J2" s="86">
        <v>0</v>
      </c>
      <c r="K2" s="86">
        <f t="shared" ref="K2:K33" si="0">J2</f>
        <v>0</v>
      </c>
      <c r="L2" s="3"/>
      <c r="M2" s="3">
        <f>I2-H2</f>
        <v>2178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28960</v>
      </c>
      <c r="I3" s="35">
        <v>30247</v>
      </c>
      <c r="J3" s="86">
        <f t="shared" ref="J3:J34" si="1">I3-H3</f>
        <v>1287</v>
      </c>
      <c r="K3" s="86">
        <f t="shared" si="0"/>
        <v>1287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305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64924</v>
      </c>
      <c r="I4" s="35">
        <v>68007</v>
      </c>
      <c r="J4" s="86">
        <f t="shared" si="1"/>
        <v>3083</v>
      </c>
      <c r="K4" s="86">
        <f t="shared" si="0"/>
        <v>3083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114646</v>
      </c>
      <c r="I5" s="35">
        <v>117677</v>
      </c>
      <c r="J5" s="86">
        <f t="shared" si="1"/>
        <v>3031</v>
      </c>
      <c r="K5" s="86">
        <f t="shared" si="0"/>
        <v>3031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24559</v>
      </c>
      <c r="I6" s="35">
        <v>25043</v>
      </c>
      <c r="J6" s="86">
        <f t="shared" si="1"/>
        <v>484</v>
      </c>
      <c r="K6" s="86">
        <f t="shared" si="0"/>
        <v>484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95050</v>
      </c>
      <c r="I7" s="35">
        <v>96118</v>
      </c>
      <c r="J7" s="86">
        <f t="shared" si="1"/>
        <v>1068</v>
      </c>
      <c r="K7" s="86">
        <f t="shared" si="0"/>
        <v>1068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32983</v>
      </c>
      <c r="I8" s="35">
        <v>34265</v>
      </c>
      <c r="J8" s="86">
        <f t="shared" si="1"/>
        <v>1282</v>
      </c>
      <c r="K8" s="86">
        <f t="shared" si="0"/>
        <v>1282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661390</v>
      </c>
      <c r="I9" s="35">
        <v>680502</v>
      </c>
      <c r="J9" s="86">
        <f t="shared" si="1"/>
        <v>19112</v>
      </c>
      <c r="K9" s="86">
        <f t="shared" si="0"/>
        <v>19112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306</v>
      </c>
      <c r="H10" s="35">
        <v>24728</v>
      </c>
      <c r="I10" s="35">
        <v>24974</v>
      </c>
      <c r="J10" s="86">
        <f t="shared" si="1"/>
        <v>246</v>
      </c>
      <c r="K10" s="86">
        <f t="shared" si="0"/>
        <v>246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120805</v>
      </c>
      <c r="I11" s="35">
        <v>123203</v>
      </c>
      <c r="J11" s="86">
        <f t="shared" si="1"/>
        <v>2398</v>
      </c>
      <c r="K11" s="86">
        <f t="shared" si="0"/>
        <v>2398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45065</v>
      </c>
      <c r="I12" s="35">
        <v>45486</v>
      </c>
      <c r="J12" s="86">
        <f t="shared" si="1"/>
        <v>421</v>
      </c>
      <c r="K12" s="86">
        <f t="shared" si="0"/>
        <v>421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427975</v>
      </c>
      <c r="I13" s="35">
        <v>433608</v>
      </c>
      <c r="J13" s="86">
        <f t="shared" si="1"/>
        <v>5633</v>
      </c>
      <c r="K13" s="86">
        <f t="shared" si="0"/>
        <v>5633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8551</v>
      </c>
      <c r="I14" s="35">
        <v>8657</v>
      </c>
      <c r="J14" s="86">
        <f t="shared" si="1"/>
        <v>106</v>
      </c>
      <c r="K14" s="86">
        <f t="shared" si="0"/>
        <v>106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82425</v>
      </c>
      <c r="I15" s="35">
        <v>84246</v>
      </c>
      <c r="J15" s="86">
        <f t="shared" si="1"/>
        <v>1821</v>
      </c>
      <c r="K15" s="86">
        <f t="shared" si="0"/>
        <v>1821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61166</v>
      </c>
      <c r="I16" s="35">
        <v>62607</v>
      </c>
      <c r="J16" s="86">
        <f t="shared" si="1"/>
        <v>1441</v>
      </c>
      <c r="K16" s="86">
        <f t="shared" si="0"/>
        <v>1441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226613</v>
      </c>
      <c r="I17" s="35">
        <v>234210</v>
      </c>
      <c r="J17" s="86">
        <f t="shared" si="1"/>
        <v>7597</v>
      </c>
      <c r="K17" s="86">
        <f t="shared" si="0"/>
        <v>7597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307</v>
      </c>
      <c r="H18" s="35">
        <v>59436</v>
      </c>
      <c r="I18" s="35">
        <v>60297</v>
      </c>
      <c r="J18" s="86">
        <f t="shared" si="1"/>
        <v>861</v>
      </c>
      <c r="K18" s="86">
        <f t="shared" si="0"/>
        <v>861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88043</v>
      </c>
      <c r="I19" s="35">
        <v>90067</v>
      </c>
      <c r="J19" s="86">
        <f t="shared" si="1"/>
        <v>2024</v>
      </c>
      <c r="K19" s="86">
        <f t="shared" si="0"/>
        <v>2024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357636</v>
      </c>
      <c r="I20" s="35">
        <v>377410</v>
      </c>
      <c r="J20" s="86">
        <f t="shared" si="1"/>
        <v>19774</v>
      </c>
      <c r="K20" s="86">
        <f t="shared" si="0"/>
        <v>19774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42538</v>
      </c>
      <c r="I21" s="35">
        <v>43686</v>
      </c>
      <c r="J21" s="86">
        <f t="shared" si="1"/>
        <v>1148</v>
      </c>
      <c r="K21" s="86">
        <f t="shared" si="0"/>
        <v>1148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525074</v>
      </c>
      <c r="I22" s="35">
        <v>542764</v>
      </c>
      <c r="J22" s="86">
        <f t="shared" si="1"/>
        <v>17690</v>
      </c>
      <c r="K22" s="86">
        <f t="shared" si="0"/>
        <v>17690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420945</v>
      </c>
      <c r="I23" s="35">
        <v>431975</v>
      </c>
      <c r="J23" s="86">
        <f t="shared" si="1"/>
        <v>11030</v>
      </c>
      <c r="K23" s="86">
        <f t="shared" si="0"/>
        <v>11030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149826</v>
      </c>
      <c r="I24" s="35">
        <v>156927</v>
      </c>
      <c r="J24" s="86">
        <f t="shared" si="1"/>
        <v>7101</v>
      </c>
      <c r="K24" s="86">
        <f t="shared" si="0"/>
        <v>7101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108918</v>
      </c>
      <c r="I25" s="35">
        <v>112112</v>
      </c>
      <c r="J25" s="86">
        <f t="shared" si="1"/>
        <v>3194</v>
      </c>
      <c r="K25" s="86">
        <f t="shared" si="0"/>
        <v>3194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64231</v>
      </c>
      <c r="I26" s="35">
        <v>66270</v>
      </c>
      <c r="J26" s="86">
        <f t="shared" si="1"/>
        <v>2039</v>
      </c>
      <c r="K26" s="86">
        <f t="shared" si="0"/>
        <v>2039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190676</v>
      </c>
      <c r="I27" s="35">
        <v>198085</v>
      </c>
      <c r="J27" s="86">
        <f t="shared" si="1"/>
        <v>7409</v>
      </c>
      <c r="K27" s="86">
        <f t="shared" si="0"/>
        <v>7409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125795</v>
      </c>
      <c r="I28" s="35">
        <v>129968</v>
      </c>
      <c r="J28" s="86">
        <f t="shared" si="1"/>
        <v>4173</v>
      </c>
      <c r="K28" s="86">
        <f t="shared" si="0"/>
        <v>4173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94668</v>
      </c>
      <c r="I29" s="35">
        <v>97843</v>
      </c>
      <c r="J29" s="86">
        <f t="shared" si="1"/>
        <v>3175</v>
      </c>
      <c r="K29" s="86">
        <f t="shared" si="0"/>
        <v>3175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226243</v>
      </c>
      <c r="I30" s="35">
        <v>233088</v>
      </c>
      <c r="J30" s="86">
        <f t="shared" si="1"/>
        <v>6845</v>
      </c>
      <c r="K30" s="86">
        <f t="shared" si="0"/>
        <v>6845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321445</v>
      </c>
      <c r="I31" s="35">
        <v>332971</v>
      </c>
      <c r="J31" s="86">
        <f t="shared" si="1"/>
        <v>11526</v>
      </c>
      <c r="K31" s="86">
        <f t="shared" si="0"/>
        <v>11526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297865</v>
      </c>
      <c r="I32" s="35">
        <v>305981</v>
      </c>
      <c r="J32" s="86">
        <f t="shared" si="1"/>
        <v>8116</v>
      </c>
      <c r="K32" s="86">
        <f t="shared" si="0"/>
        <v>8116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253728</v>
      </c>
      <c r="I33" s="35">
        <v>262759</v>
      </c>
      <c r="J33" s="86">
        <f t="shared" si="1"/>
        <v>9031</v>
      </c>
      <c r="K33" s="86">
        <f t="shared" si="0"/>
        <v>9031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63831</v>
      </c>
      <c r="I34" s="35">
        <v>65203</v>
      </c>
      <c r="J34" s="86">
        <f t="shared" si="1"/>
        <v>1372</v>
      </c>
      <c r="K34" s="86">
        <f t="shared" ref="K34:K65" si="2">J34</f>
        <v>1372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212366</v>
      </c>
      <c r="I35" s="35">
        <v>220476</v>
      </c>
      <c r="J35" s="86">
        <f t="shared" ref="J35:J66" si="3">I35-H35</f>
        <v>8110</v>
      </c>
      <c r="K35" s="86">
        <f t="shared" si="2"/>
        <v>8110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11976</v>
      </c>
      <c r="I36" s="35">
        <v>12619</v>
      </c>
      <c r="J36" s="86">
        <f t="shared" si="3"/>
        <v>643</v>
      </c>
      <c r="K36" s="86">
        <f t="shared" si="2"/>
        <v>643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211402</v>
      </c>
      <c r="I37" s="35">
        <v>214880</v>
      </c>
      <c r="J37" s="86">
        <f t="shared" si="3"/>
        <v>3478</v>
      </c>
      <c r="K37" s="86">
        <f t="shared" si="2"/>
        <v>3478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331162</v>
      </c>
      <c r="I38" s="35">
        <v>340538</v>
      </c>
      <c r="J38" s="86">
        <f t="shared" si="3"/>
        <v>9376</v>
      </c>
      <c r="K38" s="86">
        <f t="shared" si="2"/>
        <v>9376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53326</v>
      </c>
      <c r="I39" s="35">
        <v>56704</v>
      </c>
      <c r="J39" s="86">
        <f t="shared" si="3"/>
        <v>3378</v>
      </c>
      <c r="K39" s="86">
        <f t="shared" si="2"/>
        <v>3378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496082</v>
      </c>
      <c r="I40" s="35">
        <v>498930</v>
      </c>
      <c r="J40" s="86">
        <f t="shared" si="3"/>
        <v>2848</v>
      </c>
      <c r="K40" s="86">
        <f t="shared" si="2"/>
        <v>2848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86744</v>
      </c>
      <c r="I41" s="35">
        <v>89181</v>
      </c>
      <c r="J41" s="86">
        <f t="shared" si="3"/>
        <v>2437</v>
      </c>
      <c r="K41" s="86">
        <f t="shared" si="2"/>
        <v>2437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17467</v>
      </c>
      <c r="I42" s="35">
        <v>17628</v>
      </c>
      <c r="J42" s="86">
        <f t="shared" si="3"/>
        <v>161</v>
      </c>
      <c r="K42" s="86">
        <f t="shared" si="2"/>
        <v>161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32817</v>
      </c>
      <c r="I43" s="35">
        <v>34354</v>
      </c>
      <c r="J43" s="86">
        <f t="shared" si="3"/>
        <v>1537</v>
      </c>
      <c r="K43" s="86">
        <f t="shared" si="2"/>
        <v>1537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37975</v>
      </c>
      <c r="I44" s="35">
        <v>38110</v>
      </c>
      <c r="J44" s="86">
        <f t="shared" si="3"/>
        <v>135</v>
      </c>
      <c r="K44" s="86">
        <f t="shared" si="2"/>
        <v>135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101702</v>
      </c>
      <c r="I45" s="35">
        <v>105707</v>
      </c>
      <c r="J45" s="86">
        <f t="shared" si="3"/>
        <v>4005</v>
      </c>
      <c r="K45" s="86">
        <f t="shared" si="2"/>
        <v>4005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87966</v>
      </c>
      <c r="I46" s="35">
        <v>88072</v>
      </c>
      <c r="J46" s="86">
        <f t="shared" si="3"/>
        <v>106</v>
      </c>
      <c r="K46" s="86">
        <f t="shared" si="2"/>
        <v>106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338832</v>
      </c>
      <c r="I47" s="35">
        <v>351881</v>
      </c>
      <c r="J47" s="86">
        <f t="shared" si="3"/>
        <v>13049</v>
      </c>
      <c r="K47" s="86">
        <f t="shared" si="2"/>
        <v>13049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420580</v>
      </c>
      <c r="I48" s="35">
        <v>434119</v>
      </c>
      <c r="J48" s="86">
        <f t="shared" si="3"/>
        <v>13539</v>
      </c>
      <c r="K48" s="86">
        <f t="shared" si="2"/>
        <v>13539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22722</v>
      </c>
      <c r="I49" s="35">
        <v>23392</v>
      </c>
      <c r="J49" s="86">
        <f t="shared" si="3"/>
        <v>670</v>
      </c>
      <c r="K49" s="86">
        <f t="shared" si="2"/>
        <v>670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457352</v>
      </c>
      <c r="I50" s="35">
        <v>471739</v>
      </c>
      <c r="J50" s="86">
        <f t="shared" si="3"/>
        <v>14387</v>
      </c>
      <c r="K50" s="86">
        <f t="shared" si="2"/>
        <v>14387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47036</v>
      </c>
      <c r="I51" s="35">
        <v>48517</v>
      </c>
      <c r="J51" s="86">
        <f t="shared" si="3"/>
        <v>1481</v>
      </c>
      <c r="K51" s="86">
        <f t="shared" si="2"/>
        <v>1481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48912</v>
      </c>
      <c r="I52" s="35">
        <v>50614</v>
      </c>
      <c r="J52" s="86">
        <f t="shared" si="3"/>
        <v>1702</v>
      </c>
      <c r="K52" s="86">
        <f t="shared" si="2"/>
        <v>1702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135159</v>
      </c>
      <c r="I53" s="35">
        <v>139908</v>
      </c>
      <c r="J53" s="86">
        <f t="shared" si="3"/>
        <v>4749</v>
      </c>
      <c r="K53" s="86">
        <f t="shared" si="2"/>
        <v>4749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210718</v>
      </c>
      <c r="I54" s="35">
        <v>216317</v>
      </c>
      <c r="J54" s="86">
        <f t="shared" si="3"/>
        <v>5599</v>
      </c>
      <c r="K54" s="86">
        <f t="shared" si="2"/>
        <v>5599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211180</v>
      </c>
      <c r="I55" s="35">
        <v>219066</v>
      </c>
      <c r="J55" s="86">
        <f t="shared" si="3"/>
        <v>7886</v>
      </c>
      <c r="K55" s="86">
        <f t="shared" si="2"/>
        <v>7886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44988</v>
      </c>
      <c r="I56" s="35">
        <v>47345</v>
      </c>
      <c r="J56" s="86">
        <f t="shared" si="3"/>
        <v>2357</v>
      </c>
      <c r="K56" s="86">
        <f t="shared" si="2"/>
        <v>2357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161201</v>
      </c>
      <c r="I57" s="35">
        <v>165737</v>
      </c>
      <c r="J57" s="86">
        <f t="shared" si="3"/>
        <v>4536</v>
      </c>
      <c r="K57" s="86">
        <f t="shared" si="2"/>
        <v>4536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95722</v>
      </c>
      <c r="I58" s="35">
        <v>100885</v>
      </c>
      <c r="J58" s="86">
        <f t="shared" si="3"/>
        <v>5163</v>
      </c>
      <c r="K58" s="86">
        <f t="shared" si="2"/>
        <v>5163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53282</v>
      </c>
      <c r="I59" s="35">
        <v>54661</v>
      </c>
      <c r="J59" s="86">
        <f t="shared" si="3"/>
        <v>1379</v>
      </c>
      <c r="K59" s="86">
        <f t="shared" si="2"/>
        <v>1379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177391</v>
      </c>
      <c r="I60" s="35">
        <v>180171</v>
      </c>
      <c r="J60" s="86">
        <f t="shared" si="3"/>
        <v>2780</v>
      </c>
      <c r="K60" s="86">
        <f t="shared" si="2"/>
        <v>2780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222824</v>
      </c>
      <c r="I61" s="35">
        <v>229284</v>
      </c>
      <c r="J61" s="86">
        <f t="shared" si="3"/>
        <v>6460</v>
      </c>
      <c r="K61" s="86">
        <f t="shared" si="2"/>
        <v>6460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258053</v>
      </c>
      <c r="I62" s="35">
        <v>265064</v>
      </c>
      <c r="J62" s="86">
        <f t="shared" si="3"/>
        <v>7011</v>
      </c>
      <c r="K62" s="86">
        <f t="shared" si="2"/>
        <v>7011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336144</v>
      </c>
      <c r="I63" s="35">
        <v>349745</v>
      </c>
      <c r="J63" s="86">
        <f t="shared" si="3"/>
        <v>13601</v>
      </c>
      <c r="K63" s="86">
        <f t="shared" si="2"/>
        <v>13601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39076</v>
      </c>
      <c r="I64" s="35">
        <v>39937</v>
      </c>
      <c r="J64" s="86">
        <f t="shared" si="3"/>
        <v>861</v>
      </c>
      <c r="K64" s="86">
        <f t="shared" si="2"/>
        <v>861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91650</v>
      </c>
      <c r="I65" s="35">
        <v>93399</v>
      </c>
      <c r="J65" s="86">
        <f t="shared" si="3"/>
        <v>1749</v>
      </c>
      <c r="K65" s="86">
        <f t="shared" si="2"/>
        <v>1749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171197</v>
      </c>
      <c r="I66" s="35">
        <v>180093</v>
      </c>
      <c r="J66" s="86">
        <f t="shared" si="3"/>
        <v>8896</v>
      </c>
      <c r="K66" s="86">
        <f t="shared" ref="K66:K69" si="4">J66</f>
        <v>8896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169175</v>
      </c>
      <c r="I67" s="35">
        <v>173101</v>
      </c>
      <c r="J67" s="86">
        <f t="shared" ref="J67:J69" si="5">I67-H67</f>
        <v>3926</v>
      </c>
      <c r="K67" s="86">
        <f t="shared" si="4"/>
        <v>3926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96809</v>
      </c>
      <c r="I68" s="35">
        <v>100753</v>
      </c>
      <c r="J68" s="86">
        <f t="shared" si="5"/>
        <v>3944</v>
      </c>
      <c r="K68" s="86">
        <f t="shared" si="4"/>
        <v>3944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144754</v>
      </c>
      <c r="I69" s="35">
        <v>149619</v>
      </c>
      <c r="J69" s="86">
        <f t="shared" si="5"/>
        <v>4865</v>
      </c>
      <c r="K69" s="86">
        <f t="shared" si="4"/>
        <v>4865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4" sqref="C4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232</v>
      </c>
      <c r="B1" s="33" t="s">
        <v>233</v>
      </c>
    </row>
    <row r="2" spans="1:4" ht="23.25" x14ac:dyDescent="0.35">
      <c r="A2" s="33" t="s">
        <v>234</v>
      </c>
      <c r="B2" s="33" t="s">
        <v>235</v>
      </c>
    </row>
    <row r="3" spans="1:4" ht="23.25" x14ac:dyDescent="0.35">
      <c r="A3" s="33" t="s">
        <v>236</v>
      </c>
      <c r="B3" s="34">
        <v>45139</v>
      </c>
    </row>
    <row r="4" spans="1:4" ht="15.75" thickBot="1" x14ac:dyDescent="0.3"/>
    <row r="5" spans="1:4" ht="15.75" thickBot="1" x14ac:dyDescent="0.3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30" x14ac:dyDescent="0.25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4" t="s">
        <v>244</v>
      </c>
      <c r="B12" s="115"/>
      <c r="C12" s="116" t="s">
        <v>245</v>
      </c>
      <c r="D12" s="117"/>
    </row>
    <row r="13" spans="1:4" x14ac:dyDescent="0.25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2178</v>
      </c>
    </row>
    <row r="14" spans="1:4" x14ac:dyDescent="0.25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25">
      <c r="A15" s="6" t="s">
        <v>248</v>
      </c>
      <c r="B15" s="14">
        <f>IF((SUM(BASE!$K2:$K69)+(SUM(BASE!$L2:$L69)*2))&gt;$C$6,(SUM(BASE!$K2:$K69)+(SUM(BASE!$L2:$L69)*2))-$C$6,0)</f>
        <v>61166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249</v>
      </c>
      <c r="B16" s="27">
        <f>$B$15*$B$7</f>
        <v>1529.15</v>
      </c>
      <c r="C16" s="13" t="s">
        <v>249</v>
      </c>
      <c r="D16" s="32">
        <f>$D$15*$B$9</f>
        <v>0</v>
      </c>
    </row>
    <row r="17" spans="1:10" ht="15.75" thickBot="1" x14ac:dyDescent="0.3">
      <c r="A17" s="118" t="s">
        <v>250</v>
      </c>
      <c r="B17" s="119"/>
      <c r="C17" s="120" t="s">
        <v>251</v>
      </c>
      <c r="D17" s="121"/>
    </row>
    <row r="18" spans="1:10" ht="16.5" thickBot="1" x14ac:dyDescent="0.3">
      <c r="A18" s="122">
        <f>SUM($B$14,$B$16)</f>
        <v>20510.070000000003</v>
      </c>
      <c r="B18" s="123"/>
      <c r="C18" s="124">
        <f>SUM($D$14,$D$16)</f>
        <v>4620</v>
      </c>
      <c r="D18" s="123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8" t="s">
        <v>252</v>
      </c>
      <c r="B20" s="109"/>
      <c r="C20" s="110"/>
      <c r="D20" s="111"/>
    </row>
    <row r="21" spans="1:10" ht="16.5" thickBot="1" x14ac:dyDescent="0.3">
      <c r="A21" s="108" t="s">
        <v>253</v>
      </c>
      <c r="B21" s="109"/>
      <c r="C21" s="112"/>
      <c r="D21" s="113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6" t="s">
        <v>254</v>
      </c>
      <c r="B23" s="127"/>
      <c r="C23" s="128">
        <f>SUM(A18:D18)+C21-C20</f>
        <v>25130.070000000003</v>
      </c>
      <c r="D23" s="129"/>
    </row>
    <row r="25" spans="1:10" x14ac:dyDescent="0.25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x14ac:dyDescent="0.25">
      <c r="A26" s="125" t="str">
        <f>IF((B13)&lt;C6,"Favor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x14ac:dyDescent="0.25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 x14ac:dyDescent="0.25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2" sqref="C12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271156</v>
      </c>
      <c r="C7" s="75">
        <v>303529</v>
      </c>
      <c r="D7" s="45">
        <f t="shared" ref="D7:D12" si="0">$D$4</f>
        <v>14640.64</v>
      </c>
      <c r="E7" s="45">
        <f>IF(C7-B7&lt;0,0,(C7-B7)*$D$5)</f>
        <v>647.46</v>
      </c>
      <c r="F7" s="45">
        <f>E7+D7</f>
        <v>15288.099999999999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1">$D$3</f>
        <v>271156</v>
      </c>
      <c r="C8" s="75">
        <v>390451</v>
      </c>
      <c r="D8" s="45">
        <f t="shared" si="0"/>
        <v>14640.64</v>
      </c>
      <c r="E8" s="45">
        <f t="shared" ref="E8:E12" si="2">IF(C8-B8&lt;0,0,(C8-B8)*$D$5)</f>
        <v>2385.9</v>
      </c>
      <c r="F8" s="45">
        <f t="shared" ref="F8:F11" si="3">E8+D8</f>
        <v>17026.54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1"/>
        <v>271156</v>
      </c>
      <c r="C9" s="75">
        <v>323654</v>
      </c>
      <c r="D9" s="45">
        <f t="shared" si="0"/>
        <v>14640.64</v>
      </c>
      <c r="E9" s="45">
        <f t="shared" si="2"/>
        <v>1049.96</v>
      </c>
      <c r="F9" s="45">
        <f t="shared" si="3"/>
        <v>15690.599999999999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1"/>
        <v>271156</v>
      </c>
      <c r="C10" s="75">
        <v>391805</v>
      </c>
      <c r="D10" s="45">
        <f t="shared" si="0"/>
        <v>14640.64</v>
      </c>
      <c r="E10" s="45">
        <f t="shared" si="2"/>
        <v>2412.98</v>
      </c>
      <c r="F10" s="45">
        <f t="shared" si="3"/>
        <v>17053.62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1"/>
        <v>271156</v>
      </c>
      <c r="C11" s="75">
        <v>362189</v>
      </c>
      <c r="D11" s="45">
        <f t="shared" si="0"/>
        <v>14640.64</v>
      </c>
      <c r="E11" s="45">
        <f t="shared" si="2"/>
        <v>1820.66</v>
      </c>
      <c r="F11" s="45">
        <f t="shared" si="3"/>
        <v>16461.3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1"/>
        <v>271156</v>
      </c>
      <c r="C12" s="75">
        <f>SUM(CONSOLIDADO!B13,CONSOLIDADO!B15)</f>
        <v>332322</v>
      </c>
      <c r="D12" s="47">
        <f t="shared" si="0"/>
        <v>14640.64</v>
      </c>
      <c r="E12" s="47">
        <f t="shared" si="2"/>
        <v>1223.32</v>
      </c>
      <c r="F12" s="48">
        <f>E12+D12</f>
        <v>15863.96</v>
      </c>
      <c r="G12" s="49">
        <f>IF(C13&gt;B13,E13-C15,E13)</f>
        <v>0</v>
      </c>
      <c r="H12" s="50">
        <f>F12-G12</f>
        <v>15863.96</v>
      </c>
    </row>
    <row r="13" spans="1:15" ht="19.5" thickBot="1" x14ac:dyDescent="0.35">
      <c r="A13" s="51" t="s">
        <v>274</v>
      </c>
      <c r="B13" s="74">
        <f>SUM(B7:B12)</f>
        <v>1626936</v>
      </c>
      <c r="C13" s="76">
        <f>SUM(C7:C12)</f>
        <v>2103950</v>
      </c>
      <c r="D13" s="54">
        <f>SUM(D7:D12)</f>
        <v>87843.839999999997</v>
      </c>
      <c r="E13" s="55">
        <f>SUM(E7:E12)</f>
        <v>9540.2800000000007</v>
      </c>
      <c r="F13" s="143" t="s">
        <v>275</v>
      </c>
      <c r="G13" s="144"/>
      <c r="H13" s="56">
        <f>SUM(F7:F11)+H12</f>
        <v>97384.12</v>
      </c>
    </row>
    <row r="14" spans="1:15" ht="15.75" thickBot="1" x14ac:dyDescent="0.3">
      <c r="A14" s="130" t="s">
        <v>276</v>
      </c>
      <c r="B14" s="131"/>
      <c r="C14" s="77">
        <f>C13-B13</f>
        <v>477014</v>
      </c>
      <c r="G14" s="58"/>
    </row>
    <row r="15" spans="1:15" ht="15.75" thickBot="1" x14ac:dyDescent="0.3">
      <c r="C15" s="59">
        <f>IF(C14&lt;0,0,C14*$D$5)</f>
        <v>9540.2800000000007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25">
      <c r="E27" s="58">
        <f>H13/C13</f>
        <v>4.6286328097150595E-2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2" sqref="C12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6600</v>
      </c>
      <c r="C7" s="75">
        <v>1858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6600</v>
      </c>
      <c r="C8" s="75">
        <v>2599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6600</v>
      </c>
      <c r="C9" s="75">
        <v>2678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6600</v>
      </c>
      <c r="C10" s="75">
        <v>2040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6600</v>
      </c>
      <c r="C11" s="75">
        <v>1418</v>
      </c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6600</v>
      </c>
      <c r="C12" s="75">
        <f>SUM(CONSOLIDADO!D13,CONSOLIDADO!D15)</f>
        <v>2178</v>
      </c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274</v>
      </c>
      <c r="B13" s="74">
        <f>SUM(B7:B12)</f>
        <v>39600</v>
      </c>
      <c r="C13" s="76">
        <f>SUM(C7:C12)</f>
        <v>12771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.75" thickBot="1" x14ac:dyDescent="0.3">
      <c r="A14" s="130" t="s">
        <v>276</v>
      </c>
      <c r="B14" s="131"/>
      <c r="C14" s="77">
        <f>C13-B13</f>
        <v>-26829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  <_ip_UnifiedCompliancePolicyUIAction xmlns="http://schemas.microsoft.com/sharepoint/v3" xsi:nil="true"/>
    <_ip_UnifiedCompliancePolicyProperties xmlns="http://schemas.microsoft.com/sharepoint/v3" xsi:nil="true"/>
    <_activity xmlns="e0c41287-3fae-4d33-9378-24a2e4e94c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7" ma:contentTypeDescription="Crie um novo documento." ma:contentTypeScope="" ma:versionID="6b9b793afd9fb2cd2f18cb89ce669989">
  <xsd:schema xmlns:xsd="http://www.w3.org/2001/XMLSchema" xmlns:xs="http://www.w3.org/2001/XMLSchema" xmlns:p="http://schemas.microsoft.com/office/2006/metadata/properties" xmlns:ns1="http://schemas.microsoft.com/sharepoint/v3" xmlns:ns3="e0c41287-3fae-4d33-9378-24a2e4e94c8b" xmlns:ns4="76045822-f663-47fe-a980-18965f3af854" targetNamespace="http://schemas.microsoft.com/office/2006/metadata/properties" ma:root="true" ma:fieldsID="33fdfbf8bcd8ba7aa08f0d9ebffff933" ns1:_="" ns3:_="" ns4:_="">
    <xsd:import namespace="http://schemas.microsoft.com/sharepoint/v3"/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LengthInSeconds" minOccurs="0"/>
                <xsd:element ref="ns3:MediaServiceSearchProperties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4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4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LengthInSeconds" ma:index="39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41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e0c41287-3fae-4d33-9378-24a2e4e94c8b"/>
    <ds:schemaRef ds:uri="http://schemas.microsoft.com/office/infopath/2007/PartnerControls"/>
    <ds:schemaRef ds:uri="http://www.w3.org/XML/1998/namespace"/>
    <ds:schemaRef ds:uri="http://purl.org/dc/terms/"/>
    <ds:schemaRef ds:uri="76045822-f663-47fe-a980-18965f3af854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D5DF7A-C20B-4F2D-9EC1-3EB853687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2023-07-31T14:23:03Z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