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Fin1\"/>
    </mc:Choice>
  </mc:AlternateContent>
  <bookViews>
    <workbookView xWindow="0" yWindow="130" windowWidth="22980" windowHeight="9470" activeTab="1"/>
  </bookViews>
  <sheets>
    <sheet name="opgave 1" sheetId="1" r:id="rId1"/>
    <sheet name="opgave 2" sheetId="2" r:id="rId2"/>
    <sheet name="Sheet3" sheetId="3" r:id="rId3"/>
  </sheets>
  <definedNames>
    <definedName name="E_R">'opgave 1'!$A$6:$A$8</definedName>
    <definedName name="Isigma">'opgave 1'!$H$6:$J$8</definedName>
    <definedName name="K_">'opgave 2'!$A$18</definedName>
    <definedName name="ones">'opgave 1'!$L$6:$L$8</definedName>
    <definedName name="q_d">'opgave 2'!$B$13</definedName>
    <definedName name="q_dd">'opgave 2'!$C$14</definedName>
    <definedName name="q_du">'opgave 2'!$C$13</definedName>
    <definedName name="q_u">'opgave 2'!$B$11</definedName>
    <definedName name="q_ud">'opgave 2'!$C$11</definedName>
    <definedName name="q_uu">'opgave 2'!$C$10</definedName>
    <definedName name="R_">'opgave 2'!$B$2</definedName>
    <definedName name="r_f">'opgave 1'!$B$1</definedName>
    <definedName name="S_0">'opgave 2'!$A$6</definedName>
    <definedName name="S_d">'opgave 2'!$B$7</definedName>
    <definedName name="S_dd">'opgave 2'!$C$8</definedName>
    <definedName name="S_u">'opgave 2'!$B$5</definedName>
    <definedName name="S_ud">'opgave 2'!$C$6</definedName>
    <definedName name="S_uu">'opgave 2'!$C$4</definedName>
    <definedName name="Sigma">'opgave 1'!$D$6:$F$8</definedName>
    <definedName name="solver_adj" localSheetId="0" hidden="1">'opgave 1'!$A$19:$A$21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'opgave 1'!$A$22</definedName>
    <definedName name="solver_lhs2" localSheetId="0" hidden="1">'opgave 1'!$C$27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'opgave 1'!$D$19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'opgave 1'!$C$20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  <definedName name="w_gmv">'opgave 1'!$A$13:$A$15</definedName>
    <definedName name="w_p">'opgave 1'!$A$20:$A$22</definedName>
    <definedName name="w_tan">'opgave 1'!#REF!</definedName>
  </definedNames>
  <calcPr calcId="162913"/>
</workbook>
</file>

<file path=xl/calcChain.xml><?xml version="1.0" encoding="utf-8"?>
<calcChain xmlns="http://schemas.openxmlformats.org/spreadsheetml/2006/main">
  <c r="C22" i="2" l="1"/>
  <c r="C20" i="2"/>
  <c r="C18" i="2"/>
  <c r="B11" i="2"/>
  <c r="C13" i="2"/>
  <c r="B7" i="2"/>
  <c r="C30" i="2" s="1"/>
  <c r="B5" i="2"/>
  <c r="C28" i="2" s="1"/>
  <c r="C26" i="2" l="1"/>
  <c r="B39" i="2"/>
  <c r="C10" i="2"/>
  <c r="C32" i="2"/>
  <c r="C11" i="2"/>
  <c r="B27" i="2" s="1"/>
  <c r="F26" i="2"/>
  <c r="F32" i="2"/>
  <c r="C14" i="2"/>
  <c r="B13" i="2"/>
  <c r="F27" i="1"/>
  <c r="E27" i="1" a="1"/>
  <c r="E27" i="1" s="1"/>
  <c r="A22" i="1"/>
  <c r="F2" i="1"/>
  <c r="D6" i="1"/>
  <c r="H4" i="1"/>
  <c r="D8" i="1" s="1"/>
  <c r="I4" i="1"/>
  <c r="J3" i="1" s="1"/>
  <c r="F7" i="1" s="1"/>
  <c r="H3" i="1"/>
  <c r="D7" i="1" s="1"/>
  <c r="J4" i="1"/>
  <c r="F8" i="1" s="1"/>
  <c r="I3" i="1"/>
  <c r="E7" i="1" s="1"/>
  <c r="H2" i="1"/>
  <c r="F3" i="1"/>
  <c r="E2" i="1"/>
  <c r="B31" i="2" l="1"/>
  <c r="B21" i="2"/>
  <c r="A29" i="2"/>
  <c r="B34" i="2" s="1"/>
  <c r="B35" i="2" s="1"/>
  <c r="B19" i="2"/>
  <c r="A20" i="2" s="1"/>
  <c r="F28" i="2"/>
  <c r="E29" i="1"/>
  <c r="E28" i="1"/>
  <c r="E8" i="1"/>
  <c r="J2" i="1"/>
  <c r="F6" i="1" s="1"/>
  <c r="I2" i="1"/>
  <c r="E6" i="1" s="1"/>
  <c r="H6" i="1" l="1" a="1"/>
  <c r="H6" i="1" s="1"/>
  <c r="H8" i="1" l="1"/>
  <c r="I8" i="1"/>
  <c r="J8" i="1"/>
  <c r="I6" i="1"/>
  <c r="I7" i="1"/>
  <c r="J6" i="1"/>
  <c r="H7" i="1"/>
  <c r="B28" i="1" s="1" a="1"/>
  <c r="B28" i="1" s="1"/>
  <c r="C27" i="1" s="1"/>
  <c r="J7" i="1"/>
  <c r="C28" i="1" l="1" a="1"/>
  <c r="C28" i="1" s="1"/>
  <c r="A37" i="1" a="1"/>
  <c r="A37" i="1" s="1"/>
  <c r="B27" i="1" a="1"/>
  <c r="B27" i="1" s="1"/>
  <c r="A13" i="1" a="1"/>
  <c r="A13" i="1" s="1"/>
  <c r="A38" i="1" l="1"/>
  <c r="A39" i="1"/>
  <c r="D37" i="1" a="1"/>
  <c r="D37" i="1" s="1"/>
  <c r="C37" i="1" a="1"/>
  <c r="C37" i="1" s="1"/>
  <c r="D19" i="1" a="1"/>
  <c r="D19" i="1" s="1"/>
  <c r="C19" i="1" a="1"/>
  <c r="C19" i="1" s="1"/>
  <c r="A31" i="1" s="1" a="1"/>
  <c r="A14" i="1"/>
  <c r="A15" i="1"/>
  <c r="E37" i="1" l="1"/>
  <c r="A31" i="1"/>
  <c r="A33" i="1"/>
  <c r="A32" i="1"/>
  <c r="E19" i="1"/>
  <c r="C13" i="1" a="1"/>
  <c r="C13" i="1" s="1"/>
  <c r="D13" i="1" a="1"/>
  <c r="D13" i="1" s="1"/>
  <c r="D31" i="1" l="1" a="1"/>
  <c r="D31" i="1" s="1"/>
  <c r="C31" i="1" a="1"/>
  <c r="C31" i="1" s="1"/>
  <c r="E13" i="1"/>
  <c r="E31" i="1" l="1"/>
  <c r="A42" i="1"/>
  <c r="A45" i="1" l="1"/>
  <c r="D42" i="1"/>
  <c r="A47" i="1"/>
  <c r="A46" i="1"/>
  <c r="C42" i="1"/>
  <c r="A48" i="1" l="1"/>
  <c r="E42" i="1"/>
</calcChain>
</file>

<file path=xl/sharedStrings.xml><?xml version="1.0" encoding="utf-8"?>
<sst xmlns="http://schemas.openxmlformats.org/spreadsheetml/2006/main" count="43" uniqueCount="34">
  <si>
    <t>E_r</t>
  </si>
  <si>
    <t>sigma</t>
  </si>
  <si>
    <t>Isigma</t>
  </si>
  <si>
    <t>r_f</t>
  </si>
  <si>
    <t>ones</t>
  </si>
  <si>
    <t>w_tan</t>
  </si>
  <si>
    <t>w_gmv</t>
  </si>
  <si>
    <t>Egmv</t>
  </si>
  <si>
    <t>std_gmv</t>
  </si>
  <si>
    <t>SR_gmv</t>
  </si>
  <si>
    <t>sigmas</t>
  </si>
  <si>
    <t xml:space="preserve">Vi finder </t>
  </si>
  <si>
    <t>A</t>
  </si>
  <si>
    <t>w_maxsr</t>
  </si>
  <si>
    <t>E</t>
  </si>
  <si>
    <t>Std</t>
  </si>
  <si>
    <t>SR</t>
  </si>
  <si>
    <t>vægt i tan</t>
  </si>
  <si>
    <t>vægte</t>
  </si>
  <si>
    <t>R</t>
  </si>
  <si>
    <t>1 q træ</t>
  </si>
  <si>
    <t xml:space="preserve">Put med strike </t>
  </si>
  <si>
    <t>Varians swap</t>
  </si>
  <si>
    <t>D</t>
  </si>
  <si>
    <t>D_max</t>
  </si>
  <si>
    <t>q&gt;=0 når D&lt;=RS_0/S_d -1</t>
  </si>
  <si>
    <t>Vi har S_0 = 1/R( qS_u(1+D) + (1-q)S_d(1+D))</t>
  </si>
  <si>
    <t>K=</t>
  </si>
  <si>
    <t>D_min</t>
  </si>
  <si>
    <t>positiv og entydig &lt;=&gt; komplet og arbitrigefri</t>
  </si>
  <si>
    <t>(Du har ret)</t>
  </si>
  <si>
    <t>std</t>
  </si>
  <si>
    <t>Blander nu med det risikofri aktiv for at få det ønskede forventede afkast.</t>
  </si>
  <si>
    <t>K^2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</si>
</sst>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38" sqref="E38"/>
    </sheetView>
  </sheetViews>
  <sheetFormatPr defaultRowHeight="14.5" x14ac:dyDescent="0.35"/>
  <sheetData>
    <row r="1" spans="1:12" x14ac:dyDescent="0.35">
      <c r="A1" t="s">
        <v>3</v>
      </c>
      <c r="B1">
        <v>0.01</v>
      </c>
    </row>
    <row r="2" spans="1:12" x14ac:dyDescent="0.35">
      <c r="D2">
        <v>1</v>
      </c>
      <c r="E2">
        <f>D3</f>
        <v>-0.5</v>
      </c>
      <c r="F2">
        <f>D4</f>
        <v>0.5</v>
      </c>
      <c r="H2">
        <f>B6^2</f>
        <v>1.0000000000000002E-2</v>
      </c>
      <c r="I2">
        <f>H3</f>
        <v>-1.0000000000000002E-2</v>
      </c>
      <c r="J2">
        <f>H4</f>
        <v>1.2500000000000001E-2</v>
      </c>
    </row>
    <row r="3" spans="1:12" x14ac:dyDescent="0.35">
      <c r="D3">
        <v>-0.5</v>
      </c>
      <c r="E3">
        <v>1</v>
      </c>
      <c r="F3">
        <f>0.3</f>
        <v>0.3</v>
      </c>
      <c r="H3">
        <f>D3*B6*B7</f>
        <v>-1.0000000000000002E-2</v>
      </c>
      <c r="I3">
        <f>B7^2</f>
        <v>4.0000000000000008E-2</v>
      </c>
      <c r="J3">
        <f>I4</f>
        <v>1.4999999999999999E-2</v>
      </c>
    </row>
    <row r="4" spans="1:12" x14ac:dyDescent="0.35">
      <c r="D4">
        <v>0.5</v>
      </c>
      <c r="E4">
        <v>0.3</v>
      </c>
      <c r="F4">
        <v>1</v>
      </c>
      <c r="H4">
        <f>D4*B6*B8</f>
        <v>1.2500000000000001E-2</v>
      </c>
      <c r="I4">
        <f>E4*B7*B8</f>
        <v>1.4999999999999999E-2</v>
      </c>
      <c r="J4">
        <f>B8^2</f>
        <v>6.25E-2</v>
      </c>
    </row>
    <row r="5" spans="1:12" x14ac:dyDescent="0.35">
      <c r="A5" t="s">
        <v>0</v>
      </c>
      <c r="B5" t="s">
        <v>10</v>
      </c>
      <c r="C5" t="s">
        <v>1</v>
      </c>
      <c r="G5" t="s">
        <v>2</v>
      </c>
      <c r="L5" t="s">
        <v>4</v>
      </c>
    </row>
    <row r="6" spans="1:12" x14ac:dyDescent="0.35">
      <c r="A6">
        <v>7.0000000000000007E-2</v>
      </c>
      <c r="B6">
        <v>0.1</v>
      </c>
      <c r="D6" s="1">
        <f t="shared" ref="D6:F8" si="0">FLOOR(H2,0.001)</f>
        <v>0.01</v>
      </c>
      <c r="E6" s="1">
        <f t="shared" si="0"/>
        <v>-0.01</v>
      </c>
      <c r="F6" s="1">
        <f t="shared" si="0"/>
        <v>1.2E-2</v>
      </c>
      <c r="H6">
        <f t="array" ref="H6:J8">MINVERSE(Sigma)</f>
        <v>322.60371959942751</v>
      </c>
      <c r="I6">
        <v>114.4492131616594</v>
      </c>
      <c r="J6">
        <v>-90.128755364806793</v>
      </c>
      <c r="L6">
        <v>1</v>
      </c>
    </row>
    <row r="7" spans="1:12" x14ac:dyDescent="0.35">
      <c r="A7">
        <v>0.02</v>
      </c>
      <c r="B7">
        <v>0.2</v>
      </c>
      <c r="D7" s="1">
        <f t="shared" si="0"/>
        <v>-0.01</v>
      </c>
      <c r="E7" s="1">
        <f t="shared" si="0"/>
        <v>0.04</v>
      </c>
      <c r="F7" s="1">
        <f t="shared" si="0"/>
        <v>1.4999999999999999E-2</v>
      </c>
      <c r="H7">
        <v>114.44921316165943</v>
      </c>
      <c r="I7">
        <v>68.09728183118736</v>
      </c>
      <c r="J7">
        <v>-38.626609442060051</v>
      </c>
      <c r="L7">
        <v>1</v>
      </c>
    </row>
    <row r="8" spans="1:12" x14ac:dyDescent="0.35">
      <c r="A8">
        <v>0.15</v>
      </c>
      <c r="B8">
        <v>0.25</v>
      </c>
      <c r="D8" s="1">
        <f t="shared" si="0"/>
        <v>1.2E-2</v>
      </c>
      <c r="E8" s="1">
        <f t="shared" si="0"/>
        <v>1.4999999999999999E-2</v>
      </c>
      <c r="F8" s="1">
        <f t="shared" si="0"/>
        <v>6.2E-2</v>
      </c>
      <c r="H8">
        <v>-90.128755364806807</v>
      </c>
      <c r="I8">
        <v>-38.626609442060051</v>
      </c>
      <c r="J8">
        <v>42.9184549356223</v>
      </c>
      <c r="L8">
        <v>1</v>
      </c>
    </row>
    <row r="11" spans="1:12" x14ac:dyDescent="0.35">
      <c r="A11">
        <v>1.1000000000000001</v>
      </c>
    </row>
    <row r="12" spans="1:12" x14ac:dyDescent="0.35">
      <c r="A12" t="s">
        <v>6</v>
      </c>
      <c r="C12" t="s">
        <v>7</v>
      </c>
      <c r="D12" t="s">
        <v>8</v>
      </c>
      <c r="E12" t="s">
        <v>9</v>
      </c>
    </row>
    <row r="13" spans="1:12" x14ac:dyDescent="0.35">
      <c r="A13">
        <f t="array" ref="A13:A15">1/(MMULT(TRANSPOSE(ones),MMULT(Isigma,ones)))*MMULT(Isigma,ones)</f>
        <v>0.85658777817025789</v>
      </c>
      <c r="C13">
        <f t="array" ref="C13">MMULT(TRANSPOSE(w_gmv),E_R)</f>
        <v>3.527728717767576E-2</v>
      </c>
      <c r="D13">
        <f t="array" ref="D13">SQRT(MMULT(TRANSPOSE(w_gmv),MMULT(Sigma,w_gmv)))</f>
        <v>4.9689960691986633E-2</v>
      </c>
      <c r="E13">
        <f>(C13-r_f)/D13</f>
        <v>0.50870008399407241</v>
      </c>
    </row>
    <row r="14" spans="1:12" x14ac:dyDescent="0.35">
      <c r="A14">
        <v>0.35535146591310496</v>
      </c>
    </row>
    <row r="15" spans="1:12" x14ac:dyDescent="0.35">
      <c r="A15">
        <v>-0.21193924408336273</v>
      </c>
    </row>
    <row r="17" spans="1:6" x14ac:dyDescent="0.35">
      <c r="A17">
        <v>1.2</v>
      </c>
    </row>
    <row r="18" spans="1:6" x14ac:dyDescent="0.35">
      <c r="A18" t="s">
        <v>6</v>
      </c>
      <c r="C18" t="s">
        <v>7</v>
      </c>
      <c r="D18" t="s">
        <v>8</v>
      </c>
      <c r="E18" t="s">
        <v>9</v>
      </c>
    </row>
    <row r="19" spans="1:6" x14ac:dyDescent="0.35">
      <c r="A19">
        <v>0.71428571665500296</v>
      </c>
      <c r="C19">
        <f t="array" ref="C19">MMULT(TRANSPOSE(A19:A21),E_R)</f>
        <v>5.5714285832750156E-2</v>
      </c>
      <c r="D19">
        <f t="array" ref="D19">SQRT(MMULT(TRANSPOSE(A19:A21),MMULT(Sigma,A19:A21)))</f>
        <v>6.5465367070797725E-2</v>
      </c>
      <c r="E19">
        <f>(C19-r_f)/D19</f>
        <v>0.69829725056474967</v>
      </c>
    </row>
    <row r="20" spans="1:6" x14ac:dyDescent="0.35">
      <c r="A20">
        <v>0.28571428334499721</v>
      </c>
      <c r="C20">
        <v>1</v>
      </c>
    </row>
    <row r="21" spans="1:6" x14ac:dyDescent="0.35">
      <c r="A21">
        <v>0</v>
      </c>
    </row>
    <row r="22" spans="1:6" x14ac:dyDescent="0.35">
      <c r="A22">
        <f>SUM(A19:A21)</f>
        <v>1.0000000000000002</v>
      </c>
    </row>
    <row r="24" spans="1:6" x14ac:dyDescent="0.35">
      <c r="A24">
        <v>1.3</v>
      </c>
    </row>
    <row r="26" spans="1:6" x14ac:dyDescent="0.35">
      <c r="A26" t="s">
        <v>11</v>
      </c>
    </row>
    <row r="27" spans="1:6" x14ac:dyDescent="0.35">
      <c r="A27" t="s">
        <v>12</v>
      </c>
      <c r="B27">
        <f t="array" ref="B27">MMULT(MMULT(TRANSPOSE(E_R),Isigma),E_R)</f>
        <v>0.76965665236051495</v>
      </c>
      <c r="C27">
        <f>B28</f>
        <v>14.287553648068659</v>
      </c>
      <c r="E27">
        <f t="array" ref="E27:E29">E_R</f>
        <v>7.0000000000000007E-2</v>
      </c>
      <c r="F27">
        <f>1</f>
        <v>1</v>
      </c>
    </row>
    <row r="28" spans="1:6" x14ac:dyDescent="0.35">
      <c r="B28">
        <f t="array" ref="B28">MMULT(MMULT(TRANSPOSE(ones),Isigma),E_R)</f>
        <v>14.287553648068659</v>
      </c>
      <c r="C28">
        <f t="array" ref="C28">MMULT(MMULT(TRANSPOSE(ones),Isigma),ones)</f>
        <v>405.00715307582232</v>
      </c>
      <c r="E28">
        <v>0.02</v>
      </c>
      <c r="F28">
        <v>1</v>
      </c>
    </row>
    <row r="29" spans="1:6" x14ac:dyDescent="0.35">
      <c r="E29">
        <v>0.15</v>
      </c>
      <c r="F29">
        <v>1</v>
      </c>
    </row>
    <row r="30" spans="1:6" x14ac:dyDescent="0.35">
      <c r="A30" t="s">
        <v>13</v>
      </c>
      <c r="C30" t="s">
        <v>14</v>
      </c>
      <c r="D30" t="s">
        <v>31</v>
      </c>
      <c r="E30" t="s">
        <v>16</v>
      </c>
    </row>
    <row r="31" spans="1:6" x14ac:dyDescent="0.35">
      <c r="A31">
        <f t="array" ref="A31:A33">MMULT(MMULT(MMULT(Isigma,E27:F29),MINVERSE(B27:C28)),C19:C20)</f>
        <v>0.78837385978696461</v>
      </c>
      <c r="C31">
        <f t="array" ref="C31">MMULT(TRANSPOSE(A31:A33),E_R)</f>
        <v>5.5714285832750128E-2</v>
      </c>
      <c r="D31">
        <f t="array" ref="D31">SQRT(MMULT(TRANSPOSE(A31:A33),MMULT(Sigma,A31:A33)))</f>
        <v>6.3572538639878926E-2</v>
      </c>
      <c r="E31">
        <f>(C31-r_f)/D31</f>
        <v>0.71908856891352213</v>
      </c>
      <c r="F31" t="s">
        <v>30</v>
      </c>
    </row>
    <row r="32" spans="1:6" x14ac:dyDescent="0.35">
      <c r="A32">
        <v>0.24012157987917504</v>
      </c>
    </row>
    <row r="33" spans="1:5" x14ac:dyDescent="0.35">
      <c r="A33">
        <v>-2.8495439666139322E-2</v>
      </c>
    </row>
    <row r="35" spans="1:5" x14ac:dyDescent="0.35">
      <c r="A35">
        <v>1.4</v>
      </c>
    </row>
    <row r="36" spans="1:5" x14ac:dyDescent="0.35">
      <c r="A36" t="s">
        <v>5</v>
      </c>
      <c r="C36" t="s">
        <v>14</v>
      </c>
      <c r="D36" t="s">
        <v>31</v>
      </c>
      <c r="E36" t="s">
        <v>16</v>
      </c>
    </row>
    <row r="37" spans="1:5" x14ac:dyDescent="0.35">
      <c r="A37">
        <f t="array" ref="A37:A39">1/(MMULT(MMULT(TRANSPOSE(ones),Isigma),E_R-ones*r_f))*MMULT(Isigma,E_R-ones*r_f)</f>
        <v>0.76998323085522646</v>
      </c>
      <c r="C37">
        <f t="array" ref="C37">MMULT(TRANSPOSE(A37:A39),E_R)</f>
        <v>6.1224147568474045E-2</v>
      </c>
      <c r="D37">
        <f t="array" ref="D37">SQRT(MMULT(TRANSPOSE(A37:A39),MMULT(Sigma,A37:A39)))</f>
        <v>7.0736047940571922E-2</v>
      </c>
      <c r="E37">
        <f>(C37-r_f)/D37</f>
        <v>0.72415902584081915</v>
      </c>
    </row>
    <row r="38" spans="1:5" x14ac:dyDescent="0.35">
      <c r="A38">
        <v>0.20905533817775307</v>
      </c>
    </row>
    <row r="39" spans="1:5" x14ac:dyDescent="0.35">
      <c r="A39">
        <v>2.0961430967020807E-2</v>
      </c>
    </row>
    <row r="40" spans="1:5" x14ac:dyDescent="0.35">
      <c r="A40" t="s">
        <v>32</v>
      </c>
    </row>
    <row r="41" spans="1:5" x14ac:dyDescent="0.35">
      <c r="A41" t="s">
        <v>17</v>
      </c>
      <c r="C41" t="s">
        <v>14</v>
      </c>
      <c r="D41" t="s">
        <v>15</v>
      </c>
      <c r="E41" t="s">
        <v>16</v>
      </c>
    </row>
    <row r="42" spans="1:5" x14ac:dyDescent="0.35">
      <c r="A42">
        <f>(C31-r_f)/(C37-r_f)</f>
        <v>0.89243624350490969</v>
      </c>
      <c r="C42">
        <f>A42*C37+(1-A42)*r_f</f>
        <v>5.5714285832750128E-2</v>
      </c>
      <c r="D42">
        <f>A42*D37</f>
        <v>6.3127412904467203E-2</v>
      </c>
      <c r="E42">
        <f>(C42-r_f)/D42</f>
        <v>0.72415902584081915</v>
      </c>
    </row>
    <row r="44" spans="1:5" x14ac:dyDescent="0.35">
      <c r="A44" t="s">
        <v>18</v>
      </c>
    </row>
    <row r="45" spans="1:5" x14ac:dyDescent="0.35">
      <c r="A45">
        <f>$A$42*A37</f>
        <v>0.68716094210621192</v>
      </c>
    </row>
    <row r="46" spans="1:5" x14ac:dyDescent="0.35">
      <c r="A46">
        <f>$A$42*A38</f>
        <v>0.18656856068800248</v>
      </c>
    </row>
    <row r="47" spans="1:5" x14ac:dyDescent="0.35">
      <c r="A47">
        <f>$A$42*A39</f>
        <v>1.8706740710695537E-2</v>
      </c>
    </row>
    <row r="48" spans="1:5" x14ac:dyDescent="0.35">
      <c r="A48">
        <f>1-SUM(A45:A47)</f>
        <v>0.10756375649508998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2" sqref="C22"/>
    </sheetView>
  </sheetViews>
  <sheetFormatPr defaultRowHeight="14.5" x14ac:dyDescent="0.35"/>
  <sheetData>
    <row r="1" spans="1:5" ht="18.5" x14ac:dyDescent="0.45">
      <c r="A1" s="2">
        <v>2.1</v>
      </c>
    </row>
    <row r="2" spans="1:5" x14ac:dyDescent="0.35">
      <c r="A2" t="s">
        <v>19</v>
      </c>
      <c r="B2">
        <v>1.01</v>
      </c>
    </row>
    <row r="3" spans="1:5" x14ac:dyDescent="0.35">
      <c r="E3" t="s">
        <v>23</v>
      </c>
    </row>
    <row r="4" spans="1:5" x14ac:dyDescent="0.35">
      <c r="C4">
        <v>130</v>
      </c>
      <c r="E4">
        <v>0</v>
      </c>
    </row>
    <row r="5" spans="1:5" x14ac:dyDescent="0.35">
      <c r="B5">
        <f>114*(1+E4)</f>
        <v>114</v>
      </c>
    </row>
    <row r="6" spans="1:5" x14ac:dyDescent="0.35">
      <c r="A6">
        <v>100</v>
      </c>
      <c r="C6">
        <v>105</v>
      </c>
    </row>
    <row r="7" spans="1:5" x14ac:dyDescent="0.35">
      <c r="B7">
        <f>93*(1+E4)</f>
        <v>93</v>
      </c>
    </row>
    <row r="8" spans="1:5" x14ac:dyDescent="0.35">
      <c r="C8">
        <v>80</v>
      </c>
    </row>
    <row r="9" spans="1:5" x14ac:dyDescent="0.35">
      <c r="A9" t="s">
        <v>20</v>
      </c>
    </row>
    <row r="10" spans="1:5" x14ac:dyDescent="0.35">
      <c r="C10">
        <f>(R_*S_u-S_ud)/(S_uu-S_ud)</f>
        <v>0.40560000000000002</v>
      </c>
    </row>
    <row r="11" spans="1:5" x14ac:dyDescent="0.35">
      <c r="B11">
        <f>(R_*S_0-S_d)/(S_u-S_d)</f>
        <v>0.38095238095238093</v>
      </c>
      <c r="C11">
        <f>1-C10</f>
        <v>0.59440000000000004</v>
      </c>
      <c r="E11" t="s">
        <v>29</v>
      </c>
    </row>
    <row r="13" spans="1:5" x14ac:dyDescent="0.35">
      <c r="B13">
        <f>1-B11</f>
        <v>0.61904761904761907</v>
      </c>
      <c r="C13">
        <f>(S_d*R_-S_dd)/(S_ud-S_dd)</f>
        <v>0.55720000000000025</v>
      </c>
    </row>
    <row r="14" spans="1:5" x14ac:dyDescent="0.35">
      <c r="C14">
        <f>1-C13</f>
        <v>0.44279999999999975</v>
      </c>
    </row>
    <row r="15" spans="1:5" ht="18.5" x14ac:dyDescent="0.45">
      <c r="A15" s="2">
        <v>2.2000000000000002</v>
      </c>
    </row>
    <row r="17" spans="1:6" x14ac:dyDescent="0.35">
      <c r="A17" t="s">
        <v>21</v>
      </c>
    </row>
    <row r="18" spans="1:6" x14ac:dyDescent="0.35">
      <c r="A18">
        <v>106</v>
      </c>
      <c r="C18">
        <f>MAX(K_-S_uu,0)</f>
        <v>0</v>
      </c>
    </row>
    <row r="19" spans="1:6" x14ac:dyDescent="0.35">
      <c r="B19">
        <f>(q_uu*C18 +q_ud*C20)/R_</f>
        <v>0.58851485148514859</v>
      </c>
    </row>
    <row r="20" spans="1:6" x14ac:dyDescent="0.35">
      <c r="A20">
        <f>(B19*B11 + B21*B13)/B2</f>
        <v>7.5466550898371274</v>
      </c>
      <c r="C20">
        <f>MAX(K_-S_ud,0)</f>
        <v>1</v>
      </c>
    </row>
    <row r="21" spans="1:6" x14ac:dyDescent="0.35">
      <c r="B21">
        <f>(q_du*C20 +q_dd*C22)/R_</f>
        <v>11.950495049504944</v>
      </c>
    </row>
    <row r="22" spans="1:6" x14ac:dyDescent="0.35">
      <c r="C22">
        <f>MAX(K_-S_dd,0)</f>
        <v>26</v>
      </c>
    </row>
    <row r="23" spans="1:6" ht="18.5" x14ac:dyDescent="0.45">
      <c r="A23" s="2">
        <v>2.2999999999999998</v>
      </c>
    </row>
    <row r="25" spans="1:6" x14ac:dyDescent="0.35">
      <c r="A25" t="s">
        <v>22</v>
      </c>
    </row>
    <row r="26" spans="1:6" x14ac:dyDescent="0.35">
      <c r="C26">
        <f>(LN(S_uu/S_u)^2+LN(S_u/S_0)^2)/2</f>
        <v>1.7208775493315648E-2</v>
      </c>
      <c r="F26">
        <f>SQRT(C26)</f>
        <v>0.13118222247437206</v>
      </c>
    </row>
    <row r="27" spans="1:6" x14ac:dyDescent="0.35">
      <c r="B27">
        <f>(C26*q_uu+C28*q_ud)/R_</f>
        <v>1.3952796253830672E-2</v>
      </c>
    </row>
    <row r="28" spans="1:6" x14ac:dyDescent="0.35">
      <c r="C28">
        <f>(LN(S_ud/S_u)^2+LN(S_u/S_0)^2)/2</f>
        <v>1.1965755175437669E-2</v>
      </c>
      <c r="F28">
        <f>SQRT(C28)</f>
        <v>0.10938809430389429</v>
      </c>
    </row>
    <row r="29" spans="1:6" x14ac:dyDescent="0.35">
      <c r="A29">
        <f>(B27*q_u+B31*q_d)/R_</f>
        <v>1.2396986845633817E-2</v>
      </c>
    </row>
    <row r="30" spans="1:6" x14ac:dyDescent="0.35">
      <c r="C30">
        <f>(LN(S_ud/S_d)^2+LN(S_d/S_0)^2)/2</f>
        <v>9.9974815356691487E-3</v>
      </c>
    </row>
    <row r="31" spans="1:6" x14ac:dyDescent="0.35">
      <c r="B31">
        <f>(C30*q_du+C32*q_dd)/R_</f>
        <v>1.163982468963445E-2</v>
      </c>
    </row>
    <row r="32" spans="1:6" x14ac:dyDescent="0.35">
      <c r="C32">
        <f>(LN(S_dd/S_d)^2+LN(S_d/S_0)^2)/2</f>
        <v>1.3969345584588858E-2</v>
      </c>
      <c r="F32">
        <f>SQRT(C32)</f>
        <v>0.11819198612676267</v>
      </c>
    </row>
    <row r="34" spans="1:3" x14ac:dyDescent="0.35">
      <c r="A34" t="s">
        <v>27</v>
      </c>
      <c r="B34">
        <f>SQRT(A29)</f>
        <v>0.11134175697209837</v>
      </c>
    </row>
    <row r="35" spans="1:3" x14ac:dyDescent="0.35">
      <c r="A35" t="s">
        <v>33</v>
      </c>
      <c r="B35">
        <f>B34^2</f>
        <v>1.2396986845633817E-2</v>
      </c>
    </row>
    <row r="36" spans="1:3" ht="18.5" x14ac:dyDescent="0.45">
      <c r="A36" s="2">
        <v>2.4</v>
      </c>
    </row>
    <row r="37" spans="1:3" x14ac:dyDescent="0.35">
      <c r="C37" t="s">
        <v>26</v>
      </c>
    </row>
    <row r="38" spans="1:3" x14ac:dyDescent="0.35">
      <c r="C38" t="s">
        <v>25</v>
      </c>
    </row>
    <row r="39" spans="1:3" x14ac:dyDescent="0.35">
      <c r="A39" t="s">
        <v>24</v>
      </c>
      <c r="B39">
        <f>R_*S_0/S_d-1</f>
        <v>8.602150537634401E-2</v>
      </c>
      <c r="C39" s="3"/>
    </row>
    <row r="40" spans="1:3" x14ac:dyDescent="0.35">
      <c r="A40" t="s">
        <v>28</v>
      </c>
      <c r="B4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opgave 1</vt:lpstr>
      <vt:lpstr>opgave 2</vt:lpstr>
      <vt:lpstr>Sheet3</vt:lpstr>
      <vt:lpstr>E_R</vt:lpstr>
      <vt:lpstr>Isigma</vt:lpstr>
      <vt:lpstr>K_</vt:lpstr>
      <vt:lpstr>ones</vt:lpstr>
      <vt:lpstr>q_d</vt:lpstr>
      <vt:lpstr>q_dd</vt:lpstr>
      <vt:lpstr>q_du</vt:lpstr>
      <vt:lpstr>q_u</vt:lpstr>
      <vt:lpstr>q_ud</vt:lpstr>
      <vt:lpstr>q_uu</vt:lpstr>
      <vt:lpstr>R_</vt:lpstr>
      <vt:lpstr>r_f</vt:lpstr>
      <vt:lpstr>S_0</vt:lpstr>
      <vt:lpstr>S_d</vt:lpstr>
      <vt:lpstr>S_dd</vt:lpstr>
      <vt:lpstr>S_u</vt:lpstr>
      <vt:lpstr>S_ud</vt:lpstr>
      <vt:lpstr>S_uu</vt:lpstr>
      <vt:lpstr>Sigma</vt:lpstr>
      <vt:lpstr>w_gmv</vt:lpstr>
      <vt:lpstr>w_p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Skovmand</dc:creator>
  <cp:lastModifiedBy>Rolf Poulsen</cp:lastModifiedBy>
  <dcterms:created xsi:type="dcterms:W3CDTF">2015-11-26T11:37:24Z</dcterms:created>
  <dcterms:modified xsi:type="dcterms:W3CDTF">2020-10-25T16:58:08Z</dcterms:modified>
</cp:coreProperties>
</file>