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Mat Fin på CBS 2019\Eksamensopgaver til Noterne\Eksamensopgaver til Noterne\Fin1\"/>
    </mc:Choice>
  </mc:AlternateContent>
  <bookViews>
    <workbookView xWindow="480" yWindow="60" windowWidth="17220" windowHeight="7420"/>
  </bookViews>
  <sheets>
    <sheet name="Opgave 1" sheetId="1" r:id="rId1"/>
    <sheet name="Opgave 2" sheetId="2" r:id="rId2"/>
  </sheets>
  <definedNames>
    <definedName name="solver_adj" localSheetId="0" hidden="1">'Opgave 1'!$C$14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'Opgave 1'!$E$14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0.025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D10" i="1" l="1" a="1"/>
  <c r="D10" i="1" s="1"/>
  <c r="D11" i="1" l="1"/>
  <c r="I65" i="2"/>
  <c r="C50" i="1" l="1"/>
  <c r="C49" i="1"/>
  <c r="C47" i="1"/>
  <c r="C46" i="1"/>
  <c r="B31" i="1"/>
  <c r="B30" i="1"/>
  <c r="C27" i="1"/>
  <c r="C37" i="1" s="1"/>
  <c r="C25" i="1"/>
  <c r="G19" i="1"/>
  <c r="G26" i="1" s="1"/>
  <c r="G20" i="1"/>
  <c r="G27" i="1" s="1"/>
  <c r="F19" i="1"/>
  <c r="C30" i="1" s="1"/>
  <c r="F20" i="1"/>
  <c r="C31" i="1" s="1"/>
  <c r="E20" i="1"/>
  <c r="C20" i="1"/>
  <c r="C42" i="1" s="1"/>
  <c r="C18" i="1"/>
  <c r="B19" i="1"/>
  <c r="B20" i="1"/>
  <c r="A20" i="1"/>
  <c r="C10" i="1"/>
  <c r="C19" i="1" s="1"/>
  <c r="I7" i="2"/>
  <c r="I6" i="2"/>
  <c r="I5" i="2"/>
  <c r="I4" i="2"/>
  <c r="I3" i="2"/>
  <c r="H7" i="2"/>
  <c r="H6" i="2"/>
  <c r="H5" i="2"/>
  <c r="H4" i="2"/>
  <c r="H3" i="2"/>
  <c r="G7" i="2"/>
  <c r="G6" i="2"/>
  <c r="G5" i="2"/>
  <c r="G4" i="2"/>
  <c r="G3" i="2"/>
  <c r="D13" i="1" a="1"/>
  <c r="D14" i="1" s="1"/>
  <c r="C13" i="1"/>
  <c r="A11" i="1"/>
  <c r="C11" i="1" s="1"/>
  <c r="A10" i="1"/>
  <c r="D7" i="1" a="1"/>
  <c r="D8" i="1" s="1"/>
  <c r="C41" i="1" l="1"/>
  <c r="C26" i="1"/>
  <c r="B49" i="1"/>
  <c r="B42" i="1"/>
  <c r="D7" i="1"/>
  <c r="B11" i="1"/>
  <c r="G18" i="1" s="1"/>
  <c r="C9" i="2" a="1"/>
  <c r="C9" i="2" s="1"/>
  <c r="A27" i="2" s="1"/>
  <c r="D9" i="2" a="1"/>
  <c r="D9" i="2" s="1"/>
  <c r="A28" i="2" s="1"/>
  <c r="B9" i="2" a="1"/>
  <c r="B9" i="2" s="1"/>
  <c r="K4" i="2" s="1"/>
  <c r="D13" i="1"/>
  <c r="L7" i="2" l="1"/>
  <c r="L18" i="2" s="1"/>
  <c r="E8" i="1"/>
  <c r="I8" i="1" s="1"/>
  <c r="G8" i="1"/>
  <c r="L4" i="2"/>
  <c r="L15" i="2" s="1"/>
  <c r="L6" i="2"/>
  <c r="L17" i="2" s="1"/>
  <c r="B27" i="1"/>
  <c r="A31" i="1" s="1"/>
  <c r="C36" i="1"/>
  <c r="B37" i="1" s="1"/>
  <c r="G25" i="1"/>
  <c r="C35" i="1" s="1"/>
  <c r="B36" i="1" s="1"/>
  <c r="C40" i="1"/>
  <c r="B41" i="1" s="1"/>
  <c r="A42" i="1" s="1"/>
  <c r="M3" i="2"/>
  <c r="M19" i="2" s="1"/>
  <c r="L3" i="2"/>
  <c r="L14" i="2" s="1"/>
  <c r="C12" i="2" s="1" a="1"/>
  <c r="C12" i="2" s="1"/>
  <c r="C60" i="2" s="1"/>
  <c r="L5" i="2"/>
  <c r="L16" i="2" s="1"/>
  <c r="A61" i="2"/>
  <c r="A57" i="2"/>
  <c r="M7" i="2"/>
  <c r="M23" i="2" s="1"/>
  <c r="A53" i="2"/>
  <c r="A60" i="2"/>
  <c r="M4" i="2"/>
  <c r="M20" i="2" s="1"/>
  <c r="E14" i="1"/>
  <c r="H11" i="1"/>
  <c r="F27" i="1"/>
  <c r="M5" i="2"/>
  <c r="M21" i="2" s="1"/>
  <c r="K3" i="2"/>
  <c r="K9" i="2" s="1"/>
  <c r="M6" i="2"/>
  <c r="M17" i="2" s="1"/>
  <c r="K7" i="2"/>
  <c r="K13" i="2" s="1"/>
  <c r="A26" i="2"/>
  <c r="K6" i="2"/>
  <c r="L12" i="2" s="1"/>
  <c r="K10" i="2"/>
  <c r="K5" i="2"/>
  <c r="M10" i="2"/>
  <c r="B26" i="1"/>
  <c r="A30" i="1" l="1"/>
  <c r="D30" i="1" s="1" a="1"/>
  <c r="A27" i="1"/>
  <c r="M14" i="2"/>
  <c r="F26" i="1"/>
  <c r="E27" i="1" s="1"/>
  <c r="A37" i="1"/>
  <c r="M22" i="2"/>
  <c r="M18" i="2"/>
  <c r="L10" i="2"/>
  <c r="L9" i="2"/>
  <c r="M15" i="2"/>
  <c r="B47" i="1"/>
  <c r="A48" i="1" s="1"/>
  <c r="L11" i="2"/>
  <c r="K12" i="2"/>
  <c r="A52" i="2"/>
  <c r="A56" i="2"/>
  <c r="M16" i="2"/>
  <c r="D12" i="2" s="1" a="1"/>
  <c r="D12" i="2" s="1"/>
  <c r="D60" i="2" s="1"/>
  <c r="M9" i="2"/>
  <c r="H10" i="1"/>
  <c r="G11" i="1" s="1"/>
  <c r="I11" i="1" s="1"/>
  <c r="E11" i="1"/>
  <c r="D53" i="2"/>
  <c r="G12" i="2"/>
  <c r="M13" i="2"/>
  <c r="M11" i="2"/>
  <c r="K11" i="2"/>
  <c r="B11" i="2" s="1" a="1"/>
  <c r="B11" i="2" s="1"/>
  <c r="C56" i="2" s="1"/>
  <c r="L13" i="2"/>
  <c r="M12" i="2"/>
  <c r="D13" i="2" a="1"/>
  <c r="D13" i="2" s="1"/>
  <c r="C11" i="2" l="1" a="1"/>
  <c r="C11" i="2" s="1"/>
  <c r="D52" i="2" s="1"/>
  <c r="D30" i="1"/>
  <c r="D31" i="1"/>
  <c r="H13" i="2"/>
  <c r="D57" i="2"/>
  <c r="D61" i="2"/>
  <c r="C13" i="2"/>
  <c r="C61" i="2" s="1"/>
  <c r="F60" i="2" s="1" a="1"/>
  <c r="H12" i="2"/>
  <c r="F11" i="2"/>
  <c r="C52" i="2"/>
  <c r="D11" i="2" a="1"/>
  <c r="D11" i="2" s="1"/>
  <c r="D56" i="2" s="1"/>
  <c r="B12" i="2" l="1"/>
  <c r="C53" i="2" s="1"/>
  <c r="G11" i="2"/>
  <c r="F52" i="2" a="1"/>
  <c r="F52" i="2" s="1"/>
  <c r="H11" i="2"/>
  <c r="F60" i="2"/>
  <c r="R60" i="2" s="1" a="1"/>
  <c r="R60" i="2" s="1"/>
  <c r="R61" i="2" s="1"/>
  <c r="F61" i="2"/>
  <c r="G61" i="2"/>
  <c r="G60" i="2"/>
  <c r="B13" i="2"/>
  <c r="R52" i="2" l="1" a="1"/>
  <c r="R52" i="2" s="1"/>
  <c r="R53" i="2" s="1"/>
  <c r="G52" i="2"/>
  <c r="G53" i="2"/>
  <c r="F53" i="2"/>
  <c r="E26" i="2" a="1"/>
  <c r="E27" i="2" s="1"/>
  <c r="C57" i="2"/>
  <c r="F56" i="2" s="1" a="1"/>
  <c r="F27" i="2" l="1"/>
  <c r="E26" i="2"/>
  <c r="F26" i="2"/>
  <c r="G56" i="2"/>
  <c r="F56" i="2"/>
  <c r="R56" i="2" s="1" a="1"/>
  <c r="R56" i="2" s="1"/>
  <c r="R57" i="2" s="1"/>
  <c r="G57" i="2"/>
  <c r="F57" i="2"/>
  <c r="H26" i="2" a="1"/>
  <c r="I32" i="2" l="1"/>
  <c r="I30" i="2"/>
  <c r="G30" i="2"/>
  <c r="R34" i="2" a="1"/>
  <c r="R34" i="2" s="1"/>
  <c r="R35" i="2" s="1"/>
  <c r="K30" i="2"/>
  <c r="I56" i="2" a="1"/>
  <c r="I56" i="2" s="1"/>
  <c r="I57" i="2" s="1"/>
  <c r="I26" i="2"/>
  <c r="H28" i="2"/>
  <c r="I28" i="2"/>
  <c r="H26" i="2"/>
  <c r="I27" i="2"/>
  <c r="H27" i="2"/>
  <c r="J32" i="2" l="1"/>
  <c r="I52" i="2" a="1"/>
  <c r="I52" i="2" s="1"/>
  <c r="I53" i="2" s="1"/>
  <c r="I34" i="2" a="1"/>
  <c r="I34" i="2" s="1"/>
  <c r="I35" i="2" s="1"/>
  <c r="I60" i="2" a="1"/>
  <c r="I60" i="2" s="1"/>
  <c r="I61" i="2" s="1"/>
  <c r="K32" i="2" l="1"/>
  <c r="J52" i="2" a="1"/>
  <c r="J52" i="2" s="1"/>
  <c r="J53" i="2" s="1"/>
  <c r="J34" i="2" a="1"/>
  <c r="J34" i="2" s="1"/>
  <c r="J35" i="2" s="1"/>
  <c r="J60" i="2" a="1"/>
  <c r="J60" i="2" s="1"/>
  <c r="J61" i="2" s="1"/>
  <c r="J56" i="2" a="1"/>
  <c r="J56" i="2" s="1"/>
  <c r="J57" i="2" s="1"/>
  <c r="L32" i="2" l="1"/>
  <c r="K52" i="2" a="1"/>
  <c r="K52" i="2" s="1"/>
  <c r="K53" i="2" s="1"/>
  <c r="K34" i="2" a="1"/>
  <c r="K34" i="2" s="1"/>
  <c r="K35" i="2" s="1"/>
  <c r="K60" i="2" a="1"/>
  <c r="K60" i="2" s="1"/>
  <c r="K61" i="2" s="1"/>
  <c r="K56" i="2" a="1"/>
  <c r="K56" i="2" s="1"/>
  <c r="K57" i="2" s="1"/>
  <c r="M32" i="2" l="1"/>
  <c r="L34" i="2" a="1"/>
  <c r="L34" i="2" s="1"/>
  <c r="L35" i="2" s="1"/>
  <c r="L52" i="2" a="1"/>
  <c r="L52" i="2" s="1"/>
  <c r="L53" i="2" s="1"/>
  <c r="L60" i="2" a="1"/>
  <c r="L60" i="2" s="1"/>
  <c r="L61" i="2" s="1"/>
  <c r="L56" i="2" a="1"/>
  <c r="L56" i="2" s="1"/>
  <c r="L57" i="2" s="1"/>
  <c r="N32" i="2" l="1"/>
  <c r="M52" i="2" a="1"/>
  <c r="M52" i="2" s="1"/>
  <c r="M53" i="2" s="1"/>
  <c r="M60" i="2" a="1"/>
  <c r="M60" i="2" s="1"/>
  <c r="M61" i="2" s="1"/>
  <c r="M34" i="2" a="1"/>
  <c r="M34" i="2" s="1"/>
  <c r="M35" i="2" s="1"/>
  <c r="M56" i="2" a="1"/>
  <c r="M56" i="2" s="1"/>
  <c r="M57" i="2" s="1"/>
  <c r="O32" i="2" l="1"/>
  <c r="N52" i="2" a="1"/>
  <c r="N52" i="2" s="1"/>
  <c r="N53" i="2" s="1"/>
  <c r="N34" i="2" a="1"/>
  <c r="N34" i="2" s="1"/>
  <c r="N35" i="2" s="1"/>
  <c r="N60" i="2" a="1"/>
  <c r="N60" i="2" s="1"/>
  <c r="N61" i="2" s="1"/>
  <c r="N56" i="2" a="1"/>
  <c r="N56" i="2" s="1"/>
  <c r="N57" i="2" s="1"/>
  <c r="P32" i="2" l="1"/>
  <c r="O52" i="2" a="1"/>
  <c r="O52" i="2" s="1"/>
  <c r="O53" i="2" s="1"/>
  <c r="O34" i="2" a="1"/>
  <c r="O34" i="2" s="1"/>
  <c r="O35" i="2" s="1"/>
  <c r="O60" i="2" a="1"/>
  <c r="O60" i="2" s="1"/>
  <c r="O61" i="2" s="1"/>
  <c r="O56" i="2" a="1"/>
  <c r="O56" i="2" s="1"/>
  <c r="O57" i="2" s="1"/>
  <c r="Q32" i="2" l="1"/>
  <c r="P34" i="2" a="1"/>
  <c r="P34" i="2" s="1"/>
  <c r="P35" i="2" s="1"/>
  <c r="P52" i="2" a="1"/>
  <c r="P52" i="2" s="1"/>
  <c r="P53" i="2" s="1"/>
  <c r="P60" i="2" a="1"/>
  <c r="P60" i="2" s="1"/>
  <c r="P61" i="2" s="1"/>
  <c r="P56" i="2" a="1"/>
  <c r="P56" i="2" s="1"/>
  <c r="P57" i="2" s="1"/>
  <c r="Q52" i="2" l="1" a="1"/>
  <c r="Q52" i="2" s="1"/>
  <c r="Q53" i="2" s="1"/>
  <c r="S32" i="2"/>
  <c r="Q34" i="2" a="1"/>
  <c r="Q34" i="2" s="1"/>
  <c r="Q35" i="2" s="1"/>
  <c r="Q60" i="2" a="1"/>
  <c r="Q60" i="2" s="1"/>
  <c r="Q61" i="2" s="1"/>
  <c r="Q56" i="2" a="1"/>
  <c r="Q56" i="2" s="1"/>
  <c r="Q57" i="2" s="1"/>
  <c r="S34" i="2" l="1" a="1"/>
  <c r="S34" i="2" s="1"/>
  <c r="S35" i="2" s="1"/>
  <c r="S52" i="2" a="1"/>
  <c r="S52" i="2" s="1"/>
  <c r="S53" i="2" s="1"/>
  <c r="S56" i="2" a="1"/>
  <c r="S56" i="2" s="1"/>
  <c r="S57" i="2" s="1"/>
  <c r="S60" i="2" a="1"/>
  <c r="S60" i="2" s="1"/>
  <c r="S61" i="2" s="1"/>
  <c r="T32" i="2"/>
  <c r="T56" i="2" l="1" a="1"/>
  <c r="T56" i="2" s="1"/>
  <c r="T57" i="2" s="1"/>
  <c r="T34" i="2" a="1"/>
  <c r="T34" i="2" s="1"/>
  <c r="T35" i="2" s="1"/>
  <c r="U32" i="2"/>
  <c r="T60" i="2" a="1"/>
  <c r="T60" i="2" s="1"/>
  <c r="T61" i="2" s="1"/>
  <c r="T52" i="2" a="1"/>
  <c r="T52" i="2" s="1"/>
  <c r="T53" i="2" s="1"/>
  <c r="U34" i="2" l="1" a="1"/>
  <c r="U34" i="2" s="1"/>
  <c r="U35" i="2" s="1"/>
  <c r="U56" i="2" a="1"/>
  <c r="U56" i="2" s="1"/>
  <c r="U57" i="2" s="1"/>
  <c r="V32" i="2"/>
  <c r="U60" i="2" a="1"/>
  <c r="U60" i="2" s="1"/>
  <c r="U61" i="2" s="1"/>
  <c r="U52" i="2" a="1"/>
  <c r="U52" i="2" s="1"/>
  <c r="U53" i="2" s="1"/>
  <c r="V34" i="2" l="1" a="1"/>
  <c r="V34" i="2" s="1"/>
  <c r="V35" i="2" s="1"/>
  <c r="V56" i="2" a="1"/>
  <c r="V56" i="2" s="1"/>
  <c r="V57" i="2" s="1"/>
  <c r="W32" i="2"/>
  <c r="V52" i="2" a="1"/>
  <c r="V52" i="2" s="1"/>
  <c r="V53" i="2" s="1"/>
  <c r="V60" i="2" a="1"/>
  <c r="V60" i="2" s="1"/>
  <c r="V61" i="2" s="1"/>
  <c r="W34" i="2" l="1" a="1"/>
  <c r="W34" i="2" s="1"/>
  <c r="W35" i="2" s="1"/>
  <c r="W56" i="2" a="1"/>
  <c r="W56" i="2" s="1"/>
  <c r="W57" i="2" s="1"/>
  <c r="X32" i="2"/>
  <c r="W60" i="2" a="1"/>
  <c r="W60" i="2" s="1"/>
  <c r="W61" i="2" s="1"/>
  <c r="W52" i="2" a="1"/>
  <c r="W52" i="2" s="1"/>
  <c r="W53" i="2" s="1"/>
  <c r="X34" i="2" l="1" a="1"/>
  <c r="X34" i="2" s="1"/>
  <c r="X35" i="2" s="1"/>
  <c r="X56" i="2" a="1"/>
  <c r="X56" i="2" s="1"/>
  <c r="X57" i="2" s="1"/>
  <c r="X60" i="2" a="1"/>
  <c r="X60" i="2" s="1"/>
  <c r="X61" i="2" s="1"/>
  <c r="Y32" i="2"/>
  <c r="X52" i="2" a="1"/>
  <c r="X52" i="2" s="1"/>
  <c r="X53" i="2" s="1"/>
  <c r="Y34" i="2" l="1" a="1"/>
  <c r="Y34" i="2" s="1"/>
  <c r="Y35" i="2" s="1"/>
  <c r="Y56" i="2" a="1"/>
  <c r="Y56" i="2" s="1"/>
  <c r="Y57" i="2" s="1"/>
  <c r="Y52" i="2" a="1"/>
  <c r="Y52" i="2" s="1"/>
  <c r="Y53" i="2" s="1"/>
  <c r="Z32" i="2"/>
  <c r="Y60" i="2" a="1"/>
  <c r="Y60" i="2" s="1"/>
  <c r="Y61" i="2" s="1"/>
  <c r="Z34" i="2" l="1" a="1"/>
  <c r="Z34" i="2" s="1"/>
  <c r="Z35" i="2" s="1"/>
  <c r="Z56" i="2" a="1"/>
  <c r="Z56" i="2" s="1"/>
  <c r="Z57" i="2" s="1"/>
  <c r="AA32" i="2"/>
  <c r="Z60" i="2" a="1"/>
  <c r="Z60" i="2" s="1"/>
  <c r="Z61" i="2" s="1"/>
  <c r="Z52" i="2" a="1"/>
  <c r="Z52" i="2" s="1"/>
  <c r="Z53" i="2" s="1"/>
  <c r="AA34" i="2" l="1" a="1"/>
  <c r="AA34" i="2" s="1"/>
  <c r="AA35" i="2" s="1"/>
  <c r="AA56" i="2" a="1"/>
  <c r="AA56" i="2" s="1"/>
  <c r="AA57" i="2" s="1"/>
  <c r="AB32" i="2"/>
  <c r="AA60" i="2" a="1"/>
  <c r="AA60" i="2" s="1"/>
  <c r="AA61" i="2" s="1"/>
  <c r="AA52" i="2" a="1"/>
  <c r="AA52" i="2" s="1"/>
  <c r="AA53" i="2" s="1"/>
  <c r="AB34" i="2" l="1" a="1"/>
  <c r="AB34" i="2" s="1"/>
  <c r="AB35" i="2" s="1"/>
  <c r="AB56" i="2" a="1"/>
  <c r="AB56" i="2" s="1"/>
  <c r="AB57" i="2" s="1"/>
  <c r="AB60" i="2" a="1"/>
  <c r="AB60" i="2" s="1"/>
  <c r="AB61" i="2" s="1"/>
  <c r="AC32" i="2"/>
  <c r="AB52" i="2" a="1"/>
  <c r="AB52" i="2" s="1"/>
  <c r="AB53" i="2" s="1"/>
  <c r="AC60" i="2" l="1" a="1"/>
  <c r="AC60" i="2" s="1"/>
  <c r="AC61" i="2" s="1"/>
  <c r="AC56" i="2" a="1"/>
  <c r="AC56" i="2" s="1"/>
  <c r="AC57" i="2" s="1"/>
  <c r="AC34" i="2" a="1"/>
  <c r="AC34" i="2" s="1"/>
  <c r="AC35" i="2" s="1"/>
  <c r="AD32" i="2"/>
  <c r="AC52" i="2" a="1"/>
  <c r="AC52" i="2" s="1"/>
  <c r="AC53" i="2" s="1"/>
  <c r="AD56" i="2" l="1" a="1"/>
  <c r="AD56" i="2" s="1"/>
  <c r="AD57" i="2" s="1"/>
  <c r="AD34" i="2" a="1"/>
  <c r="AD34" i="2" s="1"/>
  <c r="AD35" i="2" s="1"/>
  <c r="AD52" i="2" a="1"/>
  <c r="AD52" i="2" s="1"/>
  <c r="AD53" i="2" s="1"/>
  <c r="AD60" i="2" a="1"/>
  <c r="AD60" i="2" s="1"/>
  <c r="AD61" i="2" s="1"/>
</calcChain>
</file>

<file path=xl/sharedStrings.xml><?xml version="1.0" encoding="utf-8"?>
<sst xmlns="http://schemas.openxmlformats.org/spreadsheetml/2006/main" count="83" uniqueCount="71">
  <si>
    <t>A1</t>
  </si>
  <si>
    <t>A2</t>
  </si>
  <si>
    <t>A3</t>
  </si>
  <si>
    <t>Mu</t>
  </si>
  <si>
    <t>Sigma</t>
  </si>
  <si>
    <t>sigma/rho</t>
  </si>
  <si>
    <t xml:space="preserve"> </t>
  </si>
  <si>
    <t>A</t>
  </si>
  <si>
    <t>Sigma^-1 [Mu 1] A^-1</t>
  </si>
  <si>
    <t>Kun A1 &amp; A2</t>
  </si>
  <si>
    <t>Kun A1 &amp; A3</t>
  </si>
  <si>
    <t>Kun A2 &amp; A3</t>
  </si>
  <si>
    <t>Tid 0-del-model</t>
  </si>
  <si>
    <t>Tid 1, op-delmodel</t>
  </si>
  <si>
    <t>Tid 1, ned-delmodel</t>
  </si>
  <si>
    <t>Tilstandspriser</t>
  </si>
  <si>
    <t>Rente</t>
  </si>
  <si>
    <t>P(0,1)</t>
  </si>
  <si>
    <t>P(,2)</t>
  </si>
  <si>
    <t>y(0,1)</t>
  </si>
  <si>
    <t>y(0,2)</t>
  </si>
  <si>
    <t>S1</t>
  </si>
  <si>
    <t>S2</t>
  </si>
  <si>
    <t>X</t>
  </si>
  <si>
    <t>Call</t>
  </si>
  <si>
    <t>K</t>
  </si>
  <si>
    <t>&lt;- i S1 på tid 0</t>
  </si>
  <si>
    <t>&lt;- S2 på tid</t>
  </si>
  <si>
    <t>Der kan replikeres tid 1-&gt;2 også med S1 og S2</t>
  </si>
  <si>
    <t xml:space="preserve">Her kan vi vælge mellem en call på S1 og en call på S2, </t>
  </si>
  <si>
    <t>og da vi kan vente til tid 2 med at vælge, er priser &gt; (=) Max af de to fra 1c</t>
  </si>
  <si>
    <t>Y</t>
  </si>
  <si>
    <t>Vi kan flytte max indenfor ^+, så samme payoff som for X,</t>
  </si>
  <si>
    <t>og derfor samme pris.</t>
  </si>
  <si>
    <t>Z</t>
  </si>
  <si>
    <t>De tre "uden en bestemt aktie"-opt'prob gi'r minimum-varians-rande, der alle ligger over (i mu, sigmga-rum) den m/ 3. Der er dog et fællespunkt for hver.</t>
  </si>
  <si>
    <t>* Vi arbejder med afkasrater, ikke priser i Markowitz-analyse</t>
  </si>
  <si>
    <t>* Vi antager strent taget ikke normalitet, kun noget om iddelværdi og varians (deraft neavnet middelværdi-varians-analyse)</t>
  </si>
  <si>
    <t>* Vi antager ikke afhængighed. Absolut ikke på tværs af aktiver. I tid: Jo, når vi estimerer, men modellen er 1-periode.</t>
  </si>
  <si>
    <t>* Det *er* dog rigtigt, at  for at middelværdi og varians giver at godt indtryk af risiko og mulig gveinst, så skal vi ligge tæt på noget normalfordelt.</t>
  </si>
  <si>
    <t>* Og empirisk har afkastrater typsike tunger haler end normalfordelingen -- og er skæve.</t>
  </si>
  <si>
    <t>Der er nogle misforståelser i citatet, men vedkommende har da fat i noget:</t>
  </si>
  <si>
    <t xml:space="preserve">Stiafhængigt, så vi folder ud som træ. (op,ned)-stien </t>
  </si>
  <si>
    <t>gi'r mere i X,Y-tilfældet, så højere pris.</t>
  </si>
  <si>
    <t>\pi'er</t>
  </si>
  <si>
    <t>D-matricer</t>
  </si>
  <si>
    <t>\psi</t>
  </si>
  <si>
    <t>Risikofrit aktiv: Løs D^T \theta = (1,1)^T</t>
  </si>
  <si>
    <t>Risikofri rente opfylder r = 1/sum(\psi_i) -1</t>
  </si>
  <si>
    <t>Dominerer (tydeligvis) X, Y-payoff så højere pris</t>
  </si>
  <si>
    <t>Rep'ligninger v/ brug af aktie 1 og aktie 2</t>
  </si>
  <si>
    <t>Kun -2-randen fås som "punktvis max" (eller min, afh. af hvordan man ser) eller foldningen af de 3 "uden en"-rande. Denne kurve er ikke konveks.</t>
  </si>
  <si>
    <t xml:space="preserve">For mu_P = 0.06, ser vi, at skal vi bruge aktie 2 og 3. </t>
  </si>
  <si>
    <t>Vægt i aktie 2</t>
  </si>
  <si>
    <t xml:space="preserve">Efficient rand = (mu_P, 1) A^-1 (mu_P, 1)^T </t>
  </si>
  <si>
    <t>konst</t>
  </si>
  <si>
    <t>\mu-koef.</t>
  </si>
  <si>
    <t>\mu_P^2-koef.</t>
  </si>
  <si>
    <t>Vi skal undersøge alle 1-periode-modeller</t>
  </si>
  <si>
    <t>for tilstandsprisvektorer; D\psi = \pi</t>
  </si>
  <si>
    <t>Alt OK: Eksistens &amp; positivitet</t>
  </si>
  <si>
    <t xml:space="preserve"> =&gt; ingen arb'; entydighed =&gt; komplethed</t>
  </si>
  <si>
    <t>1a</t>
  </si>
  <si>
    <t>1b</t>
  </si>
  <si>
    <t>1c</t>
  </si>
  <si>
    <t>1d</t>
  </si>
  <si>
    <t>1e</t>
  </si>
  <si>
    <t>2a</t>
  </si>
  <si>
    <t>2b</t>
  </si>
  <si>
    <t>2c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</si>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</sst>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0" xfId="0" applyNumberFormat="1" applyFill="1"/>
    <xf numFmtId="0" fontId="2" fillId="2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2" fontId="2" fillId="2" borderId="0" xfId="0" applyNumberFormat="1" applyFont="1" applyFill="1"/>
    <xf numFmtId="0" fontId="0" fillId="0" borderId="0" xfId="0" applyBorder="1"/>
    <xf numFmtId="0" fontId="2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2" fillId="2" borderId="5" xfId="0" applyNumberFormat="1" applyFont="1" applyFill="1" applyBorder="1"/>
    <xf numFmtId="0" fontId="2" fillId="2" borderId="5" xfId="0" applyFont="1" applyFill="1" applyBorder="1"/>
    <xf numFmtId="0" fontId="0" fillId="0" borderId="7" xfId="0" applyBorder="1"/>
    <xf numFmtId="0" fontId="0" fillId="0" borderId="8" xfId="0" applyBorder="1"/>
    <xf numFmtId="164" fontId="2" fillId="2" borderId="0" xfId="0" applyNumberFormat="1" applyFont="1" applyFill="1" applyBorder="1"/>
    <xf numFmtId="164" fontId="0" fillId="0" borderId="0" xfId="0" applyNumberFormat="1" applyBorder="1"/>
    <xf numFmtId="164" fontId="2" fillId="2" borderId="7" xfId="0" applyNumberFormat="1" applyFont="1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rand</c:v>
          </c:tx>
          <c:xVal>
            <c:numRef>
              <c:f>'Opgave 2'!$I$35:$AD$35</c:f>
              <c:numCache>
                <c:formatCode>General</c:formatCode>
                <c:ptCount val="22"/>
                <c:pt idx="0">
                  <c:v>3.051980256861668E-2</c:v>
                </c:pt>
                <c:pt idx="1">
                  <c:v>3.3897847002914858E-2</c:v>
                </c:pt>
                <c:pt idx="2">
                  <c:v>4.2448569813953355E-2</c:v>
                </c:pt>
                <c:pt idx="3">
                  <c:v>5.3757878420548626E-2</c:v>
                </c:pt>
                <c:pt idx="4">
                  <c:v>6.643153822182854E-2</c:v>
                </c:pt>
                <c:pt idx="5">
                  <c:v>7.9822305240887459E-2</c:v>
                </c:pt>
                <c:pt idx="6">
                  <c:v>9.3622982876171587E-2</c:v>
                </c:pt>
                <c:pt idx="7">
                  <c:v>0.10767607346344774</c:v>
                </c:pt>
                <c:pt idx="8">
                  <c:v>0.12189430682189809</c:v>
                </c:pt>
                <c:pt idx="9">
                  <c:v>0.12673777235208467</c:v>
                </c:pt>
                <c:pt idx="10">
                  <c:v>0.13622598371781955</c:v>
                </c:pt>
                <c:pt idx="11">
                  <c:v>0.15063872878312407</c:v>
                </c:pt>
                <c:pt idx="12">
                  <c:v>0.16511131379804034</c:v>
                </c:pt>
                <c:pt idx="13">
                  <c:v>0.1796292755762425</c:v>
                </c:pt>
                <c:pt idx="14">
                  <c:v>0.19418243666507984</c:v>
                </c:pt>
                <c:pt idx="15">
                  <c:v>0.20876343582998722</c:v>
                </c:pt>
                <c:pt idx="16">
                  <c:v>0.22336682147334683</c:v>
                </c:pt>
                <c:pt idx="17">
                  <c:v>0.23798847261134765</c:v>
                </c:pt>
                <c:pt idx="18">
                  <c:v>0.25262521770771362</c:v>
                </c:pt>
                <c:pt idx="19">
                  <c:v>0.26727457700475105</c:v>
                </c:pt>
                <c:pt idx="20">
                  <c:v>0.28193458420257506</c:v>
                </c:pt>
                <c:pt idx="21">
                  <c:v>0.29660366044791242</c:v>
                </c:pt>
              </c:numCache>
            </c:numRef>
          </c:xVal>
          <c:yVal>
            <c:numRef>
              <c:f>'Opgave 2'!$I$32:$AD$32</c:f>
              <c:numCache>
                <c:formatCode>General</c:formatCode>
                <c:ptCount val="22"/>
                <c:pt idx="0">
                  <c:v>1.8306460088215154E-2</c:v>
                </c:pt>
                <c:pt idx="1">
                  <c:v>2.3306460088215155E-2</c:v>
                </c:pt>
                <c:pt idx="2">
                  <c:v>2.8306460088215156E-2</c:v>
                </c:pt>
                <c:pt idx="3">
                  <c:v>3.3306460088215153E-2</c:v>
                </c:pt>
                <c:pt idx="4">
                  <c:v>3.8306460088215151E-2</c:v>
                </c:pt>
                <c:pt idx="5">
                  <c:v>4.3306460088215148E-2</c:v>
                </c:pt>
                <c:pt idx="6">
                  <c:v>4.8306460088215146E-2</c:v>
                </c:pt>
                <c:pt idx="7">
                  <c:v>5.3306460088215143E-2</c:v>
                </c:pt>
                <c:pt idx="8">
                  <c:v>5.8306460088215141E-2</c:v>
                </c:pt>
                <c:pt idx="9">
                  <c:v>0.06</c:v>
                </c:pt>
                <c:pt idx="10">
                  <c:v>6.3306460088215138E-2</c:v>
                </c:pt>
                <c:pt idx="11">
                  <c:v>6.8306460088215143E-2</c:v>
                </c:pt>
                <c:pt idx="12">
                  <c:v>7.3306460088215147E-2</c:v>
                </c:pt>
                <c:pt idx="13">
                  <c:v>7.8306460088215152E-2</c:v>
                </c:pt>
                <c:pt idx="14">
                  <c:v>8.3306460088215156E-2</c:v>
                </c:pt>
                <c:pt idx="15">
                  <c:v>8.8306460088215161E-2</c:v>
                </c:pt>
                <c:pt idx="16">
                  <c:v>9.3306460088215165E-2</c:v>
                </c:pt>
                <c:pt idx="17">
                  <c:v>9.830646008821517E-2</c:v>
                </c:pt>
                <c:pt idx="18">
                  <c:v>0.10330646008821517</c:v>
                </c:pt>
                <c:pt idx="19">
                  <c:v>0.10830646008821518</c:v>
                </c:pt>
                <c:pt idx="20">
                  <c:v>0.11330646008821518</c:v>
                </c:pt>
                <c:pt idx="21">
                  <c:v>0.11830646008821519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95-4A3A-9915-2EF35642B790}"/>
            </c:ext>
          </c:extLst>
        </c:ser>
        <c:ser>
          <c:idx val="1"/>
          <c:order val="1"/>
          <c:tx>
            <c:v>Kun A1 &amp; A2</c:v>
          </c:tx>
          <c:xVal>
            <c:numRef>
              <c:f>'Opgave 2'!$I$53:$AD$53</c:f>
              <c:numCache>
                <c:formatCode>General</c:formatCode>
                <c:ptCount val="22"/>
                <c:pt idx="0">
                  <c:v>5.4523530505411762E-2</c:v>
                </c:pt>
                <c:pt idx="1">
                  <c:v>3.9598263699349039E-2</c:v>
                </c:pt>
                <c:pt idx="2">
                  <c:v>4.266024219221537E-2</c:v>
                </c:pt>
                <c:pt idx="3">
                  <c:v>6.1060926184102617E-2</c:v>
                </c:pt>
                <c:pt idx="4">
                  <c:v>8.5402832597572795E-2</c:v>
                </c:pt>
                <c:pt idx="5">
                  <c:v>0.11187277413018923</c:v>
                </c:pt>
                <c:pt idx="6">
                  <c:v>0.1392625507239699</c:v>
                </c:pt>
                <c:pt idx="7">
                  <c:v>0.16712051083985741</c:v>
                </c:pt>
                <c:pt idx="8">
                  <c:v>0.19524635443272734</c:v>
                </c:pt>
                <c:pt idx="9">
                  <c:v>0.20481406201723557</c:v>
                </c:pt>
                <c:pt idx="10">
                  <c:v>0.2235389884602508</c:v>
                </c:pt>
                <c:pt idx="11">
                  <c:v>0.25194222843949915</c:v>
                </c:pt>
                <c:pt idx="12">
                  <c:v>0.28042246744324201</c:v>
                </c:pt>
                <c:pt idx="13">
                  <c:v>0.30895841255663853</c:v>
                </c:pt>
                <c:pt idx="14">
                  <c:v>0.33753593556649153</c:v>
                </c:pt>
                <c:pt idx="15">
                  <c:v>0.36614530117788219</c:v>
                </c:pt>
                <c:pt idx="16">
                  <c:v>0.39477958662677087</c:v>
                </c:pt>
                <c:pt idx="17">
                  <c:v>0.4234337364056302</c:v>
                </c:pt>
                <c:pt idx="18">
                  <c:v>0.45210397355290743</c:v>
                </c:pt>
                <c:pt idx="19">
                  <c:v>0.48078742011921449</c:v>
                </c:pt>
                <c:pt idx="20">
                  <c:v>0.50948184506822103</c:v>
                </c:pt>
                <c:pt idx="21">
                  <c:v>0.53818549240017055</c:v>
                </c:pt>
              </c:numCache>
            </c:numRef>
          </c:xVal>
          <c:yVal>
            <c:numRef>
              <c:f>'Opgave 2'!$I$32:$AD$32</c:f>
              <c:numCache>
                <c:formatCode>General</c:formatCode>
                <c:ptCount val="22"/>
                <c:pt idx="0">
                  <c:v>1.8306460088215154E-2</c:v>
                </c:pt>
                <c:pt idx="1">
                  <c:v>2.3306460088215155E-2</c:v>
                </c:pt>
                <c:pt idx="2">
                  <c:v>2.8306460088215156E-2</c:v>
                </c:pt>
                <c:pt idx="3">
                  <c:v>3.3306460088215153E-2</c:v>
                </c:pt>
                <c:pt idx="4">
                  <c:v>3.8306460088215151E-2</c:v>
                </c:pt>
                <c:pt idx="5">
                  <c:v>4.3306460088215148E-2</c:v>
                </c:pt>
                <c:pt idx="6">
                  <c:v>4.8306460088215146E-2</c:v>
                </c:pt>
                <c:pt idx="7">
                  <c:v>5.3306460088215143E-2</c:v>
                </c:pt>
                <c:pt idx="8">
                  <c:v>5.8306460088215141E-2</c:v>
                </c:pt>
                <c:pt idx="9">
                  <c:v>0.06</c:v>
                </c:pt>
                <c:pt idx="10">
                  <c:v>6.3306460088215138E-2</c:v>
                </c:pt>
                <c:pt idx="11">
                  <c:v>6.8306460088215143E-2</c:v>
                </c:pt>
                <c:pt idx="12">
                  <c:v>7.3306460088215147E-2</c:v>
                </c:pt>
                <c:pt idx="13">
                  <c:v>7.8306460088215152E-2</c:v>
                </c:pt>
                <c:pt idx="14">
                  <c:v>8.3306460088215156E-2</c:v>
                </c:pt>
                <c:pt idx="15">
                  <c:v>8.8306460088215161E-2</c:v>
                </c:pt>
                <c:pt idx="16">
                  <c:v>9.3306460088215165E-2</c:v>
                </c:pt>
                <c:pt idx="17">
                  <c:v>9.830646008821517E-2</c:v>
                </c:pt>
                <c:pt idx="18">
                  <c:v>0.10330646008821517</c:v>
                </c:pt>
                <c:pt idx="19">
                  <c:v>0.10830646008821518</c:v>
                </c:pt>
                <c:pt idx="20">
                  <c:v>0.11330646008821518</c:v>
                </c:pt>
                <c:pt idx="21">
                  <c:v>0.11830646008821519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95-4A3A-9915-2EF35642B790}"/>
            </c:ext>
          </c:extLst>
        </c:ser>
        <c:ser>
          <c:idx val="2"/>
          <c:order val="2"/>
          <c:tx>
            <c:v>Kun A1 og A3</c:v>
          </c:tx>
          <c:xVal>
            <c:numRef>
              <c:f>'Opgave 2'!$I$53:$AD$53</c:f>
              <c:numCache>
                <c:formatCode>General</c:formatCode>
                <c:ptCount val="22"/>
                <c:pt idx="0">
                  <c:v>5.4523530505411762E-2</c:v>
                </c:pt>
                <c:pt idx="1">
                  <c:v>3.9598263699349039E-2</c:v>
                </c:pt>
                <c:pt idx="2">
                  <c:v>4.266024219221537E-2</c:v>
                </c:pt>
                <c:pt idx="3">
                  <c:v>6.1060926184102617E-2</c:v>
                </c:pt>
                <c:pt idx="4">
                  <c:v>8.5402832597572795E-2</c:v>
                </c:pt>
                <c:pt idx="5">
                  <c:v>0.11187277413018923</c:v>
                </c:pt>
                <c:pt idx="6">
                  <c:v>0.1392625507239699</c:v>
                </c:pt>
                <c:pt idx="7">
                  <c:v>0.16712051083985741</c:v>
                </c:pt>
                <c:pt idx="8">
                  <c:v>0.19524635443272734</c:v>
                </c:pt>
                <c:pt idx="9">
                  <c:v>0.20481406201723557</c:v>
                </c:pt>
                <c:pt idx="10">
                  <c:v>0.2235389884602508</c:v>
                </c:pt>
                <c:pt idx="11">
                  <c:v>0.25194222843949915</c:v>
                </c:pt>
                <c:pt idx="12">
                  <c:v>0.28042246744324201</c:v>
                </c:pt>
                <c:pt idx="13">
                  <c:v>0.30895841255663853</c:v>
                </c:pt>
                <c:pt idx="14">
                  <c:v>0.33753593556649153</c:v>
                </c:pt>
                <c:pt idx="15">
                  <c:v>0.36614530117788219</c:v>
                </c:pt>
                <c:pt idx="16">
                  <c:v>0.39477958662677087</c:v>
                </c:pt>
                <c:pt idx="17">
                  <c:v>0.4234337364056302</c:v>
                </c:pt>
                <c:pt idx="18">
                  <c:v>0.45210397355290743</c:v>
                </c:pt>
                <c:pt idx="19">
                  <c:v>0.48078742011921449</c:v>
                </c:pt>
                <c:pt idx="20">
                  <c:v>0.50948184506822103</c:v>
                </c:pt>
                <c:pt idx="21">
                  <c:v>0.53818549240017055</c:v>
                </c:pt>
              </c:numCache>
            </c:numRef>
          </c:xVal>
          <c:yVal>
            <c:numRef>
              <c:f>'Opgave 2'!$I$32:$AD$32</c:f>
              <c:numCache>
                <c:formatCode>General</c:formatCode>
                <c:ptCount val="22"/>
                <c:pt idx="0">
                  <c:v>1.8306460088215154E-2</c:v>
                </c:pt>
                <c:pt idx="1">
                  <c:v>2.3306460088215155E-2</c:v>
                </c:pt>
                <c:pt idx="2">
                  <c:v>2.8306460088215156E-2</c:v>
                </c:pt>
                <c:pt idx="3">
                  <c:v>3.3306460088215153E-2</c:v>
                </c:pt>
                <c:pt idx="4">
                  <c:v>3.8306460088215151E-2</c:v>
                </c:pt>
                <c:pt idx="5">
                  <c:v>4.3306460088215148E-2</c:v>
                </c:pt>
                <c:pt idx="6">
                  <c:v>4.8306460088215146E-2</c:v>
                </c:pt>
                <c:pt idx="7">
                  <c:v>5.3306460088215143E-2</c:v>
                </c:pt>
                <c:pt idx="8">
                  <c:v>5.8306460088215141E-2</c:v>
                </c:pt>
                <c:pt idx="9">
                  <c:v>0.06</c:v>
                </c:pt>
                <c:pt idx="10">
                  <c:v>6.3306460088215138E-2</c:v>
                </c:pt>
                <c:pt idx="11">
                  <c:v>6.8306460088215143E-2</c:v>
                </c:pt>
                <c:pt idx="12">
                  <c:v>7.3306460088215147E-2</c:v>
                </c:pt>
                <c:pt idx="13">
                  <c:v>7.8306460088215152E-2</c:v>
                </c:pt>
                <c:pt idx="14">
                  <c:v>8.3306460088215156E-2</c:v>
                </c:pt>
                <c:pt idx="15">
                  <c:v>8.8306460088215161E-2</c:v>
                </c:pt>
                <c:pt idx="16">
                  <c:v>9.3306460088215165E-2</c:v>
                </c:pt>
                <c:pt idx="17">
                  <c:v>9.830646008821517E-2</c:v>
                </c:pt>
                <c:pt idx="18">
                  <c:v>0.10330646008821517</c:v>
                </c:pt>
                <c:pt idx="19">
                  <c:v>0.10830646008821518</c:v>
                </c:pt>
                <c:pt idx="20">
                  <c:v>0.11330646008821518</c:v>
                </c:pt>
                <c:pt idx="21">
                  <c:v>0.11830646008821519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95-4A3A-9915-2EF35642B790}"/>
            </c:ext>
          </c:extLst>
        </c:ser>
        <c:ser>
          <c:idx val="3"/>
          <c:order val="3"/>
          <c:tx>
            <c:v>Kun A2 og A3</c:v>
          </c:tx>
          <c:xVal>
            <c:numRef>
              <c:f>'Opgave 2'!$I$57:$AD$57</c:f>
              <c:numCache>
                <c:formatCode>General</c:formatCode>
                <c:ptCount val="22"/>
                <c:pt idx="0">
                  <c:v>3.0573880098983965E-2</c:v>
                </c:pt>
                <c:pt idx="1">
                  <c:v>3.6965296788520161E-2</c:v>
                </c:pt>
                <c:pt idx="2">
                  <c:v>5.2743285724532817E-2</c:v>
                </c:pt>
                <c:pt idx="3">
                  <c:v>7.1979338781181026E-2</c:v>
                </c:pt>
                <c:pt idx="4">
                  <c:v>9.2541591912676496E-2</c:v>
                </c:pt>
                <c:pt idx="5">
                  <c:v>0.11371287198944836</c:v>
                </c:pt>
                <c:pt idx="6">
                  <c:v>0.13520738988104528</c:v>
                </c:pt>
                <c:pt idx="7">
                  <c:v>0.15689234940175154</c:v>
                </c:pt>
                <c:pt idx="8">
                  <c:v>0.17869843402547653</c:v>
                </c:pt>
                <c:pt idx="9">
                  <c:v>0.18610427184780015</c:v>
                </c:pt>
                <c:pt idx="10">
                  <c:v>0.20058614445049261</c:v>
                </c:pt>
                <c:pt idx="11">
                  <c:v>0.2225313963643562</c:v>
                </c:pt>
                <c:pt idx="12">
                  <c:v>0.24451869742460697</c:v>
                </c:pt>
                <c:pt idx="13">
                  <c:v>0.26653764164294474</c:v>
                </c:pt>
                <c:pt idx="14">
                  <c:v>0.28858098592065823</c:v>
                </c:pt>
                <c:pt idx="15">
                  <c:v>0.31064353599792704</c:v>
                </c:pt>
                <c:pt idx="16">
                  <c:v>0.33272147132346558</c:v>
                </c:pt>
                <c:pt idx="17">
                  <c:v>0.35481191989842736</c:v>
                </c:pt>
                <c:pt idx="18">
                  <c:v>0.37691268156479474</c:v>
                </c:pt>
                <c:pt idx="19">
                  <c:v>0.39902204268275787</c:v>
                </c:pt>
                <c:pt idx="20">
                  <c:v>0.42113864886647123</c:v>
                </c:pt>
                <c:pt idx="21">
                  <c:v>0.44326141563577715</c:v>
                </c:pt>
              </c:numCache>
            </c:numRef>
          </c:xVal>
          <c:yVal>
            <c:numRef>
              <c:f>'Opgave 2'!$I$32:$AD$32</c:f>
              <c:numCache>
                <c:formatCode>General</c:formatCode>
                <c:ptCount val="22"/>
                <c:pt idx="0">
                  <c:v>1.8306460088215154E-2</c:v>
                </c:pt>
                <c:pt idx="1">
                  <c:v>2.3306460088215155E-2</c:v>
                </c:pt>
                <c:pt idx="2">
                  <c:v>2.8306460088215156E-2</c:v>
                </c:pt>
                <c:pt idx="3">
                  <c:v>3.3306460088215153E-2</c:v>
                </c:pt>
                <c:pt idx="4">
                  <c:v>3.8306460088215151E-2</c:v>
                </c:pt>
                <c:pt idx="5">
                  <c:v>4.3306460088215148E-2</c:v>
                </c:pt>
                <c:pt idx="6">
                  <c:v>4.8306460088215146E-2</c:v>
                </c:pt>
                <c:pt idx="7">
                  <c:v>5.3306460088215143E-2</c:v>
                </c:pt>
                <c:pt idx="8">
                  <c:v>5.8306460088215141E-2</c:v>
                </c:pt>
                <c:pt idx="9">
                  <c:v>0.06</c:v>
                </c:pt>
                <c:pt idx="10">
                  <c:v>6.3306460088215138E-2</c:v>
                </c:pt>
                <c:pt idx="11">
                  <c:v>6.8306460088215143E-2</c:v>
                </c:pt>
                <c:pt idx="12">
                  <c:v>7.3306460088215147E-2</c:v>
                </c:pt>
                <c:pt idx="13">
                  <c:v>7.8306460088215152E-2</c:v>
                </c:pt>
                <c:pt idx="14">
                  <c:v>8.3306460088215156E-2</c:v>
                </c:pt>
                <c:pt idx="15">
                  <c:v>8.8306460088215161E-2</c:v>
                </c:pt>
                <c:pt idx="16">
                  <c:v>9.3306460088215165E-2</c:v>
                </c:pt>
                <c:pt idx="17">
                  <c:v>9.830646008821517E-2</c:v>
                </c:pt>
                <c:pt idx="18">
                  <c:v>0.10330646008821517</c:v>
                </c:pt>
                <c:pt idx="19">
                  <c:v>0.10830646008821518</c:v>
                </c:pt>
                <c:pt idx="20">
                  <c:v>0.11330646008821518</c:v>
                </c:pt>
                <c:pt idx="21">
                  <c:v>0.11830646008821519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95-4A3A-9915-2EF35642B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21600"/>
        <c:axId val="164143872"/>
      </c:scatterChart>
      <c:valAx>
        <c:axId val="16412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143872"/>
        <c:crosses val="autoZero"/>
        <c:crossBetween val="midCat"/>
      </c:valAx>
      <c:valAx>
        <c:axId val="16414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21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8964</xdr:colOff>
      <xdr:row>32</xdr:row>
      <xdr:rowOff>172344</xdr:rowOff>
    </xdr:from>
    <xdr:to>
      <xdr:col>13</xdr:col>
      <xdr:colOff>354778</xdr:colOff>
      <xdr:row>57</xdr:row>
      <xdr:rowOff>62753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89" zoomScaleNormal="89" workbookViewId="0">
      <selection activeCell="K21" sqref="K21"/>
    </sheetView>
  </sheetViews>
  <sheetFormatPr defaultRowHeight="14.5" x14ac:dyDescent="0.35"/>
  <cols>
    <col min="1" max="1" width="6.453125" customWidth="1"/>
    <col min="2" max="2" width="5.453125" customWidth="1"/>
    <col min="3" max="3" width="4.1796875" customWidth="1"/>
    <col min="4" max="4" width="18.1796875" customWidth="1"/>
    <col min="5" max="5" width="12.6328125" customWidth="1"/>
  </cols>
  <sheetData>
    <row r="1" spans="1:9" ht="15" thickBot="1" x14ac:dyDescent="0.4">
      <c r="A1" s="27" t="s">
        <v>62</v>
      </c>
    </row>
    <row r="2" spans="1:9" ht="15" thickTop="1" x14ac:dyDescent="0.35">
      <c r="A2" s="10" t="s">
        <v>58</v>
      </c>
      <c r="B2" s="11"/>
      <c r="C2" s="11"/>
      <c r="D2" s="12"/>
    </row>
    <row r="3" spans="1:9" ht="15" thickBot="1" x14ac:dyDescent="0.4">
      <c r="A3" s="13" t="s">
        <v>59</v>
      </c>
      <c r="B3" s="8"/>
      <c r="C3" s="8"/>
      <c r="D3" s="14"/>
      <c r="E3" s="27" t="s">
        <v>63</v>
      </c>
    </row>
    <row r="4" spans="1:9" ht="15" thickTop="1" x14ac:dyDescent="0.35">
      <c r="A4" s="13"/>
      <c r="B4" s="8"/>
      <c r="C4" s="8"/>
      <c r="D4" s="14" t="s">
        <v>15</v>
      </c>
      <c r="E4" s="11" t="s">
        <v>47</v>
      </c>
      <c r="F4" s="11"/>
      <c r="G4" s="11"/>
      <c r="H4" s="8"/>
      <c r="I4" s="12"/>
    </row>
    <row r="5" spans="1:9" x14ac:dyDescent="0.35">
      <c r="A5" s="13" t="s">
        <v>44</v>
      </c>
      <c r="B5" s="8" t="s">
        <v>45</v>
      </c>
      <c r="C5" s="8"/>
      <c r="D5" s="14" t="s">
        <v>46</v>
      </c>
      <c r="E5" s="8" t="s">
        <v>48</v>
      </c>
      <c r="G5" s="8"/>
      <c r="H5" s="8"/>
      <c r="I5" s="14"/>
    </row>
    <row r="6" spans="1:9" x14ac:dyDescent="0.35">
      <c r="A6" s="13" t="s">
        <v>12</v>
      </c>
      <c r="B6" s="8"/>
      <c r="C6" s="8"/>
      <c r="D6" s="14"/>
      <c r="E6" s="8" t="s">
        <v>16</v>
      </c>
      <c r="F6" s="8"/>
      <c r="G6" s="8"/>
      <c r="H6" s="8"/>
      <c r="I6" s="14"/>
    </row>
    <row r="7" spans="1:9" x14ac:dyDescent="0.35">
      <c r="A7" s="13">
        <v>100</v>
      </c>
      <c r="B7" s="8">
        <v>120</v>
      </c>
      <c r="C7" s="8">
        <v>90</v>
      </c>
      <c r="D7" s="22">
        <f t="array" ref="D7:D8">MMULT(MINVERSE(B7:C8),A7:A8)</f>
        <v>0.47619047619047716</v>
      </c>
      <c r="E7" s="8"/>
      <c r="F7" s="8"/>
      <c r="G7" s="8" t="s">
        <v>17</v>
      </c>
      <c r="H7" s="8"/>
      <c r="I7" s="14" t="s">
        <v>19</v>
      </c>
    </row>
    <row r="8" spans="1:9" x14ac:dyDescent="0.35">
      <c r="A8" s="13">
        <v>100</v>
      </c>
      <c r="B8" s="8">
        <v>130</v>
      </c>
      <c r="C8" s="8">
        <v>80</v>
      </c>
      <c r="D8" s="22">
        <v>0.47619047619047539</v>
      </c>
      <c r="E8" s="19">
        <f>1/SUM(D7:D8)-1</f>
        <v>4.9999999999999822E-2</v>
      </c>
      <c r="F8" s="8"/>
      <c r="G8" s="9">
        <f>SUM(D7:D8)</f>
        <v>0.95238095238095255</v>
      </c>
      <c r="H8" s="8"/>
      <c r="I8" s="15">
        <f>E8</f>
        <v>4.9999999999999822E-2</v>
      </c>
    </row>
    <row r="9" spans="1:9" x14ac:dyDescent="0.35">
      <c r="A9" s="13" t="s">
        <v>13</v>
      </c>
      <c r="B9" s="8"/>
      <c r="C9" s="8"/>
      <c r="D9" s="14"/>
      <c r="E9" s="20"/>
      <c r="F9" s="8"/>
      <c r="G9" s="8" t="s">
        <v>18</v>
      </c>
      <c r="H9" s="8"/>
      <c r="I9" s="14"/>
    </row>
    <row r="10" spans="1:9" x14ac:dyDescent="0.35">
      <c r="A10" s="13">
        <f>B7</f>
        <v>120</v>
      </c>
      <c r="B10" s="8">
        <v>144</v>
      </c>
      <c r="C10" s="8">
        <f>B13</f>
        <v>114</v>
      </c>
      <c r="D10" s="22">
        <f t="array" ref="D10:D11">MMULT(MINVERSE(B10:C11),A10:A11)</f>
        <v>0.46511627906976694</v>
      </c>
      <c r="E10" s="20"/>
      <c r="F10" s="8"/>
      <c r="G10" s="8"/>
      <c r="H10" s="8">
        <f>SUM(D10:D11)</f>
        <v>0.9302325581395352</v>
      </c>
      <c r="I10" s="14" t="s">
        <v>20</v>
      </c>
    </row>
    <row r="11" spans="1:9" x14ac:dyDescent="0.35">
      <c r="A11" s="13">
        <f>B8</f>
        <v>130</v>
      </c>
      <c r="B11" s="8">
        <f>A11*1.3</f>
        <v>169</v>
      </c>
      <c r="C11" s="8">
        <f>0.85*A11</f>
        <v>110.5</v>
      </c>
      <c r="D11" s="22">
        <v>0.46511627906976827</v>
      </c>
      <c r="E11" s="19">
        <f>1/SUM(D10:D11)-1</f>
        <v>7.4999999999999734E-2</v>
      </c>
      <c r="F11" s="8"/>
      <c r="G11" s="9">
        <f>D7*H10+D8*H11</f>
        <v>0.90754395913875829</v>
      </c>
      <c r="H11" s="8">
        <f>SUM(D13:D14)</f>
        <v>0.97560975605185707</v>
      </c>
      <c r="I11" s="16">
        <f>(G11)^(-1/2)-1</f>
        <v>4.9702338773436994E-2</v>
      </c>
    </row>
    <row r="12" spans="1:9" x14ac:dyDescent="0.35">
      <c r="A12" s="13" t="s">
        <v>14</v>
      </c>
      <c r="B12" s="8"/>
      <c r="C12" s="8"/>
      <c r="D12" s="14"/>
      <c r="E12" s="20"/>
      <c r="F12" s="8"/>
      <c r="G12" s="8" t="s">
        <v>6</v>
      </c>
      <c r="H12" s="8" t="s">
        <v>6</v>
      </c>
      <c r="I12" s="14"/>
    </row>
    <row r="13" spans="1:9" x14ac:dyDescent="0.35">
      <c r="A13" s="13">
        <v>90</v>
      </c>
      <c r="B13" s="8">
        <v>114</v>
      </c>
      <c r="C13" s="8">
        <f>A13*0.9</f>
        <v>81</v>
      </c>
      <c r="D13" s="22">
        <f t="array" ref="D13:D14">MMULT(MINVERSE(B13:C14),A13:A14)</f>
        <v>0.33259423514544206</v>
      </c>
      <c r="E13" s="20"/>
      <c r="F13" s="8"/>
      <c r="G13" s="8"/>
      <c r="H13" s="8"/>
      <c r="I13" s="14"/>
    </row>
    <row r="14" spans="1:9" ht="15" thickBot="1" x14ac:dyDescent="0.4">
      <c r="A14" s="13">
        <v>80</v>
      </c>
      <c r="B14" s="8">
        <v>110.5</v>
      </c>
      <c r="C14" s="8">
        <v>67.258620686891732</v>
      </c>
      <c r="D14" s="22">
        <v>0.64301552090641501</v>
      </c>
      <c r="E14" s="21">
        <f>1/(SUM(D13:D14))-1</f>
        <v>2.5000000048017723E-2</v>
      </c>
      <c r="F14" s="17"/>
      <c r="G14" s="17"/>
      <c r="H14" s="17"/>
      <c r="I14" s="18"/>
    </row>
    <row r="15" spans="1:9" ht="15" thickTop="1" x14ac:dyDescent="0.35">
      <c r="A15" s="23" t="s">
        <v>60</v>
      </c>
      <c r="B15" s="9"/>
      <c r="C15" s="9"/>
      <c r="D15" s="16"/>
      <c r="E15" s="6"/>
      <c r="F15" s="5"/>
      <c r="G15" s="5"/>
    </row>
    <row r="16" spans="1:9" ht="15" thickBot="1" x14ac:dyDescent="0.4">
      <c r="A16" s="24" t="s">
        <v>61</v>
      </c>
      <c r="B16" s="25"/>
      <c r="C16" s="25"/>
      <c r="D16" s="26"/>
      <c r="E16" s="3"/>
    </row>
    <row r="17" spans="1:7" ht="15" thickTop="1" x14ac:dyDescent="0.35">
      <c r="E17" s="1"/>
    </row>
    <row r="18" spans="1:7" x14ac:dyDescent="0.35">
      <c r="C18">
        <f>B10</f>
        <v>144</v>
      </c>
      <c r="E18" s="1"/>
      <c r="G18">
        <f>B11</f>
        <v>169</v>
      </c>
    </row>
    <row r="19" spans="1:7" x14ac:dyDescent="0.35">
      <c r="B19">
        <f>B7</f>
        <v>120</v>
      </c>
      <c r="C19">
        <f>C10</f>
        <v>114</v>
      </c>
      <c r="E19" s="1"/>
      <c r="F19">
        <f>B8</f>
        <v>130</v>
      </c>
      <c r="G19">
        <f>B14</f>
        <v>110.5</v>
      </c>
    </row>
    <row r="20" spans="1:7" x14ac:dyDescent="0.35">
      <c r="A20">
        <f>A7</f>
        <v>100</v>
      </c>
      <c r="B20">
        <f>C7</f>
        <v>90</v>
      </c>
      <c r="C20">
        <f>C13</f>
        <v>81</v>
      </c>
      <c r="E20" s="1">
        <f>A8</f>
        <v>100</v>
      </c>
      <c r="F20">
        <f>C8</f>
        <v>80</v>
      </c>
      <c r="G20">
        <f>C14</f>
        <v>67.258620686891732</v>
      </c>
    </row>
    <row r="22" spans="1:7" x14ac:dyDescent="0.35">
      <c r="A22" s="27" t="s">
        <v>64</v>
      </c>
    </row>
    <row r="23" spans="1:7" x14ac:dyDescent="0.35">
      <c r="A23" t="s">
        <v>24</v>
      </c>
      <c r="B23" t="s">
        <v>25</v>
      </c>
      <c r="C23">
        <v>100</v>
      </c>
      <c r="F23" t="s">
        <v>25</v>
      </c>
      <c r="G23">
        <v>100</v>
      </c>
    </row>
    <row r="24" spans="1:7" x14ac:dyDescent="0.35">
      <c r="A24" t="s">
        <v>21</v>
      </c>
      <c r="E24" t="s">
        <v>22</v>
      </c>
    </row>
    <row r="25" spans="1:7" x14ac:dyDescent="0.35">
      <c r="C25">
        <f>MAX(C18-$C$23,0)</f>
        <v>44</v>
      </c>
      <c r="G25">
        <f>MAX(G18-$G$23,0)</f>
        <v>69</v>
      </c>
    </row>
    <row r="26" spans="1:7" x14ac:dyDescent="0.35">
      <c r="B26">
        <f>C25*D10+C26*D11</f>
        <v>26.976744186046503</v>
      </c>
      <c r="C26">
        <f t="shared" ref="C26:C27" si="0">MAX(C19-$C$23,0)</f>
        <v>14</v>
      </c>
      <c r="F26">
        <f>D10*G25+D11*G26</f>
        <v>36.976744186046488</v>
      </c>
      <c r="G26">
        <f t="shared" ref="G26:G27" si="1">MAX(G19-$G$23,0)</f>
        <v>10.5</v>
      </c>
    </row>
    <row r="27" spans="1:7" x14ac:dyDescent="0.35">
      <c r="A27" s="4">
        <f>B26*D7+D8*B27</f>
        <v>15.063363560991782</v>
      </c>
      <c r="B27">
        <f>C26*D13+C27*D14</f>
        <v>4.6563192920361889</v>
      </c>
      <c r="C27">
        <f t="shared" si="0"/>
        <v>0</v>
      </c>
      <c r="E27" s="7">
        <f>F26*D7+D8*F27</f>
        <v>19.270944597654143</v>
      </c>
      <c r="F27">
        <f>G27*D14+G26*D13</f>
        <v>3.4922394690271417</v>
      </c>
      <c r="G27">
        <f t="shared" si="1"/>
        <v>0</v>
      </c>
    </row>
    <row r="28" spans="1:7" x14ac:dyDescent="0.35">
      <c r="A28" s="27" t="s">
        <v>65</v>
      </c>
    </row>
    <row r="29" spans="1:7" x14ac:dyDescent="0.35">
      <c r="A29" t="s">
        <v>50</v>
      </c>
    </row>
    <row r="30" spans="1:7" x14ac:dyDescent="0.35">
      <c r="A30">
        <f>B26</f>
        <v>26.976744186046503</v>
      </c>
      <c r="B30">
        <f>B19</f>
        <v>120</v>
      </c>
      <c r="C30">
        <f>F19</f>
        <v>130</v>
      </c>
      <c r="D30" s="28">
        <f t="array" ref="D30:D31">MMULT((MINVERSE(B30:C31)),A30:A31)</f>
        <v>-0.73943715567572155</v>
      </c>
      <c r="E30" t="s">
        <v>26</v>
      </c>
      <c r="F30" t="s">
        <v>28</v>
      </c>
    </row>
    <row r="31" spans="1:7" x14ac:dyDescent="0.35">
      <c r="A31">
        <f>B27</f>
        <v>4.6563192920361889</v>
      </c>
      <c r="B31">
        <f>B20</f>
        <v>90</v>
      </c>
      <c r="C31">
        <f>F20</f>
        <v>80</v>
      </c>
      <c r="D31" s="28">
        <v>0.89007079128563937</v>
      </c>
      <c r="E31" t="s">
        <v>27</v>
      </c>
    </row>
    <row r="32" spans="1:7" x14ac:dyDescent="0.35">
      <c r="D32" s="5"/>
    </row>
    <row r="33" spans="1:5" x14ac:dyDescent="0.35">
      <c r="A33" s="27" t="s">
        <v>66</v>
      </c>
    </row>
    <row r="34" spans="1:5" x14ac:dyDescent="0.35">
      <c r="A34" t="s">
        <v>23</v>
      </c>
    </row>
    <row r="35" spans="1:5" x14ac:dyDescent="0.35">
      <c r="C35">
        <f>MAX(C25,G25)</f>
        <v>69</v>
      </c>
    </row>
    <row r="36" spans="1:5" x14ac:dyDescent="0.35">
      <c r="B36">
        <f>C35*D$10+C36*D$11</f>
        <v>38.604651162790674</v>
      </c>
      <c r="C36">
        <f t="shared" ref="C36:C37" si="2">MAX(C26,G26)</f>
        <v>14</v>
      </c>
      <c r="D36" t="s">
        <v>29</v>
      </c>
    </row>
    <row r="37" spans="1:5" x14ac:dyDescent="0.35">
      <c r="A37" s="4">
        <f>B37*D$8+D$7*B36</f>
        <v>20.600462121346158</v>
      </c>
      <c r="B37">
        <f>C37*D$14+D$13*C36</f>
        <v>4.6563192920361889</v>
      </c>
      <c r="C37">
        <f t="shared" si="2"/>
        <v>0</v>
      </c>
      <c r="D37" t="s">
        <v>30</v>
      </c>
      <c r="E37" s="2"/>
    </row>
    <row r="38" spans="1:5" x14ac:dyDescent="0.35">
      <c r="E38" t="s">
        <v>43</v>
      </c>
    </row>
    <row r="39" spans="1:5" x14ac:dyDescent="0.35">
      <c r="A39" t="s">
        <v>31</v>
      </c>
    </row>
    <row r="40" spans="1:5" x14ac:dyDescent="0.35">
      <c r="C40">
        <f>MAX(MAX(C18,G18)-100,0)</f>
        <v>69</v>
      </c>
    </row>
    <row r="41" spans="1:5" x14ac:dyDescent="0.35">
      <c r="B41">
        <f>C40*D$10+C41*D$11</f>
        <v>38.604651162790674</v>
      </c>
      <c r="C41">
        <f t="shared" ref="C41:C42" si="3">MAX(MAX(C19,G19)-100,0)</f>
        <v>14</v>
      </c>
      <c r="D41" t="s">
        <v>32</v>
      </c>
    </row>
    <row r="42" spans="1:5" x14ac:dyDescent="0.35">
      <c r="A42" s="4">
        <f>B42*D$8+D$7*B41</f>
        <v>20.600462121346158</v>
      </c>
      <c r="B42">
        <f>C42*D$14+D$13*C41</f>
        <v>4.6563192920361889</v>
      </c>
      <c r="C42">
        <f t="shared" si="3"/>
        <v>0</v>
      </c>
      <c r="D42" t="s">
        <v>33</v>
      </c>
    </row>
    <row r="45" spans="1:5" x14ac:dyDescent="0.35">
      <c r="A45" t="s">
        <v>34</v>
      </c>
    </row>
    <row r="46" spans="1:5" x14ac:dyDescent="0.35">
      <c r="C46">
        <f>MAX(169-100,0)</f>
        <v>69</v>
      </c>
      <c r="D46" t="s">
        <v>42</v>
      </c>
    </row>
    <row r="47" spans="1:5" x14ac:dyDescent="0.35">
      <c r="B47">
        <f>C46*D10+D11*C47</f>
        <v>46.046511627906966</v>
      </c>
      <c r="C47">
        <f>MAX(130-100,0)</f>
        <v>30</v>
      </c>
      <c r="D47" t="s">
        <v>49</v>
      </c>
    </row>
    <row r="48" spans="1:5" x14ac:dyDescent="0.35">
      <c r="A48" s="4">
        <f>B49*D8+D7*B47</f>
        <v>24.144205199972973</v>
      </c>
    </row>
    <row r="49" spans="2:3" x14ac:dyDescent="0.35">
      <c r="B49">
        <f>C49*D13+D14*C50</f>
        <v>4.6563192920361889</v>
      </c>
      <c r="C49">
        <f>MAX(114-100,0)</f>
        <v>14</v>
      </c>
    </row>
    <row r="50" spans="2:3" x14ac:dyDescent="0.35">
      <c r="C50">
        <f>MAX(D2995-100,0)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zoomScale="85" zoomScaleNormal="85" workbookViewId="0">
      <selection activeCell="C77" sqref="C77"/>
    </sheetView>
  </sheetViews>
  <sheetFormatPr defaultRowHeight="14.5" x14ac:dyDescent="0.35"/>
  <cols>
    <col min="8" max="8" width="10.36328125" customWidth="1"/>
    <col min="10" max="10" width="16.453125" customWidth="1"/>
  </cols>
  <sheetData>
    <row r="1" spans="1:13" x14ac:dyDescent="0.35">
      <c r="A1" s="27" t="s">
        <v>67</v>
      </c>
    </row>
    <row r="2" spans="1:13" x14ac:dyDescent="0.35">
      <c r="C2" t="s">
        <v>0</v>
      </c>
      <c r="D2" t="s">
        <v>1</v>
      </c>
      <c r="E2" t="s">
        <v>2</v>
      </c>
      <c r="G2">
        <v>50</v>
      </c>
      <c r="H2">
        <v>75</v>
      </c>
      <c r="I2">
        <v>100</v>
      </c>
    </row>
    <row r="3" spans="1:13" x14ac:dyDescent="0.35">
      <c r="B3">
        <v>0.1</v>
      </c>
      <c r="C3">
        <v>56</v>
      </c>
      <c r="D3">
        <v>90</v>
      </c>
      <c r="E3">
        <v>134</v>
      </c>
      <c r="G3">
        <f>(C3-G$2)/G$2</f>
        <v>0.12</v>
      </c>
      <c r="H3">
        <f t="shared" ref="H3:I7" si="0">(D3-H$2)/H$2</f>
        <v>0.2</v>
      </c>
      <c r="I3">
        <f t="shared" si="0"/>
        <v>0.34</v>
      </c>
      <c r="K3">
        <f>G3-B$9</f>
        <v>9.6000000000000002E-2</v>
      </c>
      <c r="L3">
        <f t="shared" ref="L3:L7" si="1">H3-C$9</f>
        <v>0.156</v>
      </c>
      <c r="M3">
        <f t="shared" ref="M3:M7" si="2">I3-D$9</f>
        <v>0.27600000000000002</v>
      </c>
    </row>
    <row r="4" spans="1:13" x14ac:dyDescent="0.35">
      <c r="B4">
        <v>0.2</v>
      </c>
      <c r="C4">
        <v>52</v>
      </c>
      <c r="D4">
        <v>66</v>
      </c>
      <c r="E4">
        <v>105</v>
      </c>
      <c r="G4">
        <f t="shared" ref="G4:G7" si="3">(C4-G$2)/G$2</f>
        <v>0.04</v>
      </c>
      <c r="H4">
        <f t="shared" si="0"/>
        <v>-0.12</v>
      </c>
      <c r="I4">
        <f t="shared" si="0"/>
        <v>0.05</v>
      </c>
      <c r="K4">
        <f t="shared" ref="K4:K7" si="4">G4-B$9</f>
        <v>1.6E-2</v>
      </c>
      <c r="L4">
        <f t="shared" si="1"/>
        <v>-0.16400000000000001</v>
      </c>
      <c r="M4">
        <f t="shared" si="2"/>
        <v>-1.4000000000000012E-2</v>
      </c>
    </row>
    <row r="5" spans="1:13" x14ac:dyDescent="0.35">
      <c r="B5">
        <v>0.4</v>
      </c>
      <c r="C5">
        <v>51</v>
      </c>
      <c r="D5">
        <v>84</v>
      </c>
      <c r="E5">
        <v>110</v>
      </c>
      <c r="G5">
        <f t="shared" si="3"/>
        <v>0.02</v>
      </c>
      <c r="H5">
        <f t="shared" si="0"/>
        <v>0.12</v>
      </c>
      <c r="I5">
        <f t="shared" si="0"/>
        <v>0.1</v>
      </c>
      <c r="K5">
        <f t="shared" si="4"/>
        <v>-4.0000000000000001E-3</v>
      </c>
      <c r="L5">
        <f t="shared" si="1"/>
        <v>7.5999999999999984E-2</v>
      </c>
      <c r="M5">
        <f t="shared" si="2"/>
        <v>3.599999999999999E-2</v>
      </c>
    </row>
    <row r="6" spans="1:13" x14ac:dyDescent="0.35">
      <c r="B6">
        <v>0.2</v>
      </c>
      <c r="C6">
        <v>50</v>
      </c>
      <c r="D6">
        <v>70</v>
      </c>
      <c r="E6">
        <v>115</v>
      </c>
      <c r="G6">
        <f t="shared" si="3"/>
        <v>0</v>
      </c>
      <c r="H6">
        <f t="shared" si="0"/>
        <v>-6.6666666666666666E-2</v>
      </c>
      <c r="I6">
        <f t="shared" si="0"/>
        <v>0.15</v>
      </c>
      <c r="K6">
        <f t="shared" si="4"/>
        <v>-2.4E-2</v>
      </c>
      <c r="L6">
        <f t="shared" si="1"/>
        <v>-0.11066666666666666</v>
      </c>
      <c r="M6">
        <f t="shared" si="2"/>
        <v>8.5999999999999979E-2</v>
      </c>
    </row>
    <row r="7" spans="1:13" x14ac:dyDescent="0.35">
      <c r="B7">
        <v>0.1</v>
      </c>
      <c r="C7">
        <v>48</v>
      </c>
      <c r="D7">
        <v>85</v>
      </c>
      <c r="E7">
        <v>50</v>
      </c>
      <c r="G7">
        <f t="shared" si="3"/>
        <v>-0.04</v>
      </c>
      <c r="H7">
        <f t="shared" si="0"/>
        <v>0.13333333333333333</v>
      </c>
      <c r="I7">
        <f t="shared" si="0"/>
        <v>-0.5</v>
      </c>
      <c r="K7">
        <f t="shared" si="4"/>
        <v>-6.4000000000000001E-2</v>
      </c>
      <c r="L7">
        <f t="shared" si="1"/>
        <v>8.933333333333332E-2</v>
      </c>
      <c r="M7">
        <f t="shared" si="2"/>
        <v>-0.56400000000000006</v>
      </c>
    </row>
    <row r="9" spans="1:13" x14ac:dyDescent="0.35">
      <c r="A9" t="s">
        <v>3</v>
      </c>
      <c r="B9" s="4">
        <f t="array" ref="B9">MMULT(TRANSPOSE($B$3:$B$7),G3:G7)</f>
        <v>2.4E-2</v>
      </c>
      <c r="C9" s="4">
        <f t="array" ref="C9">MMULT(TRANSPOSE($B$3:$B$7),H3:H7)</f>
        <v>4.4000000000000004E-2</v>
      </c>
      <c r="D9" s="4">
        <f t="array" ref="D9">MMULT(TRANSPOSE($B$3:$B$7),I3:I7)</f>
        <v>6.4000000000000015E-2</v>
      </c>
      <c r="K9">
        <f>K3*K3</f>
        <v>9.2160000000000002E-3</v>
      </c>
      <c r="L9">
        <f>K3*L3</f>
        <v>1.4976E-2</v>
      </c>
      <c r="M9">
        <f>K3*M3</f>
        <v>2.6496000000000002E-2</v>
      </c>
    </row>
    <row r="10" spans="1:13" x14ac:dyDescent="0.35">
      <c r="F10" t="s">
        <v>5</v>
      </c>
      <c r="K10">
        <f t="shared" ref="K10:K13" si="5">K4*K4</f>
        <v>2.5599999999999999E-4</v>
      </c>
      <c r="L10">
        <f t="shared" ref="L10:L13" si="6">K4*L4</f>
        <v>-2.624E-3</v>
      </c>
      <c r="M10">
        <f t="shared" ref="M10:M13" si="7">K4*M4</f>
        <v>-2.2400000000000021E-4</v>
      </c>
    </row>
    <row r="11" spans="1:13" x14ac:dyDescent="0.35">
      <c r="A11" t="s">
        <v>4</v>
      </c>
      <c r="B11">
        <f t="array" ref="B11">MMULT(TRANSPOSE($B$3:$B$7),K9:K13)</f>
        <v>1.5039999999999999E-3</v>
      </c>
      <c r="C11">
        <f t="array" ref="C11">MMULT(TRANSPOSE($B$3:$B$7),L9:L13)</f>
        <v>8.1066666666666646E-4</v>
      </c>
      <c r="D11">
        <f t="array" ref="D11">MMULT(TRANSPOSE($B$3:$B$7),M9:M13)</f>
        <v>5.7440000000000008E-3</v>
      </c>
      <c r="F11">
        <f>SQRT(B11)</f>
        <v>3.8781438859330629E-2</v>
      </c>
      <c r="G11" s="4">
        <f>C11/SQRT(B11*C12)</f>
        <v>0.18077645546500898</v>
      </c>
      <c r="H11">
        <f>D11/(SQRT(B11*D13))</f>
        <v>0.72736921342299088</v>
      </c>
      <c r="K11">
        <f t="shared" si="5"/>
        <v>1.5999999999999999E-5</v>
      </c>
      <c r="L11">
        <f t="shared" si="6"/>
        <v>-3.0399999999999996E-4</v>
      </c>
      <c r="M11">
        <f t="shared" si="7"/>
        <v>-1.4399999999999998E-4</v>
      </c>
    </row>
    <row r="12" spans="1:13" x14ac:dyDescent="0.35">
      <c r="B12">
        <f>C11</f>
        <v>8.1066666666666646E-4</v>
      </c>
      <c r="C12">
        <f t="array" ref="C12">MMULT(TRANSPOSE($B$3:$B$7),L14:L18)</f>
        <v>1.3370666666666666E-2</v>
      </c>
      <c r="D12">
        <f t="array" ref="D12">MMULT(TRANSPOSE($B$3:$B$7),M14:M18)</f>
        <v>-1.0826666666666658E-3</v>
      </c>
      <c r="G12">
        <f>SQRT(C12)</f>
        <v>0.11563159891079369</v>
      </c>
      <c r="H12">
        <f>D12/SQRT(C12*D13)</f>
        <v>-4.5981447310445837E-2</v>
      </c>
      <c r="K12">
        <f t="shared" si="5"/>
        <v>5.7600000000000001E-4</v>
      </c>
      <c r="L12">
        <f t="shared" si="6"/>
        <v>2.6559999999999999E-3</v>
      </c>
      <c r="M12">
        <f t="shared" si="7"/>
        <v>-2.0639999999999994E-3</v>
      </c>
    </row>
    <row r="13" spans="1:13" x14ac:dyDescent="0.35">
      <c r="B13">
        <f>D11</f>
        <v>5.7440000000000008E-3</v>
      </c>
      <c r="C13">
        <f>D12</f>
        <v>-1.0826666666666658E-3</v>
      </c>
      <c r="D13">
        <f t="array" ref="D13">MMULT(TRANSPOSE($B$3:$B$7),M19:M23)</f>
        <v>4.1464000000000008E-2</v>
      </c>
      <c r="H13" s="4">
        <f>SQRT(D13)</f>
        <v>0.20362711017936685</v>
      </c>
      <c r="K13">
        <f t="shared" si="5"/>
        <v>4.0959999999999998E-3</v>
      </c>
      <c r="L13">
        <f t="shared" si="6"/>
        <v>-5.7173333333333329E-3</v>
      </c>
      <c r="M13">
        <f t="shared" si="7"/>
        <v>3.6096000000000003E-2</v>
      </c>
    </row>
    <row r="14" spans="1:13" x14ac:dyDescent="0.35">
      <c r="L14">
        <f>L3*L3</f>
        <v>2.4336E-2</v>
      </c>
      <c r="M14">
        <f>L3*M3</f>
        <v>4.3056000000000004E-2</v>
      </c>
    </row>
    <row r="15" spans="1:13" x14ac:dyDescent="0.35">
      <c r="G15" t="s">
        <v>6</v>
      </c>
      <c r="L15">
        <f t="shared" ref="L15:L18" si="8">L4*L4</f>
        <v>2.6896000000000003E-2</v>
      </c>
      <c r="M15">
        <f t="shared" ref="M15:M18" si="9">L4*M4</f>
        <v>2.296000000000002E-3</v>
      </c>
    </row>
    <row r="16" spans="1:13" x14ac:dyDescent="0.35">
      <c r="L16">
        <f t="shared" si="8"/>
        <v>5.7759999999999973E-3</v>
      </c>
      <c r="M16">
        <f t="shared" si="9"/>
        <v>2.7359999999999988E-3</v>
      </c>
    </row>
    <row r="17" spans="1:30" x14ac:dyDescent="0.35">
      <c r="L17">
        <f t="shared" si="8"/>
        <v>1.224711111111111E-2</v>
      </c>
      <c r="M17">
        <f t="shared" si="9"/>
        <v>-9.5173333333333308E-3</v>
      </c>
    </row>
    <row r="18" spans="1:30" x14ac:dyDescent="0.35">
      <c r="L18">
        <f t="shared" si="8"/>
        <v>7.9804444444444428E-3</v>
      </c>
      <c r="M18">
        <f t="shared" si="9"/>
        <v>-5.0383999999999998E-2</v>
      </c>
    </row>
    <row r="19" spans="1:30" x14ac:dyDescent="0.35">
      <c r="M19">
        <f>M3*M3</f>
        <v>7.6176000000000008E-2</v>
      </c>
    </row>
    <row r="20" spans="1:30" x14ac:dyDescent="0.35">
      <c r="M20">
        <f t="shared" ref="M20:M23" si="10">M4*M4</f>
        <v>1.9600000000000035E-4</v>
      </c>
    </row>
    <row r="21" spans="1:30" x14ac:dyDescent="0.35">
      <c r="M21">
        <f t="shared" si="10"/>
        <v>1.2959999999999994E-3</v>
      </c>
    </row>
    <row r="22" spans="1:30" x14ac:dyDescent="0.35">
      <c r="M22">
        <f t="shared" si="10"/>
        <v>7.3959999999999963E-3</v>
      </c>
    </row>
    <row r="23" spans="1:30" x14ac:dyDescent="0.35">
      <c r="A23" s="27" t="s">
        <v>68</v>
      </c>
      <c r="M23">
        <f t="shared" si="10"/>
        <v>0.31809600000000005</v>
      </c>
    </row>
    <row r="25" spans="1:30" x14ac:dyDescent="0.35">
      <c r="A25" t="s">
        <v>3</v>
      </c>
      <c r="B25">
        <v>1</v>
      </c>
      <c r="E25" t="s">
        <v>7</v>
      </c>
      <c r="H25" t="s">
        <v>8</v>
      </c>
    </row>
    <row r="26" spans="1:30" x14ac:dyDescent="0.35">
      <c r="A26">
        <f>B9</f>
        <v>2.4E-2</v>
      </c>
      <c r="B26">
        <v>1</v>
      </c>
      <c r="E26">
        <f t="array" ref="E26:F27">MMULT(TRANSPOSE(A26:B28),MMULT(MINVERSE(B11:D13),A26:B28))</f>
        <v>0.47467357251387365</v>
      </c>
      <c r="F26">
        <v>19.653546625312945</v>
      </c>
      <c r="H26">
        <f t="array" ref="H26:I28">MMULT(MINVERSE(B11:D13),MMULT(A26:B28,MINVERSE(E26:F27)))</f>
        <v>-35.031185031185132</v>
      </c>
      <c r="I26">
        <v>1.7891402714932145</v>
      </c>
    </row>
    <row r="27" spans="1:30" x14ac:dyDescent="0.35">
      <c r="A27">
        <f>C9</f>
        <v>4.4000000000000004E-2</v>
      </c>
      <c r="B27">
        <v>1</v>
      </c>
      <c r="E27">
        <v>19.653546625312948</v>
      </c>
      <c r="F27">
        <v>1073.5853098090211</v>
      </c>
      <c r="H27">
        <v>20.062370062370086</v>
      </c>
      <c r="I27">
        <v>-0.37828054298642572</v>
      </c>
    </row>
    <row r="28" spans="1:30" x14ac:dyDescent="0.35">
      <c r="A28">
        <f>D9</f>
        <v>6.4000000000000015E-2</v>
      </c>
      <c r="B28">
        <v>1</v>
      </c>
      <c r="H28">
        <v>14.968814968814991</v>
      </c>
      <c r="I28">
        <v>-0.4108597285067877</v>
      </c>
    </row>
    <row r="30" spans="1:30" x14ac:dyDescent="0.35">
      <c r="A30" s="4" t="s">
        <v>54</v>
      </c>
      <c r="B30" s="4"/>
      <c r="C30" s="4"/>
      <c r="D30" s="4"/>
      <c r="E30" s="4"/>
      <c r="F30" s="4" t="s">
        <v>55</v>
      </c>
      <c r="G30" s="4">
        <f>E26/($E$26*$F$27-$F$26^2)</f>
        <v>3.8484754147812949E-3</v>
      </c>
      <c r="H30" s="4" t="s">
        <v>56</v>
      </c>
      <c r="I30" s="4">
        <f>-2*F26/($E$26*$F$27-$F$26^2)</f>
        <v>-0.31868717948717934</v>
      </c>
      <c r="J30" s="4" t="s">
        <v>57</v>
      </c>
      <c r="K30" s="4">
        <f>F27/($E$26*$F$27-$F$26^2)</f>
        <v>8.7042273042273024</v>
      </c>
    </row>
    <row r="32" spans="1:30" x14ac:dyDescent="0.35">
      <c r="I32">
        <f>F26/F27</f>
        <v>1.8306460088215154E-2</v>
      </c>
      <c r="J32">
        <f>I32+0.005</f>
        <v>2.3306460088215155E-2</v>
      </c>
      <c r="K32">
        <f t="shared" ref="K32:AD32" si="11">J32+0.005</f>
        <v>2.8306460088215156E-2</v>
      </c>
      <c r="L32">
        <f t="shared" si="11"/>
        <v>3.3306460088215153E-2</v>
      </c>
      <c r="M32">
        <f t="shared" si="11"/>
        <v>3.8306460088215151E-2</v>
      </c>
      <c r="N32">
        <f t="shared" si="11"/>
        <v>4.3306460088215148E-2</v>
      </c>
      <c r="O32">
        <f t="shared" si="11"/>
        <v>4.8306460088215146E-2</v>
      </c>
      <c r="P32">
        <f t="shared" si="11"/>
        <v>5.3306460088215143E-2</v>
      </c>
      <c r="Q32">
        <f t="shared" si="11"/>
        <v>5.8306460088215141E-2</v>
      </c>
      <c r="R32">
        <v>0.06</v>
      </c>
      <c r="S32">
        <f>Q32+0.005</f>
        <v>6.3306460088215138E-2</v>
      </c>
      <c r="T32">
        <f t="shared" si="11"/>
        <v>6.8306460088215143E-2</v>
      </c>
      <c r="U32">
        <f t="shared" si="11"/>
        <v>7.3306460088215147E-2</v>
      </c>
      <c r="V32">
        <f t="shared" si="11"/>
        <v>7.8306460088215152E-2</v>
      </c>
      <c r="W32">
        <f t="shared" si="11"/>
        <v>8.3306460088215156E-2</v>
      </c>
      <c r="X32">
        <f t="shared" si="11"/>
        <v>8.8306460088215161E-2</v>
      </c>
      <c r="Y32">
        <f t="shared" si="11"/>
        <v>9.3306460088215165E-2</v>
      </c>
      <c r="Z32">
        <f t="shared" si="11"/>
        <v>9.830646008821517E-2</v>
      </c>
      <c r="AA32">
        <f t="shared" si="11"/>
        <v>0.10330646008821517</v>
      </c>
      <c r="AB32">
        <f t="shared" si="11"/>
        <v>0.10830646008821518</v>
      </c>
      <c r="AC32">
        <f t="shared" si="11"/>
        <v>0.11330646008821518</v>
      </c>
      <c r="AD32">
        <f t="shared" si="11"/>
        <v>0.11830646008821519</v>
      </c>
    </row>
    <row r="33" spans="1:30" x14ac:dyDescent="0.35"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5">
      <c r="I34">
        <f t="array" ref="I34">MMULT(TRANSPOSE(I32:I33),MMULT(MINVERSE($E$26:$F$27),I32:I33))</f>
        <v>9.3145834882734128E-4</v>
      </c>
      <c r="J34">
        <f t="array" ref="J34">MMULT(TRANSPOSE(J32:J33),MMULT(MINVERSE($E$26:$F$27),J32:J33))</f>
        <v>1.1490640314330239E-3</v>
      </c>
      <c r="K34">
        <f t="array" ref="K34">MMULT(TRANSPOSE(K32:K33),MMULT(MINVERSE($E$26:$F$27),K32:K33))</f>
        <v>1.8018810792500722E-3</v>
      </c>
      <c r="L34">
        <f t="array" ref="L34">MMULT(TRANSPOSE(L32:L33),MMULT(MINVERSE($E$26:$F$27),L32:L33))</f>
        <v>2.8899094922784875E-3</v>
      </c>
      <c r="M34">
        <f t="array" ref="M34">MMULT(TRANSPOSE(M32:M33),MMULT(MINVERSE($E$26:$F$27),M32:M33))</f>
        <v>4.4131492705182657E-3</v>
      </c>
      <c r="N34">
        <f t="array" ref="N34">MMULT(TRANSPOSE(N32:N33),MMULT(MINVERSE($E$26:$F$27),N32:N33))</f>
        <v>6.3716004139694089E-3</v>
      </c>
      <c r="O34">
        <f t="array" ref="O34">MMULT(TRANSPOSE(O32:O33),MMULT(MINVERSE($E$26:$F$27),O32:O33))</f>
        <v>8.7652629226319181E-3</v>
      </c>
      <c r="P34">
        <f t="array" ref="P34">MMULT(TRANSPOSE(P32:P33),MMULT(MINVERSE($E$26:$F$27),P32:P33))</f>
        <v>1.1594136796505793E-2</v>
      </c>
      <c r="Q34">
        <f t="array" ref="Q34">MMULT(TRANSPOSE(Q32:Q33),MMULT(MINVERSE($E$26:$F$27),Q32:Q33))</f>
        <v>1.4858222035591031E-2</v>
      </c>
      <c r="R34">
        <f t="array" ref="R34">MMULT(TRANSPOSE(R32:R33),MMULT(MINVERSE($E$26:$F$27),R32:R33))</f>
        <v>1.6062462940768837E-2</v>
      </c>
      <c r="S34">
        <f t="array" ref="S34">MMULT(TRANSPOSE(S32:S33),MMULT(MINVERSE($E$26:$F$27),S32:S33))</f>
        <v>1.8557518639887634E-2</v>
      </c>
      <c r="T34">
        <f t="array" ref="T34">MMULT(TRANSPOSE(T32:T33),MMULT(MINVERSE($E$26:$F$27),T32:T33))</f>
        <v>2.2692026609395614E-2</v>
      </c>
      <c r="U34">
        <f t="array" ref="U34">MMULT(TRANSPOSE(U32:U33),MMULT(MINVERSE($E$26:$F$27),U32:U33))</f>
        <v>2.726174594411495E-2</v>
      </c>
      <c r="V34">
        <f t="array" ref="V34">MMULT(TRANSPOSE(V32:V33),MMULT(MINVERSE($E$26:$F$27),V32:V33))</f>
        <v>3.2266676644045672E-2</v>
      </c>
      <c r="W34">
        <f t="array" ref="W34">MMULT(TRANSPOSE(W32:W33),MMULT(MINVERSE($E$26:$F$27),W32:W33))</f>
        <v>3.7706818709187746E-2</v>
      </c>
      <c r="X34">
        <f t="array" ref="X34">MMULT(TRANSPOSE(X32:X33),MMULT(MINVERSE($E$26:$F$27),X32:X33))</f>
        <v>4.3582172139541187E-2</v>
      </c>
      <c r="Y34">
        <f t="array" ref="Y34">MMULT(TRANSPOSE(Y32:Y33),MMULT(MINVERSE($E$26:$F$27),Y32:Y33))</f>
        <v>4.9892736935105993E-2</v>
      </c>
      <c r="Z34">
        <f t="array" ref="Z34">MMULT(TRANSPOSE(Z32:Z33),MMULT(MINVERSE($E$26:$F$27),Z32:Z33))</f>
        <v>5.6638513095882165E-2</v>
      </c>
      <c r="AA34">
        <f t="array" ref="AA34">MMULT(TRANSPOSE(AA32:AA33),MMULT(MINVERSE($E$26:$F$27),AA32:AA33))</f>
        <v>6.381950062186971E-2</v>
      </c>
      <c r="AB34">
        <f t="array" ref="AB34">MMULT(TRANSPOSE(AB32:AB33),MMULT(MINVERSE($E$26:$F$27),AB32:AB33))</f>
        <v>7.1435699513068607E-2</v>
      </c>
      <c r="AC34">
        <f t="array" ref="AC34">MMULT(TRANSPOSE(AC32:AC33),MMULT(MINVERSE($E$26:$F$27),AC32:AC33))</f>
        <v>7.9487109769478898E-2</v>
      </c>
      <c r="AD34">
        <f t="array" ref="AD34">MMULT(TRANSPOSE(AD32:AD33),MMULT(MINVERSE($E$26:$F$27),AD32:AD33))</f>
        <v>8.7973731391100526E-2</v>
      </c>
    </row>
    <row r="35" spans="1:30" x14ac:dyDescent="0.35">
      <c r="I35">
        <f>SQRT(I34)</f>
        <v>3.051980256861668E-2</v>
      </c>
      <c r="J35">
        <f t="shared" ref="J35:AD35" si="12">SQRT(J34)</f>
        <v>3.3897847002914858E-2</v>
      </c>
      <c r="K35">
        <f t="shared" si="12"/>
        <v>4.2448569813953355E-2</v>
      </c>
      <c r="L35">
        <f t="shared" si="12"/>
        <v>5.3757878420548626E-2</v>
      </c>
      <c r="M35">
        <f t="shared" si="12"/>
        <v>6.643153822182854E-2</v>
      </c>
      <c r="N35">
        <f t="shared" si="12"/>
        <v>7.9822305240887459E-2</v>
      </c>
      <c r="O35">
        <f t="shared" si="12"/>
        <v>9.3622982876171587E-2</v>
      </c>
      <c r="P35">
        <f t="shared" si="12"/>
        <v>0.10767607346344774</v>
      </c>
      <c r="Q35">
        <f t="shared" si="12"/>
        <v>0.12189430682189809</v>
      </c>
      <c r="R35">
        <f t="shared" ref="R35" si="13">SQRT(R34)</f>
        <v>0.12673777235208467</v>
      </c>
      <c r="S35">
        <f t="shared" si="12"/>
        <v>0.13622598371781955</v>
      </c>
      <c r="T35">
        <f t="shared" si="12"/>
        <v>0.15063872878312407</v>
      </c>
      <c r="U35">
        <f t="shared" si="12"/>
        <v>0.16511131379804034</v>
      </c>
      <c r="V35">
        <f t="shared" si="12"/>
        <v>0.1796292755762425</v>
      </c>
      <c r="W35">
        <f t="shared" si="12"/>
        <v>0.19418243666507984</v>
      </c>
      <c r="X35">
        <f t="shared" si="12"/>
        <v>0.20876343582998722</v>
      </c>
      <c r="Y35">
        <f t="shared" si="12"/>
        <v>0.22336682147334683</v>
      </c>
      <c r="Z35">
        <f t="shared" si="12"/>
        <v>0.23798847261134765</v>
      </c>
      <c r="AA35">
        <f t="shared" si="12"/>
        <v>0.25262521770771362</v>
      </c>
      <c r="AB35">
        <f t="shared" si="12"/>
        <v>0.26727457700475105</v>
      </c>
      <c r="AC35">
        <f t="shared" si="12"/>
        <v>0.28193458420257506</v>
      </c>
      <c r="AD35">
        <f t="shared" si="12"/>
        <v>0.29660366044791242</v>
      </c>
    </row>
    <row r="48" spans="1:30" x14ac:dyDescent="0.35">
      <c r="A48" s="27" t="s">
        <v>69</v>
      </c>
    </row>
    <row r="50" spans="1:30" x14ac:dyDescent="0.35">
      <c r="A50" t="s">
        <v>9</v>
      </c>
    </row>
    <row r="51" spans="1:30" x14ac:dyDescent="0.35">
      <c r="A51" t="s">
        <v>3</v>
      </c>
      <c r="B51">
        <v>1</v>
      </c>
      <c r="C51" t="s">
        <v>4</v>
      </c>
      <c r="F51" t="s">
        <v>7</v>
      </c>
    </row>
    <row r="52" spans="1:30" x14ac:dyDescent="0.35">
      <c r="A52">
        <f>A26</f>
        <v>2.4E-2</v>
      </c>
      <c r="B52">
        <v>1</v>
      </c>
      <c r="C52">
        <f>B11</f>
        <v>1.5039999999999999E-3</v>
      </c>
      <c r="D52">
        <f>C11</f>
        <v>8.1066666666666646E-4</v>
      </c>
      <c r="F52">
        <f t="array" ref="F52:G53">MMULT(TRANSPOSE(A52:B53),MMULT(MINVERSE(C52:D53),A52:B53))</f>
        <v>0.45758696828344581</v>
      </c>
      <c r="G52">
        <v>17.064646789594516</v>
      </c>
      <c r="I52">
        <f t="array" ref="I52">MMULT(TRANSPOSE(I32:I33),MMULT(MINVERSE($F$52:$G$53),I32:I33))</f>
        <v>2.9728153787745666E-3</v>
      </c>
      <c r="J52">
        <f t="array" ref="J52">MMULT(TRANSPOSE(J32:J33),MMULT(MINVERSE($F$52:$G$53),J32:J33))</f>
        <v>1.5680224880031839E-3</v>
      </c>
      <c r="K52">
        <f t="array" ref="K52">MMULT(TRANSPOSE(K32:K33),MMULT(MINVERSE($F$52:$G$53),K32:K33))</f>
        <v>1.8198962638984722E-3</v>
      </c>
      <c r="L52">
        <f t="array" ref="L52">MMULT(TRANSPOSE(L32:L33),MMULT(MINVERSE($F$52:$G$53),L32:L33))</f>
        <v>3.7284367064604283E-3</v>
      </c>
      <c r="M52">
        <f t="array" ref="M52">MMULT(TRANSPOSE(M32:M33),MMULT(MINVERSE($F$52:$G$53),M32:M33))</f>
        <v>7.293643815689043E-3</v>
      </c>
      <c r="N52">
        <f t="array" ref="N52">MMULT(TRANSPOSE(N32:N33),MMULT(MINVERSE($F$52:$G$53),N32:N33))</f>
        <v>1.2515517591584337E-2</v>
      </c>
      <c r="O52">
        <f t="array" ref="O52">MMULT(TRANSPOSE(O32:O33),MMULT(MINVERSE($F$52:$G$53),O32:O33))</f>
        <v>1.9394058034146289E-2</v>
      </c>
      <c r="P52">
        <f t="array" ref="P52">MMULT(TRANSPOSE(P32:P33),MMULT(MINVERSE($F$52:$G$53),P32:P33))</f>
        <v>2.7929265143374897E-2</v>
      </c>
      <c r="Q52">
        <f t="array" ref="Q52">MMULT(TRANSPOSE(Q32:Q33),MMULT(MINVERSE($F$52:$G$53),Q32:Q33))</f>
        <v>3.8121138919270187E-2</v>
      </c>
      <c r="R52">
        <f t="array" ref="R52">MMULT(TRANSPOSE(R32:R33),MMULT(MINVERSE($F$52:$G$53),R32:R33))</f>
        <v>4.1948800000000015E-2</v>
      </c>
      <c r="S52">
        <f t="array" ref="S52">MMULT(TRANSPOSE(S32:S33),MMULT(MINVERSE($F$52:$G$53),S32:S33))</f>
        <v>4.9969679361832144E-2</v>
      </c>
      <c r="T52">
        <f t="array" ref="T52">MMULT(TRANSPOSE(T32:T33),MMULT(MINVERSE($F$52:$G$53),T32:T33))</f>
        <v>6.3474886471060782E-2</v>
      </c>
      <c r="U52">
        <f t="array" ref="U52">MMULT(TRANSPOSE(U32:U33),MMULT(MINVERSE($F$52:$G$53),U32:U33))</f>
        <v>7.8636760246956108E-2</v>
      </c>
      <c r="V52">
        <f t="array" ref="V52">MMULT(TRANSPOSE(V32:V33),MMULT(MINVERSE($F$52:$G$53),V32:V33))</f>
        <v>9.5455300689518047E-2</v>
      </c>
      <c r="W52">
        <f t="array" ref="W52">MMULT(TRANSPOSE(W32:W33),MMULT(MINVERSE($F$52:$G$53),W32:W33))</f>
        <v>0.11393050779874672</v>
      </c>
      <c r="X52">
        <f t="array" ref="X52">MMULT(TRANSPOSE(X32:X33),MMULT(MINVERSE($F$52:$G$53),X32:X33))</f>
        <v>0.13406238157464204</v>
      </c>
      <c r="Y52">
        <f t="array" ref="Y52">MMULT(TRANSPOSE(Y32:Y33),MMULT(MINVERSE($F$52:$G$53),Y32:Y33))</f>
        <v>0.15585092201720407</v>
      </c>
      <c r="Z52">
        <f t="array" ref="Z52">MMULT(TRANSPOSE(Z32:Z33),MMULT(MINVERSE($F$52:$G$53),Z32:Z33))</f>
        <v>0.17929612912643272</v>
      </c>
      <c r="AA52">
        <f t="array" ref="AA52">MMULT(TRANSPOSE(AA32:AA33),MMULT(MINVERSE($F$52:$G$53),AA32:AA33))</f>
        <v>0.20439800290232801</v>
      </c>
      <c r="AB52">
        <f t="array" ref="AB52">MMULT(TRANSPOSE(AB32:AB33),MMULT(MINVERSE($F$52:$G$53),AB32:AB33))</f>
        <v>0.23115654334489008</v>
      </c>
      <c r="AC52">
        <f t="array" ref="AC52">MMULT(TRANSPOSE(AC32:AC33),MMULT(MINVERSE($F$52:$G$53),AC32:AC33))</f>
        <v>0.25957175045411873</v>
      </c>
      <c r="AD52">
        <f t="array" ref="AD52">MMULT(TRANSPOSE(AD32:AD33),MMULT(MINVERSE($F$52:$G$53),AD32:AD33))</f>
        <v>0.289643624230014</v>
      </c>
    </row>
    <row r="53" spans="1:30" x14ac:dyDescent="0.35">
      <c r="A53">
        <f>A27</f>
        <v>4.4000000000000004E-2</v>
      </c>
      <c r="B53">
        <v>1</v>
      </c>
      <c r="C53">
        <f>B12</f>
        <v>8.1066666666666646E-4</v>
      </c>
      <c r="D53">
        <f>C12</f>
        <v>1.3370666666666666E-2</v>
      </c>
      <c r="F53">
        <v>17.064646789594519</v>
      </c>
      <c r="G53">
        <v>681.32466696886843</v>
      </c>
      <c r="I53">
        <f>SQRT(I52)</f>
        <v>5.4523530505411762E-2</v>
      </c>
      <c r="J53">
        <f>SQRT(J52)</f>
        <v>3.9598263699349039E-2</v>
      </c>
      <c r="K53">
        <f t="shared" ref="K53:AD53" si="14">SQRT(K52)</f>
        <v>4.266024219221537E-2</v>
      </c>
      <c r="L53">
        <f t="shared" si="14"/>
        <v>6.1060926184102617E-2</v>
      </c>
      <c r="M53">
        <f t="shared" si="14"/>
        <v>8.5402832597572795E-2</v>
      </c>
      <c r="N53">
        <f t="shared" si="14"/>
        <v>0.11187277413018923</v>
      </c>
      <c r="O53">
        <f t="shared" si="14"/>
        <v>0.1392625507239699</v>
      </c>
      <c r="P53">
        <f t="shared" si="14"/>
        <v>0.16712051083985741</v>
      </c>
      <c r="Q53">
        <f t="shared" si="14"/>
        <v>0.19524635443272734</v>
      </c>
      <c r="R53">
        <f t="shared" ref="R53" si="15">SQRT(R52)</f>
        <v>0.20481406201723557</v>
      </c>
      <c r="S53">
        <f t="shared" si="14"/>
        <v>0.2235389884602508</v>
      </c>
      <c r="T53">
        <f t="shared" si="14"/>
        <v>0.25194222843949915</v>
      </c>
      <c r="U53">
        <f t="shared" si="14"/>
        <v>0.28042246744324201</v>
      </c>
      <c r="V53">
        <f t="shared" si="14"/>
        <v>0.30895841255663853</v>
      </c>
      <c r="W53">
        <f t="shared" si="14"/>
        <v>0.33753593556649153</v>
      </c>
      <c r="X53">
        <f t="shared" si="14"/>
        <v>0.36614530117788219</v>
      </c>
      <c r="Y53">
        <f t="shared" si="14"/>
        <v>0.39477958662677087</v>
      </c>
      <c r="Z53">
        <f t="shared" si="14"/>
        <v>0.4234337364056302</v>
      </c>
      <c r="AA53">
        <f t="shared" si="14"/>
        <v>0.45210397355290743</v>
      </c>
      <c r="AB53">
        <f t="shared" si="14"/>
        <v>0.48078742011921449</v>
      </c>
      <c r="AC53">
        <f t="shared" si="14"/>
        <v>0.50948184506822103</v>
      </c>
      <c r="AD53">
        <f t="shared" si="14"/>
        <v>0.53818549240017055</v>
      </c>
    </row>
    <row r="54" spans="1:30" x14ac:dyDescent="0.35">
      <c r="A54" t="s">
        <v>10</v>
      </c>
    </row>
    <row r="55" spans="1:30" x14ac:dyDescent="0.35">
      <c r="A55" t="s">
        <v>3</v>
      </c>
      <c r="B55">
        <v>1</v>
      </c>
      <c r="C55" t="s">
        <v>4</v>
      </c>
      <c r="F55" t="s">
        <v>7</v>
      </c>
    </row>
    <row r="56" spans="1:30" x14ac:dyDescent="0.35">
      <c r="A56">
        <f>A26</f>
        <v>2.4E-2</v>
      </c>
      <c r="B56">
        <v>1</v>
      </c>
      <c r="C56">
        <f>B11</f>
        <v>1.5039999999999999E-3</v>
      </c>
      <c r="D56">
        <f>D11</f>
        <v>5.7440000000000008E-3</v>
      </c>
      <c r="F56">
        <f t="array" ref="F56:G57">MMULT(TRANSPOSE(A56:B57),MMULT(MINVERSE(C56:D57),A56:B57))</f>
        <v>0.42215829846582997</v>
      </c>
      <c r="G56">
        <v>19.950749651324973</v>
      </c>
      <c r="I56">
        <f t="array" ref="I56">MMULT(TRANSPOSE(I32:I33),MMULT(MINVERSE($F$56:$G$57),I32:I33))</f>
        <v>9.3476214430704765E-4</v>
      </c>
      <c r="J56">
        <f t="array" ref="J56">MMULT(TRANSPOSE(J32:J33),MMULT(MINVERSE($F$56:$G$57),J32:J33))</f>
        <v>1.3664331666633786E-3</v>
      </c>
      <c r="K56">
        <f t="array" ref="K56">MMULT(TRANSPOSE(K32:K33),MMULT(MINVERSE($F$56:$G$57),K32:K33))</f>
        <v>2.7818541890197073E-3</v>
      </c>
      <c r="L56">
        <f t="array" ref="L56">MMULT(TRANSPOSE(L32:L33),MMULT(MINVERSE($F$56:$G$57),L32:L33))</f>
        <v>5.181025211376031E-3</v>
      </c>
      <c r="M56">
        <f t="array" ref="M56">MMULT(TRANSPOSE(M32:M33),MMULT(MINVERSE($F$56:$G$57),M32:M33))</f>
        <v>8.5639462337323523E-3</v>
      </c>
      <c r="N56">
        <f t="array" ref="N56">MMULT(TRANSPOSE(N32:N33),MMULT(MINVERSE($F$56:$G$57),N32:N33))</f>
        <v>1.293061725608867E-2</v>
      </c>
      <c r="O56">
        <f t="array" ref="O56">MMULT(TRANSPOSE(O32:O33),MMULT(MINVERSE($F$56:$G$57),O32:O33))</f>
        <v>1.8281038278444982E-2</v>
      </c>
      <c r="P56">
        <f t="array" ref="P56">MMULT(TRANSPOSE(P32:P33),MMULT(MINVERSE($F$56:$G$57),P32:P33))</f>
        <v>2.4615209300801282E-2</v>
      </c>
      <c r="Q56">
        <f t="array" ref="Q56">MMULT(TRANSPOSE(Q32:Q33),MMULT(MINVERSE($F$56:$G$57),Q32:Q33))</f>
        <v>3.1933130323157588E-2</v>
      </c>
      <c r="R56">
        <f t="array" ref="R56">MMULT(TRANSPOSE(R32:R33),MMULT(MINVERSE($F$56:$G$57),R32:R33))</f>
        <v>3.4634799999999896E-2</v>
      </c>
      <c r="S56">
        <f t="array" ref="S56">MMULT(TRANSPOSE(S32:S33),MMULT(MINVERSE($F$56:$G$57),S32:S33))</f>
        <v>4.0234801345513882E-2</v>
      </c>
      <c r="T56">
        <f t="array" ref="T56">MMULT(TRANSPOSE(T32:T33),MMULT(MINVERSE($F$56:$G$57),T32:T33))</f>
        <v>4.9520222367870209E-2</v>
      </c>
      <c r="U56">
        <f t="array" ref="U56">MMULT(TRANSPOSE(U32:U33),MMULT(MINVERSE($F$56:$G$57),U32:U33))</f>
        <v>5.97893933902265E-2</v>
      </c>
      <c r="V56">
        <f t="array" ref="V56">MMULT(TRANSPOSE(V32:V33),MMULT(MINVERSE($F$56:$G$57),V32:V33))</f>
        <v>7.1042314412582824E-2</v>
      </c>
      <c r="W56">
        <f t="array" ref="W56">MMULT(TRANSPOSE(W32:W33),MMULT(MINVERSE($F$56:$G$57),W32:W33))</f>
        <v>8.327898543493914E-2</v>
      </c>
      <c r="X56">
        <f t="array" ref="X56">MMULT(TRANSPOSE(X32:X33),MMULT(MINVERSE($F$56:$G$57),X32:X33))</f>
        <v>9.6499406457295406E-2</v>
      </c>
      <c r="Y56">
        <f t="array" ref="Y56">MMULT(TRANSPOSE(Y32:Y33),MMULT(MINVERSE($F$56:$G$57),Y32:Y33))</f>
        <v>0.11070357747965172</v>
      </c>
      <c r="Z56">
        <f t="array" ref="Z56">MMULT(TRANSPOSE(Z32:Z33),MMULT(MINVERSE($F$56:$G$57),Z32:Z33))</f>
        <v>0.12589149850200804</v>
      </c>
      <c r="AA56">
        <f t="array" ref="AA56">MMULT(TRANSPOSE(AA32:AA33),MMULT(MINVERSE($F$56:$G$57),AA32:AA33))</f>
        <v>0.14206316952436435</v>
      </c>
      <c r="AB56">
        <f t="array" ref="AB56">MMULT(TRANSPOSE(AB32:AB33),MMULT(MINVERSE($F$56:$G$57),AB32:AB33))</f>
        <v>0.15921859054672066</v>
      </c>
      <c r="AC56">
        <f t="array" ref="AC56">MMULT(TRANSPOSE(AC32:AC33),MMULT(MINVERSE($F$56:$G$57),AC32:AC33))</f>
        <v>0.17735776156907695</v>
      </c>
      <c r="AD56">
        <f t="array" ref="AD56">MMULT(TRANSPOSE(AD32:AD33),MMULT(MINVERSE($F$56:$G$57),AD32:AD33))</f>
        <v>0.1964806825914332</v>
      </c>
    </row>
    <row r="57" spans="1:30" x14ac:dyDescent="0.35">
      <c r="A57">
        <f>A28</f>
        <v>6.4000000000000015E-2</v>
      </c>
      <c r="B57">
        <v>1</v>
      </c>
      <c r="C57">
        <f>B13</f>
        <v>5.7440000000000008E-3</v>
      </c>
      <c r="D57">
        <f>D13</f>
        <v>4.1464000000000008E-2</v>
      </c>
      <c r="F57">
        <v>19.950749651324969</v>
      </c>
      <c r="G57">
        <v>1071.9033298465836</v>
      </c>
      <c r="I57">
        <f>SQRT(I56)</f>
        <v>3.0573880098983965E-2</v>
      </c>
      <c r="J57">
        <f t="shared" ref="J57:AD57" si="16">SQRT(J56)</f>
        <v>3.6965296788520161E-2</v>
      </c>
      <c r="K57">
        <f t="shared" si="16"/>
        <v>5.2743285724532817E-2</v>
      </c>
      <c r="L57">
        <f t="shared" si="16"/>
        <v>7.1979338781181026E-2</v>
      </c>
      <c r="M57">
        <f t="shared" si="16"/>
        <v>9.2541591912676496E-2</v>
      </c>
      <c r="N57">
        <f t="shared" si="16"/>
        <v>0.11371287198944836</v>
      </c>
      <c r="O57">
        <f t="shared" si="16"/>
        <v>0.13520738988104528</v>
      </c>
      <c r="P57">
        <f t="shared" si="16"/>
        <v>0.15689234940175154</v>
      </c>
      <c r="Q57">
        <f t="shared" si="16"/>
        <v>0.17869843402547653</v>
      </c>
      <c r="R57">
        <f t="shared" ref="R57" si="17">SQRT(R56)</f>
        <v>0.18610427184780015</v>
      </c>
      <c r="S57">
        <f t="shared" si="16"/>
        <v>0.20058614445049261</v>
      </c>
      <c r="T57">
        <f t="shared" si="16"/>
        <v>0.2225313963643562</v>
      </c>
      <c r="U57">
        <f t="shared" si="16"/>
        <v>0.24451869742460697</v>
      </c>
      <c r="V57">
        <f t="shared" si="16"/>
        <v>0.26653764164294474</v>
      </c>
      <c r="W57">
        <f t="shared" si="16"/>
        <v>0.28858098592065823</v>
      </c>
      <c r="X57">
        <f t="shared" si="16"/>
        <v>0.31064353599792704</v>
      </c>
      <c r="Y57">
        <f t="shared" si="16"/>
        <v>0.33272147132346558</v>
      </c>
      <c r="Z57">
        <f t="shared" si="16"/>
        <v>0.35481191989842736</v>
      </c>
      <c r="AA57">
        <f t="shared" si="16"/>
        <v>0.37691268156479474</v>
      </c>
      <c r="AB57">
        <f t="shared" si="16"/>
        <v>0.39902204268275787</v>
      </c>
      <c r="AC57">
        <f t="shared" si="16"/>
        <v>0.42113864886647123</v>
      </c>
      <c r="AD57">
        <f t="shared" si="16"/>
        <v>0.44326141563577715</v>
      </c>
    </row>
    <row r="58" spans="1:30" x14ac:dyDescent="0.35">
      <c r="A58" t="s">
        <v>11</v>
      </c>
    </row>
    <row r="59" spans="1:30" x14ac:dyDescent="0.35">
      <c r="A59" t="s">
        <v>3</v>
      </c>
      <c r="B59">
        <v>1</v>
      </c>
      <c r="C59" t="s">
        <v>4</v>
      </c>
    </row>
    <row r="60" spans="1:30" x14ac:dyDescent="0.35">
      <c r="A60">
        <f>A27</f>
        <v>4.4000000000000004E-2</v>
      </c>
      <c r="B60">
        <v>1</v>
      </c>
      <c r="C60">
        <f>C12</f>
        <v>1.3370666666666666E-2</v>
      </c>
      <c r="D60">
        <f>D12</f>
        <v>-1.0826666666666658E-3</v>
      </c>
      <c r="F60">
        <f t="array" ref="F60:G61">MMULT(TRANSPOSE(A60:B61),MMULT(MINVERSE(C60:D61),A60:B61))</f>
        <v>0.25511694731923829</v>
      </c>
      <c r="G60">
        <v>5.0558916473912845</v>
      </c>
      <c r="I60">
        <f t="array" ref="I60">MMULT(TRANSPOSE(I32:I33),MMULT(MINVERSE($F$60:$G$61),I32:I33))</f>
        <v>0.14457891038328394</v>
      </c>
      <c r="J60">
        <f t="array" ref="J60">MMULT(TRANSPOSE(J32:J33),MMULT(MINVERSE($F$60:$G$61),J32:J33))</f>
        <v>0.10430144934232365</v>
      </c>
      <c r="K60">
        <f t="array" ref="K60">MMULT(TRANSPOSE(K32:K33),MMULT(MINVERSE($F$60:$G$61),K32:K33))</f>
        <v>7.1148988301363389E-2</v>
      </c>
      <c r="L60">
        <f t="array" ref="L60">MMULT(TRANSPOSE(L32:L33),MMULT(MINVERSE($F$60:$G$61),L32:L33))</f>
        <v>4.5121527260403207E-2</v>
      </c>
      <c r="M60">
        <f t="array" ref="M60">MMULT(TRANSPOSE(M32:M33),MMULT(MINVERSE($F$60:$G$61),M32:M33))</f>
        <v>2.6219066219443067E-2</v>
      </c>
      <c r="N60">
        <f t="array" ref="N60">MMULT(TRANSPOSE(N32:N33),MMULT(MINVERSE($F$60:$G$61),N32:N33))</f>
        <v>1.4441605178482905E-2</v>
      </c>
      <c r="O60">
        <f t="array" ref="O60">MMULT(TRANSPOSE(O32:O33),MMULT(MINVERSE($F$60:$G$61),O32:O33))</f>
        <v>9.7891441375228261E-3</v>
      </c>
      <c r="P60">
        <f t="array" ref="P60">MMULT(TRANSPOSE(P32:P33),MMULT(MINVERSE($F$60:$G$61),P32:P33))</f>
        <v>1.2261683096562774E-2</v>
      </c>
      <c r="Q60">
        <f t="array" ref="Q60">MMULT(TRANSPOSE(Q32:Q33),MMULT(MINVERSE($F$60:$G$61),Q32:Q33))</f>
        <v>2.1859222055602631E-2</v>
      </c>
      <c r="R60" s="4">
        <f t="array" ref="R60">MMULT(TRANSPOSE(R32:R33),MMULT(MINVERSE($F$60:$G$61),R32:R33))</f>
        <v>2.672533333333349E-2</v>
      </c>
      <c r="S60">
        <f t="array" ref="S60">MMULT(TRANSPOSE(S32:S33),MMULT(MINVERSE($F$60:$G$61),S32:S33))</f>
        <v>3.8581761014642696E-2</v>
      </c>
      <c r="T60">
        <f t="array" ref="T60">MMULT(TRANSPOSE(T32:T33),MMULT(MINVERSE($F$60:$G$61),T32:T33))</f>
        <v>6.2429299973682684E-2</v>
      </c>
      <c r="U60">
        <f t="array" ref="U60">MMULT(TRANSPOSE(U32:U33),MMULT(MINVERSE($F$60:$G$61),U32:U33))</f>
        <v>9.3401838932722803E-2</v>
      </c>
      <c r="V60">
        <f t="array" ref="V60">MMULT(TRANSPOSE(V32:V33),MMULT(MINVERSE($F$60:$G$61),V32:V33))</f>
        <v>0.13149937789176286</v>
      </c>
      <c r="W60">
        <f t="array" ref="W60">MMULT(TRANSPOSE(W32:W33),MMULT(MINVERSE($F$60:$G$61),W32:W33))</f>
        <v>0.17672191685080313</v>
      </c>
      <c r="X60">
        <f t="array" ref="X60">MMULT(TRANSPOSE(X32:X33),MMULT(MINVERSE($F$60:$G$61),X32:X33))</f>
        <v>0.22906945580984328</v>
      </c>
      <c r="Y60">
        <f t="array" ref="Y60">MMULT(TRANSPOSE(Y32:Y33),MMULT(MINVERSE($F$60:$G$61),Y32:Y33))</f>
        <v>0.28854199476888365</v>
      </c>
      <c r="Z60">
        <f t="array" ref="Z60">MMULT(TRANSPOSE(Z32:Z33),MMULT(MINVERSE($F$60:$G$61),Z32:Z33))</f>
        <v>0.35513953372792384</v>
      </c>
      <c r="AA60">
        <f t="array" ref="AA60">MMULT(TRANSPOSE(AA32:AA33),MMULT(MINVERSE($F$60:$G$61),AA32:AA33))</f>
        <v>0.42886207268696419</v>
      </c>
      <c r="AB60">
        <f t="array" ref="AB60">MMULT(TRANSPOSE(AB32:AB33),MMULT(MINVERSE($F$60:$G$61),AB32:AB33))</f>
        <v>0.50970961164600481</v>
      </c>
      <c r="AC60">
        <f t="array" ref="AC60">MMULT(TRANSPOSE(AC32:AC33),MMULT(MINVERSE($F$60:$G$61),AC32:AC33))</f>
        <v>0.59768215060504504</v>
      </c>
      <c r="AD60">
        <f t="array" ref="AD60">MMULT(TRANSPOSE(AD32:AD33),MMULT(MINVERSE($F$60:$G$61),AD32:AD33))</f>
        <v>0.6927796895640852</v>
      </c>
    </row>
    <row r="61" spans="1:30" x14ac:dyDescent="0.35">
      <c r="A61">
        <f>A28</f>
        <v>6.4000000000000015E-2</v>
      </c>
      <c r="B61">
        <v>1</v>
      </c>
      <c r="C61">
        <f>C13</f>
        <v>-1.0826666666666658E-3</v>
      </c>
      <c r="D61">
        <f>D13</f>
        <v>4.1464000000000008E-2</v>
      </c>
      <c r="F61">
        <v>5.0558916473912845</v>
      </c>
      <c r="G61">
        <v>103.03144624176632</v>
      </c>
      <c r="I61">
        <f>SQRT(I60)</f>
        <v>0.38023533552693906</v>
      </c>
      <c r="J61">
        <f t="shared" ref="J61:AD61" si="18">SQRT(J60)</f>
        <v>0.3229573491071594</v>
      </c>
      <c r="K61">
        <f t="shared" si="18"/>
        <v>0.2667376769437782</v>
      </c>
      <c r="L61">
        <f t="shared" si="18"/>
        <v>0.2124182837243612</v>
      </c>
      <c r="M61">
        <f t="shared" si="18"/>
        <v>0.16192302559995311</v>
      </c>
      <c r="N61">
        <f t="shared" si="18"/>
        <v>0.12017322987455611</v>
      </c>
      <c r="O61">
        <f t="shared" si="18"/>
        <v>9.8940103787709996E-2</v>
      </c>
      <c r="P61">
        <f t="shared" si="18"/>
        <v>0.11073248437817501</v>
      </c>
      <c r="Q61">
        <f t="shared" si="18"/>
        <v>0.14784864576857859</v>
      </c>
      <c r="R61" s="4">
        <f t="shared" ref="R61" si="19">SQRT(R60)</f>
        <v>0.16347884674579</v>
      </c>
      <c r="S61">
        <f t="shared" si="18"/>
        <v>0.19642240456384474</v>
      </c>
      <c r="T61">
        <f t="shared" si="18"/>
        <v>0.24985855993678241</v>
      </c>
      <c r="U61">
        <f t="shared" si="18"/>
        <v>0.30561714436975357</v>
      </c>
      <c r="V61">
        <f t="shared" si="18"/>
        <v>0.36262842951396246</v>
      </c>
      <c r="W61">
        <f t="shared" si="18"/>
        <v>0.420383059662022</v>
      </c>
      <c r="X61">
        <f t="shared" si="18"/>
        <v>0.47861200967991108</v>
      </c>
      <c r="Y61">
        <f t="shared" si="18"/>
        <v>0.537161051053484</v>
      </c>
      <c r="Z61">
        <f t="shared" si="18"/>
        <v>0.5959358469901973</v>
      </c>
      <c r="AA61">
        <f t="shared" si="18"/>
        <v>0.6548756161951399</v>
      </c>
      <c r="AB61">
        <f t="shared" si="18"/>
        <v>0.71393950139070239</v>
      </c>
      <c r="AC61">
        <f t="shared" si="18"/>
        <v>0.77309905614031438</v>
      </c>
      <c r="AD61">
        <f t="shared" si="18"/>
        <v>0.8323338810622124</v>
      </c>
    </row>
    <row r="63" spans="1:30" x14ac:dyDescent="0.35">
      <c r="A63" t="s">
        <v>35</v>
      </c>
    </row>
    <row r="64" spans="1:30" x14ac:dyDescent="0.35">
      <c r="A64" t="s">
        <v>51</v>
      </c>
    </row>
    <row r="65" spans="1:9" x14ac:dyDescent="0.35">
      <c r="A65" t="s">
        <v>52</v>
      </c>
      <c r="G65" s="4" t="s">
        <v>53</v>
      </c>
      <c r="H65" s="4"/>
      <c r="I65" s="4">
        <f>(0.064-0.06)/(0.064-0.044)</f>
        <v>0.20000000000000015</v>
      </c>
    </row>
    <row r="67" spans="1:9" x14ac:dyDescent="0.35">
      <c r="A67" s="27" t="s">
        <v>70</v>
      </c>
    </row>
    <row r="68" spans="1:9" x14ac:dyDescent="0.35">
      <c r="A68" t="s">
        <v>41</v>
      </c>
    </row>
    <row r="69" spans="1:9" x14ac:dyDescent="0.35">
      <c r="B69" t="s">
        <v>36</v>
      </c>
    </row>
    <row r="70" spans="1:9" x14ac:dyDescent="0.35">
      <c r="B70" t="s">
        <v>37</v>
      </c>
    </row>
    <row r="71" spans="1:9" x14ac:dyDescent="0.35">
      <c r="B71" t="s">
        <v>38</v>
      </c>
    </row>
    <row r="72" spans="1:9" x14ac:dyDescent="0.35">
      <c r="B72" t="s">
        <v>39</v>
      </c>
    </row>
    <row r="73" spans="1:9" x14ac:dyDescent="0.35">
      <c r="B73" t="s">
        <v>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Opgave 1</vt:lpstr>
      <vt:lpstr>Opgave 2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2017-06-26T10:49:05Z</cp:lastPrinted>
  <dcterms:created xsi:type="dcterms:W3CDTF">2017-06-12T11:05:40Z</dcterms:created>
  <dcterms:modified xsi:type="dcterms:W3CDTF">2019-10-29T15:28:29Z</dcterms:modified>
</cp:coreProperties>
</file>