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christianjensen/Downloads/Eksamensopgaver til Noterne 2/Eksamensopgaver til Noterne/Fin1/"/>
    </mc:Choice>
  </mc:AlternateContent>
  <xr:revisionPtr revIDLastSave="0" documentId="13_ncr:1_{52E999D3-4ADF-FB42-AFFB-29176A451151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Opgave 3" sheetId="1" r:id="rId1"/>
    <sheet name="Opgave 2" sheetId="3" r:id="rId2"/>
    <sheet name="Detaljeret om forward-priser" sheetId="2" r:id="rId3"/>
    <sheet name="Opgave 1" sheetId="4" r:id="rId4"/>
  </sheets>
  <definedNames>
    <definedName name="solver_adj" localSheetId="2" hidden="1">'Detaljeret om forward-priser'!$E$7</definedName>
    <definedName name="solver_adj" localSheetId="0" hidden="1">'Opgave 3'!$G$6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1</definedName>
    <definedName name="solver_eng" localSheetId="2" hidden="1">2</definedName>
    <definedName name="solver_eng" localSheetId="0" hidden="1">1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lhs1" localSheetId="2" hidden="1">'Detaljeret om forward-priser'!$E$10</definedName>
    <definedName name="solver_lhs2" localSheetId="2" hidden="1">'Detaljeret om forward-priser'!$E$7</definedName>
    <definedName name="solver_lhs3" localSheetId="2" hidden="1">'Detaljeret om forward-priser'!$E$8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2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2" hidden="1">3</definedName>
    <definedName name="solver_num" localSheetId="0" hidden="1">0</definedName>
    <definedName name="solver_nwt" localSheetId="2" hidden="1">1</definedName>
    <definedName name="solver_nwt" localSheetId="0" hidden="1">1</definedName>
    <definedName name="solver_opt" localSheetId="2" hidden="1">'Detaljeret om forward-priser'!$D$15</definedName>
    <definedName name="solver_opt" localSheetId="0" hidden="1">'Opgave 3'!$G$7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1</definedName>
    <definedName name="solver_scl" localSheetId="0" hidden="1">1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1</definedName>
    <definedName name="solver_typ" localSheetId="2" hidden="1">2</definedName>
    <definedName name="solver_typ" localSheetId="0" hidden="1">3</definedName>
    <definedName name="solver_val" localSheetId="2" hidden="1">0</definedName>
    <definedName name="solver_val" localSheetId="0" hidden="1">50000000000</definedName>
    <definedName name="solver_ver" localSheetId="2" hidden="1">3</definedName>
    <definedName name="solver_ver" localSheetId="0" hidden="1">3</definedName>
  </definedName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J48" i="4" l="1"/>
  <c r="G48" i="4"/>
  <c r="C23" i="4"/>
  <c r="C22" i="4"/>
  <c r="B23" i="4" s="1"/>
  <c r="C21" i="4"/>
  <c r="B22" i="4" s="1"/>
  <c r="F20" i="4" l="1"/>
  <c r="A23" i="4"/>
  <c r="F21" i="4" s="1"/>
  <c r="F23" i="4" s="1"/>
  <c r="D4" i="4"/>
  <c r="D5" i="4"/>
  <c r="D6" i="4"/>
  <c r="J23" i="4" s="1"/>
  <c r="C35" i="4" l="1"/>
  <c r="C34" i="4"/>
  <c r="C33" i="4"/>
  <c r="E44" i="3"/>
  <c r="C44" i="3"/>
  <c r="F42" i="3"/>
  <c r="D42" i="3" a="1"/>
  <c r="D42" i="3" s="1"/>
  <c r="B42" i="3" a="1"/>
  <c r="B42" i="3" s="1"/>
  <c r="C40" i="3"/>
  <c r="J36" i="3"/>
  <c r="I36" i="3"/>
  <c r="H36" i="3"/>
  <c r="D36" i="3" a="1"/>
  <c r="D36" i="3" s="1"/>
  <c r="D34" i="3"/>
  <c r="F34" i="3" a="1"/>
  <c r="F34" i="3" s="1"/>
  <c r="E34" i="3" a="1"/>
  <c r="E34" i="3" s="1"/>
  <c r="A36" i="3"/>
  <c r="A35" i="3"/>
  <c r="A34" i="3"/>
  <c r="M6" i="3"/>
  <c r="M7" i="3" s="1"/>
  <c r="A13" i="3"/>
  <c r="B12" i="3"/>
  <c r="C8" i="3"/>
  <c r="C9" i="3"/>
  <c r="B8" i="3"/>
  <c r="A9" i="3"/>
  <c r="A8" i="3"/>
  <c r="C12" i="3" s="1"/>
  <c r="C3" i="3"/>
  <c r="B9" i="3" s="1"/>
  <c r="D12" i="3" s="1" a="1"/>
  <c r="D12" i="3" s="1"/>
  <c r="C4" i="3"/>
  <c r="D4" i="3"/>
  <c r="B35" i="4" l="1"/>
  <c r="B34" i="4"/>
  <c r="A35" i="4" s="1"/>
  <c r="F36" i="3"/>
  <c r="E36" i="3"/>
  <c r="M8" i="3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N2" i="3" a="1"/>
  <c r="N2" i="3" s="1"/>
  <c r="N3" i="3"/>
  <c r="B13" i="3"/>
  <c r="C13" i="3" s="1"/>
  <c r="A14" i="3"/>
  <c r="O7" i="3" l="1" a="1"/>
  <c r="O7" i="3" s="1"/>
  <c r="D13" i="3" a="1"/>
  <c r="D13" i="3" s="1"/>
  <c r="O3" i="3"/>
  <c r="R3" i="3" s="1"/>
  <c r="O2" i="3"/>
  <c r="O6" i="3" s="1" a="1"/>
  <c r="O6" i="3" s="1"/>
  <c r="O8" i="3" a="1"/>
  <c r="O8" i="3" s="1"/>
  <c r="R2" i="3"/>
  <c r="A15" i="3"/>
  <c r="B14" i="3"/>
  <c r="C14" i="3" s="1"/>
  <c r="O9" i="3" l="1" a="1"/>
  <c r="O9" i="3" s="1"/>
  <c r="D14" i="3" a="1"/>
  <c r="D14" i="3" s="1"/>
  <c r="A16" i="3"/>
  <c r="B15" i="3"/>
  <c r="C15" i="3" s="1"/>
  <c r="O10" i="3" l="1" a="1"/>
  <c r="O10" i="3" s="1"/>
  <c r="A17" i="3"/>
  <c r="B16" i="3"/>
  <c r="D16" i="3" s="1" a="1"/>
  <c r="D16" i="3" s="1"/>
  <c r="D15" i="3" a="1"/>
  <c r="D15" i="3" s="1"/>
  <c r="O11" i="3" l="1" a="1"/>
  <c r="O11" i="3" s="1"/>
  <c r="A18" i="3"/>
  <c r="B17" i="3"/>
  <c r="D17" i="3" s="1" a="1"/>
  <c r="D17" i="3" s="1"/>
  <c r="C16" i="3"/>
  <c r="C17" i="3" l="1"/>
  <c r="O12" i="3" a="1"/>
  <c r="O12" i="3" s="1"/>
  <c r="A19" i="3"/>
  <c r="B18" i="3"/>
  <c r="D18" i="3" s="1" a="1"/>
  <c r="D18" i="3" s="1"/>
  <c r="I4" i="2"/>
  <c r="I3" i="2"/>
  <c r="I2" i="2"/>
  <c r="E8" i="2"/>
  <c r="O13" i="3" l="1" a="1"/>
  <c r="O13" i="3" s="1"/>
  <c r="A20" i="3"/>
  <c r="B19" i="3"/>
  <c r="D19" i="3" s="1" a="1"/>
  <c r="D19" i="3" s="1"/>
  <c r="C18" i="3"/>
  <c r="K2" i="2" a="1"/>
  <c r="K3" i="2" s="1"/>
  <c r="O14" i="3" l="1" a="1"/>
  <c r="O14" i="3" s="1"/>
  <c r="A21" i="3"/>
  <c r="B20" i="3"/>
  <c r="D20" i="3" s="1" a="1"/>
  <c r="D20" i="3" s="1"/>
  <c r="C19" i="3"/>
  <c r="K2" i="2"/>
  <c r="L2" i="2" s="1" a="1"/>
  <c r="C20" i="3" l="1"/>
  <c r="O15" i="3" a="1"/>
  <c r="O15" i="3" s="1"/>
  <c r="A22" i="3"/>
  <c r="B21" i="3"/>
  <c r="C21" i="3" s="1"/>
  <c r="L2" i="2"/>
  <c r="L3" i="2"/>
  <c r="L4" i="2"/>
  <c r="M4" i="2" s="1"/>
  <c r="H18" i="2"/>
  <c r="H17" i="2"/>
  <c r="G13" i="2"/>
  <c r="H13" i="2" s="1"/>
  <c r="G16" i="2"/>
  <c r="H16" i="2" s="1"/>
  <c r="G17" i="2"/>
  <c r="G18" i="2"/>
  <c r="G14" i="2"/>
  <c r="H14" i="2" s="1"/>
  <c r="D4" i="1"/>
  <c r="O16" i="3" l="1" a="1"/>
  <c r="O16" i="3" s="1"/>
  <c r="B22" i="3"/>
  <c r="C22" i="3" s="1"/>
  <c r="D22" i="3" a="1"/>
  <c r="D22" i="3" s="1"/>
  <c r="D21" i="3" a="1"/>
  <c r="D21" i="3" s="1"/>
  <c r="E9" i="2"/>
  <c r="G15" i="2" s="1"/>
  <c r="H15" i="2" s="1"/>
  <c r="O17" i="3" l="1" a="1"/>
  <c r="O17" i="3" s="1"/>
  <c r="D15" i="2"/>
  <c r="G19" i="2"/>
  <c r="G12" i="1"/>
  <c r="H14" i="1" s="1"/>
  <c r="A5" i="1"/>
  <c r="B4" i="1"/>
  <c r="C4" i="1" s="1"/>
  <c r="O18" i="3" l="1" a="1"/>
  <c r="O18" i="3" s="1"/>
  <c r="A6" i="1"/>
  <c r="B6" i="1" s="1"/>
  <c r="C6" i="1" s="1"/>
  <c r="D5" i="1"/>
  <c r="G15" i="1"/>
  <c r="H16" i="1" s="1"/>
  <c r="G16" i="1"/>
  <c r="H17" i="1" s="1"/>
  <c r="G14" i="1"/>
  <c r="H15" i="1" s="1"/>
  <c r="B5" i="1"/>
  <c r="C5" i="1" s="1"/>
  <c r="G17" i="1"/>
  <c r="H18" i="1" s="1"/>
  <c r="G18" i="1"/>
  <c r="I14" i="1"/>
  <c r="O19" i="3" l="1" a="1"/>
  <c r="O19" i="3" s="1"/>
  <c r="A7" i="1"/>
  <c r="D6" i="1"/>
  <c r="I15" i="1"/>
  <c r="I16" i="1"/>
  <c r="M21" i="3" l="1"/>
  <c r="O20" i="3" a="1"/>
  <c r="O20" i="3" s="1"/>
  <c r="D7" i="1"/>
  <c r="A8" i="1"/>
  <c r="B7" i="1"/>
  <c r="C7" i="1" s="1"/>
  <c r="M22" i="3" l="1"/>
  <c r="O21" i="3" a="1"/>
  <c r="O21" i="3" s="1"/>
  <c r="I17" i="1"/>
  <c r="D8" i="1"/>
  <c r="B8" i="1"/>
  <c r="C8" i="1" s="1"/>
  <c r="I18" i="1" s="1"/>
  <c r="G20" i="1" s="1"/>
  <c r="A9" i="1"/>
  <c r="O22" i="3" l="1" a="1"/>
  <c r="O22" i="3" s="1"/>
  <c r="D9" i="1"/>
  <c r="B9" i="1"/>
  <c r="C9" i="1" s="1"/>
  <c r="A10" i="1"/>
  <c r="D10" i="1" l="1"/>
  <c r="A11" i="1"/>
  <c r="B10" i="1"/>
  <c r="C10" i="1" s="1"/>
  <c r="D11" i="1" l="1"/>
  <c r="A12" i="1"/>
  <c r="B11" i="1"/>
  <c r="C11" i="1" s="1"/>
  <c r="D12" i="1" l="1"/>
  <c r="B12" i="1"/>
  <c r="C12" i="1" s="1"/>
  <c r="A13" i="1"/>
  <c r="D13" i="1" l="1"/>
  <c r="A14" i="1"/>
  <c r="B13" i="1"/>
  <c r="C13" i="1" s="1"/>
  <c r="D14" i="1" l="1"/>
  <c r="A15" i="1"/>
  <c r="B14" i="1"/>
  <c r="C14" i="1" s="1"/>
  <c r="D15" i="1" l="1"/>
  <c r="B15" i="1"/>
  <c r="C15" i="1" s="1"/>
  <c r="A16" i="1"/>
  <c r="D16" i="1" l="1"/>
  <c r="A17" i="1"/>
  <c r="B16" i="1"/>
  <c r="C16" i="1" s="1"/>
  <c r="D17" i="1" l="1"/>
  <c r="B17" i="1"/>
  <c r="C17" i="1" s="1"/>
  <c r="A18" i="1"/>
  <c r="D18" i="1" l="1"/>
  <c r="A19" i="1"/>
  <c r="B18" i="1"/>
  <c r="C18" i="1" s="1"/>
  <c r="D19" i="1" l="1"/>
  <c r="A20" i="1"/>
  <c r="B19" i="1"/>
  <c r="C19" i="1" s="1"/>
  <c r="D20" i="1" l="1"/>
  <c r="B20" i="1"/>
  <c r="C20" i="1" s="1"/>
  <c r="A21" i="1"/>
  <c r="D21" i="1" l="1"/>
  <c r="A22" i="1"/>
  <c r="B21" i="1"/>
  <c r="C21" i="1" s="1"/>
  <c r="D22" i="1" l="1"/>
  <c r="A23" i="1"/>
  <c r="B22" i="1"/>
  <c r="C22" i="1" s="1"/>
  <c r="D23" i="1" l="1"/>
  <c r="A24" i="1"/>
  <c r="B23" i="1"/>
  <c r="C23" i="1" s="1"/>
  <c r="D24" i="1" l="1"/>
  <c r="B24" i="1"/>
  <c r="C24" i="1" s="1"/>
  <c r="A25" i="1"/>
  <c r="D25" i="1" l="1"/>
  <c r="A26" i="1"/>
  <c r="B25" i="1"/>
  <c r="C25" i="1" s="1"/>
  <c r="D26" i="1" l="1"/>
  <c r="B26" i="1"/>
  <c r="C26" i="1" s="1"/>
  <c r="A27" i="1"/>
  <c r="D27" i="1" l="1"/>
  <c r="B27" i="1"/>
  <c r="C27" i="1" s="1"/>
  <c r="A28" i="1"/>
  <c r="D28" i="1" l="1"/>
  <c r="B28" i="1"/>
  <c r="C28" i="1" s="1"/>
  <c r="A29" i="1"/>
  <c r="D29" i="1" l="1"/>
  <c r="A30" i="1"/>
  <c r="B29" i="1"/>
  <c r="C29" i="1" s="1"/>
  <c r="D30" i="1" l="1"/>
  <c r="A31" i="1"/>
  <c r="B30" i="1"/>
  <c r="C30" i="1" s="1"/>
  <c r="D31" i="1" l="1"/>
  <c r="A32" i="1"/>
  <c r="B31" i="1"/>
  <c r="C31" i="1" s="1"/>
  <c r="D32" i="1" l="1"/>
  <c r="A33" i="1"/>
  <c r="B32" i="1"/>
  <c r="C32" i="1" s="1"/>
  <c r="B33" i="1" l="1"/>
  <c r="C33" i="1" s="1"/>
  <c r="D33" i="1"/>
  <c r="H8" i="1" s="1"/>
</calcChain>
</file>

<file path=xl/sharedStrings.xml><?xml version="1.0" encoding="utf-8"?>
<sst xmlns="http://schemas.openxmlformats.org/spreadsheetml/2006/main" count="158" uniqueCount="144">
  <si>
    <t>Stående lån</t>
  </si>
  <si>
    <t>Provenu</t>
  </si>
  <si>
    <t>Serielån</t>
  </si>
  <si>
    <t>Nutidsværdi</t>
  </si>
  <si>
    <t>q1</t>
  </si>
  <si>
    <t>&lt;- fri variabel</t>
  </si>
  <si>
    <t>q2</t>
  </si>
  <si>
    <t>q3</t>
  </si>
  <si>
    <t>&lt;- bestemt af martingalbetingelsen</t>
  </si>
  <si>
    <t>&lt;- 1- q1 -q2</t>
  </si>
  <si>
    <t>Fwd (0,3)</t>
  </si>
  <si>
    <t>Dividender</t>
  </si>
  <si>
    <t>Fwd (0,3), øvre</t>
  </si>
  <si>
    <t>Fwd (0,3), nedre</t>
  </si>
  <si>
    <t xml:space="preserve"> </t>
  </si>
  <si>
    <t>Replkationstest: Kan dividender replikeres?</t>
  </si>
  <si>
    <t>Effektiv rente</t>
  </si>
  <si>
    <t>&lt;- sum af nko-diskonterede betalinger; brug Solver til at få = 50 mia.</t>
  </si>
  <si>
    <t>R(ente)</t>
  </si>
  <si>
    <t>H(ovedstol)</t>
  </si>
  <si>
    <t>&lt;- husk definition fra Noternes afsnit 3.3</t>
  </si>
  <si>
    <t>Opgave 3a</t>
  </si>
  <si>
    <t>nk-rente</t>
  </si>
  <si>
    <t>tid</t>
  </si>
  <si>
    <t>nko-pris</t>
  </si>
  <si>
    <t>y(T)</t>
  </si>
  <si>
    <t>d(T)</t>
  </si>
  <si>
    <t>tid (T)</t>
  </si>
  <si>
    <t>(1+r_eff)^-T</t>
  </si>
  <si>
    <t>Mellemregninger</t>
  </si>
  <si>
    <t>ydelse</t>
  </si>
  <si>
    <t>nko-diskonteret ydelse</t>
  </si>
  <si>
    <t>og kuponrente) og man lægger samtlige betalinger på det stående lån sammen uden diskontering, så gi'r det 125 mia.</t>
  </si>
  <si>
    <t>&lt;- højresiden i def. af eff. rente; brug solver til få  = 50 mia.</t>
  </si>
  <si>
    <t>Hvis man tror/misforstår det som at lånets hovedstol er 50 mia. (så man ikke forstår forskellen mellem effektiv rente</t>
  </si>
  <si>
    <t xml:space="preserve">Men det tal (og dermed udsagnet) er meningsløst/noget vrøvl. </t>
  </si>
  <si>
    <t>* For det første er det slet ikke det, betalingerne er (hovedstol ca. = 38 mia)</t>
  </si>
  <si>
    <t>* Man glemmer StorDanskBanks tilbagebetalinger (og at den har lånt til over markedsrente)</t>
  </si>
  <si>
    <t>Et bud tættere på sandheden giver nettonutidsværdikriteriet, der viser en fortjeneste for staten (her = skatteydere)</t>
  </si>
  <si>
    <t>på ca. 12, 5 mia. (modsat et tab på 125 mia.).</t>
  </si>
  <si>
    <t>Brugen af nettonutidsværdikriteriet kan dog også diskuteres; vi er jo/vel ikke ganske sikre på, at StorDanskBank</t>
  </si>
  <si>
    <t>faktisk betaler tilbage når man udsteder lånet.  Og hvilke konsekvenser (for eller efter lånets eventuelle udstedelse)</t>
  </si>
  <si>
    <t>vil fallit af StorDanskBank mon have for staten?</t>
  </si>
  <si>
    <t>* For at finde værdi af/sammenligne betalinger på forskellige tidspunkter, skal man (nko-) diskontere</t>
  </si>
  <si>
    <t>Opgave 3b</t>
  </si>
  <si>
    <t>r_eff-disk'</t>
  </si>
  <si>
    <t>N (antal år)</t>
  </si>
  <si>
    <t>Sigma</t>
  </si>
  <si>
    <t>2a</t>
  </si>
  <si>
    <t>alpha</t>
  </si>
  <si>
    <t>Sigma u/ 3</t>
  </si>
  <si>
    <t>1-alpha</t>
  </si>
  <si>
    <t>Mu_pf</t>
  </si>
  <si>
    <t>sigma_pf = (w^T Sigma w)^0.5</t>
  </si>
  <si>
    <t>Blå kurve ~spg. 2a</t>
  </si>
  <si>
    <t>1-dummy</t>
  </si>
  <si>
    <t>2b</t>
  </si>
  <si>
    <t>A</t>
  </si>
  <si>
    <t>mu_gmv</t>
  </si>
  <si>
    <t>mu u/ 3</t>
  </si>
  <si>
    <t>mu</t>
  </si>
  <si>
    <t>sig_gmv</t>
  </si>
  <si>
    <t>mu_P</t>
  </si>
  <si>
    <t>sigma_P = ((mu_p,1)^T A^-1 (mu_P,1))^0.5</t>
  </si>
  <si>
    <t>Orange  kurve ~ eff. rand fra spg. 2b</t>
  </si>
  <si>
    <t xml:space="preserve">Efficient rand </t>
  </si>
  <si>
    <t>Bemærkning: Synpunktet i citatet har været frembragt Den Korte Radioavis -- dato glemt -- der om end det er satirie,</t>
  </si>
  <si>
    <t>ofte er mere pålidelig end andre "seriøse" medier.</t>
  </si>
  <si>
    <t>2c</t>
  </si>
  <si>
    <t>r_f</t>
  </si>
  <si>
    <t>mu^e</t>
  </si>
  <si>
    <t>mu_tg</t>
  </si>
  <si>
    <t>tæller</t>
  </si>
  <si>
    <t>nævner</t>
  </si>
  <si>
    <t>brøk</t>
  </si>
  <si>
    <t>w_tg jf. (9.16)</t>
  </si>
  <si>
    <t>w_test-pf</t>
  </si>
  <si>
    <t xml:space="preserve">CAPM-ligning </t>
  </si>
  <si>
    <t>hvor beta = cov(r_tg,r_test-pf)/var(r_tg)</t>
  </si>
  <si>
    <t>E(r_test-pf) - r_f = beta*(E(r_tg)-r_f),</t>
  </si>
  <si>
    <t>Venstresiden</t>
  </si>
  <si>
    <t>Cov</t>
  </si>
  <si>
    <t>var(r_tg)</t>
  </si>
  <si>
    <t>beta</t>
  </si>
  <si>
    <t>Højresiden</t>
  </si>
  <si>
    <t>Dvs:</t>
  </si>
  <si>
    <t xml:space="preserve">(Og ved vi, den skal, for referrence-pf w_tg </t>
  </si>
  <si>
    <t>er en minimum-varians-pf.)</t>
  </si>
  <si>
    <t>1a</t>
  </si>
  <si>
    <t>Rep' pf</t>
  </si>
  <si>
    <t>1c</t>
  </si>
  <si>
    <t>1b</t>
  </si>
  <si>
    <t>Aktiekurs</t>
  </si>
  <si>
    <t>Dividende</t>
  </si>
  <si>
    <t>Rente</t>
  </si>
  <si>
    <t>Vi ser nemt, at alle tid (0-&gt;1) og (1-2) 1-periode-delmodellerne er er af standard-form m/ u=1,2, R=1,05 og d=0,9.</t>
  </si>
  <si>
    <t>De har det entydige q= (R-d)/(u-d) = 0,5, der ligger skarpt mellem 0 og 1. De er derfor arb'fri og komplette.</t>
  </si>
  <si>
    <t>sådledes er arbitragefri og komplette.</t>
  </si>
  <si>
    <t xml:space="preserve">Vi mnagler så kun den grå 1-periode-delmodel. Første: Der er flere tilstande end aktiver, så den er (pr. definition) </t>
  </si>
  <si>
    <t>inkomplet. (Eller ville vi have en basis for R^3 med kun 2 vektorer.) Vi mangler et vise arb'frihed. Men jf. hintet ser</t>
  </si>
  <si>
    <t>vi at for (q_1,q_2,q_3) = (1/3,1/3,1/3) &gt;&gt; 0, da holder lokalkarakterisationen S(2) = (1/R) E_{2,op-op}^Q (S(3) + div(3));</t>
  </si>
  <si>
    <t>modellen er derfor arbitragefri.</t>
  </si>
  <si>
    <t>De to nederste tid (2-&gt;3) har dividender men her ser vi fra lokalkarakterisationen, er de begge har entydigt q=0,5 og</t>
  </si>
  <si>
    <t>Strike</t>
  </si>
  <si>
    <t>Pris Eu-put</t>
  </si>
  <si>
    <t>#aktier</t>
  </si>
  <si>
    <t>i bank</t>
  </si>
  <si>
    <t>Tjek-sum</t>
  </si>
  <si>
    <t xml:space="preserve">Strike-100, udløb-3 put-optionen påvirkes </t>
  </si>
  <si>
    <t>ikke af den inkomplette del-model; her er den</t>
  </si>
  <si>
    <t>værdi identisk 0, hvilket klart kan replikeres.</t>
  </si>
  <si>
    <t>Den har derfor en entydig arb-fri pris på</t>
  </si>
  <si>
    <t>Put (0; K=100, T=3)</t>
  </si>
  <si>
    <t>(Bemærkninger: (a) ikke nødv. At opstille gitter,</t>
  </si>
  <si>
    <t>(b) optionens payoff er bestemt af aktiens kurs,</t>
  </si>
  <si>
    <t>ikke dens kurs+dividende)</t>
  </si>
  <si>
    <t>1d</t>
  </si>
  <si>
    <t>Der er to komplicerende faktorer i beregningen af forward-prisen</t>
  </si>
  <si>
    <t>Fwd(0,3)</t>
  </si>
  <si>
    <t>Fwd(0,3): Dividenderne og inkompletheden.</t>
  </si>
  <si>
    <t>Generelt har vi</t>
  </si>
  <si>
    <t>Fwd(t,T) = E_t^Q(S(T)/R_{t,T})/P(t,T)</t>
  </si>
  <si>
    <t>Da renten her er deterministisk, så forsimpler det til</t>
  </si>
  <si>
    <t>Fwd(t,T) = E_t^Q(S(T))</t>
  </si>
  <si>
    <t>Trævler vi os baglæns igennem gitteret, idet vi i den grå, inkomplette delmodel bruger q=(1/3,1/3,1/3), så får vi</t>
  </si>
  <si>
    <t>Det er én arb'fri forward-pris. Men er det den eneste mulige? Ja. Det kan vises/</t>
  </si>
  <si>
    <t xml:space="preserve">indses/forklares på to måder. </t>
  </si>
  <si>
    <t>1) Da dividenden er deterministisk, så kan forward-kontrakten replikeres perfekt</t>
  </si>
  <si>
    <t>med aktie &amp; nulkuponobligationer med en lille variant af vores alm. carry-arg.</t>
  </si>
  <si>
    <t>2) Uanset hvilket q, vi vælger, så står der der samme i den organge celle i beregningen</t>
  </si>
  <si>
    <t>til venstre (igen: fordi der er deterministisk dividende).</t>
  </si>
  <si>
    <t>Alternativt kan man bruge Prop. 12 og diskussionen deromkring i den (udleverede) nye version af Noternes kaiptel 6.</t>
  </si>
  <si>
    <t>1e</t>
  </si>
  <si>
    <t>Hvis dividenderne i den grå delmodel ændres til (1,4,1) -- dvs. de bliver stokastiske, vi kneder dem ikke på tid 0,</t>
  </si>
  <si>
    <t xml:space="preserve">så kompliceres situationen. Vi kan ikke længere nødvendigvis replikere en tid-3-betaling på S(3). Og her kan vi </t>
  </si>
  <si>
    <t>*virkelig* ikke, da (med kompkat notation) S ikke ligger i span( S+dividende, bankbog).</t>
  </si>
  <si>
    <t>Forskellige valg af q i den grå delmodel (bemærk: (1/3,1/3,1/3) duer ikke lænegre) giver forskellige værdier af Fwd(0,3), der</t>
  </si>
  <si>
    <t>alle er arbitragefri. Mere specifik (men ud over pensum i Fin1) kan man beregne et interval af arbitragefrie Fwd(0,3)-værdier.</t>
  </si>
  <si>
    <t>Dette er gjort i arket "Detlajeret om forward-priser".</t>
  </si>
  <si>
    <t>Øvre grænse</t>
  </si>
  <si>
    <t>Nedre grænse</t>
  </si>
  <si>
    <t>&lt;- tid</t>
  </si>
  <si>
    <t>rente</t>
  </si>
  <si>
    <t>&lt;- husk definition fra Noternes afsnit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</si>
</sst>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/>
    <xf numFmtId="0" fontId="1" fillId="2" borderId="6" xfId="0" applyFont="1" applyFill="1" applyBorder="1"/>
    <xf numFmtId="0" fontId="1" fillId="2" borderId="4" xfId="0" applyFont="1" applyFill="1" applyBorder="1"/>
    <xf numFmtId="0" fontId="0" fillId="3" borderId="1" xfId="0" applyFill="1" applyBorder="1"/>
    <xf numFmtId="164" fontId="1" fillId="2" borderId="0" xfId="0" applyNumberFormat="1" applyFont="1" applyFill="1"/>
    <xf numFmtId="0" fontId="1" fillId="2" borderId="7" xfId="0" applyFont="1" applyFill="1" applyBorder="1"/>
    <xf numFmtId="0" fontId="0" fillId="0" borderId="0" xfId="0" applyAlignment="1">
      <alignment horizontal="left" vertical="top"/>
    </xf>
    <xf numFmtId="0" fontId="0" fillId="0" borderId="4" xfId="0" applyBorder="1" applyProtection="1">
      <protection locked="0"/>
    </xf>
    <xf numFmtId="0" fontId="0" fillId="0" borderId="4" xfId="0" applyBorder="1" applyAlignment="1">
      <alignment horizontal="left" vertical="top" readingOrder="1"/>
    </xf>
    <xf numFmtId="0" fontId="0" fillId="0" borderId="9" xfId="0" applyBorder="1"/>
    <xf numFmtId="165" fontId="0" fillId="0" borderId="4" xfId="0" applyNumberFormat="1" applyBorder="1"/>
    <xf numFmtId="0" fontId="2" fillId="0" borderId="0" xfId="0" applyFont="1"/>
    <xf numFmtId="166" fontId="2" fillId="0" borderId="0" xfId="0" applyNumberFormat="1" applyFont="1"/>
    <xf numFmtId="0" fontId="3" fillId="0" borderId="0" xfId="0" applyFont="1"/>
    <xf numFmtId="0" fontId="0" fillId="2" borderId="5" xfId="0" applyFill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1" fillId="2" borderId="5" xfId="0" applyFont="1" applyFill="1" applyBorder="1"/>
    <xf numFmtId="0" fontId="0" fillId="4" borderId="0" xfId="0" applyFill="1"/>
    <xf numFmtId="0" fontId="0" fillId="5" borderId="0" xfId="0" applyFill="1"/>
    <xf numFmtId="2" fontId="0" fillId="0" borderId="7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(Mu_pf,sigma_pf)-rand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'Opgave 2'!$D$12:$D$22</c:f>
              <c:numCache>
                <c:formatCode>0.000</c:formatCode>
                <c:ptCount val="11"/>
                <c:pt idx="0">
                  <c:v>0.2</c:v>
                </c:pt>
                <c:pt idx="1">
                  <c:v>0.18734993995195195</c:v>
                </c:pt>
                <c:pt idx="2">
                  <c:v>0.18</c:v>
                </c:pt>
                <c:pt idx="3">
                  <c:v>0.17860571099491751</c:v>
                </c:pt>
                <c:pt idx="4">
                  <c:v>0.1833030277982336</c:v>
                </c:pt>
                <c:pt idx="5">
                  <c:v>0.19364916731037082</c:v>
                </c:pt>
                <c:pt idx="6">
                  <c:v>0.20880613017821098</c:v>
                </c:pt>
                <c:pt idx="7">
                  <c:v>0.22781571499789033</c:v>
                </c:pt>
                <c:pt idx="8">
                  <c:v>0.24979991993593589</c:v>
                </c:pt>
                <c:pt idx="9">
                  <c:v>0.27404379212089436</c:v>
                </c:pt>
                <c:pt idx="10">
                  <c:v>0.29999999999999993</c:v>
                </c:pt>
              </c:numCache>
            </c:numRef>
          </c:xVal>
          <c:yVal>
            <c:numRef>
              <c:f>'Opgave 2'!$C$12:$C$22</c:f>
              <c:numCache>
                <c:formatCode>General</c:formatCode>
                <c:ptCount val="11"/>
                <c:pt idx="0">
                  <c:v>0.03</c:v>
                </c:pt>
                <c:pt idx="1">
                  <c:v>3.2000000000000001E-2</c:v>
                </c:pt>
                <c:pt idx="2">
                  <c:v>3.4000000000000002E-2</c:v>
                </c:pt>
                <c:pt idx="3">
                  <c:v>3.5999999999999997E-2</c:v>
                </c:pt>
                <c:pt idx="4">
                  <c:v>3.7999999999999999E-2</c:v>
                </c:pt>
                <c:pt idx="5">
                  <c:v>3.9999999999999994E-2</c:v>
                </c:pt>
                <c:pt idx="6">
                  <c:v>4.1999999999999996E-2</c:v>
                </c:pt>
                <c:pt idx="7">
                  <c:v>4.3999999999999997E-2</c:v>
                </c:pt>
                <c:pt idx="8">
                  <c:v>4.5999999999999999E-2</c:v>
                </c:pt>
                <c:pt idx="9">
                  <c:v>4.8000000000000001E-2</c:v>
                </c:pt>
                <c:pt idx="10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7C1-4C1A-8904-2531BA7CEB8A}"/>
            </c:ext>
          </c:extLst>
        </c:ser>
        <c:ser>
          <c:idx val="1"/>
          <c:order val="1"/>
          <c:tx>
            <c:v>3-aktie eff' rand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'Opgave 2'!$O$6:$O$22</c:f>
              <c:numCache>
                <c:formatCode>General</c:formatCode>
                <c:ptCount val="17"/>
                <c:pt idx="0">
                  <c:v>0.27808871486152276</c:v>
                </c:pt>
                <c:pt idx="1">
                  <c:v>0.25098472729099142</c:v>
                </c:pt>
                <c:pt idx="2">
                  <c:v>0.22621523673999802</c:v>
                </c:pt>
                <c:pt idx="3">
                  <c:v>0.20462974694147801</c:v>
                </c:pt>
                <c:pt idx="4">
                  <c:v>0.18733214708995721</c:v>
                </c:pt>
                <c:pt idx="5">
                  <c:v>0.17559422921421242</c:v>
                </c:pt>
                <c:pt idx="6">
                  <c:v>0.17056767962698369</c:v>
                </c:pt>
                <c:pt idx="7">
                  <c:v>0.17283903880007365</c:v>
                </c:pt>
                <c:pt idx="8">
                  <c:v>0.18213548070964475</c:v>
                </c:pt>
                <c:pt idx="9">
                  <c:v>0.19746729687047768</c:v>
                </c:pt>
                <c:pt idx="10">
                  <c:v>0.21756225162774304</c:v>
                </c:pt>
                <c:pt idx="11">
                  <c:v>0.24123294412938998</c:v>
                </c:pt>
                <c:pt idx="12">
                  <c:v>0.26753192955857324</c:v>
                </c:pt>
                <c:pt idx="13">
                  <c:v>0.29575891082659445</c:v>
                </c:pt>
                <c:pt idx="14">
                  <c:v>0.32541255865951679</c:v>
                </c:pt>
                <c:pt idx="15">
                  <c:v>0.34579377283770379</c:v>
                </c:pt>
                <c:pt idx="16">
                  <c:v>0.36656968414386576</c:v>
                </c:pt>
              </c:numCache>
            </c:numRef>
          </c:xVal>
          <c:yVal>
            <c:numRef>
              <c:f>'Opgave 2'!$M$6:$M$22</c:f>
              <c:numCache>
                <c:formatCode>General</c:formatCode>
                <c:ptCount val="17"/>
                <c:pt idx="0">
                  <c:v>0.02</c:v>
                </c:pt>
                <c:pt idx="1">
                  <c:v>2.3E-2</c:v>
                </c:pt>
                <c:pt idx="2">
                  <c:v>2.5999999999999999E-2</c:v>
                </c:pt>
                <c:pt idx="3">
                  <c:v>2.8999999999999998E-2</c:v>
                </c:pt>
                <c:pt idx="4">
                  <c:v>3.2000000000000001E-2</c:v>
                </c:pt>
                <c:pt idx="5">
                  <c:v>3.5000000000000003E-2</c:v>
                </c:pt>
                <c:pt idx="6">
                  <c:v>3.8000000000000006E-2</c:v>
                </c:pt>
                <c:pt idx="7">
                  <c:v>4.1000000000000009E-2</c:v>
                </c:pt>
                <c:pt idx="8">
                  <c:v>4.4000000000000011E-2</c:v>
                </c:pt>
                <c:pt idx="9">
                  <c:v>4.7000000000000014E-2</c:v>
                </c:pt>
                <c:pt idx="10">
                  <c:v>5.0000000000000017E-2</c:v>
                </c:pt>
                <c:pt idx="11">
                  <c:v>5.3000000000000019E-2</c:v>
                </c:pt>
                <c:pt idx="12">
                  <c:v>5.6000000000000022E-2</c:v>
                </c:pt>
                <c:pt idx="13">
                  <c:v>5.9000000000000025E-2</c:v>
                </c:pt>
                <c:pt idx="14">
                  <c:v>6.2000000000000027E-2</c:v>
                </c:pt>
                <c:pt idx="15">
                  <c:v>6.4000000000000029E-2</c:v>
                </c:pt>
                <c:pt idx="16">
                  <c:v>6.6000000000000031E-2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7C1-4C1A-8904-2531BA7CE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104168"/>
        <c:axId val="687105808"/>
      </c:scatterChart>
      <c:valAx>
        <c:axId val="687104168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Spredning</a:t>
                </a:r>
              </a:p>
            </c:rich>
          </c:tx>
          <c:layout>
            <c:manualLayout>
              <c:xMode val="edge"/>
              <c:yMode val="edge"/>
              <c:x val="0.44125284339457566"/>
              <c:y val="0.8905984571867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87105808"/>
        <c:crosses val="autoZero"/>
        <c:crossBetween val="midCat"/>
      </c:valAx>
      <c:valAx>
        <c:axId val="687105808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Forventet afkasrrate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87104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12</xdr:row>
      <xdr:rowOff>63500</xdr:rowOff>
    </xdr:from>
    <xdr:to>
      <xdr:col>10</xdr:col>
      <xdr:colOff>419100</xdr:colOff>
      <xdr:row>27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zoomScale="96" workbookViewId="0">
      <selection activeCell="I26" sqref="I26"/>
    </sheetView>
  </sheetViews>
  <sheetFormatPr baseColWidth="10" defaultColWidth="8.83203125" defaultRowHeight="15" x14ac:dyDescent="0.2"/>
  <cols>
    <col min="1" max="1" width="5.1640625" customWidth="1"/>
    <col min="2" max="2" width="14.5" customWidth="1"/>
    <col min="3" max="3" width="12.33203125" customWidth="1"/>
    <col min="4" max="4" width="15.6640625" customWidth="1"/>
    <col min="5" max="5" width="3.5" customWidth="1"/>
    <col min="6" max="6" width="14.6640625" customWidth="1"/>
    <col min="7" max="7" width="12.5" bestFit="1" customWidth="1"/>
    <col min="8" max="8" width="11.6640625" customWidth="1"/>
    <col min="9" max="9" width="11" customWidth="1"/>
    <col min="10" max="10" width="12.5" customWidth="1"/>
    <col min="12" max="13" width="8.6640625" customWidth="1"/>
    <col min="14" max="14" width="3.83203125" customWidth="1"/>
    <col min="15" max="15" width="10" customWidth="1"/>
    <col min="25" max="25" width="10.33203125" customWidth="1"/>
  </cols>
  <sheetData>
    <row r="1" spans="1:25" ht="16" thickBot="1" x14ac:dyDescent="0.25">
      <c r="A1" t="s">
        <v>29</v>
      </c>
    </row>
    <row r="2" spans="1:25" ht="16" thickTop="1" x14ac:dyDescent="0.2">
      <c r="A2" t="s">
        <v>23</v>
      </c>
      <c r="B2" t="s">
        <v>22</v>
      </c>
      <c r="C2" t="s">
        <v>24</v>
      </c>
      <c r="D2" t="s">
        <v>45</v>
      </c>
      <c r="F2" s="16" t="s">
        <v>21</v>
      </c>
      <c r="G2" s="5"/>
      <c r="H2" s="5"/>
      <c r="I2" s="5"/>
      <c r="J2" s="7"/>
      <c r="O2" s="16" t="s">
        <v>44</v>
      </c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 x14ac:dyDescent="0.2">
      <c r="A3" t="s">
        <v>27</v>
      </c>
      <c r="B3" t="s">
        <v>25</v>
      </c>
      <c r="C3" t="s">
        <v>26</v>
      </c>
      <c r="D3" t="s">
        <v>28</v>
      </c>
      <c r="F3" s="7" t="s">
        <v>0</v>
      </c>
      <c r="G3" t="s">
        <v>143</v>
      </c>
      <c r="J3" s="7" t="s">
        <v>14</v>
      </c>
      <c r="O3" s="20" t="s">
        <v>34</v>
      </c>
      <c r="Y3" s="8"/>
    </row>
    <row r="4" spans="1:25" x14ac:dyDescent="0.2">
      <c r="A4">
        <v>1</v>
      </c>
      <c r="B4">
        <f>0.01+0.03*A4/30</f>
        <v>1.0999999999999999E-2</v>
      </c>
      <c r="C4">
        <f>(1+B4)^-A4</f>
        <v>0.98911968348170143</v>
      </c>
      <c r="D4">
        <f t="shared" ref="D4:D33" si="0">(1+$G$8)^(-A4)</f>
        <v>0.96760193883886236</v>
      </c>
      <c r="F4" s="7" t="s">
        <v>18</v>
      </c>
      <c r="G4">
        <v>0.05</v>
      </c>
      <c r="J4" s="7"/>
      <c r="O4" s="21" t="s">
        <v>32</v>
      </c>
      <c r="Y4" s="8"/>
    </row>
    <row r="5" spans="1:25" x14ac:dyDescent="0.2">
      <c r="A5">
        <f>A4+1</f>
        <v>2</v>
      </c>
      <c r="B5">
        <f>0.01+0.03*A5/30</f>
        <v>1.2E-2</v>
      </c>
      <c r="C5">
        <f t="shared" ref="C5:C33" si="1">(1+B5)^-A5</f>
        <v>0.97642519020762708</v>
      </c>
      <c r="D5">
        <f t="shared" si="0"/>
        <v>0.93625351204472551</v>
      </c>
      <c r="F5" s="7" t="s">
        <v>46</v>
      </c>
      <c r="G5">
        <v>30</v>
      </c>
      <c r="J5" s="7"/>
      <c r="O5" s="7" t="s">
        <v>35</v>
      </c>
      <c r="Y5" s="8"/>
    </row>
    <row r="6" spans="1:25" ht="16" thickBot="1" x14ac:dyDescent="0.25">
      <c r="A6">
        <f t="shared" ref="A6:A33" si="2">A5+1</f>
        <v>3</v>
      </c>
      <c r="B6">
        <f t="shared" ref="B6:B33" si="3">0.01+0.03*A6/30</f>
        <v>1.3000000000000001E-2</v>
      </c>
      <c r="C6">
        <f t="shared" si="1"/>
        <v>0.961992450750775</v>
      </c>
      <c r="D6">
        <f t="shared" si="0"/>
        <v>0.90592071349917058</v>
      </c>
      <c r="F6" s="15" t="s">
        <v>19</v>
      </c>
      <c r="G6" s="3">
        <v>38178358163.466393</v>
      </c>
      <c r="J6" s="9"/>
      <c r="K6" s="10"/>
      <c r="L6" s="10"/>
      <c r="M6" s="10"/>
      <c r="O6" s="7"/>
      <c r="P6" t="s">
        <v>36</v>
      </c>
      <c r="Y6" s="8"/>
    </row>
    <row r="7" spans="1:25" ht="16" thickTop="1" x14ac:dyDescent="0.2">
      <c r="A7">
        <f t="shared" si="2"/>
        <v>4</v>
      </c>
      <c r="B7">
        <f t="shared" si="3"/>
        <v>1.4E-2</v>
      </c>
      <c r="C7">
        <f t="shared" si="1"/>
        <v>0.94590643506192618</v>
      </c>
      <c r="D7">
        <f t="shared" si="0"/>
        <v>0.8765706388160831</v>
      </c>
      <c r="F7" s="7" t="s">
        <v>1</v>
      </c>
      <c r="G7">
        <f>G6*SUM(C4:C32)*G4+G6*(1+G4)*C33</f>
        <v>50000004976.641953</v>
      </c>
      <c r="H7" t="s">
        <v>17</v>
      </c>
      <c r="N7" s="22"/>
      <c r="O7" s="7"/>
      <c r="P7" t="s">
        <v>43</v>
      </c>
      <c r="Y7" s="8"/>
    </row>
    <row r="8" spans="1:25" x14ac:dyDescent="0.2">
      <c r="A8">
        <f t="shared" si="2"/>
        <v>5</v>
      </c>
      <c r="B8">
        <f t="shared" si="3"/>
        <v>1.4999999999999999E-2</v>
      </c>
      <c r="C8">
        <f t="shared" si="1"/>
        <v>0.92826032540563996</v>
      </c>
      <c r="D8">
        <f t="shared" si="0"/>
        <v>0.84817144964766211</v>
      </c>
      <c r="F8" s="15" t="s">
        <v>16</v>
      </c>
      <c r="G8" s="17">
        <v>3.3482840267988444E-2</v>
      </c>
      <c r="H8">
        <f>G4*G6*SUM(D4:D33)+G6*D33</f>
        <v>49999983700.33548</v>
      </c>
      <c r="I8" t="s">
        <v>33</v>
      </c>
      <c r="N8" s="22"/>
      <c r="O8" s="7"/>
      <c r="P8" t="s">
        <v>37</v>
      </c>
      <c r="Y8" s="8"/>
    </row>
    <row r="9" spans="1:25" ht="16" thickBot="1" x14ac:dyDescent="0.25">
      <c r="A9">
        <f t="shared" si="2"/>
        <v>6</v>
      </c>
      <c r="B9">
        <f t="shared" si="3"/>
        <v>1.6E-2</v>
      </c>
      <c r="C9">
        <f t="shared" si="1"/>
        <v>0.90915462483871423</v>
      </c>
      <c r="D9">
        <f t="shared" si="0"/>
        <v>0.82069233914684636</v>
      </c>
      <c r="F9" s="7"/>
      <c r="N9" s="22"/>
      <c r="O9" s="7" t="s">
        <v>38</v>
      </c>
      <c r="Y9" s="8"/>
    </row>
    <row r="10" spans="1:25" ht="16" thickTop="1" x14ac:dyDescent="0.2">
      <c r="A10">
        <f t="shared" si="2"/>
        <v>7</v>
      </c>
      <c r="B10">
        <f t="shared" si="3"/>
        <v>1.7000000000000001E-2</v>
      </c>
      <c r="C10">
        <f t="shared" si="1"/>
        <v>0.88869621305540969</v>
      </c>
      <c r="D10">
        <f t="shared" si="0"/>
        <v>0.79410349854868967</v>
      </c>
      <c r="F10" s="7" t="s">
        <v>2</v>
      </c>
      <c r="G10" t="s">
        <v>20</v>
      </c>
      <c r="K10" s="4"/>
      <c r="L10" s="5"/>
      <c r="M10" s="5"/>
      <c r="O10" s="7" t="s">
        <v>39</v>
      </c>
      <c r="Y10" s="8"/>
    </row>
    <row r="11" spans="1:25" x14ac:dyDescent="0.2">
      <c r="A11">
        <f t="shared" si="2"/>
        <v>8</v>
      </c>
      <c r="B11">
        <f t="shared" si="3"/>
        <v>1.8000000000000002E-2</v>
      </c>
      <c r="C11">
        <f t="shared" si="1"/>
        <v>0.86699736187469278</v>
      </c>
      <c r="D11">
        <f t="shared" si="0"/>
        <v>0.76837608483443598</v>
      </c>
      <c r="F11" s="7" t="s">
        <v>18</v>
      </c>
      <c r="G11">
        <v>0.1</v>
      </c>
      <c r="K11" s="7"/>
      <c r="O11" s="7" t="s">
        <v>40</v>
      </c>
      <c r="Y11" s="8"/>
    </row>
    <row r="12" spans="1:25" x14ac:dyDescent="0.2">
      <c r="A12">
        <f t="shared" si="2"/>
        <v>9</v>
      </c>
      <c r="B12">
        <f t="shared" si="3"/>
        <v>1.9000000000000003E-2</v>
      </c>
      <c r="C12">
        <f t="shared" si="1"/>
        <v>0.84417472289329698</v>
      </c>
      <c r="D12">
        <f t="shared" si="0"/>
        <v>0.74348218944321454</v>
      </c>
      <c r="F12" s="7" t="s">
        <v>19</v>
      </c>
      <c r="G12">
        <f>50*10^9</f>
        <v>50000000000</v>
      </c>
      <c r="K12" s="7"/>
      <c r="O12" s="7" t="s">
        <v>41</v>
      </c>
      <c r="Y12" s="8"/>
    </row>
    <row r="13" spans="1:25" x14ac:dyDescent="0.2">
      <c r="A13">
        <f t="shared" si="2"/>
        <v>10</v>
      </c>
      <c r="B13">
        <f t="shared" si="3"/>
        <v>0.02</v>
      </c>
      <c r="C13">
        <f t="shared" si="1"/>
        <v>0.82034829987515534</v>
      </c>
      <c r="D13">
        <f t="shared" si="0"/>
        <v>0.71939480799741662</v>
      </c>
      <c r="F13" s="7" t="s">
        <v>23</v>
      </c>
      <c r="G13" t="s">
        <v>142</v>
      </c>
      <c r="H13" t="s">
        <v>30</v>
      </c>
      <c r="I13" t="s">
        <v>31</v>
      </c>
      <c r="K13" s="7"/>
      <c r="N13" s="1" t="s">
        <v>14</v>
      </c>
      <c r="O13" s="7" t="s">
        <v>42</v>
      </c>
      <c r="Y13" s="8"/>
    </row>
    <row r="14" spans="1:25" x14ac:dyDescent="0.2">
      <c r="A14">
        <f t="shared" si="2"/>
        <v>11</v>
      </c>
      <c r="B14">
        <f t="shared" si="3"/>
        <v>2.0999999999999998E-2</v>
      </c>
      <c r="C14">
        <f t="shared" si="1"/>
        <v>0.79564041829786647</v>
      </c>
      <c r="D14">
        <f t="shared" si="0"/>
        <v>0.69608781100891148</v>
      </c>
      <c r="F14" s="7">
        <v>1</v>
      </c>
      <c r="G14">
        <f>$G$12*(5-F14)/5</f>
        <v>40000000000</v>
      </c>
      <c r="H14">
        <f>$G$12/5+G12*$G$11</f>
        <v>15000000000</v>
      </c>
      <c r="I14">
        <f>H14*C4</f>
        <v>14836795252.225521</v>
      </c>
      <c r="K14" s="7"/>
      <c r="O14" s="7" t="s">
        <v>66</v>
      </c>
      <c r="Y14" s="8"/>
    </row>
    <row r="15" spans="1:25" ht="16" thickBot="1" x14ac:dyDescent="0.25">
      <c r="A15">
        <f t="shared" si="2"/>
        <v>12</v>
      </c>
      <c r="B15">
        <f t="shared" si="3"/>
        <v>2.1999999999999999E-2</v>
      </c>
      <c r="C15">
        <f t="shared" si="1"/>
        <v>0.77017470413849831</v>
      </c>
      <c r="D15">
        <f t="shared" si="0"/>
        <v>0.67353591553432246</v>
      </c>
      <c r="F15" s="7">
        <v>2</v>
      </c>
      <c r="G15">
        <f t="shared" ref="G15:G18" si="4">$G$12*(5-F15)/5</f>
        <v>30000000000</v>
      </c>
      <c r="H15">
        <f t="shared" ref="H15:H18" si="5">$G$12/5+G14*$G$11</f>
        <v>14000000000</v>
      </c>
      <c r="I15">
        <f>H15*C5</f>
        <v>13669952662.906778</v>
      </c>
      <c r="K15" s="7"/>
      <c r="O15" s="9" t="s">
        <v>67</v>
      </c>
      <c r="P15" s="10"/>
      <c r="Q15" s="10"/>
      <c r="R15" s="10"/>
      <c r="S15" s="10"/>
      <c r="T15" s="10"/>
      <c r="U15" s="10"/>
      <c r="V15" s="10"/>
      <c r="W15" s="10"/>
      <c r="X15" s="10"/>
      <c r="Y15" s="11"/>
    </row>
    <row r="16" spans="1:25" ht="16" thickTop="1" x14ac:dyDescent="0.2">
      <c r="A16">
        <f t="shared" si="2"/>
        <v>13</v>
      </c>
      <c r="B16">
        <f t="shared" si="3"/>
        <v>2.3E-2</v>
      </c>
      <c r="C16">
        <f t="shared" si="1"/>
        <v>0.7440750834663945</v>
      </c>
      <c r="D16">
        <f t="shared" si="0"/>
        <v>0.65171465774861859</v>
      </c>
      <c r="F16" s="7">
        <v>3</v>
      </c>
      <c r="G16">
        <f t="shared" si="4"/>
        <v>20000000000</v>
      </c>
      <c r="H16">
        <f t="shared" si="5"/>
        <v>13000000000</v>
      </c>
      <c r="I16">
        <f>H16*C6</f>
        <v>12505901859.760075</v>
      </c>
      <c r="K16" s="7"/>
    </row>
    <row r="17" spans="1:11" x14ac:dyDescent="0.2">
      <c r="A17">
        <f t="shared" si="2"/>
        <v>14</v>
      </c>
      <c r="B17">
        <f t="shared" si="3"/>
        <v>2.4E-2</v>
      </c>
      <c r="C17">
        <f t="shared" si="1"/>
        <v>0.71746481373430637</v>
      </c>
      <c r="D17">
        <f t="shared" si="0"/>
        <v>0.63060036640726902</v>
      </c>
      <c r="F17" s="7">
        <v>4</v>
      </c>
      <c r="G17">
        <f t="shared" si="4"/>
        <v>10000000000</v>
      </c>
      <c r="H17">
        <f t="shared" si="5"/>
        <v>12000000000</v>
      </c>
      <c r="I17">
        <f>H17*C7</f>
        <v>11350877220.743114</v>
      </c>
      <c r="K17" s="7"/>
    </row>
    <row r="18" spans="1:11" x14ac:dyDescent="0.2">
      <c r="A18">
        <f t="shared" si="2"/>
        <v>15</v>
      </c>
      <c r="B18">
        <f t="shared" si="3"/>
        <v>2.4999999999999998E-2</v>
      </c>
      <c r="C18">
        <f t="shared" si="1"/>
        <v>0.69046555683898581</v>
      </c>
      <c r="D18">
        <f t="shared" si="0"/>
        <v>0.61017013716817037</v>
      </c>
      <c r="F18" s="7">
        <v>5</v>
      </c>
      <c r="G18">
        <f t="shared" si="4"/>
        <v>0</v>
      </c>
      <c r="H18">
        <f t="shared" si="5"/>
        <v>11000000000</v>
      </c>
      <c r="I18">
        <f>H18*C8</f>
        <v>10210863579.46204</v>
      </c>
      <c r="K18" s="7"/>
    </row>
    <row r="19" spans="1:11" ht="16" thickBot="1" x14ac:dyDescent="0.25">
      <c r="A19">
        <f t="shared" si="2"/>
        <v>16</v>
      </c>
      <c r="B19">
        <f t="shared" si="3"/>
        <v>2.6000000000000002E-2</v>
      </c>
      <c r="C19">
        <f t="shared" si="1"/>
        <v>0.66319650307752043</v>
      </c>
      <c r="D19">
        <f t="shared" si="0"/>
        <v>0.59040180774549633</v>
      </c>
      <c r="F19" s="7"/>
      <c r="J19" s="10"/>
      <c r="K19" s="7"/>
    </row>
    <row r="20" spans="1:11" ht="17" thickTop="1" thickBot="1" x14ac:dyDescent="0.25">
      <c r="A20">
        <f t="shared" si="2"/>
        <v>17</v>
      </c>
      <c r="B20">
        <f t="shared" si="3"/>
        <v>2.7000000000000003E-2</v>
      </c>
      <c r="C20">
        <f t="shared" si="1"/>
        <v>0.63577355407788916</v>
      </c>
      <c r="D20">
        <f t="shared" si="0"/>
        <v>0.57127393386851155</v>
      </c>
      <c r="F20" s="14" t="s">
        <v>3</v>
      </c>
      <c r="G20" s="18">
        <f>SUM(I14:I18)</f>
        <v>62574390575.097534</v>
      </c>
      <c r="H20" s="10" t="s">
        <v>14</v>
      </c>
      <c r="I20" s="11"/>
    </row>
    <row r="21" spans="1:11" ht="16" thickTop="1" x14ac:dyDescent="0.2">
      <c r="A21">
        <f t="shared" si="2"/>
        <v>18</v>
      </c>
      <c r="B21">
        <f t="shared" si="3"/>
        <v>2.8000000000000004E-2</v>
      </c>
      <c r="C21">
        <f t="shared" si="1"/>
        <v>0.60830857165338015</v>
      </c>
      <c r="D21">
        <f t="shared" si="0"/>
        <v>0.55276576601927585</v>
      </c>
    </row>
    <row r="22" spans="1:11" x14ac:dyDescent="0.2">
      <c r="A22">
        <f t="shared" si="2"/>
        <v>19</v>
      </c>
      <c r="B22">
        <f t="shared" si="3"/>
        <v>2.8999999999999998E-2</v>
      </c>
      <c r="C22">
        <f t="shared" si="1"/>
        <v>0.58090869834398229</v>
      </c>
      <c r="D22">
        <f t="shared" si="0"/>
        <v>0.53485722692400017</v>
      </c>
    </row>
    <row r="23" spans="1:11" x14ac:dyDescent="0.2">
      <c r="A23">
        <f t="shared" si="2"/>
        <v>20</v>
      </c>
      <c r="B23">
        <f t="shared" si="3"/>
        <v>0.03</v>
      </c>
      <c r="C23">
        <f t="shared" si="1"/>
        <v>0.55367575418633497</v>
      </c>
      <c r="D23">
        <f t="shared" si="0"/>
        <v>0.51752888977364009</v>
      </c>
    </row>
    <row r="24" spans="1:11" x14ac:dyDescent="0.2">
      <c r="A24">
        <f t="shared" si="2"/>
        <v>21</v>
      </c>
      <c r="B24">
        <f t="shared" si="3"/>
        <v>3.1E-2</v>
      </c>
      <c r="C24">
        <f t="shared" si="1"/>
        <v>0.52670571302027336</v>
      </c>
      <c r="D24">
        <f t="shared" si="0"/>
        <v>0.50076195715009797</v>
      </c>
    </row>
    <row r="25" spans="1:11" x14ac:dyDescent="0.2">
      <c r="A25">
        <f t="shared" si="2"/>
        <v>22</v>
      </c>
      <c r="B25">
        <f t="shared" si="3"/>
        <v>3.2000000000000001E-2</v>
      </c>
      <c r="C25">
        <f t="shared" si="1"/>
        <v>0.50008826041587628</v>
      </c>
      <c r="D25">
        <f t="shared" si="0"/>
        <v>0.48453824063517814</v>
      </c>
    </row>
    <row r="26" spans="1:11" x14ac:dyDescent="0.2">
      <c r="A26">
        <f t="shared" si="2"/>
        <v>23</v>
      </c>
      <c r="B26">
        <f t="shared" si="3"/>
        <v>3.3000000000000002E-2</v>
      </c>
      <c r="C26">
        <f t="shared" si="1"/>
        <v>0.47390643411102645</v>
      </c>
      <c r="D26">
        <f t="shared" si="0"/>
        <v>0.46884014108016953</v>
      </c>
      <c r="F26" s="19" t="s">
        <v>14</v>
      </c>
      <c r="G26" s="1" t="s">
        <v>14</v>
      </c>
    </row>
    <row r="27" spans="1:11" x14ac:dyDescent="0.2">
      <c r="A27">
        <f t="shared" si="2"/>
        <v>24</v>
      </c>
      <c r="B27">
        <f t="shared" si="3"/>
        <v>3.4000000000000002E-2</v>
      </c>
      <c r="C27">
        <f t="shared" si="1"/>
        <v>0.44823634670442936</v>
      </c>
      <c r="D27">
        <f t="shared" si="0"/>
        <v>0.4536506295146579</v>
      </c>
      <c r="F27" t="s">
        <v>14</v>
      </c>
      <c r="G27" s="1" t="s">
        <v>14</v>
      </c>
    </row>
    <row r="28" spans="1:11" x14ac:dyDescent="0.2">
      <c r="A28">
        <f t="shared" si="2"/>
        <v>25</v>
      </c>
      <c r="B28">
        <f t="shared" si="3"/>
        <v>3.5000000000000003E-2</v>
      </c>
      <c r="C28">
        <f t="shared" si="1"/>
        <v>0.42314698926998884</v>
      </c>
      <c r="D28">
        <f t="shared" si="0"/>
        <v>0.4389532286738535</v>
      </c>
      <c r="F28" t="s">
        <v>14</v>
      </c>
      <c r="G28" t="s">
        <v>14</v>
      </c>
    </row>
    <row r="29" spans="1:11" x14ac:dyDescent="0.2">
      <c r="A29">
        <f t="shared" si="2"/>
        <v>26</v>
      </c>
      <c r="B29">
        <f t="shared" si="3"/>
        <v>3.6000000000000004E-2</v>
      </c>
      <c r="C29">
        <f t="shared" si="1"/>
        <v>0.39870011355984458</v>
      </c>
      <c r="D29">
        <f t="shared" si="0"/>
        <v>0.42473199512439908</v>
      </c>
    </row>
    <row r="30" spans="1:11" x14ac:dyDescent="0.2">
      <c r="A30">
        <f t="shared" si="2"/>
        <v>27</v>
      </c>
      <c r="B30">
        <f t="shared" si="3"/>
        <v>3.6999999999999998E-2</v>
      </c>
      <c r="C30">
        <f t="shared" si="1"/>
        <v>0.37495018955797133</v>
      </c>
      <c r="D30">
        <f t="shared" si="0"/>
        <v>0.41097150196926679</v>
      </c>
    </row>
    <row r="31" spans="1:11" x14ac:dyDescent="0.2">
      <c r="A31">
        <f t="shared" si="2"/>
        <v>28</v>
      </c>
      <c r="B31">
        <f t="shared" si="3"/>
        <v>3.7999999999999999E-2</v>
      </c>
      <c r="C31">
        <f t="shared" si="1"/>
        <v>0.35194443434348005</v>
      </c>
      <c r="D31">
        <f t="shared" si="0"/>
        <v>0.39765682211298192</v>
      </c>
      <c r="F31" t="s">
        <v>14</v>
      </c>
    </row>
    <row r="32" spans="1:11" x14ac:dyDescent="0.2">
      <c r="A32">
        <f t="shared" si="2"/>
        <v>29</v>
      </c>
      <c r="B32">
        <f t="shared" si="3"/>
        <v>3.9E-2</v>
      </c>
      <c r="C32">
        <f t="shared" si="1"/>
        <v>0.32972290753043293</v>
      </c>
      <c r="D32">
        <f t="shared" si="0"/>
        <v>0.38477351206902188</v>
      </c>
    </row>
    <row r="33" spans="1:4" x14ac:dyDescent="0.2">
      <c r="A33">
        <f t="shared" si="2"/>
        <v>30</v>
      </c>
      <c r="B33">
        <f t="shared" si="3"/>
        <v>3.9999999999999994E-2</v>
      </c>
      <c r="C33">
        <f t="shared" si="1"/>
        <v>0.30831866797342034</v>
      </c>
      <c r="D33">
        <f t="shared" si="0"/>
        <v>0.37230759629182397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6"/>
  <sheetViews>
    <sheetView topLeftCell="A33" workbookViewId="0">
      <selection activeCell="I9" sqref="I9"/>
    </sheetView>
  </sheetViews>
  <sheetFormatPr baseColWidth="10" defaultColWidth="8.83203125" defaultRowHeight="15" x14ac:dyDescent="0.2"/>
  <cols>
    <col min="4" max="4" width="9.1640625" customWidth="1"/>
    <col min="15" max="15" width="11.6640625" customWidth="1"/>
  </cols>
  <sheetData>
    <row r="1" spans="1:18" ht="16" thickTop="1" x14ac:dyDescent="0.2">
      <c r="A1" t="s">
        <v>60</v>
      </c>
      <c r="B1" t="s">
        <v>55</v>
      </c>
      <c r="C1" t="s">
        <v>47</v>
      </c>
      <c r="M1" s="16" t="s">
        <v>56</v>
      </c>
      <c r="N1" s="5"/>
      <c r="O1" s="5"/>
      <c r="P1" s="5"/>
      <c r="Q1" s="5"/>
      <c r="R1" s="6"/>
    </row>
    <row r="2" spans="1:18" x14ac:dyDescent="0.2">
      <c r="A2">
        <v>0.03</v>
      </c>
      <c r="B2">
        <v>1</v>
      </c>
      <c r="C2">
        <v>0.04</v>
      </c>
      <c r="D2">
        <v>0.01</v>
      </c>
      <c r="E2">
        <v>0.01</v>
      </c>
      <c r="M2" s="7" t="s">
        <v>57</v>
      </c>
      <c r="N2">
        <f t="array" ref="N2:O3">MMULT(TRANSPOSE(A2:B4),MMULT(MINVERSE(C2:E4),A2:B4))</f>
        <v>5.8360655737704922E-2</v>
      </c>
      <c r="O2">
        <v>1.3278688524590163</v>
      </c>
      <c r="Q2" s="13" t="s">
        <v>58</v>
      </c>
      <c r="R2" s="27">
        <f>O2/O3</f>
        <v>3.8571428571428569E-2</v>
      </c>
    </row>
    <row r="3" spans="1:18" x14ac:dyDescent="0.2">
      <c r="A3">
        <v>0.05</v>
      </c>
      <c r="B3">
        <v>1</v>
      </c>
      <c r="C3">
        <f>D2</f>
        <v>0.01</v>
      </c>
      <c r="D3">
        <v>0.09</v>
      </c>
      <c r="E3">
        <v>0.01</v>
      </c>
      <c r="M3" s="7"/>
      <c r="N3">
        <v>1.3278688524590163</v>
      </c>
      <c r="O3">
        <v>34.42622950819672</v>
      </c>
      <c r="Q3" s="13" t="s">
        <v>61</v>
      </c>
      <c r="R3" s="27">
        <f>1/SQRT(O3)</f>
        <v>0.17043362064926934</v>
      </c>
    </row>
    <row r="4" spans="1:18" x14ac:dyDescent="0.2">
      <c r="A4">
        <v>0.06</v>
      </c>
      <c r="B4">
        <v>1</v>
      </c>
      <c r="C4">
        <f>E2</f>
        <v>0.01</v>
      </c>
      <c r="D4">
        <f>E3</f>
        <v>0.01</v>
      </c>
      <c r="E4">
        <v>0.16</v>
      </c>
      <c r="M4" s="7" t="s">
        <v>65</v>
      </c>
      <c r="R4" s="8"/>
    </row>
    <row r="5" spans="1:18" ht="16" thickBot="1" x14ac:dyDescent="0.25">
      <c r="M5" s="7" t="s">
        <v>62</v>
      </c>
      <c r="N5">
        <v>1</v>
      </c>
      <c r="O5" s="13" t="s">
        <v>63</v>
      </c>
      <c r="P5" s="13"/>
      <c r="Q5" s="13"/>
      <c r="R5" s="27"/>
    </row>
    <row r="6" spans="1:18" ht="16" thickTop="1" x14ac:dyDescent="0.2">
      <c r="A6" s="16" t="s">
        <v>48</v>
      </c>
      <c r="B6" s="5"/>
      <c r="C6" s="5"/>
      <c r="D6" s="5"/>
      <c r="E6" s="5"/>
      <c r="F6" s="5"/>
      <c r="G6" s="5"/>
      <c r="H6" s="5"/>
      <c r="I6" s="5"/>
      <c r="J6" s="5"/>
      <c r="K6" s="6"/>
      <c r="M6" s="28">
        <f>0.02</f>
        <v>0.02</v>
      </c>
      <c r="N6">
        <v>1</v>
      </c>
      <c r="O6" s="26">
        <f t="array" ref="O6">MMULT(M6:N6,MMULT(MINVERSE($N$2:$O$3),TRANSPOSE(M6:N6)))^0.5</f>
        <v>0.27808871486152276</v>
      </c>
      <c r="R6" s="8"/>
    </row>
    <row r="7" spans="1:18" x14ac:dyDescent="0.2">
      <c r="A7" s="7" t="s">
        <v>59</v>
      </c>
      <c r="B7" t="s">
        <v>50</v>
      </c>
      <c r="K7" s="8"/>
      <c r="M7" s="28">
        <f>M6+0.003</f>
        <v>2.3E-2</v>
      </c>
      <c r="N7">
        <v>1</v>
      </c>
      <c r="O7" s="26">
        <f t="array" ref="O7">MMULT(M7:N7,MMULT(MINVERSE($N$2:$O$3),TRANSPOSE(M7:N7)))^0.5</f>
        <v>0.25098472729099142</v>
      </c>
      <c r="R7" s="8"/>
    </row>
    <row r="8" spans="1:18" x14ac:dyDescent="0.2">
      <c r="A8" s="7">
        <f>A2</f>
        <v>0.03</v>
      </c>
      <c r="B8">
        <f>C2</f>
        <v>0.04</v>
      </c>
      <c r="C8">
        <f>D2</f>
        <v>0.01</v>
      </c>
      <c r="K8" s="8"/>
      <c r="M8" s="28">
        <f t="shared" ref="M8:M20" si="0">M7+0.003</f>
        <v>2.5999999999999999E-2</v>
      </c>
      <c r="N8">
        <v>1</v>
      </c>
      <c r="O8" s="26">
        <f t="array" ref="O8">MMULT(M8:N8,MMULT(MINVERSE($N$2:$O$3),TRANSPOSE(M8:N8)))^0.5</f>
        <v>0.22621523673999802</v>
      </c>
      <c r="R8" s="8"/>
    </row>
    <row r="9" spans="1:18" x14ac:dyDescent="0.2">
      <c r="A9" s="7">
        <f>A3</f>
        <v>0.05</v>
      </c>
      <c r="B9">
        <f>C3</f>
        <v>0.01</v>
      </c>
      <c r="C9">
        <f>D3</f>
        <v>0.09</v>
      </c>
      <c r="K9" s="8"/>
      <c r="M9" s="28">
        <f t="shared" si="0"/>
        <v>2.8999999999999998E-2</v>
      </c>
      <c r="N9">
        <v>1</v>
      </c>
      <c r="O9" s="26">
        <f t="array" ref="O9">MMULT(M9:N9,MMULT(MINVERSE($N$2:$O$3),TRANSPOSE(M9:N9)))^0.5</f>
        <v>0.20462974694147801</v>
      </c>
      <c r="R9" s="8"/>
    </row>
    <row r="10" spans="1:18" x14ac:dyDescent="0.2">
      <c r="A10" s="7"/>
      <c r="K10" s="8"/>
      <c r="M10" s="28">
        <f t="shared" si="0"/>
        <v>3.2000000000000001E-2</v>
      </c>
      <c r="N10">
        <v>1</v>
      </c>
      <c r="O10" s="26">
        <f t="array" ref="O10">MMULT(M10:N10,MMULT(MINVERSE($N$2:$O$3),TRANSPOSE(M10:N10)))^0.5</f>
        <v>0.18733214708995721</v>
      </c>
      <c r="R10" s="8"/>
    </row>
    <row r="11" spans="1:18" x14ac:dyDescent="0.2">
      <c r="A11" s="7" t="s">
        <v>49</v>
      </c>
      <c r="B11" t="s">
        <v>51</v>
      </c>
      <c r="C11" t="s">
        <v>52</v>
      </c>
      <c r="D11" t="s">
        <v>53</v>
      </c>
      <c r="H11" s="24" t="s">
        <v>54</v>
      </c>
      <c r="K11" s="8"/>
      <c r="M11" s="28">
        <f t="shared" si="0"/>
        <v>3.5000000000000003E-2</v>
      </c>
      <c r="N11">
        <v>1</v>
      </c>
      <c r="O11" s="26">
        <f t="array" ref="O11">MMULT(M11:N11,MMULT(MINVERSE($N$2:$O$3),TRANSPOSE(M11:N11)))^0.5</f>
        <v>0.17559422921421242</v>
      </c>
      <c r="R11" s="8"/>
    </row>
    <row r="12" spans="1:18" x14ac:dyDescent="0.2">
      <c r="A12" s="23">
        <v>1</v>
      </c>
      <c r="B12">
        <f>1-A12</f>
        <v>0</v>
      </c>
      <c r="C12" s="24">
        <f>MMULT(A12:B12,$A$8:$A$9)</f>
        <v>0.03</v>
      </c>
      <c r="D12" s="25">
        <f t="array" ref="D12">(MMULT(A12:B12,MMULT($B$8:$C$9,TRANSPOSE(A12:B12))))^0.5</f>
        <v>0.2</v>
      </c>
      <c r="H12" s="26" t="s">
        <v>64</v>
      </c>
      <c r="K12" s="8"/>
      <c r="M12" s="28">
        <f t="shared" si="0"/>
        <v>3.8000000000000006E-2</v>
      </c>
      <c r="N12">
        <v>1</v>
      </c>
      <c r="O12" s="26">
        <f t="array" ref="O12">MMULT(M12:N12,MMULT(MINVERSE($N$2:$O$3),TRANSPOSE(M12:N12)))^0.5</f>
        <v>0.17056767962698369</v>
      </c>
      <c r="R12" s="8"/>
    </row>
    <row r="13" spans="1:18" x14ac:dyDescent="0.2">
      <c r="A13" s="23">
        <f>A12-0.1</f>
        <v>0.9</v>
      </c>
      <c r="B13">
        <f t="shared" ref="B13:B22" si="1">1-A13</f>
        <v>9.9999999999999978E-2</v>
      </c>
      <c r="C13" s="24">
        <f t="shared" ref="C13:C22" si="2">MMULT(A13:B13,$A$8:$A$9)</f>
        <v>3.2000000000000001E-2</v>
      </c>
      <c r="D13" s="25">
        <f t="array" ref="D13">(MMULT(A13:B13,MMULT($B$8:$C$9,TRANSPOSE(A13:B13))))^0.5</f>
        <v>0.18734993995195195</v>
      </c>
      <c r="K13" s="8"/>
      <c r="M13" s="28">
        <f t="shared" si="0"/>
        <v>4.1000000000000009E-2</v>
      </c>
      <c r="N13">
        <v>1</v>
      </c>
      <c r="O13" s="26">
        <f t="array" ref="O13">MMULT(M13:N13,MMULT(MINVERSE($N$2:$O$3),TRANSPOSE(M13:N13)))^0.5</f>
        <v>0.17283903880007365</v>
      </c>
      <c r="R13" s="8"/>
    </row>
    <row r="14" spans="1:18" x14ac:dyDescent="0.2">
      <c r="A14" s="23">
        <f t="shared" ref="A14:A22" si="3">A13-0.1</f>
        <v>0.8</v>
      </c>
      <c r="B14">
        <f t="shared" si="1"/>
        <v>0.19999999999999996</v>
      </c>
      <c r="C14" s="24">
        <f t="shared" si="2"/>
        <v>3.4000000000000002E-2</v>
      </c>
      <c r="D14" s="25">
        <f t="array" ref="D14">(MMULT(A14:B14,MMULT($B$8:$C$9,TRANSPOSE(A14:B14))))^0.5</f>
        <v>0.18</v>
      </c>
      <c r="K14" s="8"/>
      <c r="M14" s="28">
        <f t="shared" si="0"/>
        <v>4.4000000000000011E-2</v>
      </c>
      <c r="N14">
        <v>1</v>
      </c>
      <c r="O14" s="26">
        <f t="array" ref="O14">MMULT(M14:N14,MMULT(MINVERSE($N$2:$O$3),TRANSPOSE(M14:N14)))^0.5</f>
        <v>0.18213548070964475</v>
      </c>
      <c r="R14" s="8"/>
    </row>
    <row r="15" spans="1:18" x14ac:dyDescent="0.2">
      <c r="A15" s="23">
        <f t="shared" si="3"/>
        <v>0.70000000000000007</v>
      </c>
      <c r="B15">
        <f t="shared" si="1"/>
        <v>0.29999999999999993</v>
      </c>
      <c r="C15" s="24">
        <f t="shared" si="2"/>
        <v>3.5999999999999997E-2</v>
      </c>
      <c r="D15" s="25">
        <f t="array" ref="D15">(MMULT(A15:B15,MMULT($B$8:$C$9,TRANSPOSE(A15:B15))))^0.5</f>
        <v>0.17860571099491751</v>
      </c>
      <c r="K15" s="8"/>
      <c r="M15" s="28">
        <f t="shared" si="0"/>
        <v>4.7000000000000014E-2</v>
      </c>
      <c r="N15">
        <v>1</v>
      </c>
      <c r="O15" s="26">
        <f t="array" ref="O15">MMULT(M15:N15,MMULT(MINVERSE($N$2:$O$3),TRANSPOSE(M15:N15)))^0.5</f>
        <v>0.19746729687047768</v>
      </c>
      <c r="R15" s="8"/>
    </row>
    <row r="16" spans="1:18" x14ac:dyDescent="0.2">
      <c r="A16" s="23">
        <f t="shared" si="3"/>
        <v>0.60000000000000009</v>
      </c>
      <c r="B16">
        <f t="shared" si="1"/>
        <v>0.39999999999999991</v>
      </c>
      <c r="C16" s="24">
        <f t="shared" si="2"/>
        <v>3.7999999999999999E-2</v>
      </c>
      <c r="D16" s="25">
        <f t="array" ref="D16">(MMULT(A16:B16,MMULT($B$8:$C$9,TRANSPOSE(A16:B16))))^0.5</f>
        <v>0.1833030277982336</v>
      </c>
      <c r="K16" s="8"/>
      <c r="M16" s="28">
        <f t="shared" si="0"/>
        <v>5.0000000000000017E-2</v>
      </c>
      <c r="N16">
        <v>1</v>
      </c>
      <c r="O16" s="26">
        <f t="array" ref="O16">MMULT(M16:N16,MMULT(MINVERSE($N$2:$O$3),TRANSPOSE(M16:N16)))^0.5</f>
        <v>0.21756225162774304</v>
      </c>
      <c r="R16" s="8"/>
    </row>
    <row r="17" spans="1:18" x14ac:dyDescent="0.2">
      <c r="A17" s="23">
        <f t="shared" si="3"/>
        <v>0.50000000000000011</v>
      </c>
      <c r="B17">
        <f t="shared" si="1"/>
        <v>0.49999999999999989</v>
      </c>
      <c r="C17" s="24">
        <f t="shared" si="2"/>
        <v>3.9999999999999994E-2</v>
      </c>
      <c r="D17" s="25">
        <f t="array" ref="D17">(MMULT(A17:B17,MMULT($B$8:$C$9,TRANSPOSE(A17:B17))))^0.5</f>
        <v>0.19364916731037082</v>
      </c>
      <c r="K17" s="8"/>
      <c r="M17" s="28">
        <f t="shared" si="0"/>
        <v>5.3000000000000019E-2</v>
      </c>
      <c r="N17">
        <v>1</v>
      </c>
      <c r="O17" s="26">
        <f t="array" ref="O17">MMULT(M17:N17,MMULT(MINVERSE($N$2:$O$3),TRANSPOSE(M17:N17)))^0.5</f>
        <v>0.24123294412938998</v>
      </c>
      <c r="R17" s="8"/>
    </row>
    <row r="18" spans="1:18" x14ac:dyDescent="0.2">
      <c r="A18" s="23">
        <f t="shared" si="3"/>
        <v>0.40000000000000013</v>
      </c>
      <c r="B18">
        <f t="shared" si="1"/>
        <v>0.59999999999999987</v>
      </c>
      <c r="C18" s="24">
        <f t="shared" si="2"/>
        <v>4.1999999999999996E-2</v>
      </c>
      <c r="D18" s="25">
        <f t="array" ref="D18">(MMULT(A18:B18,MMULT($B$8:$C$9,TRANSPOSE(A18:B18))))^0.5</f>
        <v>0.20880613017821098</v>
      </c>
      <c r="K18" s="8"/>
      <c r="M18" s="28">
        <f t="shared" si="0"/>
        <v>5.6000000000000022E-2</v>
      </c>
      <c r="N18">
        <v>1</v>
      </c>
      <c r="O18" s="26">
        <f t="array" ref="O18">MMULT(M18:N18,MMULT(MINVERSE($N$2:$O$3),TRANSPOSE(M18:N18)))^0.5</f>
        <v>0.26753192955857324</v>
      </c>
      <c r="R18" s="8"/>
    </row>
    <row r="19" spans="1:18" x14ac:dyDescent="0.2">
      <c r="A19" s="23">
        <f t="shared" si="3"/>
        <v>0.30000000000000016</v>
      </c>
      <c r="B19">
        <f t="shared" si="1"/>
        <v>0.69999999999999984</v>
      </c>
      <c r="C19" s="24">
        <f t="shared" si="2"/>
        <v>4.3999999999999997E-2</v>
      </c>
      <c r="D19" s="25">
        <f t="array" ref="D19">(MMULT(A19:B19,MMULT($B$8:$C$9,TRANSPOSE(A19:B19))))^0.5</f>
        <v>0.22781571499789033</v>
      </c>
      <c r="K19" s="8"/>
      <c r="M19" s="28">
        <f t="shared" si="0"/>
        <v>5.9000000000000025E-2</v>
      </c>
      <c r="N19">
        <v>1</v>
      </c>
      <c r="O19" s="26">
        <f t="array" ref="O19">MMULT(M19:N19,MMULT(MINVERSE($N$2:$O$3),TRANSPOSE(M19:N19)))^0.5</f>
        <v>0.29575891082659445</v>
      </c>
      <c r="R19" s="8"/>
    </row>
    <row r="20" spans="1:18" x14ac:dyDescent="0.2">
      <c r="A20" s="23">
        <f t="shared" si="3"/>
        <v>0.20000000000000015</v>
      </c>
      <c r="B20">
        <f t="shared" si="1"/>
        <v>0.79999999999999982</v>
      </c>
      <c r="C20" s="24">
        <f t="shared" si="2"/>
        <v>4.5999999999999999E-2</v>
      </c>
      <c r="D20" s="25">
        <f t="array" ref="D20">(MMULT(A20:B20,MMULT($B$8:$C$9,TRANSPOSE(A20:B20))))^0.5</f>
        <v>0.24979991993593589</v>
      </c>
      <c r="K20" s="8"/>
      <c r="M20" s="28">
        <f t="shared" si="0"/>
        <v>6.2000000000000027E-2</v>
      </c>
      <c r="N20">
        <v>1</v>
      </c>
      <c r="O20" s="26">
        <f t="array" ref="O20">MMULT(M20:N20,MMULT(MINVERSE($N$2:$O$3),TRANSPOSE(M20:N20)))^0.5</f>
        <v>0.32541255865951679</v>
      </c>
      <c r="R20" s="8"/>
    </row>
    <row r="21" spans="1:18" x14ac:dyDescent="0.2">
      <c r="A21" s="23">
        <f t="shared" si="3"/>
        <v>0.10000000000000014</v>
      </c>
      <c r="B21">
        <f t="shared" si="1"/>
        <v>0.89999999999999991</v>
      </c>
      <c r="C21" s="24">
        <f t="shared" si="2"/>
        <v>4.8000000000000001E-2</v>
      </c>
      <c r="D21" s="25">
        <f t="array" ref="D21">(MMULT(A21:B21,MMULT($B$8:$C$9,TRANSPOSE(A21:B21))))^0.5</f>
        <v>0.27404379212089436</v>
      </c>
      <c r="K21" s="8"/>
      <c r="M21" s="28">
        <f t="shared" ref="M21:M22" si="4">M20+0.002</f>
        <v>6.4000000000000029E-2</v>
      </c>
      <c r="N21">
        <v>1</v>
      </c>
      <c r="O21" s="26">
        <f t="array" ref="O21">MMULT(M21:N21,MMULT(MINVERSE($N$2:$O$3),TRANSPOSE(M21:N21)))^0.5</f>
        <v>0.34579377283770379</v>
      </c>
      <c r="R21" s="8"/>
    </row>
    <row r="22" spans="1:18" ht="16" thickBot="1" x14ac:dyDescent="0.25">
      <c r="A22" s="23">
        <f t="shared" si="3"/>
        <v>1.3877787807814457E-16</v>
      </c>
      <c r="B22">
        <f t="shared" si="1"/>
        <v>0.99999999999999989</v>
      </c>
      <c r="C22" s="24">
        <f t="shared" si="2"/>
        <v>0.05</v>
      </c>
      <c r="D22" s="25">
        <f t="array" ref="D22">(MMULT(A22:B22,MMULT($B$8:$C$9,TRANSPOSE(A22:B22))))^0.5</f>
        <v>0.29999999999999993</v>
      </c>
      <c r="K22" s="8"/>
      <c r="M22" s="29">
        <f t="shared" si="4"/>
        <v>6.6000000000000031E-2</v>
      </c>
      <c r="N22" s="10">
        <v>1</v>
      </c>
      <c r="O22" s="30">
        <f t="array" ref="O22">MMULT(M22:N22,MMULT(MINVERSE($N$2:$O$3),TRANSPOSE(M22:N22)))^0.5</f>
        <v>0.36656968414386576</v>
      </c>
      <c r="P22" s="10"/>
      <c r="Q22" s="10"/>
      <c r="R22" s="11"/>
    </row>
    <row r="23" spans="1:18" ht="16" thickTop="1" x14ac:dyDescent="0.2">
      <c r="A23" s="7"/>
      <c r="K23" s="8"/>
    </row>
    <row r="24" spans="1:18" x14ac:dyDescent="0.2">
      <c r="A24" s="7"/>
      <c r="K24" s="8"/>
    </row>
    <row r="25" spans="1:18" x14ac:dyDescent="0.2">
      <c r="A25" s="7"/>
      <c r="K25" s="8"/>
    </row>
    <row r="26" spans="1:18" x14ac:dyDescent="0.2">
      <c r="A26" s="7"/>
      <c r="K26" s="8"/>
    </row>
    <row r="27" spans="1:18" x14ac:dyDescent="0.2">
      <c r="A27" s="7"/>
      <c r="K27" s="8"/>
    </row>
    <row r="28" spans="1:18" x14ac:dyDescent="0.2">
      <c r="A28" s="7"/>
      <c r="K28" s="8"/>
    </row>
    <row r="29" spans="1:18" ht="16" thickBot="1" x14ac:dyDescent="0.2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1"/>
    </row>
    <row r="30" spans="1:18" ht="17" thickTop="1" thickBot="1" x14ac:dyDescent="0.25"/>
    <row r="31" spans="1:18" ht="16" thickTop="1" x14ac:dyDescent="0.2">
      <c r="A31" s="16" t="s">
        <v>68</v>
      </c>
      <c r="B31" s="5"/>
      <c r="C31" s="5"/>
      <c r="D31" s="5"/>
      <c r="E31" s="5"/>
      <c r="F31" s="5"/>
      <c r="G31" s="5"/>
      <c r="H31" s="5"/>
      <c r="I31" s="5"/>
      <c r="J31" s="5"/>
      <c r="K31" s="6"/>
    </row>
    <row r="32" spans="1:18" x14ac:dyDescent="0.2">
      <c r="A32" s="7" t="s">
        <v>69</v>
      </c>
      <c r="B32">
        <v>0.01</v>
      </c>
      <c r="K32" s="8"/>
    </row>
    <row r="33" spans="1:11" x14ac:dyDescent="0.2">
      <c r="A33" s="7" t="s">
        <v>70</v>
      </c>
      <c r="D33" t="s">
        <v>74</v>
      </c>
      <c r="E33" t="s">
        <v>72</v>
      </c>
      <c r="F33" t="s">
        <v>73</v>
      </c>
      <c r="K33" s="8"/>
    </row>
    <row r="34" spans="1:11" x14ac:dyDescent="0.2">
      <c r="A34" s="7">
        <f>A2-$B$32</f>
        <v>1.9999999999999997E-2</v>
      </c>
      <c r="C34" s="13" t="s">
        <v>71</v>
      </c>
      <c r="D34" s="3">
        <f>E34/F34 +$B$32</f>
        <v>4.583333333333333E-2</v>
      </c>
      <c r="E34">
        <f t="array" ref="E34">MMULT(TRANSPOSE(A34:A36),MMULT(MINVERSE(C2:E4),A34:A36))</f>
        <v>3.5245901639344254E-2</v>
      </c>
      <c r="F34">
        <f t="array" ref="F34">MMULT(TRANSPOSE(B2:B4),MMULT(MINVERSE(C2:E4),A34:A36))</f>
        <v>0.98360655737704905</v>
      </c>
      <c r="K34" s="8"/>
    </row>
    <row r="35" spans="1:11" x14ac:dyDescent="0.2">
      <c r="A35" s="7">
        <f t="shared" ref="A35:A36" si="5">A3-$B$32</f>
        <v>0.04</v>
      </c>
      <c r="C35" s="13" t="s">
        <v>75</v>
      </c>
      <c r="D35" s="3"/>
      <c r="E35" s="3"/>
      <c r="F35" s="3"/>
      <c r="H35" t="s">
        <v>76</v>
      </c>
      <c r="K35" s="8"/>
    </row>
    <row r="36" spans="1:11" x14ac:dyDescent="0.2">
      <c r="A36" s="7">
        <f t="shared" si="5"/>
        <v>4.9999999999999996E-2</v>
      </c>
      <c r="C36" s="3"/>
      <c r="D36" s="3">
        <f t="array" ref="D36:F36">MMULT(TRANSPOSE(A34:A36),MINVERSE(C2:E4))*(D34-B32)/E34</f>
        <v>0.34444444444444439</v>
      </c>
      <c r="E36" s="3">
        <v>0.38333333333333336</v>
      </c>
      <c r="F36" s="3">
        <v>0.2722222222222222</v>
      </c>
      <c r="H36">
        <f>1/3</f>
        <v>0.33333333333333331</v>
      </c>
      <c r="I36">
        <f>1/3</f>
        <v>0.33333333333333331</v>
      </c>
      <c r="J36">
        <f>1-I36-H36</f>
        <v>0.33333333333333343</v>
      </c>
      <c r="K36" s="8"/>
    </row>
    <row r="37" spans="1:11" x14ac:dyDescent="0.2">
      <c r="A37" s="7"/>
      <c r="K37" s="8"/>
    </row>
    <row r="38" spans="1:11" x14ac:dyDescent="0.2">
      <c r="A38" s="12" t="s">
        <v>77</v>
      </c>
      <c r="B38" s="13"/>
      <c r="C38" s="13" t="s">
        <v>79</v>
      </c>
      <c r="D38" s="13"/>
      <c r="E38" s="13"/>
      <c r="F38" s="13"/>
      <c r="G38" s="13" t="s">
        <v>78</v>
      </c>
      <c r="H38" s="13"/>
      <c r="I38" s="13"/>
      <c r="J38" s="13"/>
      <c r="K38" s="8"/>
    </row>
    <row r="39" spans="1:11" x14ac:dyDescent="0.2">
      <c r="A39" s="7"/>
      <c r="K39" s="8"/>
    </row>
    <row r="40" spans="1:11" x14ac:dyDescent="0.2">
      <c r="A40" s="12" t="s">
        <v>80</v>
      </c>
      <c r="B40" s="13"/>
      <c r="C40" s="3">
        <f>MMULT(H36:J36,A34:A36)</f>
        <v>3.6666666666666667E-2</v>
      </c>
      <c r="K40" s="8"/>
    </row>
    <row r="41" spans="1:11" x14ac:dyDescent="0.2">
      <c r="A41" s="7"/>
      <c r="K41" s="8"/>
    </row>
    <row r="42" spans="1:11" x14ac:dyDescent="0.2">
      <c r="A42" s="7" t="s">
        <v>81</v>
      </c>
      <c r="B42">
        <f t="array" ref="B42">MMULT(D36:F36,MMULT(C2:E4,TRANSPOSE(H36:J36)))</f>
        <v>3.7277777777777785E-2</v>
      </c>
      <c r="C42" t="s">
        <v>82</v>
      </c>
      <c r="D42">
        <f t="array" ref="D42">MMULT(D36:F36,MMULT(C2:E4,TRANSPOSE(D36:F36)))</f>
        <v>3.6430555555555556E-2</v>
      </c>
      <c r="E42" t="s">
        <v>83</v>
      </c>
      <c r="F42">
        <f>B42/D42</f>
        <v>1.0232558139534886</v>
      </c>
      <c r="K42" s="8"/>
    </row>
    <row r="43" spans="1:11" x14ac:dyDescent="0.2">
      <c r="A43" s="7"/>
      <c r="K43" s="8"/>
    </row>
    <row r="44" spans="1:11" x14ac:dyDescent="0.2">
      <c r="A44" s="12" t="s">
        <v>84</v>
      </c>
      <c r="B44" s="13"/>
      <c r="C44" s="3">
        <f>F42*(D34-B32)</f>
        <v>3.6666666666666674E-2</v>
      </c>
      <c r="D44" s="13" t="s">
        <v>85</v>
      </c>
      <c r="E44" s="13" t="str">
        <f>IF(C40=C44,"CAPM holder", "CAPM holder ikke")</f>
        <v>CAPM holder</v>
      </c>
      <c r="F44" s="13"/>
      <c r="G44" t="s">
        <v>86</v>
      </c>
      <c r="K44" s="8"/>
    </row>
    <row r="45" spans="1:11" ht="16" thickBot="1" x14ac:dyDescent="0.25">
      <c r="A45" s="9"/>
      <c r="B45" s="10"/>
      <c r="C45" s="10"/>
      <c r="D45" s="10"/>
      <c r="E45" s="10"/>
      <c r="F45" s="10"/>
      <c r="G45" s="10" t="s">
        <v>87</v>
      </c>
      <c r="H45" s="10"/>
      <c r="I45" s="10"/>
      <c r="J45" s="10"/>
      <c r="K45" s="11"/>
    </row>
    <row r="46" spans="1:11" ht="16" thickTop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M34"/>
  <sheetViews>
    <sheetView topLeftCell="A2" workbookViewId="0">
      <selection activeCell="D20" sqref="D20"/>
    </sheetView>
  </sheetViews>
  <sheetFormatPr baseColWidth="10" defaultColWidth="8.83203125" defaultRowHeight="15" x14ac:dyDescent="0.2"/>
  <cols>
    <col min="3" max="3" width="16.5" customWidth="1"/>
    <col min="4" max="4" width="13.83203125" customWidth="1"/>
    <col min="5" max="5" width="15.83203125" customWidth="1"/>
    <col min="13" max="13" width="23.33203125" customWidth="1"/>
  </cols>
  <sheetData>
    <row r="1" spans="3:13" x14ac:dyDescent="0.2">
      <c r="I1" t="s">
        <v>15</v>
      </c>
    </row>
    <row r="2" spans="3:13" x14ac:dyDescent="0.2">
      <c r="D2" t="s">
        <v>11</v>
      </c>
      <c r="E2">
        <v>1</v>
      </c>
      <c r="I2">
        <f>(170.8+E2)</f>
        <v>171.8</v>
      </c>
      <c r="J2">
        <v>1.05</v>
      </c>
      <c r="K2">
        <f t="array" ref="K2:K3">MMULT(MINVERSE(I2:J3),E2:E3)</f>
        <v>-0.16129032258064491</v>
      </c>
      <c r="L2">
        <f t="array" ref="L2:L4">MMULT(I2:J4,K2:K3)</f>
        <v>0.99999999999999645</v>
      </c>
      <c r="M2" t="s">
        <v>14</v>
      </c>
    </row>
    <row r="3" spans="3:13" x14ac:dyDescent="0.2">
      <c r="E3">
        <v>4</v>
      </c>
      <c r="I3">
        <f>149.2+E3</f>
        <v>153.19999999999999</v>
      </c>
      <c r="J3">
        <v>1.05</v>
      </c>
      <c r="K3">
        <v>27.34254992319504</v>
      </c>
      <c r="L3">
        <v>3.9999999999999964</v>
      </c>
    </row>
    <row r="4" spans="3:13" x14ac:dyDescent="0.2">
      <c r="E4">
        <v>1</v>
      </c>
      <c r="I4">
        <f>127.6+E4</f>
        <v>128.6</v>
      </c>
      <c r="J4">
        <v>1.05</v>
      </c>
      <c r="L4">
        <v>7.9677419354838612</v>
      </c>
      <c r="M4" s="3" t="str">
        <f>IF(L4=E4,"Replikation mulig", "Replikation ikke mulig")</f>
        <v>Replikation ikke mulig</v>
      </c>
    </row>
    <row r="7" spans="3:13" x14ac:dyDescent="0.2">
      <c r="D7" t="s">
        <v>4</v>
      </c>
      <c r="E7" s="2">
        <v>0</v>
      </c>
      <c r="F7" t="s">
        <v>5</v>
      </c>
    </row>
    <row r="8" spans="3:13" x14ac:dyDescent="0.2">
      <c r="D8" t="s">
        <v>6</v>
      </c>
      <c r="E8">
        <f>(144*1.05-(170.8+E2)*E7-(127.6+E4)*(1-E7))/(149.2+E3-(127.6+E4))</f>
        <v>0.91869918699187103</v>
      </c>
      <c r="F8" t="s">
        <v>8</v>
      </c>
    </row>
    <row r="9" spans="3:13" x14ac:dyDescent="0.2">
      <c r="D9" t="s">
        <v>7</v>
      </c>
      <c r="E9">
        <f>1-E7-E8</f>
        <v>8.1300813008128969E-2</v>
      </c>
      <c r="F9" t="s">
        <v>9</v>
      </c>
    </row>
    <row r="10" spans="3:13" x14ac:dyDescent="0.2">
      <c r="E10">
        <v>0</v>
      </c>
    </row>
    <row r="13" spans="3:13" x14ac:dyDescent="0.2">
      <c r="F13">
        <v>170.8</v>
      </c>
      <c r="G13">
        <f>E7/4</f>
        <v>0</v>
      </c>
      <c r="H13">
        <f>G13*F13</f>
        <v>0</v>
      </c>
    </row>
    <row r="14" spans="3:13" x14ac:dyDescent="0.2">
      <c r="F14">
        <v>149.19999999999999</v>
      </c>
      <c r="G14">
        <f>E8/4</f>
        <v>0.22967479674796776</v>
      </c>
      <c r="H14">
        <f t="shared" ref="H14:H18" si="0">G14*F14</f>
        <v>34.267479674796789</v>
      </c>
    </row>
    <row r="15" spans="3:13" x14ac:dyDescent="0.2">
      <c r="C15" t="s">
        <v>10</v>
      </c>
      <c r="D15">
        <f>SUM($H$13:$H$18)</f>
        <v>113.3234756097561</v>
      </c>
      <c r="F15">
        <v>127.6</v>
      </c>
      <c r="G15">
        <f>E9/4</f>
        <v>2.0325203252032242E-2</v>
      </c>
      <c r="H15">
        <f t="shared" si="0"/>
        <v>2.5934959349593139</v>
      </c>
    </row>
    <row r="16" spans="3:13" x14ac:dyDescent="0.2">
      <c r="F16">
        <v>127.6</v>
      </c>
      <c r="G16">
        <f>2/8</f>
        <v>0.25</v>
      </c>
      <c r="H16">
        <f t="shared" si="0"/>
        <v>31.9</v>
      </c>
    </row>
    <row r="17" spans="3:8" x14ac:dyDescent="0.2">
      <c r="F17">
        <v>95.2</v>
      </c>
      <c r="G17">
        <f>3/8</f>
        <v>0.375</v>
      </c>
      <c r="H17">
        <f t="shared" si="0"/>
        <v>35.700000000000003</v>
      </c>
    </row>
    <row r="18" spans="3:8" x14ac:dyDescent="0.2">
      <c r="F18">
        <v>70.900000000000006</v>
      </c>
      <c r="G18">
        <f>1/8</f>
        <v>0.125</v>
      </c>
      <c r="H18">
        <f t="shared" si="0"/>
        <v>8.8625000000000007</v>
      </c>
    </row>
    <row r="19" spans="3:8" x14ac:dyDescent="0.2">
      <c r="C19" t="s">
        <v>12</v>
      </c>
      <c r="D19">
        <v>114.0125</v>
      </c>
      <c r="G19">
        <f>SUM(G13:G18)</f>
        <v>1</v>
      </c>
    </row>
    <row r="20" spans="3:8" x14ac:dyDescent="0.2">
      <c r="C20" t="s">
        <v>13</v>
      </c>
      <c r="D20">
        <v>113.3234756097561</v>
      </c>
    </row>
    <row r="34" spans="3:3" x14ac:dyDescent="0.2">
      <c r="C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"/>
  <sheetViews>
    <sheetView topLeftCell="A39" workbookViewId="0">
      <selection activeCell="N10" sqref="N10"/>
    </sheetView>
  </sheetViews>
  <sheetFormatPr baseColWidth="10" defaultColWidth="8.83203125" defaultRowHeight="15" x14ac:dyDescent="0.2"/>
  <cols>
    <col min="5" max="5" width="9" customWidth="1"/>
    <col min="6" max="6" width="13.33203125" customWidth="1"/>
    <col min="9" max="9" width="8.5" customWidth="1"/>
    <col min="12" max="12" width="7.83203125" customWidth="1"/>
  </cols>
  <sheetData>
    <row r="1" spans="1:12" x14ac:dyDescent="0.2">
      <c r="A1" t="s">
        <v>92</v>
      </c>
      <c r="E1" t="s">
        <v>93</v>
      </c>
    </row>
    <row r="2" spans="1:12" x14ac:dyDescent="0.2">
      <c r="D2" s="32">
        <v>170.8</v>
      </c>
      <c r="H2">
        <v>2</v>
      </c>
    </row>
    <row r="3" spans="1:12" x14ac:dyDescent="0.2">
      <c r="D3" s="32">
        <v>149.19999999999999</v>
      </c>
      <c r="H3">
        <v>2</v>
      </c>
      <c r="I3" t="s">
        <v>94</v>
      </c>
    </row>
    <row r="4" spans="1:12" x14ac:dyDescent="0.2">
      <c r="C4" s="32">
        <v>144</v>
      </c>
      <c r="D4" s="32">
        <f>C5*1.2-2</f>
        <v>127.6</v>
      </c>
      <c r="G4">
        <v>0</v>
      </c>
      <c r="H4">
        <v>2</v>
      </c>
      <c r="J4">
        <v>0.05</v>
      </c>
    </row>
    <row r="5" spans="1:12" x14ac:dyDescent="0.2">
      <c r="B5">
        <v>120</v>
      </c>
      <c r="C5">
        <v>108</v>
      </c>
      <c r="D5">
        <f>C5*0.9-2</f>
        <v>95.2</v>
      </c>
      <c r="F5">
        <v>0</v>
      </c>
      <c r="G5">
        <v>0</v>
      </c>
      <c r="H5">
        <v>2</v>
      </c>
    </row>
    <row r="6" spans="1:12" x14ac:dyDescent="0.2">
      <c r="A6">
        <v>100</v>
      </c>
      <c r="B6">
        <v>90</v>
      </c>
      <c r="C6">
        <v>81</v>
      </c>
      <c r="D6">
        <f>C6*0.9-2</f>
        <v>70.900000000000006</v>
      </c>
      <c r="E6">
        <v>0</v>
      </c>
      <c r="F6">
        <v>0</v>
      </c>
      <c r="G6">
        <v>0</v>
      </c>
      <c r="H6">
        <v>2</v>
      </c>
    </row>
    <row r="7" spans="1:12" ht="16" thickBot="1" x14ac:dyDescent="0.25">
      <c r="A7" s="35">
        <v>0</v>
      </c>
      <c r="B7" s="35">
        <v>1</v>
      </c>
      <c r="C7" s="35">
        <v>2</v>
      </c>
      <c r="D7" s="35">
        <v>3</v>
      </c>
      <c r="E7" s="35">
        <v>0</v>
      </c>
      <c r="F7" s="35">
        <v>1</v>
      </c>
      <c r="G7" s="35">
        <v>2</v>
      </c>
      <c r="H7" s="35">
        <v>3</v>
      </c>
      <c r="I7" t="s">
        <v>141</v>
      </c>
    </row>
    <row r="8" spans="1:12" ht="16" thickTop="1" x14ac:dyDescent="0.2">
      <c r="A8" s="16" t="s">
        <v>88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</row>
    <row r="9" spans="1:12" x14ac:dyDescent="0.2">
      <c r="A9" s="7" t="s">
        <v>95</v>
      </c>
      <c r="L9" s="8"/>
    </row>
    <row r="10" spans="1:12" x14ac:dyDescent="0.2">
      <c r="A10" s="7" t="s">
        <v>96</v>
      </c>
      <c r="L10" s="8"/>
    </row>
    <row r="11" spans="1:12" x14ac:dyDescent="0.2">
      <c r="A11" s="7" t="s">
        <v>102</v>
      </c>
      <c r="L11" s="8"/>
    </row>
    <row r="12" spans="1:12" x14ac:dyDescent="0.2">
      <c r="A12" s="7" t="s">
        <v>97</v>
      </c>
      <c r="L12" s="8"/>
    </row>
    <row r="13" spans="1:12" x14ac:dyDescent="0.2">
      <c r="A13" s="7" t="s">
        <v>98</v>
      </c>
      <c r="L13" s="8"/>
    </row>
    <row r="14" spans="1:12" x14ac:dyDescent="0.2">
      <c r="A14" s="7" t="s">
        <v>99</v>
      </c>
      <c r="L14" s="8"/>
    </row>
    <row r="15" spans="1:12" x14ac:dyDescent="0.2">
      <c r="A15" s="7" t="s">
        <v>100</v>
      </c>
      <c r="L15" s="8"/>
    </row>
    <row r="16" spans="1:12" ht="16" thickBot="1" x14ac:dyDescent="0.25">
      <c r="A16" s="9" t="s">
        <v>101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1:12" ht="17" thickTop="1" thickBot="1" x14ac:dyDescent="0.25"/>
    <row r="18" spans="1:12" ht="16" thickTop="1" x14ac:dyDescent="0.2">
      <c r="A18" s="16" t="s">
        <v>91</v>
      </c>
      <c r="B18" s="5"/>
      <c r="C18" s="5"/>
      <c r="D18" s="5"/>
      <c r="E18" s="5"/>
      <c r="F18" s="6"/>
      <c r="H18" s="16" t="s">
        <v>90</v>
      </c>
      <c r="I18" s="5"/>
      <c r="J18" s="5"/>
      <c r="K18" s="5"/>
      <c r="L18" s="6"/>
    </row>
    <row r="19" spans="1:12" x14ac:dyDescent="0.2">
      <c r="A19" s="7" t="s">
        <v>103</v>
      </c>
      <c r="B19">
        <v>100</v>
      </c>
      <c r="E19" s="13" t="s">
        <v>89</v>
      </c>
      <c r="F19" s="27"/>
      <c r="H19" s="7" t="s">
        <v>108</v>
      </c>
      <c r="L19" s="8"/>
    </row>
    <row r="20" spans="1:12" x14ac:dyDescent="0.2">
      <c r="A20" s="7" t="s">
        <v>104</v>
      </c>
      <c r="E20" s="13" t="s">
        <v>105</v>
      </c>
      <c r="F20" s="31">
        <f>(B22-B23)/(B5-B6)</f>
        <v>-0.30158730158730157</v>
      </c>
      <c r="H20" s="7" t="s">
        <v>109</v>
      </c>
      <c r="L20" s="8"/>
    </row>
    <row r="21" spans="1:12" x14ac:dyDescent="0.2">
      <c r="A21" s="7"/>
      <c r="C21">
        <f>MAX($B$19-C4,0)</f>
        <v>0</v>
      </c>
      <c r="E21" s="13" t="s">
        <v>106</v>
      </c>
      <c r="F21" s="31">
        <f>A23-F20*A6</f>
        <v>34.467120181405896</v>
      </c>
      <c r="H21" s="7" t="s">
        <v>110</v>
      </c>
      <c r="L21" s="8"/>
    </row>
    <row r="22" spans="1:12" x14ac:dyDescent="0.2">
      <c r="A22" s="7"/>
      <c r="B22">
        <f>(0.5*C21+(1-0.5)*C22)/(1+$J$4)</f>
        <v>0</v>
      </c>
      <c r="C22">
        <f t="shared" ref="C22:C23" si="0">MAX($B$19-C5,0)</f>
        <v>0</v>
      </c>
      <c r="F22" s="8"/>
      <c r="H22" s="7" t="s">
        <v>111</v>
      </c>
      <c r="L22" s="8"/>
    </row>
    <row r="23" spans="1:12" ht="16" thickBot="1" x14ac:dyDescent="0.25">
      <c r="A23" s="14">
        <f t="shared" ref="A23:B23" si="1">(0.5*B22+(1-0.5)*B23)/(1+$J$4)</f>
        <v>4.308390022675737</v>
      </c>
      <c r="B23" s="10">
        <f t="shared" si="1"/>
        <v>9.0476190476190474</v>
      </c>
      <c r="C23" s="10">
        <f t="shared" si="0"/>
        <v>19</v>
      </c>
      <c r="D23" s="10"/>
      <c r="E23" s="10" t="s">
        <v>107</v>
      </c>
      <c r="F23" s="11">
        <f>F21+F20*A6</f>
        <v>4.3083900226757379</v>
      </c>
      <c r="H23" s="12" t="s">
        <v>112</v>
      </c>
      <c r="I23" s="13"/>
      <c r="J23" s="3">
        <f>(1/8*MAX(B19-D6,0)+3/8*MAX(B19-D5,0))/((1+J4)^3)</f>
        <v>4.6971169420148993</v>
      </c>
      <c r="L23" s="8"/>
    </row>
    <row r="24" spans="1:12" ht="16" thickTop="1" x14ac:dyDescent="0.2">
      <c r="H24" s="7" t="s">
        <v>113</v>
      </c>
      <c r="L24" s="8"/>
    </row>
    <row r="25" spans="1:12" ht="16" thickBot="1" x14ac:dyDescent="0.25">
      <c r="H25" s="7" t="s">
        <v>114</v>
      </c>
      <c r="L25" s="8"/>
    </row>
    <row r="26" spans="1:12" ht="17" thickTop="1" thickBot="1" x14ac:dyDescent="0.25">
      <c r="A26" s="16" t="s">
        <v>116</v>
      </c>
      <c r="B26" s="5"/>
      <c r="C26" s="5"/>
      <c r="D26" s="5"/>
      <c r="E26" s="5"/>
      <c r="F26" s="5"/>
      <c r="G26" s="7"/>
      <c r="H26" s="9" t="s">
        <v>115</v>
      </c>
      <c r="I26" s="10"/>
      <c r="J26" s="10"/>
      <c r="K26" s="10"/>
      <c r="L26" s="11"/>
    </row>
    <row r="27" spans="1:12" ht="16" thickTop="1" x14ac:dyDescent="0.2">
      <c r="A27" s="7" t="s">
        <v>117</v>
      </c>
      <c r="G27" s="7"/>
    </row>
    <row r="28" spans="1:12" x14ac:dyDescent="0.2">
      <c r="A28" s="7" t="s">
        <v>119</v>
      </c>
      <c r="G28" s="7"/>
    </row>
    <row r="29" spans="1:12" ht="16" thickBot="1" x14ac:dyDescent="0.25">
      <c r="A29" s="7" t="s">
        <v>120</v>
      </c>
      <c r="C29" t="s">
        <v>121</v>
      </c>
      <c r="G29" s="9"/>
    </row>
    <row r="30" spans="1:12" ht="16" thickTop="1" x14ac:dyDescent="0.2">
      <c r="A30" s="7" t="s">
        <v>122</v>
      </c>
      <c r="F30" t="s">
        <v>123</v>
      </c>
      <c r="G30" s="5"/>
      <c r="H30" s="5"/>
      <c r="I30" s="5"/>
      <c r="J30" s="5"/>
      <c r="K30" s="5"/>
      <c r="L30" s="6"/>
    </row>
    <row r="31" spans="1:12" x14ac:dyDescent="0.2">
      <c r="A31" s="7" t="s">
        <v>124</v>
      </c>
      <c r="L31" s="8"/>
    </row>
    <row r="32" spans="1:12" x14ac:dyDescent="0.2">
      <c r="A32" s="7"/>
      <c r="L32" s="8"/>
    </row>
    <row r="33" spans="1:12" x14ac:dyDescent="0.2">
      <c r="A33" s="7"/>
      <c r="C33" s="33">
        <f>(1/3)*D2+(1/3)*D3+(1/3)*D4</f>
        <v>149.19999999999999</v>
      </c>
      <c r="E33" t="s">
        <v>125</v>
      </c>
      <c r="L33" s="8"/>
    </row>
    <row r="34" spans="1:12" x14ac:dyDescent="0.2">
      <c r="A34" s="7"/>
      <c r="B34">
        <f>0.5*C33+0.5*C34</f>
        <v>130.30000000000001</v>
      </c>
      <c r="C34">
        <f>0.5*D4+0.5*D5</f>
        <v>111.4</v>
      </c>
      <c r="E34" t="s">
        <v>126</v>
      </c>
      <c r="L34" s="8"/>
    </row>
    <row r="35" spans="1:12" x14ac:dyDescent="0.2">
      <c r="A35" s="15">
        <f t="shared" ref="A35:B35" si="2">0.5*B34+0.5*B35</f>
        <v>113.76250000000002</v>
      </c>
      <c r="B35">
        <f t="shared" si="2"/>
        <v>97.225000000000009</v>
      </c>
      <c r="C35">
        <f>0.5*D5+0.5*D6</f>
        <v>83.050000000000011</v>
      </c>
      <c r="E35" t="s">
        <v>127</v>
      </c>
      <c r="L35" s="8"/>
    </row>
    <row r="36" spans="1:12" x14ac:dyDescent="0.2">
      <c r="A36" s="12" t="s">
        <v>118</v>
      </c>
      <c r="E36" t="s">
        <v>128</v>
      </c>
      <c r="L36" s="8"/>
    </row>
    <row r="37" spans="1:12" x14ac:dyDescent="0.2">
      <c r="A37" s="7"/>
      <c r="E37" t="s">
        <v>129</v>
      </c>
      <c r="L37" s="8"/>
    </row>
    <row r="38" spans="1:12" x14ac:dyDescent="0.2">
      <c r="A38" s="7"/>
      <c r="E38" t="s">
        <v>130</v>
      </c>
      <c r="L38" s="8"/>
    </row>
    <row r="39" spans="1:12" x14ac:dyDescent="0.2">
      <c r="A39" s="7"/>
      <c r="L39" s="8"/>
    </row>
    <row r="40" spans="1:12" ht="16" thickBot="1" x14ac:dyDescent="0.25">
      <c r="A40" s="9" t="s">
        <v>131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1"/>
    </row>
    <row r="41" spans="1:12" ht="17" thickTop="1" thickBot="1" x14ac:dyDescent="0.25"/>
    <row r="42" spans="1:12" ht="16" thickTop="1" x14ac:dyDescent="0.2">
      <c r="A42" s="16" t="s">
        <v>132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2" x14ac:dyDescent="0.2">
      <c r="A43" s="7" t="s">
        <v>133</v>
      </c>
      <c r="L43" s="8"/>
    </row>
    <row r="44" spans="1:12" x14ac:dyDescent="0.2">
      <c r="A44" s="7" t="s">
        <v>134</v>
      </c>
      <c r="L44" s="8"/>
    </row>
    <row r="45" spans="1:12" x14ac:dyDescent="0.2">
      <c r="A45" s="7" t="s">
        <v>135</v>
      </c>
      <c r="L45" s="8"/>
    </row>
    <row r="46" spans="1:12" x14ac:dyDescent="0.2">
      <c r="A46" s="7" t="s">
        <v>136</v>
      </c>
      <c r="L46" s="8"/>
    </row>
    <row r="47" spans="1:12" x14ac:dyDescent="0.2">
      <c r="A47" s="7" t="s">
        <v>137</v>
      </c>
      <c r="L47" s="8"/>
    </row>
    <row r="48" spans="1:12" ht="16" thickBot="1" x14ac:dyDescent="0.25">
      <c r="A48" s="9" t="s">
        <v>138</v>
      </c>
      <c r="B48" s="10"/>
      <c r="C48" s="10"/>
      <c r="D48" s="10"/>
      <c r="E48" s="10"/>
      <c r="F48" s="10" t="s">
        <v>140</v>
      </c>
      <c r="G48" s="34">
        <f>'Detaljeret om forward-priser'!D20</f>
        <v>113.3234756097561</v>
      </c>
      <c r="H48" s="10" t="s">
        <v>139</v>
      </c>
      <c r="I48" s="10"/>
      <c r="J48" s="34">
        <f>'Detaljeret om forward-priser'!D19</f>
        <v>114.0125</v>
      </c>
      <c r="K48" s="10"/>
      <c r="L48" s="11"/>
    </row>
    <row r="49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Opgave 3</vt:lpstr>
      <vt:lpstr>Opgave 2</vt:lpstr>
      <vt:lpstr>Detaljeret om forward-priser</vt:lpstr>
      <vt:lpstr>Opgave 1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Christian Mølholt Jensen</cp:lastModifiedBy>
  <dcterms:created xsi:type="dcterms:W3CDTF">2018-05-31T16:40:18Z</dcterms:created>
  <dcterms:modified xsi:type="dcterms:W3CDTF">2023-09-19T08:51:09Z</dcterms:modified>
</cp:coreProperties>
</file>