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qw767\Dropbox\Teaching\Fin1\Fin1 2019\eksamen Fin 2019\"/>
    </mc:Choice>
  </mc:AlternateContent>
  <bookViews>
    <workbookView xWindow="0" yWindow="0" windowWidth="38400" windowHeight="18750" activeTab="1"/>
  </bookViews>
  <sheets>
    <sheet name="opg 1" sheetId="1" r:id="rId1"/>
    <sheet name="opg 2" sheetId="2" r:id="rId2"/>
  </sheets>
  <definedNames>
    <definedName name="d">'opg 1'!$C$13</definedName>
    <definedName name="d_1">'opg 1'!$B$39</definedName>
    <definedName name="d_2">'opg 1'!$C$39</definedName>
    <definedName name="d_3">'opg 1'!$D$39</definedName>
    <definedName name="mu_0">'opg 2'!$C$25</definedName>
    <definedName name="mu_m">'opg 2'!$B$32</definedName>
    <definedName name="ones">'opg 2'!$I$3:$I$4</definedName>
    <definedName name="q_">'opg 1'!$C$15</definedName>
    <definedName name="q_1">'opg 1'!$B$40</definedName>
    <definedName name="q_2">'opg 1'!$C$40</definedName>
    <definedName name="q_3">'opg 1'!$D$40</definedName>
    <definedName name="R_">'opg 1'!$C$14</definedName>
    <definedName name="S_0">'opg 1'!$B$23</definedName>
    <definedName name="Sigma">'opg 2'!$F$3:$G$4</definedName>
    <definedName name="Sigma_">'opg 2'!$D$20:$E$21</definedName>
    <definedName name="sigma_1">'opg 2'!$D$3</definedName>
    <definedName name="sigma_2">'opg 2'!$D$4</definedName>
    <definedName name="sigma_4">'opg 2'!$F$47:$G$48</definedName>
    <definedName name="strike">'opg 1'!$D$19</definedName>
    <definedName name="u">'opg 1'!$C$12</definedName>
    <definedName name="u_1">'opg 1'!$B$38</definedName>
    <definedName name="u_2">'opg 1'!$C$38</definedName>
    <definedName name="u_3">'opg 1'!$D$38</definedName>
    <definedName name="y_m">'opg 2'!$B$29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2" l="1" a="1"/>
  <c r="E11" i="2" s="1"/>
  <c r="C27" i="1"/>
  <c r="A65" i="1"/>
  <c r="D40" i="1"/>
  <c r="C40" i="1"/>
  <c r="B40" i="1"/>
  <c r="C15" i="1"/>
  <c r="E12" i="2" l="1"/>
  <c r="N74" i="1"/>
  <c r="E73" i="1"/>
  <c r="C73" i="1"/>
  <c r="D15" i="2" l="1"/>
  <c r="G48" i="2"/>
  <c r="F48" i="2"/>
  <c r="F47" i="2"/>
  <c r="C25" i="2"/>
  <c r="B22" i="2" a="1"/>
  <c r="B22" i="2" s="1"/>
  <c r="B33" i="2" a="1"/>
  <c r="B33" i="2" s="1"/>
  <c r="B36" i="2" s="1"/>
  <c r="B40" i="2" s="1"/>
  <c r="B32" i="2"/>
  <c r="B30" i="2"/>
  <c r="B29" i="2"/>
  <c r="B28" i="2"/>
  <c r="E21" i="2"/>
  <c r="D20" i="2"/>
  <c r="D21" i="2"/>
  <c r="E20" i="2" s="1"/>
  <c r="F4" i="2"/>
  <c r="G3" i="2" s="1"/>
  <c r="B11" i="2" s="1" a="1"/>
  <c r="B12" i="2" s="1"/>
  <c r="G4" i="2"/>
  <c r="F3" i="2"/>
  <c r="Q72" i="1"/>
  <c r="M72" i="1"/>
  <c r="L74" i="1"/>
  <c r="D65" i="1"/>
  <c r="D49" i="1"/>
  <c r="D67" i="1" s="1"/>
  <c r="D50" i="1"/>
  <c r="D68" i="1" s="1"/>
  <c r="D39" i="1"/>
  <c r="C39" i="1"/>
  <c r="B39" i="1"/>
  <c r="D47" i="1" s="1"/>
  <c r="D38" i="1"/>
  <c r="C38" i="1"/>
  <c r="B38" i="1"/>
  <c r="D46" i="1" s="1"/>
  <c r="D64" i="1" s="1"/>
  <c r="B34" i="2" l="1"/>
  <c r="B37" i="2"/>
  <c r="B41" i="2" s="1"/>
  <c r="G47" i="2"/>
  <c r="B50" i="2" s="1" a="1"/>
  <c r="B50" i="2" s="1"/>
  <c r="B23" i="2"/>
  <c r="B24" i="2" s="1" a="1"/>
  <c r="B24" i="2" s="1"/>
  <c r="B11" i="2"/>
  <c r="C44" i="1"/>
  <c r="C53" i="1" s="1"/>
  <c r="B54" i="1" s="1"/>
  <c r="D43" i="1"/>
  <c r="D61" i="1" s="1"/>
  <c r="C46" i="1"/>
  <c r="C55" i="1" s="1"/>
  <c r="C64" i="1" s="1"/>
  <c r="D44" i="1"/>
  <c r="D62" i="1" s="1"/>
  <c r="B45" i="1"/>
  <c r="D45" i="1"/>
  <c r="D63" i="1" s="1"/>
  <c r="B49" i="1"/>
  <c r="D48" i="1"/>
  <c r="D66" i="1" s="1"/>
  <c r="C50" i="1"/>
  <c r="C59" i="1" s="1"/>
  <c r="C68" i="1" s="1"/>
  <c r="C48" i="1"/>
  <c r="C57" i="1" s="1"/>
  <c r="B51" i="2" l="1"/>
  <c r="B54" i="2"/>
  <c r="C57" i="2" s="1"/>
  <c r="B53" i="2"/>
  <c r="B58" i="1"/>
  <c r="C66" i="1"/>
  <c r="B67" i="1" s="1"/>
  <c r="C62" i="1"/>
  <c r="B63" i="1" s="1"/>
  <c r="D19" i="1" l="1"/>
  <c r="E20" i="1"/>
  <c r="E30" i="1" s="1"/>
  <c r="C13" i="1"/>
  <c r="D23" i="1" s="1"/>
  <c r="D28" i="1" s="1"/>
  <c r="C12" i="1"/>
  <c r="D21" i="1" s="1"/>
  <c r="D26" i="1" s="1"/>
  <c r="E22" i="1" l="1"/>
  <c r="E32" i="1" s="1"/>
  <c r="E21" i="1"/>
  <c r="E31" i="1" s="1"/>
  <c r="C23" i="1"/>
  <c r="D22" i="1"/>
  <c r="D27" i="1" s="1"/>
  <c r="E23" i="1"/>
  <c r="E33" i="1" s="1"/>
  <c r="C22" i="1"/>
  <c r="A56" i="1" l="1"/>
  <c r="D33" i="1"/>
  <c r="C28" i="1"/>
  <c r="D32" i="1"/>
  <c r="D31" i="1"/>
  <c r="C32" i="1" l="1"/>
  <c r="C33" i="1"/>
  <c r="B28" i="1"/>
  <c r="B33" i="1" l="1"/>
</calcChain>
</file>

<file path=xl/sharedStrings.xml><?xml version="1.0" encoding="utf-8"?>
<sst xmlns="http://schemas.openxmlformats.org/spreadsheetml/2006/main" count="68" uniqueCount="57">
  <si>
    <t xml:space="preserve">vi finder </t>
  </si>
  <si>
    <t>u</t>
  </si>
  <si>
    <t>d</t>
  </si>
  <si>
    <t>R</t>
  </si>
  <si>
    <t>Da u&gt;R&gt;d har a.f+ komplet hed i alle undermodeller og derfor en a.f og komplet model for alle n</t>
  </si>
  <si>
    <t>S_0</t>
  </si>
  <si>
    <t>K</t>
  </si>
  <si>
    <t>C_0</t>
  </si>
  <si>
    <t>C0</t>
  </si>
  <si>
    <t>q</t>
  </si>
  <si>
    <t>sigma_t</t>
  </si>
  <si>
    <t>udløb 2</t>
  </si>
  <si>
    <t>udløb 3</t>
  </si>
  <si>
    <t xml:space="preserve">u&gt;R&gt;d for alle t=1,2,3. Alt ok </t>
  </si>
  <si>
    <t>nyt træ. Ikke rekombinerende længere</t>
  </si>
  <si>
    <t>a</t>
  </si>
  <si>
    <t>b</t>
  </si>
  <si>
    <t>for c=0.01</t>
  </si>
  <si>
    <t xml:space="preserve">dvs </t>
  </si>
  <si>
    <t>n=</t>
  </si>
  <si>
    <t>E_r</t>
  </si>
  <si>
    <t>rho</t>
  </si>
  <si>
    <t>w_gmv</t>
  </si>
  <si>
    <t>resultat fra regneark kan bruge direkte. Ellers brug solver</t>
  </si>
  <si>
    <t>rho&lt;sigma_2/sigma_1</t>
  </si>
  <si>
    <t>Det ses hvis vi sætter rho =0.56 at vi får</t>
  </si>
  <si>
    <t>Vi konstruer markedsporteføljen</t>
  </si>
  <si>
    <t>pris</t>
  </si>
  <si>
    <t>udestående aktier</t>
  </si>
  <si>
    <t>vægt i 1</t>
  </si>
  <si>
    <t>total market cap</t>
  </si>
  <si>
    <t>vægt i 2</t>
  </si>
  <si>
    <t>sigma_m^2</t>
  </si>
  <si>
    <t>sigma_m</t>
  </si>
  <si>
    <t>beta_1=cov(r_1,r_m)</t>
  </si>
  <si>
    <t>sigma</t>
  </si>
  <si>
    <t>beta_2=cov(r_2,r_m)/sigma_m^2</t>
  </si>
  <si>
    <t>Forventet afkast iflg capm</t>
  </si>
  <si>
    <t>E( r_1) =\mu_0+beta_1*(\mu_m-\mu_0)</t>
  </si>
  <si>
    <t>mu_0</t>
  </si>
  <si>
    <t>mu_m</t>
  </si>
  <si>
    <t>E( r_2) =\mu_0+beta_2*(\mu_m-\mu_0)</t>
  </si>
  <si>
    <t>Da vi får det samme som de opgivne forventede afkast kan vi konkludere at CAPM holder.</t>
  </si>
  <si>
    <t>nye betaer</t>
  </si>
  <si>
    <t>men selve vægtene i markedsporteføljen er ikke ændret</t>
  </si>
  <si>
    <t>Korrelationen er nu 0.5 og vi får en ny covariansmatrice</t>
  </si>
  <si>
    <t xml:space="preserve">Vi bemærker at hvis CAPM holder har vi (mu_1-mu_0)/(mu_2-mu_0)=beta_1/beta_2 =&gt; mu_2=(mu_1-mu_0)*beta_2/beta_1+mu_0= </t>
  </si>
  <si>
    <t>dette gir mu_2=</t>
  </si>
  <si>
    <t>sigma_gmv</t>
  </si>
  <si>
    <t>er den øvre grænse. Ikke noget problem i praksis da optioner typisk ikke har løbetid længere end et par år for aktieoptioner.</t>
  </si>
  <si>
    <t>arbitragefri hvis u&gt;R&gt;d&gt;0. Hvis n vokser er u&gt;R den bindende restriktion d&lt;1 for alle. Vi har u&gt;R &lt;=&gt; t&lt;-ln((ln( R )-c)/0.35)/0.07</t>
  </si>
  <si>
    <t>sigma_51</t>
  </si>
  <si>
    <t xml:space="preserve"> .=&gt; u=</t>
  </si>
  <si>
    <t>&gt;1.02</t>
  </si>
  <si>
    <t>exp ( c)=</t>
  </si>
  <si>
    <t>sigma_t er monotont aftagende derfor skal vi finde c så således lim_{t=&gt;\infty} exp(sigma_t)&gt;R &lt;=&gt; c &gt;ln( R ) =</t>
  </si>
  <si>
    <t>w_tan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</si>
</sst>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R74"/>
  <sheetViews>
    <sheetView topLeftCell="A25" workbookViewId="0">
      <selection activeCell="B74" sqref="B74"/>
    </sheetView>
  </sheetViews>
  <sheetFormatPr defaultRowHeight="15" x14ac:dyDescent="0.25"/>
  <sheetData>
    <row r="10" spans="1:3" x14ac:dyDescent="0.25">
      <c r="A10">
        <v>1.1000000000000001</v>
      </c>
    </row>
    <row r="12" spans="1:3" x14ac:dyDescent="0.25">
      <c r="A12" t="s">
        <v>0</v>
      </c>
      <c r="B12" t="s">
        <v>1</v>
      </c>
      <c r="C12">
        <f>EXP(0.25)</f>
        <v>1.2840254166877414</v>
      </c>
    </row>
    <row r="13" spans="1:3" x14ac:dyDescent="0.25">
      <c r="B13" t="s">
        <v>2</v>
      </c>
      <c r="C13">
        <f>EXP(-0.25)</f>
        <v>0.77880078307140488</v>
      </c>
    </row>
    <row r="14" spans="1:3" x14ac:dyDescent="0.25">
      <c r="B14" t="s">
        <v>3</v>
      </c>
      <c r="C14">
        <v>1.02</v>
      </c>
    </row>
    <row r="15" spans="1:3" x14ac:dyDescent="0.25">
      <c r="B15" t="s">
        <v>9</v>
      </c>
      <c r="C15">
        <f>(R_-d)/(u-d)</f>
        <v>0.47740985074722203</v>
      </c>
    </row>
    <row r="16" spans="1:3" x14ac:dyDescent="0.25">
      <c r="A16" t="s">
        <v>4</v>
      </c>
    </row>
    <row r="19" spans="1:5" x14ac:dyDescent="0.25">
      <c r="A19">
        <v>1.2</v>
      </c>
      <c r="C19" t="s">
        <v>6</v>
      </c>
      <c r="D19">
        <f>160</f>
        <v>160</v>
      </c>
    </row>
    <row r="20" spans="1:5" x14ac:dyDescent="0.25">
      <c r="E20">
        <f>S_0*u*u*u</f>
        <v>211.70000166126744</v>
      </c>
    </row>
    <row r="21" spans="1:5" x14ac:dyDescent="0.25">
      <c r="D21">
        <f>S_0*u*u</f>
        <v>164.87212707001279</v>
      </c>
      <c r="E21">
        <f>S_0*u*u*d</f>
        <v>128.40254166877415</v>
      </c>
    </row>
    <row r="22" spans="1:5" x14ac:dyDescent="0.25">
      <c r="C22">
        <f>S_0*u</f>
        <v>128.40254166877415</v>
      </c>
      <c r="D22">
        <f>S_0*d*u</f>
        <v>100</v>
      </c>
      <c r="E22">
        <f>S_0*d*d*u</f>
        <v>77.880078307140479</v>
      </c>
    </row>
    <row r="23" spans="1:5" x14ac:dyDescent="0.25">
      <c r="A23" t="s">
        <v>5</v>
      </c>
      <c r="B23">
        <v>100</v>
      </c>
      <c r="C23">
        <f>S_0*d</f>
        <v>77.880078307140494</v>
      </c>
      <c r="D23">
        <f>S_0*d*d</f>
        <v>60.653065971263345</v>
      </c>
      <c r="E23">
        <f>S_0*d*d*d</f>
        <v>47.236655274101473</v>
      </c>
    </row>
    <row r="26" spans="1:5" x14ac:dyDescent="0.25">
      <c r="D26">
        <f>MAX(D21-strike,0)</f>
        <v>4.8721270700127945</v>
      </c>
    </row>
    <row r="27" spans="1:5" x14ac:dyDescent="0.25">
      <c r="C27">
        <f>(D26*q_+D27*(1-q_))/R_</f>
        <v>2.2803935856042239</v>
      </c>
      <c r="D27">
        <f>MAX(D22-strike,0)</f>
        <v>0</v>
      </c>
    </row>
    <row r="28" spans="1:5" x14ac:dyDescent="0.25">
      <c r="A28" t="s">
        <v>8</v>
      </c>
      <c r="B28">
        <f>(C27*q_+C28*(1-q_))/R_</f>
        <v>1.0673356483806227</v>
      </c>
      <c r="C28">
        <f>(D27*q_+D28*(1-q_))/R_</f>
        <v>0</v>
      </c>
      <c r="D28">
        <f>MAX(D23-strike,0)</f>
        <v>0</v>
      </c>
    </row>
    <row r="29" spans="1:5" x14ac:dyDescent="0.25">
      <c r="A29">
        <v>1.3</v>
      </c>
    </row>
    <row r="30" spans="1:5" x14ac:dyDescent="0.25">
      <c r="E30">
        <f>MAX(E20-strike,0)</f>
        <v>51.700001661267436</v>
      </c>
    </row>
    <row r="31" spans="1:5" x14ac:dyDescent="0.25">
      <c r="D31">
        <f>(E30*q_+E31*(1-q_))/R_</f>
        <v>24.198127526212566</v>
      </c>
      <c r="E31">
        <f>MAX(E21-strike,0)</f>
        <v>0</v>
      </c>
    </row>
    <row r="32" spans="1:5" x14ac:dyDescent="0.25">
      <c r="C32">
        <f>(D31*q_+D32*(1-q_))/R_</f>
        <v>11.325906324168026</v>
      </c>
      <c r="D32">
        <f>(E31*q_+E32*(1-q_))/R_</f>
        <v>0</v>
      </c>
      <c r="E32">
        <f>MAX(E22-strike,0)</f>
        <v>0</v>
      </c>
    </row>
    <row r="33" spans="1:5" x14ac:dyDescent="0.25">
      <c r="A33" t="s">
        <v>7</v>
      </c>
      <c r="B33">
        <f>(C32*q_+C33*(1-q_))/R_</f>
        <v>5.3010776939196811</v>
      </c>
      <c r="C33">
        <f>(D32*q_+D33*(1-q_))/R_</f>
        <v>0</v>
      </c>
      <c r="D33">
        <f>(E32*q_+E33*(1-q_))/R_</f>
        <v>0</v>
      </c>
      <c r="E33">
        <f>MAX(E23-strike,0)</f>
        <v>0</v>
      </c>
    </row>
    <row r="35" spans="1:5" x14ac:dyDescent="0.25">
      <c r="A35">
        <v>1.4</v>
      </c>
    </row>
    <row r="37" spans="1:5" x14ac:dyDescent="0.25">
      <c r="A37" t="s">
        <v>10</v>
      </c>
      <c r="B37">
        <v>0.35</v>
      </c>
      <c r="C37">
        <v>0.25</v>
      </c>
      <c r="D37">
        <v>0.15</v>
      </c>
    </row>
    <row r="38" spans="1:5" x14ac:dyDescent="0.25">
      <c r="A38" t="s">
        <v>1</v>
      </c>
      <c r="B38">
        <f>EXP(B37)</f>
        <v>1.4190675485932571</v>
      </c>
      <c r="C38">
        <f>EXP(C37)</f>
        <v>1.2840254166877414</v>
      </c>
      <c r="D38">
        <f>EXP(D37)</f>
        <v>1.1618342427282831</v>
      </c>
    </row>
    <row r="39" spans="1:5" x14ac:dyDescent="0.25">
      <c r="A39" t="s">
        <v>2</v>
      </c>
      <c r="B39">
        <f>EXP(-B37)</f>
        <v>0.70468808971871344</v>
      </c>
      <c r="C39">
        <f>EXP(-C37)</f>
        <v>0.77880078307140488</v>
      </c>
      <c r="D39">
        <f>EXP(-D37)</f>
        <v>0.86070797642505781</v>
      </c>
    </row>
    <row r="40" spans="1:5" x14ac:dyDescent="0.25">
      <c r="A40" t="s">
        <v>9</v>
      </c>
      <c r="B40">
        <f>(R_-d_1)/(u_1-d_1)</f>
        <v>0.44137874677701272</v>
      </c>
      <c r="C40">
        <f>(R_-d_2)/(u_2-d_2)</f>
        <v>0.47740985074722203</v>
      </c>
      <c r="D40">
        <f>(R_-d_3)/(u_3-d_3)</f>
        <v>0.5289874760195773</v>
      </c>
    </row>
    <row r="41" spans="1:5" x14ac:dyDescent="0.25">
      <c r="A41" t="s">
        <v>13</v>
      </c>
    </row>
    <row r="42" spans="1:5" x14ac:dyDescent="0.25">
      <c r="A42">
        <v>1.5</v>
      </c>
      <c r="B42" t="s">
        <v>14</v>
      </c>
    </row>
    <row r="43" spans="1:5" x14ac:dyDescent="0.25">
      <c r="D43">
        <f>S_0*u_1*u_2*u_3</f>
        <v>211.70000166126744</v>
      </c>
    </row>
    <row r="44" spans="1:5" x14ac:dyDescent="0.25">
      <c r="C44">
        <f>S_0*u_1*u_2</f>
        <v>182.21188003905087</v>
      </c>
      <c r="D44">
        <f>S_0*u_1*u_2*d_3</f>
        <v>156.83121854901685</v>
      </c>
    </row>
    <row r="45" spans="1:5" x14ac:dyDescent="0.25">
      <c r="B45">
        <f>S_0*u_1</f>
        <v>141.9067548593257</v>
      </c>
      <c r="D45">
        <f>S_0*u_1*d_2*u_3</f>
        <v>128.40254166877412</v>
      </c>
    </row>
    <row r="46" spans="1:5" x14ac:dyDescent="0.25">
      <c r="C46">
        <f>S_0*u_1*d_2</f>
        <v>110.51709180756474</v>
      </c>
      <c r="D46">
        <f>S_0*u_1*d_2*d_3</f>
        <v>95.122942450071378</v>
      </c>
    </row>
    <row r="47" spans="1:5" x14ac:dyDescent="0.25">
      <c r="A47">
        <v>100</v>
      </c>
      <c r="D47">
        <f>S_0*d_1*u_2*u_3</f>
        <v>105.12710963760239</v>
      </c>
    </row>
    <row r="48" spans="1:5" x14ac:dyDescent="0.25">
      <c r="C48">
        <f>S_0*d_1*u_2</f>
        <v>90.483741803595947</v>
      </c>
      <c r="D48">
        <f>S_0*d_1*u_2*d_3</f>
        <v>77.880078307140479</v>
      </c>
    </row>
    <row r="49" spans="1:4" x14ac:dyDescent="0.25">
      <c r="B49">
        <f>S_0*d_1</f>
        <v>70.46880897187134</v>
      </c>
      <c r="D49">
        <f>S_0*d_1*d_2*u_3</f>
        <v>63.762815162177326</v>
      </c>
    </row>
    <row r="50" spans="1:4" x14ac:dyDescent="0.25">
      <c r="C50">
        <f>S_0*d_1*d_2</f>
        <v>54.881163609402641</v>
      </c>
      <c r="D50">
        <f>S_0*d_1*d_2*d_3</f>
        <v>47.236655274101466</v>
      </c>
    </row>
    <row r="52" spans="1:4" x14ac:dyDescent="0.25">
      <c r="A52" t="s">
        <v>11</v>
      </c>
    </row>
    <row r="53" spans="1:4" x14ac:dyDescent="0.25">
      <c r="A53" t="s">
        <v>7</v>
      </c>
      <c r="C53">
        <f>MAX(C44-strike,0)</f>
        <v>22.211880039050868</v>
      </c>
    </row>
    <row r="54" spans="1:4" x14ac:dyDescent="0.25">
      <c r="B54">
        <f>(C53*q_2+C55*(1-q_2))/R_</f>
        <v>10.396245425743603</v>
      </c>
    </row>
    <row r="55" spans="1:4" x14ac:dyDescent="0.25">
      <c r="C55">
        <f>MAX(C46-strike,0)</f>
        <v>0</v>
      </c>
    </row>
    <row r="56" spans="1:4" x14ac:dyDescent="0.25">
      <c r="A56">
        <f>(B54*q_1+B58*(1-q_))/R_</f>
        <v>4.4987076247068263</v>
      </c>
    </row>
    <row r="57" spans="1:4" x14ac:dyDescent="0.25">
      <c r="C57">
        <f>MAX(C48-strike,0)</f>
        <v>0</v>
      </c>
    </row>
    <row r="58" spans="1:4" x14ac:dyDescent="0.25">
      <c r="B58">
        <f>(C57*q_2+C59*(1-q_2))/R_</f>
        <v>0</v>
      </c>
    </row>
    <row r="59" spans="1:4" x14ac:dyDescent="0.25">
      <c r="C59">
        <f>MAX(C50-strike,0)</f>
        <v>0</v>
      </c>
    </row>
    <row r="61" spans="1:4" x14ac:dyDescent="0.25">
      <c r="A61" t="s">
        <v>12</v>
      </c>
      <c r="D61">
        <f t="shared" ref="D61:D68" si="0">MAX(D43-strike,0)</f>
        <v>51.700001661267436</v>
      </c>
    </row>
    <row r="62" spans="1:4" x14ac:dyDescent="0.25">
      <c r="A62" t="s">
        <v>7</v>
      </c>
      <c r="C62">
        <f>(D61*q_3+D62*(1-q_3))/R_</f>
        <v>26.81240528333511</v>
      </c>
      <c r="D62">
        <f t="shared" si="0"/>
        <v>0</v>
      </c>
    </row>
    <row r="63" spans="1:4" x14ac:dyDescent="0.25">
      <c r="B63">
        <f>(C62*q_2+C64*(1-q_2))/R_</f>
        <v>12.549516082834355</v>
      </c>
      <c r="D63">
        <f t="shared" si="0"/>
        <v>0</v>
      </c>
    </row>
    <row r="64" spans="1:4" x14ac:dyDescent="0.25">
      <c r="C64">
        <f>MAX(C55-strike,0)</f>
        <v>0</v>
      </c>
      <c r="D64">
        <f t="shared" si="0"/>
        <v>0</v>
      </c>
    </row>
    <row r="65" spans="1:18" x14ac:dyDescent="0.25">
      <c r="A65">
        <f>(B63*q_1+B67*(1-q_1))/R_</f>
        <v>5.4304800797052879</v>
      </c>
      <c r="D65">
        <f t="shared" si="0"/>
        <v>0</v>
      </c>
    </row>
    <row r="66" spans="1:18" x14ac:dyDescent="0.25">
      <c r="C66">
        <f>MAX(C57-strike,0)</f>
        <v>0</v>
      </c>
      <c r="D66">
        <f t="shared" si="0"/>
        <v>0</v>
      </c>
    </row>
    <row r="67" spans="1:18" x14ac:dyDescent="0.25">
      <c r="B67">
        <f>(C66*q_2+C68*(1-q_2))/R_</f>
        <v>0</v>
      </c>
      <c r="D67">
        <f t="shared" si="0"/>
        <v>0</v>
      </c>
    </row>
    <row r="68" spans="1:18" x14ac:dyDescent="0.25">
      <c r="C68">
        <f>MAX(C59-strike,0)</f>
        <v>0</v>
      </c>
      <c r="D68">
        <f t="shared" si="0"/>
        <v>0</v>
      </c>
    </row>
    <row r="70" spans="1:18" x14ac:dyDescent="0.25">
      <c r="A70">
        <v>1.6</v>
      </c>
    </row>
    <row r="72" spans="1:18" x14ac:dyDescent="0.25">
      <c r="A72" t="s">
        <v>15</v>
      </c>
      <c r="B72" t="s">
        <v>50</v>
      </c>
      <c r="M72">
        <f>-LN((LN(R_)-0.01)/0.35)/0.07</f>
        <v>51.075467332715888</v>
      </c>
      <c r="N72" t="s">
        <v>17</v>
      </c>
      <c r="O72" t="s">
        <v>18</v>
      </c>
      <c r="P72" t="s">
        <v>19</v>
      </c>
      <c r="Q72">
        <f>ROUNDDOWN(M72,0)</f>
        <v>51</v>
      </c>
      <c r="R72" t="s">
        <v>49</v>
      </c>
    </row>
    <row r="73" spans="1:18" x14ac:dyDescent="0.25">
      <c r="B73" t="s">
        <v>51</v>
      </c>
      <c r="C73">
        <f>0.01+0.35*EXP(-0.07*51)</f>
        <v>1.9854548788105032E-2</v>
      </c>
      <c r="D73" t="s">
        <v>52</v>
      </c>
      <c r="E73">
        <f>EXP(C73)</f>
        <v>1.0200529612966667</v>
      </c>
      <c r="F73" t="s">
        <v>53</v>
      </c>
    </row>
    <row r="74" spans="1:18" x14ac:dyDescent="0.25">
      <c r="A74" t="s">
        <v>16</v>
      </c>
      <c r="B74" t="s">
        <v>55</v>
      </c>
      <c r="L74">
        <f>LN(R_)</f>
        <v>1.980262729617973E-2</v>
      </c>
      <c r="M74" t="s">
        <v>54</v>
      </c>
      <c r="N74">
        <f>EXP(L74)</f>
        <v>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7"/>
  <sheetViews>
    <sheetView tabSelected="1" topLeftCell="A38" workbookViewId="0">
      <selection activeCell="C57" sqref="C57"/>
    </sheetView>
  </sheetViews>
  <sheetFormatPr defaultRowHeight="15" x14ac:dyDescent="0.25"/>
  <sheetData>
    <row r="2" spans="1:9" x14ac:dyDescent="0.25">
      <c r="A2" t="s">
        <v>27</v>
      </c>
      <c r="B2" t="s">
        <v>28</v>
      </c>
      <c r="C2" t="s">
        <v>20</v>
      </c>
      <c r="D2" t="s">
        <v>35</v>
      </c>
      <c r="E2" t="s">
        <v>21</v>
      </c>
      <c r="F2">
        <v>0.7</v>
      </c>
    </row>
    <row r="3" spans="1:9" x14ac:dyDescent="0.25">
      <c r="A3">
        <v>70</v>
      </c>
      <c r="B3">
        <v>90</v>
      </c>
      <c r="C3">
        <v>0.11</v>
      </c>
      <c r="D3">
        <v>0.25</v>
      </c>
      <c r="F3">
        <f>0.25^2</f>
        <v>6.25E-2</v>
      </c>
      <c r="G3">
        <f>F4</f>
        <v>2.4500000000000001E-2</v>
      </c>
      <c r="I3">
        <v>1</v>
      </c>
    </row>
    <row r="4" spans="1:9" x14ac:dyDescent="0.25">
      <c r="A4">
        <v>100</v>
      </c>
      <c r="B4">
        <v>40</v>
      </c>
      <c r="C4">
        <v>5.7331E-2</v>
      </c>
      <c r="D4">
        <v>0.14000000000000001</v>
      </c>
      <c r="F4">
        <f>0.25*0.14*F2</f>
        <v>2.4500000000000001E-2</v>
      </c>
      <c r="G4">
        <f>0.14^2</f>
        <v>1.9600000000000003E-2</v>
      </c>
      <c r="I4">
        <v>1</v>
      </c>
    </row>
    <row r="9" spans="1:9" x14ac:dyDescent="0.25">
      <c r="A9">
        <v>1</v>
      </c>
    </row>
    <row r="11" spans="1:9" x14ac:dyDescent="0.25">
      <c r="A11" t="s">
        <v>22</v>
      </c>
      <c r="B11">
        <f t="array" ref="B11:B12">1/MMULT(TRANSPOSE(ones),MMULT(MINVERSE(Sigma),ones))*MMULT(MINVERSE(Sigma),ones)</f>
        <v>-0.14803625377643498</v>
      </c>
      <c r="D11" t="s">
        <v>56</v>
      </c>
      <c r="E11">
        <f t="array" ref="E11:E12">1/MMULT(TRANSPOSE(ones),MMULT(MINVERSE(Sigma),C3:C4-0.01))*MMULT(MINVERSE(Sigma),C3:C4-0.01)</f>
        <v>0.6116490572208918</v>
      </c>
    </row>
    <row r="12" spans="1:9" x14ac:dyDescent="0.25">
      <c r="B12">
        <v>1.1480362537764348</v>
      </c>
      <c r="E12">
        <v>0.3883509427791082</v>
      </c>
    </row>
    <row r="13" spans="1:9" x14ac:dyDescent="0.25">
      <c r="A13">
        <v>2</v>
      </c>
    </row>
    <row r="14" spans="1:9" x14ac:dyDescent="0.25">
      <c r="A14" t="s">
        <v>23</v>
      </c>
    </row>
    <row r="15" spans="1:9" x14ac:dyDescent="0.25">
      <c r="A15" t="s">
        <v>24</v>
      </c>
      <c r="D15">
        <f>0.14/0.25</f>
        <v>0.56000000000000005</v>
      </c>
    </row>
    <row r="17" spans="1:5" x14ac:dyDescent="0.25">
      <c r="A17" t="s">
        <v>25</v>
      </c>
    </row>
    <row r="19" spans="1:5" x14ac:dyDescent="0.25">
      <c r="B19" t="s">
        <v>21</v>
      </c>
      <c r="D19">
        <v>0.56000000000000005</v>
      </c>
    </row>
    <row r="20" spans="1:5" x14ac:dyDescent="0.25">
      <c r="D20">
        <f>0.25^2</f>
        <v>6.25E-2</v>
      </c>
      <c r="E20">
        <f>D21</f>
        <v>1.9600000000000003E-2</v>
      </c>
    </row>
    <row r="21" spans="1:5" x14ac:dyDescent="0.25">
      <c r="D21">
        <f>0.25*0.14*D19</f>
        <v>1.9600000000000003E-2</v>
      </c>
      <c r="E21">
        <f>0.14^2</f>
        <v>1.9600000000000003E-2</v>
      </c>
    </row>
    <row r="22" spans="1:5" x14ac:dyDescent="0.25">
      <c r="A22" t="s">
        <v>22</v>
      </c>
      <c r="B22">
        <f t="array" ref="B22:B23">1/MMULT(TRANSPOSE(ones),MMULT(MINVERSE(Sigma_),ones))*MMULT(MINVERSE(Sigma_),ones)</f>
        <v>0</v>
      </c>
    </row>
    <row r="23" spans="1:5" x14ac:dyDescent="0.25">
      <c r="B23">
        <v>1</v>
      </c>
    </row>
    <row r="24" spans="1:5" x14ac:dyDescent="0.25">
      <c r="A24" t="s">
        <v>48</v>
      </c>
      <c r="B24">
        <f t="array" ref="B24">SQRT(MMULT(TRANSPOSE(B22:B23),MMULT(Sigma_,B22:B23)))</f>
        <v>0.14000000000000001</v>
      </c>
    </row>
    <row r="25" spans="1:5" x14ac:dyDescent="0.25">
      <c r="A25">
        <v>1.3</v>
      </c>
      <c r="B25" t="s">
        <v>39</v>
      </c>
      <c r="C25">
        <f>0.01</f>
        <v>0.01</v>
      </c>
    </row>
    <row r="26" spans="1:5" x14ac:dyDescent="0.25">
      <c r="A26" t="s">
        <v>26</v>
      </c>
    </row>
    <row r="28" spans="1:5" x14ac:dyDescent="0.25">
      <c r="A28" t="s">
        <v>30</v>
      </c>
      <c r="B28">
        <f>90*70+100*40</f>
        <v>10300</v>
      </c>
    </row>
    <row r="29" spans="1:5" x14ac:dyDescent="0.25">
      <c r="A29" t="s">
        <v>29</v>
      </c>
      <c r="B29">
        <f>70*90/B28</f>
        <v>0.61165048543689315</v>
      </c>
    </row>
    <row r="30" spans="1:5" x14ac:dyDescent="0.25">
      <c r="A30" t="s">
        <v>31</v>
      </c>
      <c r="B30">
        <f>1-B29</f>
        <v>0.38834951456310685</v>
      </c>
    </row>
    <row r="32" spans="1:5" x14ac:dyDescent="0.25">
      <c r="A32" t="s">
        <v>40</v>
      </c>
      <c r="B32">
        <f>SUMPRODUCT(C3:C4,B29:B30)</f>
        <v>8.9546019417475725E-2</v>
      </c>
    </row>
    <row r="33" spans="1:7" x14ac:dyDescent="0.25">
      <c r="A33" t="s">
        <v>32</v>
      </c>
      <c r="B33">
        <f t="array" ref="B33">MMULT(TRANSPOSE(B29:B30),MMULT(Sigma,B29:B30))</f>
        <v>3.7977424827976246E-2</v>
      </c>
    </row>
    <row r="34" spans="1:7" x14ac:dyDescent="0.25">
      <c r="A34" t="s">
        <v>33</v>
      </c>
      <c r="B34">
        <f>SQRT(B33)</f>
        <v>0.19487797419917996</v>
      </c>
    </row>
    <row r="36" spans="1:7" x14ac:dyDescent="0.25">
      <c r="A36" t="s">
        <v>34</v>
      </c>
      <c r="B36">
        <f>(y_m*sigma_1^2 +(1-y_m)*F4)/B33</f>
        <v>1.2571341701776484</v>
      </c>
    </row>
    <row r="37" spans="1:7" x14ac:dyDescent="0.25">
      <c r="A37" t="s">
        <v>36</v>
      </c>
      <c r="B37">
        <f>(y_m*F4+(1-y_m)*sigma_2^2)/B33</f>
        <v>0.59501368197020377</v>
      </c>
    </row>
    <row r="39" spans="1:7" x14ac:dyDescent="0.25">
      <c r="A39" t="s">
        <v>37</v>
      </c>
    </row>
    <row r="40" spans="1:7" x14ac:dyDescent="0.25">
      <c r="A40" t="s">
        <v>38</v>
      </c>
      <c r="B40">
        <f>mu_0+B36*(mu_m-mu_0)</f>
        <v>0.11000001911132345</v>
      </c>
    </row>
    <row r="41" spans="1:7" x14ac:dyDescent="0.25">
      <c r="A41" t="s">
        <v>41</v>
      </c>
      <c r="B41">
        <f>mu_0+B37*(mu_m-mu_0)</f>
        <v>5.733096989966556E-2</v>
      </c>
    </row>
    <row r="43" spans="1:7" x14ac:dyDescent="0.25">
      <c r="A43" t="s">
        <v>42</v>
      </c>
    </row>
    <row r="45" spans="1:7" x14ac:dyDescent="0.25">
      <c r="A45">
        <v>1.4</v>
      </c>
    </row>
    <row r="47" spans="1:7" x14ac:dyDescent="0.25">
      <c r="A47" t="s">
        <v>45</v>
      </c>
      <c r="F47">
        <f>sigma_1^2</f>
        <v>6.25E-2</v>
      </c>
      <c r="G47">
        <f>F48</f>
        <v>1.7500000000000002E-2</v>
      </c>
    </row>
    <row r="48" spans="1:7" x14ac:dyDescent="0.25">
      <c r="A48" t="s">
        <v>44</v>
      </c>
      <c r="F48">
        <f>sigma_1*sigma_2*0.5</f>
        <v>1.7500000000000002E-2</v>
      </c>
      <c r="G48">
        <f>sigma_2^2</f>
        <v>1.9600000000000003E-2</v>
      </c>
    </row>
    <row r="50" spans="1:3" x14ac:dyDescent="0.25">
      <c r="A50" t="s">
        <v>32</v>
      </c>
      <c r="B50">
        <f t="array" ref="B50">MMULT(TRANSPOSE(B29:B30),MMULT(sigma_4,B29:B30))</f>
        <v>3.4651946460552363E-2</v>
      </c>
    </row>
    <row r="51" spans="1:3" x14ac:dyDescent="0.25">
      <c r="A51" t="s">
        <v>33</v>
      </c>
      <c r="B51">
        <f>SQRT(B50)</f>
        <v>0.18615033295847838</v>
      </c>
    </row>
    <row r="52" spans="1:3" x14ac:dyDescent="0.25">
      <c r="A52" t="s">
        <v>43</v>
      </c>
    </row>
    <row r="53" spans="1:3" x14ac:dyDescent="0.25">
      <c r="A53" t="s">
        <v>34</v>
      </c>
      <c r="B53">
        <f>(y_m*sigma_1^2 +(1-y_m)*F48)/B50</f>
        <v>1.2993287951635168</v>
      </c>
    </row>
    <row r="54" spans="1:3" x14ac:dyDescent="0.25">
      <c r="A54" t="s">
        <v>36</v>
      </c>
      <c r="B54">
        <f>(y_m*F48+(1-y_m)*sigma_2^2)/B50</f>
        <v>0.52855714761746087</v>
      </c>
    </row>
    <row r="56" spans="1:3" x14ac:dyDescent="0.25">
      <c r="A56" t="s">
        <v>46</v>
      </c>
    </row>
    <row r="57" spans="1:3" x14ac:dyDescent="0.25">
      <c r="A57" t="s">
        <v>47</v>
      </c>
      <c r="C57">
        <f>(C3-mu_0)*B54/B53+mu_0</f>
        <v>5.0679245283018877E-2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24</vt:i4>
      </vt:variant>
    </vt:vector>
  </HeadingPairs>
  <TitlesOfParts>
    <vt:vector size="26" baseType="lpstr">
      <vt:lpstr>opg 1</vt:lpstr>
      <vt:lpstr>opg 2</vt:lpstr>
      <vt:lpstr>d</vt:lpstr>
      <vt:lpstr>d_1</vt:lpstr>
      <vt:lpstr>d_2</vt:lpstr>
      <vt:lpstr>d_3</vt:lpstr>
      <vt:lpstr>mu_0</vt:lpstr>
      <vt:lpstr>mu_m</vt:lpstr>
      <vt:lpstr>ones</vt:lpstr>
      <vt:lpstr>q_</vt:lpstr>
      <vt:lpstr>q_1</vt:lpstr>
      <vt:lpstr>q_2</vt:lpstr>
      <vt:lpstr>q_3</vt:lpstr>
      <vt:lpstr>R_</vt:lpstr>
      <vt:lpstr>S_0</vt:lpstr>
      <vt:lpstr>Sigma</vt:lpstr>
      <vt:lpstr>Sigma_</vt:lpstr>
      <vt:lpstr>sigma_1</vt:lpstr>
      <vt:lpstr>sigma_2</vt:lpstr>
      <vt:lpstr>sigma_4</vt:lpstr>
      <vt:lpstr>strike</vt:lpstr>
      <vt:lpstr>u</vt:lpstr>
      <vt:lpstr>u_1</vt:lpstr>
      <vt:lpstr>u_2</vt:lpstr>
      <vt:lpstr>u_3</vt:lpstr>
      <vt:lpstr>y_m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Glavind Skovmand</dc:creator>
  <cp:lastModifiedBy>David Glavind Skovmand</cp:lastModifiedBy>
  <dcterms:created xsi:type="dcterms:W3CDTF">2019-08-07T10:03:28Z</dcterms:created>
  <dcterms:modified xsi:type="dcterms:W3CDTF">2019-09-02T08:41:30Z</dcterms:modified>
</cp:coreProperties>
</file>