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x738\Dropbox\Eksamensopgaver til Noterne\Eksamensopgaver til Noterne\Fin1\"/>
    </mc:Choice>
  </mc:AlternateContent>
  <bookViews>
    <workbookView xWindow="0" yWindow="0" windowWidth="19180" windowHeight="8280" activeTab="1"/>
  </bookViews>
  <sheets>
    <sheet name="Opgave 1" sheetId="1" r:id="rId1"/>
    <sheet name="Opgave 2" sheetId="3" r:id="rId2"/>
    <sheet name="Opgave 3" sheetId="4" r:id="rId3"/>
  </sheets>
  <definedNames>
    <definedName name="solver_adj" localSheetId="0" hidden="1">'Opgave 1'!#REF!</definedName>
    <definedName name="solver_adj" localSheetId="1" hidden="1">'Opgave 2'!$B$19</definedName>
    <definedName name="solver_cvg" localSheetId="0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cvg" localSheetId="1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drv" localSheetId="0" hidden="1">1</definedName>
    <definedName name="solver_drv" localSheetId="1" hidden="1">1</definedName>
    <definedName name="solver_eng" localSheetId="0" hidden="1">2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'Opgave 1'!#REF!</definedName>
    <definedName name="solver_lhs1" localSheetId="1" hidden="1">'Opgave 2'!$A$31</definedName>
    <definedName name="solver_lhs2" localSheetId="0" hidden="1">'Opgave 1'!#REF!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rt" localSheetId="1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2</definedName>
    <definedName name="solver_nod" localSheetId="0" hidden="1">2147483647</definedName>
    <definedName name="solver_nod" localSheetId="1" hidden="1">2147483647</definedName>
    <definedName name="solver_num" localSheetId="0" hidden="1">1</definedName>
    <definedName name="solver_num" localSheetId="1" hidden="1">0</definedName>
    <definedName name="solver_nwt" localSheetId="0" hidden="1">1</definedName>
    <definedName name="solver_nwt" localSheetId="1" hidden="1">1</definedName>
    <definedName name="solver_opt" localSheetId="0" hidden="1">'Opgave 1'!#REF!</definedName>
    <definedName name="solver_opt" localSheetId="1" hidden="1">'Opgave 2'!$J$15</definedName>
    <definedName name="solver_pre" localSheetId="0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pre" localSheetId="1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rbv" localSheetId="0" hidden="1">1</definedName>
    <definedName name="solver_rbv" localSheetId="1" hidden="1">1</definedName>
    <definedName name="solver_rel1" localSheetId="0" hidden="1">3</definedName>
    <definedName name="solver_rel1" localSheetId="1" hidden="1">2</definedName>
    <definedName name="solver_rel2" localSheetId="0" hidden="1">3</definedName>
    <definedName name="solver_rhs1" localSheetId="0" hidden="1">0</definedName>
    <definedName name="solver_rhs1" localSheetId="1" hidden="1">100</definedName>
    <definedName name="solver_rhs2" localSheetId="0" hidden="1">0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1</definedName>
    <definedName name="solver_tol" localSheetId="1" hidden="1">1</definedName>
    <definedName name="solver_typ" localSheetId="0" hidden="1">2</definedName>
    <definedName name="solver_typ" localSheetId="1" hidden="1">3</definedName>
    <definedName name="solver_val" localSheetId="0" hidden="1">0</definedName>
    <definedName name="solver_val" localSheetId="1" hidden="1">100</definedName>
    <definedName name="solver_ver" localSheetId="0" hidden="1">3</definedName>
    <definedName name="solver_ver" localSheetId="1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1" l="1"/>
  <c r="C7" i="1"/>
  <c r="I28" i="1" l="1"/>
  <c r="N25" i="1"/>
  <c r="N24" i="1"/>
  <c r="N23" i="1"/>
  <c r="N22" i="1"/>
  <c r="J27" i="1"/>
  <c r="I27" i="1"/>
  <c r="M25" i="1"/>
  <c r="M24" i="1"/>
  <c r="M23" i="1"/>
  <c r="M22" i="1"/>
  <c r="L25" i="1"/>
  <c r="L24" i="1"/>
  <c r="L23" i="1"/>
  <c r="L22" i="1"/>
  <c r="K25" i="1"/>
  <c r="K24" i="1"/>
  <c r="K23" i="1"/>
  <c r="K22" i="1"/>
  <c r="J25" i="1"/>
  <c r="J24" i="1"/>
  <c r="J23" i="1"/>
  <c r="J22" i="1"/>
  <c r="I25" i="1"/>
  <c r="I24" i="1"/>
  <c r="I23" i="1"/>
  <c r="I22" i="1"/>
  <c r="M19" i="1"/>
  <c r="M18" i="1"/>
  <c r="J18" i="1"/>
  <c r="C26" i="1"/>
  <c r="C25" i="1"/>
  <c r="C24" i="1"/>
  <c r="G13" i="1"/>
  <c r="D18" i="3"/>
  <c r="B21" i="3" l="1"/>
  <c r="G21" i="3" s="1"/>
  <c r="E21" i="3" l="1"/>
  <c r="F21" i="3"/>
  <c r="E18" i="3" l="1"/>
  <c r="F18" i="3" s="1"/>
  <c r="G18" i="3" s="1"/>
  <c r="D12" i="3" l="1"/>
  <c r="H12" i="3"/>
  <c r="H11" i="3"/>
  <c r="C31" i="3"/>
  <c r="H31" i="3" s="1"/>
  <c r="C30" i="3"/>
  <c r="C29" i="3"/>
  <c r="H10" i="3"/>
  <c r="D11" i="3"/>
  <c r="A12" i="3"/>
  <c r="F2" i="1"/>
  <c r="C18" i="1"/>
  <c r="B18" i="1"/>
  <c r="A18" i="1"/>
  <c r="A14" i="1"/>
  <c r="C13" i="1"/>
  <c r="B13" i="1"/>
  <c r="A13" i="1"/>
  <c r="B31" i="3" l="1"/>
  <c r="G31" i="3" s="1"/>
  <c r="B30" i="3"/>
  <c r="G30" i="3" s="1"/>
  <c r="G12" i="3"/>
  <c r="G14" i="1"/>
  <c r="H14" i="1" s="1"/>
  <c r="A19" i="1"/>
  <c r="C14" i="1"/>
  <c r="B14" i="1"/>
  <c r="D13" i="1" s="1" a="1"/>
  <c r="D13" i="1" s="1"/>
  <c r="G11" i="3"/>
  <c r="H30" i="3"/>
  <c r="H29" i="3"/>
  <c r="C12" i="3"/>
  <c r="F12" i="3" l="1"/>
  <c r="J15" i="3" s="1"/>
  <c r="C24" i="3" s="1"/>
  <c r="I14" i="1"/>
  <c r="J13" i="1" s="1" a="1"/>
  <c r="C19" i="1"/>
  <c r="B19" i="1"/>
  <c r="D14" i="1"/>
  <c r="E14" i="1" s="1"/>
  <c r="E13" i="1"/>
  <c r="A31" i="3"/>
  <c r="J14" i="1" l="1"/>
  <c r="K14" i="1" s="1"/>
  <c r="J13" i="1"/>
  <c r="K13" i="1" s="1"/>
  <c r="B25" i="1" s="1"/>
  <c r="D18" i="1" a="1"/>
  <c r="J17" i="3"/>
  <c r="K16" i="3"/>
  <c r="F31" i="3"/>
  <c r="D19" i="1" l="1"/>
  <c r="E19" i="1" s="1"/>
  <c r="D18" i="1"/>
  <c r="E18" i="1" l="1"/>
  <c r="B26" i="1" s="1"/>
  <c r="F24" i="1" l="1" a="1"/>
  <c r="A26" i="1"/>
  <c r="F24" i="1" l="1"/>
  <c r="F25" i="1"/>
</calcChain>
</file>

<file path=xl/sharedStrings.xml><?xml version="1.0" encoding="utf-8"?>
<sst xmlns="http://schemas.openxmlformats.org/spreadsheetml/2006/main" count="110" uniqueCount="96">
  <si>
    <t>R</t>
  </si>
  <si>
    <t>r</t>
  </si>
  <si>
    <t>x</t>
  </si>
  <si>
    <t>Div'</t>
  </si>
  <si>
    <t>Rente</t>
  </si>
  <si>
    <t>Aktie</t>
  </si>
  <si>
    <t>tid</t>
  </si>
  <si>
    <t>0-&gt;1 delmodellen</t>
  </si>
  <si>
    <t>pi</t>
  </si>
  <si>
    <t>D</t>
  </si>
  <si>
    <t>psi = D^-1pi</t>
  </si>
  <si>
    <t>q_i</t>
  </si>
  <si>
    <t>"1, ned" -&gt; 2-delmodellen</t>
  </si>
  <si>
    <t xml:space="preserve"> </t>
  </si>
  <si>
    <t>1a</t>
  </si>
  <si>
    <t>1b</t>
  </si>
  <si>
    <t>1c</t>
  </si>
  <si>
    <t>1d</t>
  </si>
  <si>
    <t>1-&gt;2</t>
  </si>
  <si>
    <t>H, initial principal</t>
  </si>
  <si>
    <t>Coupon rate, R</t>
  </si>
  <si>
    <t>H(0)</t>
  </si>
  <si>
    <t>H(1)</t>
  </si>
  <si>
    <t xml:space="preserve">H(2) </t>
  </si>
  <si>
    <t>H(3)</t>
  </si>
  <si>
    <t>Maturity, \tau</t>
  </si>
  <si>
    <t>Rentegitteret</t>
  </si>
  <si>
    <t>Niveuer (rho(t))</t>
  </si>
  <si>
    <t>Betingede Q-ssh.</t>
  </si>
  <si>
    <t>0-&gt;1</t>
  </si>
  <si>
    <t>2a</t>
  </si>
  <si>
    <t>P(.,1)</t>
  </si>
  <si>
    <t>P(.2)</t>
  </si>
  <si>
    <t>P(.3)</t>
  </si>
  <si>
    <t>2b</t>
  </si>
  <si>
    <t>Restgæld</t>
  </si>
  <si>
    <t>Ydelse</t>
  </si>
  <si>
    <t>y(1)</t>
  </si>
  <si>
    <t>y(2)</t>
  </si>
  <si>
    <t>y(3)</t>
  </si>
  <si>
    <t>Kurs</t>
  </si>
  <si>
    <t>Effektiv rente</t>
  </si>
  <si>
    <t>FW-varighed</t>
  </si>
  <si>
    <t>2d</t>
  </si>
  <si>
    <t>2c</t>
  </si>
  <si>
    <t>Tid (t) = 0</t>
  </si>
  <si>
    <t>Optimal  indfrielsesstrategi (call~konverter)</t>
  </si>
  <si>
    <t>pi, D</t>
  </si>
  <si>
    <t xml:space="preserve"> D (tilst. 1)</t>
  </si>
  <si>
    <t>tilst. 2</t>
  </si>
  <si>
    <t>Pris på konverterbar obl. (jf. afsnit 8.3)</t>
  </si>
  <si>
    <t>Vi tjekker alle de tre 1-periodedelmodeller (nedenfor) og slutter heraf, at modellen er arbitragefri og/men inkomplet.</t>
  </si>
  <si>
    <t>"1, op"-delmodellem</t>
  </si>
  <si>
    <t>p</t>
  </si>
  <si>
    <t>E(S(2))=</t>
  </si>
  <si>
    <t>K (strike) =</t>
  </si>
  <si>
    <t>Vi trævler baglæns</t>
  </si>
  <si>
    <t>Call(0)</t>
  </si>
  <si>
    <t>Rep' pf (tid 0)</t>
  </si>
  <si>
    <t>aktie</t>
  </si>
  <si>
    <t>bankbog</t>
  </si>
  <si>
    <t>#aktier købt på tid 0</t>
  </si>
  <si>
    <t>#aktier købt tid 1, op</t>
  </si>
  <si>
    <t>#aktier købt tid 1, ned</t>
  </si>
  <si>
    <t>Tid 2</t>
  </si>
  <si>
    <t>op, op</t>
  </si>
  <si>
    <t>op,ned</t>
  </si>
  <si>
    <t>ned, op</t>
  </si>
  <si>
    <t>ned,ned</t>
  </si>
  <si>
    <t>#aktier</t>
  </si>
  <si>
    <t>kurs</t>
  </si>
  <si>
    <t>P</t>
  </si>
  <si>
    <t>Q</t>
  </si>
  <si>
    <t>Q-m'regn</t>
  </si>
  <si>
    <t>P-m'regn</t>
  </si>
  <si>
    <t>E^Q</t>
  </si>
  <si>
    <t>E^P</t>
  </si>
  <si>
    <t>&lt;- V(0)*(1+r)^2 -- da disk' s'f pf'værdier er Q-mg</t>
  </si>
  <si>
    <t>Entydig løsning med strengt postive koordinater &lt;=&gt; komp' &amp;arb'fri</t>
  </si>
  <si>
    <t>Entyidg løsning med strengt postive koordinater &lt;=&gt; komp' &amp;arb'fri</t>
  </si>
  <si>
    <t>Fwd (0,2)</t>
  </si>
  <si>
    <t>Modellen er inkomplet; i tid 1-op-knuden er 3 fremtidige tilstande og kun to aktiver (i live).</t>
  </si>
  <si>
    <t>Amortiseringsplan for det stående lån (mellemmregninger)</t>
  </si>
  <si>
    <t>3a</t>
  </si>
  <si>
    <t>3b</t>
  </si>
  <si>
    <t>Den arbejder med risiko i form af (afkastrate)varians (altså korrekt)</t>
  </si>
  <si>
    <t>og *forventet* porteføljeværdi. ("Forventet" er meget vigtigt at bemærke</t>
  </si>
  <si>
    <t xml:space="preserve">ikke står i den givne formulering.) Og metoden minimerer ikke det ene </t>
  </si>
  <si>
    <t>og maksimerer det andet; det kan man ikke børe sådan, fordi de to ting</t>
  </si>
  <si>
    <t>hænger sammen. I stedet bestemmes en række porteføjler, der for forskellige</t>
  </si>
  <si>
    <t>givne forvenetde afkastrater har den mindst mulige /afkastrate)varians.</t>
  </si>
  <si>
    <t>Ved "Markowitz" forstås "Markowitz' middelværdi/varians-analyse".</t>
  </si>
  <si>
    <t>Tid-kursen rammer 100 for kuponrente over</t>
  </si>
  <si>
    <t>(Varier celle B19 -- evt. med</t>
  </si>
  <si>
    <t>Solver-hjælp)</t>
  </si>
  <si>
    <t>Par-kupon-rente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</si>
</sst>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0"/>
    <numFmt numFmtId="165" formatCode="0.000"/>
    <numFmt numFmtId="167" formatCode="0.000000%"/>
    <numFmt numFmtId="168" formatCode="0.00000"/>
    <numFmt numFmtId="169" formatCode="0.0000%"/>
  </numFmts>
  <fonts count="7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2" fillId="0" borderId="9" xfId="0" applyFont="1" applyBorder="1"/>
    <xf numFmtId="0" fontId="3" fillId="0" borderId="16" xfId="0" applyFont="1" applyBorder="1"/>
    <xf numFmtId="0" fontId="3" fillId="0" borderId="0" xfId="0" applyFont="1" applyBorder="1"/>
    <xf numFmtId="0" fontId="3" fillId="0" borderId="19" xfId="0" applyFont="1" applyBorder="1" applyAlignment="1">
      <alignment horizontal="center"/>
    </xf>
    <xf numFmtId="0" fontId="2" fillId="0" borderId="16" xfId="0" applyFont="1" applyBorder="1"/>
    <xf numFmtId="2" fontId="0" fillId="4" borderId="0" xfId="0" applyNumberForma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164" fontId="0" fillId="0" borderId="0" xfId="0" applyNumberFormat="1" applyBorder="1"/>
    <xf numFmtId="0" fontId="3" fillId="5" borderId="18" xfId="0" applyFont="1" applyFill="1" applyBorder="1" applyAlignment="1">
      <alignment horizontal="center"/>
    </xf>
    <xf numFmtId="0" fontId="3" fillId="5" borderId="19" xfId="0" applyFont="1" applyFill="1" applyBorder="1" applyAlignment="1">
      <alignment horizontal="center"/>
    </xf>
    <xf numFmtId="0" fontId="3" fillId="5" borderId="2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164" fontId="3" fillId="0" borderId="16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164" fontId="0" fillId="0" borderId="13" xfId="0" applyNumberFormat="1" applyBorder="1"/>
    <xf numFmtId="164" fontId="3" fillId="0" borderId="19" xfId="0" applyNumberFormat="1" applyFont="1" applyFill="1" applyBorder="1" applyAlignment="1">
      <alignment horizontal="center"/>
    </xf>
    <xf numFmtId="164" fontId="0" fillId="0" borderId="20" xfId="0" applyNumberFormat="1" applyBorder="1"/>
    <xf numFmtId="2" fontId="0" fillId="0" borderId="0" xfId="0" applyNumberFormat="1" applyFill="1" applyBorder="1"/>
    <xf numFmtId="164" fontId="0" fillId="6" borderId="0" xfId="0" applyNumberFormat="1" applyFill="1" applyBorder="1"/>
    <xf numFmtId="164" fontId="0" fillId="0" borderId="0" xfId="0" applyNumberFormat="1" applyFill="1" applyBorder="1"/>
    <xf numFmtId="0" fontId="0" fillId="0" borderId="0" xfId="0" applyFill="1" applyBorder="1"/>
    <xf numFmtId="2" fontId="0" fillId="6" borderId="0" xfId="0" applyNumberFormat="1" applyFill="1" applyBorder="1"/>
    <xf numFmtId="0" fontId="0" fillId="0" borderId="0" xfId="0" applyFont="1" applyBorder="1"/>
    <xf numFmtId="0" fontId="3" fillId="3" borderId="9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0" fillId="7" borderId="13" xfId="0" applyFill="1" applyBorder="1"/>
    <xf numFmtId="2" fontId="0" fillId="0" borderId="0" xfId="0" applyNumberFormat="1" applyBorder="1"/>
    <xf numFmtId="0" fontId="0" fillId="0" borderId="0" xfId="0" applyFill="1"/>
    <xf numFmtId="0" fontId="0" fillId="6" borderId="0" xfId="0" applyFill="1" applyBorder="1"/>
    <xf numFmtId="0" fontId="1" fillId="0" borderId="0" xfId="0" applyFont="1"/>
    <xf numFmtId="0" fontId="4" fillId="3" borderId="21" xfId="0" applyFont="1" applyFill="1" applyBorder="1"/>
    <xf numFmtId="0" fontId="0" fillId="0" borderId="22" xfId="0" applyFill="1" applyBorder="1"/>
    <xf numFmtId="0" fontId="0" fillId="6" borderId="23" xfId="0" applyFill="1" applyBorder="1"/>
    <xf numFmtId="0" fontId="0" fillId="0" borderId="24" xfId="0" applyBorder="1"/>
    <xf numFmtId="0" fontId="4" fillId="3" borderId="1" xfId="0" applyFont="1" applyFill="1" applyBorder="1"/>
    <xf numFmtId="165" fontId="0" fillId="0" borderId="4" xfId="0" applyNumberFormat="1" applyBorder="1"/>
    <xf numFmtId="165" fontId="0" fillId="0" borderId="0" xfId="0" applyNumberFormat="1" applyBorder="1"/>
    <xf numFmtId="165" fontId="0" fillId="6" borderId="4" xfId="0" applyNumberFormat="1" applyFill="1" applyBorder="1"/>
    <xf numFmtId="2" fontId="0" fillId="6" borderId="7" xfId="0" applyNumberFormat="1" applyFill="1" applyBorder="1"/>
    <xf numFmtId="0" fontId="2" fillId="3" borderId="25" xfId="0" applyFont="1" applyFill="1" applyBorder="1"/>
    <xf numFmtId="0" fontId="0" fillId="0" borderId="26" xfId="0" applyBorder="1"/>
    <xf numFmtId="0" fontId="0" fillId="6" borderId="27" xfId="0" applyFill="1" applyBorder="1"/>
    <xf numFmtId="0" fontId="2" fillId="3" borderId="1" xfId="0" applyFont="1" applyFill="1" applyBorder="1" applyAlignment="1">
      <alignment horizontal="center"/>
    </xf>
    <xf numFmtId="0" fontId="3" fillId="0" borderId="4" xfId="0" applyFont="1" applyBorder="1"/>
    <xf numFmtId="164" fontId="0" fillId="0" borderId="4" xfId="0" applyNumberFormat="1" applyBorder="1"/>
    <xf numFmtId="164" fontId="3" fillId="6" borderId="4" xfId="0" applyNumberFormat="1" applyFont="1" applyFill="1" applyBorder="1"/>
    <xf numFmtId="0" fontId="3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12" xfId="0" applyFont="1" applyBorder="1" applyAlignment="1">
      <alignment horizontal="center"/>
    </xf>
    <xf numFmtId="164" fontId="3" fillId="6" borderId="0" xfId="0" applyNumberFormat="1" applyFont="1" applyFill="1" applyBorder="1" applyAlignment="1">
      <alignment horizontal="center"/>
    </xf>
    <xf numFmtId="164" fontId="3" fillId="6" borderId="16" xfId="0" applyNumberFormat="1" applyFont="1" applyFill="1" applyBorder="1" applyAlignment="1">
      <alignment horizontal="center"/>
    </xf>
    <xf numFmtId="164" fontId="0" fillId="0" borderId="19" xfId="0" applyNumberFormat="1" applyFill="1" applyBorder="1"/>
    <xf numFmtId="164" fontId="3" fillId="0" borderId="18" xfId="0" applyNumberFormat="1" applyFont="1" applyFill="1" applyBorder="1" applyAlignment="1">
      <alignment horizontal="left"/>
    </xf>
    <xf numFmtId="2" fontId="4" fillId="6" borderId="10" xfId="0" applyNumberFormat="1" applyFont="1" applyFill="1" applyBorder="1"/>
    <xf numFmtId="164" fontId="4" fillId="6" borderId="0" xfId="0" applyNumberFormat="1" applyFont="1" applyFill="1" applyBorder="1"/>
    <xf numFmtId="165" fontId="4" fillId="6" borderId="0" xfId="0" applyNumberFormat="1" applyFont="1" applyFill="1" applyBorder="1"/>
    <xf numFmtId="0" fontId="5" fillId="6" borderId="0" xfId="0" applyFont="1" applyFill="1" applyBorder="1"/>
    <xf numFmtId="0" fontId="6" fillId="6" borderId="0" xfId="0" applyFont="1" applyFill="1" applyBorder="1"/>
    <xf numFmtId="0" fontId="4" fillId="3" borderId="9" xfId="0" applyFont="1" applyFill="1" applyBorder="1"/>
    <xf numFmtId="0" fontId="5" fillId="3" borderId="9" xfId="0" applyFont="1" applyFill="1" applyBorder="1"/>
    <xf numFmtId="167" fontId="0" fillId="0" borderId="0" xfId="0" applyNumberFormat="1" applyBorder="1"/>
    <xf numFmtId="0" fontId="0" fillId="6" borderId="5" xfId="0" applyFill="1" applyBorder="1"/>
    <xf numFmtId="0" fontId="3" fillId="6" borderId="0" xfId="0" applyFont="1" applyFill="1" applyBorder="1" applyAlignment="1">
      <alignment horizontal="center"/>
    </xf>
    <xf numFmtId="168" fontId="4" fillId="6" borderId="0" xfId="0" applyNumberFormat="1" applyFont="1" applyFill="1" applyBorder="1"/>
    <xf numFmtId="169" fontId="5" fillId="6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1</xdr:row>
      <xdr:rowOff>57150</xdr:rowOff>
    </xdr:from>
    <xdr:to>
      <xdr:col>4</xdr:col>
      <xdr:colOff>558800</xdr:colOff>
      <xdr:row>24</xdr:row>
      <xdr:rowOff>59423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600" y="247650"/>
          <a:ext cx="2895600" cy="42504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opLeftCell="A7" zoomScale="103" workbookViewId="0">
      <selection activeCell="E7" sqref="E7"/>
    </sheetView>
  </sheetViews>
  <sheetFormatPr defaultRowHeight="14.5" x14ac:dyDescent="0.35"/>
  <cols>
    <col min="1" max="1" width="13.1796875" customWidth="1"/>
    <col min="4" max="4" width="12.1796875" customWidth="1"/>
    <col min="6" max="6" width="12.6328125" customWidth="1"/>
    <col min="7" max="7" width="4.08984375" customWidth="1"/>
    <col min="9" max="9" width="11.26953125" customWidth="1"/>
    <col min="12" max="12" width="9.6328125" customWidth="1"/>
    <col min="14" max="14" width="11.36328125" customWidth="1"/>
    <col min="15" max="15" width="3.26953125" customWidth="1"/>
  </cols>
  <sheetData>
    <row r="1" spans="1:14" x14ac:dyDescent="0.35">
      <c r="A1" t="s">
        <v>5</v>
      </c>
      <c r="C1" s="52" t="s">
        <v>13</v>
      </c>
      <c r="D1" t="s">
        <v>4</v>
      </c>
      <c r="E1" t="s">
        <v>1</v>
      </c>
      <c r="F1">
        <v>0.02</v>
      </c>
      <c r="G1" t="s">
        <v>3</v>
      </c>
      <c r="J1">
        <v>0</v>
      </c>
      <c r="L1" s="54" t="s">
        <v>53</v>
      </c>
    </row>
    <row r="2" spans="1:14" x14ac:dyDescent="0.35">
      <c r="C2">
        <v>144</v>
      </c>
      <c r="E2" t="s">
        <v>0</v>
      </c>
      <c r="F2">
        <f>F1+1</f>
        <v>1.02</v>
      </c>
      <c r="J2">
        <v>0</v>
      </c>
    </row>
    <row r="3" spans="1:14" x14ac:dyDescent="0.35">
      <c r="B3">
        <v>125</v>
      </c>
      <c r="C3">
        <v>108</v>
      </c>
      <c r="I3">
        <v>3</v>
      </c>
      <c r="J3">
        <v>0</v>
      </c>
      <c r="M3">
        <v>0.3</v>
      </c>
    </row>
    <row r="4" spans="1:14" x14ac:dyDescent="0.35">
      <c r="A4">
        <v>100</v>
      </c>
      <c r="B4">
        <v>87</v>
      </c>
      <c r="C4">
        <v>81</v>
      </c>
      <c r="H4" t="s">
        <v>2</v>
      </c>
      <c r="I4">
        <v>1</v>
      </c>
      <c r="J4">
        <v>0</v>
      </c>
      <c r="L4">
        <v>0.75</v>
      </c>
      <c r="M4">
        <v>0.5</v>
      </c>
    </row>
    <row r="5" spans="1:14" x14ac:dyDescent="0.35">
      <c r="A5" s="1">
        <v>0</v>
      </c>
      <c r="B5" s="1">
        <v>1</v>
      </c>
      <c r="C5" s="1">
        <v>2</v>
      </c>
      <c r="E5" s="1" t="s">
        <v>6</v>
      </c>
      <c r="H5" s="1">
        <v>0</v>
      </c>
      <c r="I5" s="1">
        <v>1</v>
      </c>
      <c r="J5" s="1">
        <v>2</v>
      </c>
    </row>
    <row r="6" spans="1:14" ht="15" thickBot="1" x14ac:dyDescent="0.4">
      <c r="A6" s="52"/>
      <c r="B6" s="52"/>
      <c r="C6" s="52"/>
      <c r="D6" s="52"/>
      <c r="E6" s="52"/>
      <c r="F6" s="52"/>
      <c r="G6" s="52"/>
      <c r="H6" s="52"/>
      <c r="I6" s="52"/>
      <c r="J6" s="52"/>
      <c r="K6" s="52"/>
    </row>
    <row r="7" spans="1:14" ht="15.5" thickTop="1" thickBot="1" x14ac:dyDescent="0.4">
      <c r="A7" s="55" t="s">
        <v>14</v>
      </c>
      <c r="B7" s="56" t="s">
        <v>54</v>
      </c>
      <c r="C7" s="57">
        <f>C2*L4*M3+C3*(L4*(1-M3)+(1-L4)*M4)+C4*(1-L4)*(1-M4)</f>
        <v>112.72499999999999</v>
      </c>
      <c r="D7" s="52"/>
      <c r="E7" s="52">
        <f>C7/1.02^2</f>
        <v>108.34775086505189</v>
      </c>
      <c r="F7" s="52"/>
      <c r="G7" s="52"/>
      <c r="H7" s="52"/>
      <c r="I7" s="52"/>
      <c r="J7" s="52"/>
      <c r="K7" s="52"/>
    </row>
    <row r="8" spans="1:14" ht="15.5" thickTop="1" thickBot="1" x14ac:dyDescent="0.4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</row>
    <row r="9" spans="1:14" ht="15" thickTop="1" x14ac:dyDescent="0.35">
      <c r="A9" s="49" t="s">
        <v>15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2"/>
    </row>
    <row r="10" spans="1:14" ht="15" thickBot="1" x14ac:dyDescent="0.4">
      <c r="A10" s="13" t="s">
        <v>51</v>
      </c>
      <c r="B10" s="9"/>
      <c r="C10" s="9"/>
      <c r="D10" s="9"/>
      <c r="E10" s="9"/>
      <c r="F10" s="9"/>
      <c r="G10" s="6"/>
      <c r="H10" s="6"/>
      <c r="I10" s="6"/>
      <c r="J10" s="6"/>
      <c r="K10" s="6"/>
      <c r="L10" s="6"/>
      <c r="M10" s="6"/>
      <c r="N10" s="14"/>
    </row>
    <row r="11" spans="1:14" x14ac:dyDescent="0.35">
      <c r="A11" s="15" t="s">
        <v>7</v>
      </c>
      <c r="B11" s="3"/>
      <c r="C11" s="3"/>
      <c r="D11" s="3"/>
      <c r="E11" s="3"/>
      <c r="F11" s="3"/>
      <c r="G11" s="2" t="s">
        <v>52</v>
      </c>
      <c r="H11" s="3"/>
      <c r="I11" s="3"/>
      <c r="J11" s="3"/>
      <c r="K11" s="3"/>
      <c r="L11" s="3"/>
      <c r="M11" s="3"/>
      <c r="N11" s="16"/>
    </row>
    <row r="12" spans="1:14" x14ac:dyDescent="0.35">
      <c r="A12" s="17" t="s">
        <v>8</v>
      </c>
      <c r="B12" s="6" t="s">
        <v>9</v>
      </c>
      <c r="C12" s="6"/>
      <c r="D12" s="6" t="s">
        <v>10</v>
      </c>
      <c r="E12" s="6" t="s">
        <v>11</v>
      </c>
      <c r="F12" s="6"/>
      <c r="G12" s="5" t="s">
        <v>47</v>
      </c>
      <c r="H12" s="46" t="s">
        <v>48</v>
      </c>
      <c r="I12" s="46" t="s">
        <v>49</v>
      </c>
      <c r="J12" s="6" t="s">
        <v>10</v>
      </c>
      <c r="K12" s="6" t="s">
        <v>11</v>
      </c>
      <c r="L12" s="6"/>
      <c r="M12" s="6"/>
      <c r="N12" s="14"/>
    </row>
    <row r="13" spans="1:14" x14ac:dyDescent="0.35">
      <c r="A13" s="17">
        <f>A4</f>
        <v>100</v>
      </c>
      <c r="B13" s="6">
        <f>B3+I3</f>
        <v>128</v>
      </c>
      <c r="C13" s="6">
        <f>B4+I4</f>
        <v>88</v>
      </c>
      <c r="D13" s="6">
        <f t="array" ref="D13:D14">MMULT(MINVERSE(B13:C14),A13:A14)</f>
        <v>0.34313725490196045</v>
      </c>
      <c r="E13" s="53">
        <f>D13/SUM($D$13:$D$14)</f>
        <v>0.34999999999999964</v>
      </c>
      <c r="F13" s="6"/>
      <c r="G13" s="5">
        <f>B3</f>
        <v>125</v>
      </c>
      <c r="H13" s="44">
        <v>144</v>
      </c>
      <c r="I13" s="44">
        <v>108</v>
      </c>
      <c r="J13" s="6">
        <f t="array" ref="J13:J14">MMULT(MINVERSE(H13:I14),G13:G14)</f>
        <v>0.53104575163398682</v>
      </c>
      <c r="K13" s="53">
        <f>J13/SUM($D$13:$D$14)</f>
        <v>0.54166666666666652</v>
      </c>
      <c r="L13" s="6"/>
      <c r="M13" s="6"/>
      <c r="N13" s="14"/>
    </row>
    <row r="14" spans="1:14" x14ac:dyDescent="0.35">
      <c r="A14" s="17">
        <f>1</f>
        <v>1</v>
      </c>
      <c r="B14" s="6">
        <f>A14*$F$2</f>
        <v>1.02</v>
      </c>
      <c r="C14" s="6">
        <f>A14*$F$2</f>
        <v>1.02</v>
      </c>
      <c r="D14" s="6">
        <v>0.63725490196078471</v>
      </c>
      <c r="E14" s="53">
        <f>D14/SUM($D$13:$D$14)</f>
        <v>0.65000000000000036</v>
      </c>
      <c r="F14" s="6"/>
      <c r="G14" s="5">
        <f>F2</f>
        <v>1.02</v>
      </c>
      <c r="H14" s="44">
        <f>G14*$F$2</f>
        <v>1.0404</v>
      </c>
      <c r="I14" s="44">
        <f>G14*$F$2</f>
        <v>1.0404</v>
      </c>
      <c r="J14" s="6">
        <v>0.44934640522875879</v>
      </c>
      <c r="K14" s="53">
        <f>J14/SUM($D$13:$D$14)</f>
        <v>0.45833333333333393</v>
      </c>
      <c r="L14" s="6"/>
      <c r="M14" s="6"/>
      <c r="N14" s="14"/>
    </row>
    <row r="15" spans="1:14" ht="15" thickBot="1" x14ac:dyDescent="0.4">
      <c r="A15" s="13" t="s">
        <v>78</v>
      </c>
      <c r="B15" s="9"/>
      <c r="C15" s="9"/>
      <c r="D15" s="9"/>
      <c r="E15" s="9"/>
      <c r="F15" s="9"/>
      <c r="G15" s="8" t="s">
        <v>78</v>
      </c>
      <c r="H15" s="9"/>
      <c r="I15" s="9"/>
      <c r="J15" s="9"/>
      <c r="K15" s="9"/>
      <c r="L15" s="10"/>
      <c r="M15" s="9"/>
      <c r="N15" s="18"/>
    </row>
    <row r="16" spans="1:14" ht="15" thickBot="1" x14ac:dyDescent="0.4">
      <c r="A16" s="15" t="s">
        <v>12</v>
      </c>
      <c r="B16" s="3"/>
      <c r="C16" s="3"/>
      <c r="D16" s="3" t="s">
        <v>13</v>
      </c>
      <c r="E16" s="3"/>
      <c r="F16" s="4"/>
    </row>
    <row r="17" spans="1:15" x14ac:dyDescent="0.35">
      <c r="A17" s="17" t="s">
        <v>8</v>
      </c>
      <c r="B17" s="6" t="s">
        <v>9</v>
      </c>
      <c r="C17" s="6"/>
      <c r="D17" s="6" t="s">
        <v>10</v>
      </c>
      <c r="E17" s="6" t="s">
        <v>11</v>
      </c>
      <c r="F17" s="7"/>
      <c r="H17" s="59" t="s">
        <v>17</v>
      </c>
      <c r="I17" s="3"/>
      <c r="J17" s="3"/>
      <c r="K17" s="3"/>
      <c r="L17" s="3"/>
      <c r="M17" s="3"/>
      <c r="N17" s="3"/>
      <c r="O17" s="4"/>
    </row>
    <row r="18" spans="1:15" x14ac:dyDescent="0.35">
      <c r="A18" s="17">
        <f>B4</f>
        <v>87</v>
      </c>
      <c r="B18" s="6">
        <f>C3</f>
        <v>108</v>
      </c>
      <c r="C18" s="6">
        <f>C4</f>
        <v>81</v>
      </c>
      <c r="D18" s="6">
        <f t="array" ref="D18:D19">MMULT(MINVERSE(B18:C19),A18:A19)</f>
        <v>0.28104575163398682</v>
      </c>
      <c r="E18" s="53">
        <f>D18/SUM($D$13:$D$14)</f>
        <v>0.28666666666666651</v>
      </c>
      <c r="F18" s="7"/>
      <c r="H18" s="5" t="s">
        <v>61</v>
      </c>
      <c r="I18" s="6"/>
      <c r="J18" s="6">
        <f>500/A4</f>
        <v>5</v>
      </c>
      <c r="K18" s="6" t="s">
        <v>62</v>
      </c>
      <c r="L18" s="6"/>
      <c r="M18" s="6">
        <f>J18*I3/B3</f>
        <v>0.12</v>
      </c>
      <c r="N18" s="6"/>
      <c r="O18" s="7"/>
    </row>
    <row r="19" spans="1:15" x14ac:dyDescent="0.35">
      <c r="A19" s="17">
        <f>F2</f>
        <v>1.02</v>
      </c>
      <c r="B19" s="6">
        <f>A19*$F$2</f>
        <v>1.0404</v>
      </c>
      <c r="C19" s="6">
        <f>A19*$F$2</f>
        <v>1.0404</v>
      </c>
      <c r="D19" s="6">
        <v>0.69934640522875835</v>
      </c>
      <c r="E19" s="53">
        <f>D19/SUM($D$13:$D$14)</f>
        <v>0.71333333333333349</v>
      </c>
      <c r="F19" s="7"/>
      <c r="H19" s="5"/>
      <c r="I19" s="6"/>
      <c r="J19" s="6" t="s">
        <v>13</v>
      </c>
      <c r="K19" s="6" t="s">
        <v>63</v>
      </c>
      <c r="L19" s="6"/>
      <c r="M19" s="6">
        <f>J18*I4/B4</f>
        <v>5.7471264367816091E-2</v>
      </c>
      <c r="N19" s="6"/>
      <c r="O19" s="7"/>
    </row>
    <row r="20" spans="1:15" ht="15" thickBot="1" x14ac:dyDescent="0.4">
      <c r="A20" s="19" t="s">
        <v>79</v>
      </c>
      <c r="B20" s="20"/>
      <c r="C20" s="20"/>
      <c r="D20" s="20"/>
      <c r="E20" s="20"/>
      <c r="F20" s="58"/>
      <c r="H20" s="5"/>
      <c r="I20" s="6"/>
      <c r="J20" s="6"/>
      <c r="K20" s="6"/>
      <c r="L20" s="6"/>
      <c r="M20" s="6"/>
      <c r="N20" s="6"/>
      <c r="O20" s="7"/>
    </row>
    <row r="21" spans="1:15" ht="15.5" thickTop="1" thickBot="1" x14ac:dyDescent="0.4">
      <c r="H21" s="5" t="s">
        <v>64</v>
      </c>
      <c r="I21" s="6" t="s">
        <v>69</v>
      </c>
      <c r="J21" s="6" t="s">
        <v>70</v>
      </c>
      <c r="K21" s="6" t="s">
        <v>72</v>
      </c>
      <c r="L21" s="6" t="s">
        <v>71</v>
      </c>
      <c r="M21" s="6" t="s">
        <v>73</v>
      </c>
      <c r="N21" s="6" t="s">
        <v>74</v>
      </c>
      <c r="O21" s="7"/>
    </row>
    <row r="22" spans="1:15" x14ac:dyDescent="0.35">
      <c r="A22" s="59" t="s">
        <v>16</v>
      </c>
      <c r="B22" s="3" t="s">
        <v>56</v>
      </c>
      <c r="C22" s="3"/>
      <c r="D22" s="3"/>
      <c r="E22" s="3"/>
      <c r="F22" s="4"/>
      <c r="H22" s="5" t="s">
        <v>65</v>
      </c>
      <c r="I22" s="6">
        <f>J18+M18</f>
        <v>5.12</v>
      </c>
      <c r="J22" s="6">
        <f>C2</f>
        <v>144</v>
      </c>
      <c r="K22" s="6">
        <f>E13*K13</f>
        <v>0.18958333333333308</v>
      </c>
      <c r="L22" s="6">
        <f>L4*M3</f>
        <v>0.22499999999999998</v>
      </c>
      <c r="M22" s="6">
        <f>K22*J22*I22</f>
        <v>139.77599999999981</v>
      </c>
      <c r="N22" s="6">
        <f>L22*J22*I22</f>
        <v>165.88800000000001</v>
      </c>
      <c r="O22" s="7"/>
    </row>
    <row r="23" spans="1:15" x14ac:dyDescent="0.35">
      <c r="A23" s="5" t="s">
        <v>55</v>
      </c>
      <c r="B23" s="6">
        <v>105</v>
      </c>
      <c r="C23" s="6"/>
      <c r="D23" s="6"/>
      <c r="E23" s="6" t="s">
        <v>58</v>
      </c>
      <c r="F23" s="7"/>
      <c r="H23" s="5" t="s">
        <v>66</v>
      </c>
      <c r="I23" s="6">
        <f>I22</f>
        <v>5.12</v>
      </c>
      <c r="J23" s="6">
        <f>C3</f>
        <v>108</v>
      </c>
      <c r="K23" s="6">
        <f>E13*K14</f>
        <v>0.16041666666666671</v>
      </c>
      <c r="L23" s="6">
        <f>L4*(1-M3)</f>
        <v>0.52499999999999991</v>
      </c>
      <c r="M23" s="6">
        <f>K23*J23*I23</f>
        <v>88.704000000000022</v>
      </c>
      <c r="N23" s="6">
        <f>L23*J23*I23</f>
        <v>290.30399999999997</v>
      </c>
      <c r="O23" s="7"/>
    </row>
    <row r="24" spans="1:15" x14ac:dyDescent="0.35">
      <c r="A24" s="60"/>
      <c r="B24" s="61"/>
      <c r="C24" s="61">
        <f>MAX(C2-$B$23,0)</f>
        <v>39</v>
      </c>
      <c r="D24" s="6"/>
      <c r="E24" s="6" t="s">
        <v>59</v>
      </c>
      <c r="F24" s="7">
        <f t="array" ref="F24:F25">MMULT(MINVERSE(TRANSPOSE(B13:C14)),B25:B26)</f>
        <v>0.53039215686274488</v>
      </c>
      <c r="H24" s="5" t="s">
        <v>67</v>
      </c>
      <c r="I24" s="6">
        <f>J18+M19</f>
        <v>5.0574712643678161</v>
      </c>
      <c r="J24" s="6">
        <f>C3</f>
        <v>108</v>
      </c>
      <c r="K24" s="6">
        <f>E14*E18</f>
        <v>0.18633333333333332</v>
      </c>
      <c r="L24" s="6">
        <f>(1-L4)*M4</f>
        <v>0.125</v>
      </c>
      <c r="M24" s="6">
        <f>K24*J24*I24</f>
        <v>101.77655172413793</v>
      </c>
      <c r="N24" s="6">
        <f>L24*J24*I24</f>
        <v>68.275862068965523</v>
      </c>
      <c r="O24" s="7"/>
    </row>
    <row r="25" spans="1:15" x14ac:dyDescent="0.35">
      <c r="A25" s="60"/>
      <c r="B25" s="61">
        <f>(K13*C24+K14*C25)/F2</f>
        <v>22.058823529411757</v>
      </c>
      <c r="C25" s="61">
        <f>MAX(C3-$B$23,0)</f>
        <v>3</v>
      </c>
      <c r="D25" s="6"/>
      <c r="E25" s="6" t="s">
        <v>60</v>
      </c>
      <c r="F25" s="7">
        <v>-44.932718185313334</v>
      </c>
      <c r="H25" s="5" t="s">
        <v>68</v>
      </c>
      <c r="I25" s="6">
        <f>I24</f>
        <v>5.0574712643678161</v>
      </c>
      <c r="J25" s="6">
        <f>C4</f>
        <v>81</v>
      </c>
      <c r="K25" s="6">
        <f>E14*E19</f>
        <v>0.463666666666667</v>
      </c>
      <c r="L25" s="6">
        <f>(1-L4)*(1-M4)</f>
        <v>0.125</v>
      </c>
      <c r="M25" s="6">
        <f>K25*J25*I25</f>
        <v>189.94344827586224</v>
      </c>
      <c r="N25" s="6">
        <f>L25*J25*I25</f>
        <v>51.206896551724135</v>
      </c>
      <c r="O25" s="7"/>
    </row>
    <row r="26" spans="1:15" x14ac:dyDescent="0.35">
      <c r="A26" s="62">
        <f>(E13*B25+B26*E14)/F2</f>
        <v>8.1064975009611597</v>
      </c>
      <c r="B26" s="61">
        <f>(E18*C25+C26*E19)/F2</f>
        <v>0.84313725490196034</v>
      </c>
      <c r="C26" s="61">
        <f>MAX(C4-$B$23,0)</f>
        <v>0</v>
      </c>
      <c r="D26" s="6"/>
      <c r="E26" s="6"/>
      <c r="F26" s="7"/>
      <c r="H26" s="5"/>
      <c r="I26" s="6"/>
      <c r="J26" s="6"/>
      <c r="K26" s="6"/>
      <c r="L26" s="6"/>
      <c r="M26" s="6"/>
      <c r="N26" s="6"/>
      <c r="O26" s="7"/>
    </row>
    <row r="27" spans="1:15" ht="15" thickBot="1" x14ac:dyDescent="0.4">
      <c r="A27" s="8" t="s">
        <v>57</v>
      </c>
      <c r="B27" s="9"/>
      <c r="C27" s="9"/>
      <c r="D27" s="9"/>
      <c r="E27" s="9"/>
      <c r="F27" s="10"/>
      <c r="H27" s="5" t="s">
        <v>75</v>
      </c>
      <c r="I27" s="45">
        <f>SUM(M22:M25)</f>
        <v>520.20000000000005</v>
      </c>
      <c r="J27" s="6">
        <f>500*F2^2</f>
        <v>520.20000000000005</v>
      </c>
      <c r="K27" s="6" t="s">
        <v>77</v>
      </c>
      <c r="L27" s="6"/>
      <c r="M27" s="6"/>
      <c r="N27" s="6"/>
      <c r="O27" s="7"/>
    </row>
    <row r="28" spans="1:15" ht="15" thickBot="1" x14ac:dyDescent="0.4">
      <c r="H28" s="8" t="s">
        <v>76</v>
      </c>
      <c r="I28" s="63">
        <f>SUM(N22:N25)</f>
        <v>575.67475862068977</v>
      </c>
      <c r="J28" s="9"/>
      <c r="K28" s="9"/>
      <c r="L28" s="9"/>
      <c r="M28" s="9"/>
      <c r="N28" s="9"/>
      <c r="O28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L38" sqref="L38"/>
    </sheetView>
  </sheetViews>
  <sheetFormatPr defaultRowHeight="14.5" x14ac:dyDescent="0.35"/>
  <cols>
    <col min="1" max="1" width="13.81640625" customWidth="1"/>
    <col min="2" max="2" width="9.7265625" bestFit="1" customWidth="1"/>
    <col min="6" max="6" width="9.90625" customWidth="1"/>
    <col min="8" max="8" width="7.81640625" customWidth="1"/>
    <col min="9" max="9" width="15.6328125" customWidth="1"/>
    <col min="10" max="10" width="13.1796875" customWidth="1"/>
  </cols>
  <sheetData>
    <row r="1" spans="1:11" ht="15" thickTop="1" x14ac:dyDescent="0.35">
      <c r="A1" s="22" t="s">
        <v>26</v>
      </c>
      <c r="B1" s="11"/>
      <c r="C1" s="11"/>
      <c r="D1" s="11"/>
      <c r="E1" s="11"/>
      <c r="F1" s="12"/>
    </row>
    <row r="2" spans="1:11" x14ac:dyDescent="0.35">
      <c r="A2" s="23" t="s">
        <v>27</v>
      </c>
      <c r="B2" s="6"/>
      <c r="C2" s="6"/>
      <c r="D2" s="6"/>
      <c r="E2" s="24" t="s">
        <v>28</v>
      </c>
      <c r="F2" s="14"/>
    </row>
    <row r="3" spans="1:11" x14ac:dyDescent="0.35">
      <c r="A3" s="17"/>
      <c r="B3" s="6"/>
      <c r="C3" s="6">
        <v>0.06</v>
      </c>
      <c r="D3" s="6"/>
      <c r="E3" s="6"/>
      <c r="F3" s="50">
        <v>0.3</v>
      </c>
    </row>
    <row r="4" spans="1:11" x14ac:dyDescent="0.35">
      <c r="A4" s="17"/>
      <c r="B4" s="6">
        <v>0.04</v>
      </c>
      <c r="C4" s="6">
        <v>0.02</v>
      </c>
      <c r="D4" s="6"/>
      <c r="E4" s="6"/>
      <c r="F4" s="14">
        <v>0.4</v>
      </c>
    </row>
    <row r="5" spans="1:11" x14ac:dyDescent="0.35">
      <c r="A5" s="17">
        <v>0.02</v>
      </c>
      <c r="B5" s="6">
        <v>0</v>
      </c>
      <c r="C5" s="6">
        <v>0</v>
      </c>
      <c r="D5" s="6"/>
      <c r="E5" s="6">
        <v>0.65</v>
      </c>
      <c r="F5" s="14">
        <v>0.6</v>
      </c>
    </row>
    <row r="6" spans="1:11" ht="15" thickBot="1" x14ac:dyDescent="0.4">
      <c r="A6" s="30">
        <v>0</v>
      </c>
      <c r="B6" s="31">
        <v>1</v>
      </c>
      <c r="C6" s="31">
        <v>2</v>
      </c>
      <c r="D6" s="25"/>
      <c r="E6" s="31" t="s">
        <v>29</v>
      </c>
      <c r="F6" s="32" t="s">
        <v>18</v>
      </c>
    </row>
    <row r="7" spans="1:11" ht="15.5" thickTop="1" thickBot="1" x14ac:dyDescent="0.4">
      <c r="A7" s="33"/>
      <c r="B7" s="33"/>
      <c r="C7" s="33"/>
      <c r="D7" s="33"/>
      <c r="E7" s="33"/>
      <c r="F7" s="33"/>
    </row>
    <row r="8" spans="1:11" ht="15" thickTop="1" x14ac:dyDescent="0.35">
      <c r="A8" s="47" t="s">
        <v>30</v>
      </c>
      <c r="B8" s="34"/>
      <c r="C8" s="34"/>
      <c r="D8" s="34"/>
      <c r="E8" s="34"/>
      <c r="F8" s="34"/>
      <c r="G8" s="11"/>
      <c r="H8" s="12"/>
    </row>
    <row r="9" spans="1:11" x14ac:dyDescent="0.35">
      <c r="A9" s="35" t="s">
        <v>31</v>
      </c>
      <c r="B9" s="33"/>
      <c r="C9" s="87" t="s">
        <v>32</v>
      </c>
      <c r="D9" s="33"/>
      <c r="E9" s="33"/>
      <c r="F9" s="33" t="s">
        <v>33</v>
      </c>
      <c r="G9" s="6"/>
      <c r="H9" s="14"/>
    </row>
    <row r="10" spans="1:11" x14ac:dyDescent="0.35">
      <c r="A10" s="36"/>
      <c r="B10" s="37"/>
      <c r="C10" s="37"/>
      <c r="D10" s="37"/>
      <c r="E10" s="37"/>
      <c r="F10" s="37"/>
      <c r="G10" s="29"/>
      <c r="H10" s="38">
        <f>1/(1+C3)</f>
        <v>0.94339622641509424</v>
      </c>
    </row>
    <row r="11" spans="1:11" x14ac:dyDescent="0.35">
      <c r="A11" s="36"/>
      <c r="B11" s="37"/>
      <c r="C11" s="37"/>
      <c r="D11" s="37">
        <f>1/(1+B4)</f>
        <v>0.96153846153846145</v>
      </c>
      <c r="E11" s="37"/>
      <c r="F11" s="37"/>
      <c r="G11" s="29">
        <f>(F3*H10+F4*H11+(1-F3-F4)*H12)/(1+B4)</f>
        <v>0.93766897179771747</v>
      </c>
      <c r="H11" s="38">
        <f>1/(1+C4)</f>
        <v>0.98039215686274506</v>
      </c>
    </row>
    <row r="12" spans="1:11" x14ac:dyDescent="0.35">
      <c r="A12" s="75">
        <f>1/(1+A5)</f>
        <v>0.98039215686274506</v>
      </c>
      <c r="B12" s="37"/>
      <c r="C12" s="74">
        <f>(E5*D11+(1-E5)*D12)/(1+A5)</f>
        <v>0.95588235294117641</v>
      </c>
      <c r="D12" s="37">
        <f>1/(1+B5)</f>
        <v>1</v>
      </c>
      <c r="E12" s="37"/>
      <c r="F12" s="42">
        <f>(E5*G11+(1-E5)*G12)/(1+A5)</f>
        <v>0.93663449471538507</v>
      </c>
      <c r="G12" s="29">
        <f>(F5*H11+(1-F5)*H12)/(1+B5)</f>
        <v>0.98823529411764699</v>
      </c>
      <c r="H12" s="38">
        <f>1/(1+C5)</f>
        <v>1</v>
      </c>
      <c r="I12" t="s">
        <v>13</v>
      </c>
    </row>
    <row r="13" spans="1:11" ht="15" thickBot="1" x14ac:dyDescent="0.4">
      <c r="A13" s="77" t="s">
        <v>81</v>
      </c>
      <c r="B13" s="39"/>
      <c r="C13" s="39"/>
      <c r="D13" s="39"/>
      <c r="E13" s="39"/>
      <c r="F13" s="76"/>
      <c r="G13" s="76"/>
      <c r="H13" s="40"/>
    </row>
    <row r="14" spans="1:11" ht="15.5" thickTop="1" thickBot="1" x14ac:dyDescent="0.4"/>
    <row r="15" spans="1:11" ht="15" thickTop="1" x14ac:dyDescent="0.35">
      <c r="A15" s="48" t="s">
        <v>34</v>
      </c>
      <c r="B15" s="11"/>
      <c r="C15" s="11"/>
      <c r="D15" s="11"/>
      <c r="E15" s="11"/>
      <c r="F15" s="11"/>
      <c r="G15" s="11"/>
      <c r="H15" s="11"/>
      <c r="I15" s="11" t="s">
        <v>40</v>
      </c>
      <c r="J15" s="78">
        <f>E21*A12+F21*C12+F12*G21</f>
        <v>99.999999943325804</v>
      </c>
      <c r="K15" s="12"/>
    </row>
    <row r="16" spans="1:11" x14ac:dyDescent="0.35">
      <c r="A16" s="26" t="s">
        <v>82</v>
      </c>
      <c r="B16" s="6"/>
      <c r="C16" s="6"/>
      <c r="D16" s="6"/>
      <c r="E16" s="6"/>
      <c r="F16" s="6"/>
      <c r="G16" s="6"/>
      <c r="H16" s="6"/>
      <c r="I16" s="6" t="s">
        <v>41</v>
      </c>
      <c r="J16" s="79">
        <v>2.1959875615155885E-2</v>
      </c>
      <c r="K16" s="14">
        <f>E21/(1+J16)+F21/(1+J16)^2+G21/(1+J16)^3-J15</f>
        <v>1.8800960788212251E-11</v>
      </c>
    </row>
    <row r="17" spans="1:11" x14ac:dyDescent="0.35">
      <c r="A17" s="23"/>
      <c r="B17" s="6"/>
      <c r="C17" s="6"/>
      <c r="D17" s="24" t="s">
        <v>35</v>
      </c>
      <c r="E17" s="6"/>
      <c r="F17" s="6"/>
      <c r="G17" s="6"/>
      <c r="H17" s="6"/>
      <c r="I17" s="6" t="s">
        <v>42</v>
      </c>
      <c r="J17" s="80">
        <f>(E21*A12+2*C12*F21+3*F12*G21)/J15</f>
        <v>1.984768865954847</v>
      </c>
      <c r="K17" s="14"/>
    </row>
    <row r="18" spans="1:11" x14ac:dyDescent="0.35">
      <c r="A18" s="23" t="s">
        <v>19</v>
      </c>
      <c r="B18" s="6">
        <v>100</v>
      </c>
      <c r="C18" s="6"/>
      <c r="D18" s="27">
        <f>B18</f>
        <v>100</v>
      </c>
      <c r="E18" s="27">
        <f>D18*(1+$B$19)-E21</f>
        <v>67.388062956248007</v>
      </c>
      <c r="F18" s="27">
        <f>E18*(1+$B$19)-F21</f>
        <v>34.059971840955853</v>
      </c>
      <c r="G18" s="27">
        <f>F18*(1+$B$19)-G21</f>
        <v>6.3948846218409017E-14</v>
      </c>
      <c r="H18" s="6"/>
      <c r="I18" s="44" t="s">
        <v>95</v>
      </c>
      <c r="J18" s="88">
        <v>2.1959875323547057E-2</v>
      </c>
      <c r="K18" s="14"/>
    </row>
    <row r="19" spans="1:11" x14ac:dyDescent="0.35">
      <c r="A19" s="23" t="s">
        <v>20</v>
      </c>
      <c r="B19" s="85">
        <v>2.1959875323547057E-2</v>
      </c>
      <c r="C19" s="6"/>
      <c r="D19" s="28" t="s">
        <v>21</v>
      </c>
      <c r="E19" s="28" t="s">
        <v>22</v>
      </c>
      <c r="F19" s="28" t="s">
        <v>23</v>
      </c>
      <c r="G19" s="28" t="s">
        <v>24</v>
      </c>
      <c r="H19" s="6"/>
      <c r="I19" s="6"/>
      <c r="J19" s="33" t="s">
        <v>13</v>
      </c>
      <c r="K19" s="14"/>
    </row>
    <row r="20" spans="1:11" x14ac:dyDescent="0.35">
      <c r="A20" s="23" t="s">
        <v>25</v>
      </c>
      <c r="B20" s="6">
        <v>3</v>
      </c>
      <c r="C20" s="6"/>
      <c r="D20" s="6" t="s">
        <v>36</v>
      </c>
      <c r="E20" s="6"/>
      <c r="F20" s="6"/>
      <c r="G20" s="6"/>
      <c r="H20" s="6"/>
      <c r="I20" s="6"/>
      <c r="J20" s="6"/>
      <c r="K20" s="14"/>
    </row>
    <row r="21" spans="1:11" x14ac:dyDescent="0.35">
      <c r="A21" s="23" t="s">
        <v>36</v>
      </c>
      <c r="B21" s="41">
        <f>B18*B19*(1+B19)^B20/((1+B19)^B20-1)</f>
        <v>34.8079245761067</v>
      </c>
      <c r="C21" s="6"/>
      <c r="D21" s="51" t="s">
        <v>13</v>
      </c>
      <c r="E21" s="51">
        <f>B21</f>
        <v>34.8079245761067</v>
      </c>
      <c r="F21" s="51">
        <f>B21</f>
        <v>34.8079245761067</v>
      </c>
      <c r="G21" s="51">
        <f>B21</f>
        <v>34.8079245761067</v>
      </c>
      <c r="H21" s="6"/>
      <c r="I21" s="6"/>
      <c r="J21" s="6"/>
      <c r="K21" s="14"/>
    </row>
    <row r="22" spans="1:11" ht="15" thickBot="1" x14ac:dyDescent="0.4">
      <c r="A22" s="19"/>
      <c r="B22" s="20"/>
      <c r="C22" s="20"/>
      <c r="D22" s="20"/>
      <c r="E22" s="20" t="s">
        <v>37</v>
      </c>
      <c r="F22" s="20" t="s">
        <v>38</v>
      </c>
      <c r="G22" s="20" t="s">
        <v>39</v>
      </c>
      <c r="H22" s="20"/>
      <c r="I22" s="20"/>
      <c r="J22" s="20"/>
      <c r="K22" s="21"/>
    </row>
    <row r="23" spans="1:11" ht="15.5" thickTop="1" thickBot="1" x14ac:dyDescent="0.4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 ht="15" thickBot="1" x14ac:dyDescent="0.4">
      <c r="A24" s="64" t="s">
        <v>44</v>
      </c>
      <c r="B24" s="65" t="s">
        <v>80</v>
      </c>
      <c r="C24" s="66">
        <f>(J15-E21*A12-C12*F21)/C12</f>
        <v>34.10702451731445</v>
      </c>
      <c r="D24" s="6"/>
      <c r="E24" s="6"/>
      <c r="F24" s="6"/>
      <c r="G24" s="6"/>
      <c r="H24" s="6"/>
      <c r="I24" s="6"/>
      <c r="J24" s="6"/>
      <c r="K24" s="6"/>
    </row>
    <row r="25" spans="1:11" ht="15" thickBot="1" x14ac:dyDescent="0.4"/>
    <row r="26" spans="1:11" x14ac:dyDescent="0.35">
      <c r="A26" s="67" t="s">
        <v>43</v>
      </c>
      <c r="B26" s="3"/>
      <c r="C26" s="3"/>
      <c r="D26" s="3"/>
      <c r="E26" s="3"/>
      <c r="F26" s="3"/>
      <c r="G26" s="3"/>
      <c r="H26" s="3"/>
      <c r="I26" s="3"/>
      <c r="J26" s="4"/>
    </row>
    <row r="27" spans="1:11" x14ac:dyDescent="0.35">
      <c r="A27" s="68" t="s">
        <v>50</v>
      </c>
      <c r="B27" s="6"/>
      <c r="C27" s="6"/>
      <c r="D27" s="6"/>
      <c r="E27" s="6"/>
      <c r="F27" s="24" t="s">
        <v>46</v>
      </c>
      <c r="G27" s="6"/>
      <c r="H27" s="6"/>
      <c r="I27" s="6"/>
      <c r="J27" s="7"/>
    </row>
    <row r="28" spans="1:11" x14ac:dyDescent="0.35">
      <c r="A28" s="69"/>
      <c r="B28" s="43"/>
      <c r="C28" s="43"/>
      <c r="D28" s="43">
        <v>0</v>
      </c>
      <c r="E28" s="6"/>
      <c r="F28" s="81" t="s">
        <v>92</v>
      </c>
      <c r="G28" s="82"/>
      <c r="H28" s="82"/>
      <c r="I28" s="82"/>
      <c r="J28" s="89">
        <v>2.7328963229535357E-2</v>
      </c>
    </row>
    <row r="29" spans="1:11" x14ac:dyDescent="0.35">
      <c r="A29" s="69"/>
      <c r="B29" s="43"/>
      <c r="C29" s="43">
        <f>MIN(F$18,$G$21/(1+C3))</f>
        <v>32.837664694440278</v>
      </c>
      <c r="D29" s="43">
        <v>0</v>
      </c>
      <c r="E29" s="6"/>
      <c r="F29" s="44"/>
      <c r="G29" s="44"/>
      <c r="H29" s="44" t="str">
        <f>IF(C29=F$18,"Call", "Hold")</f>
        <v>Hold</v>
      </c>
      <c r="I29" s="53" t="s">
        <v>93</v>
      </c>
      <c r="J29" s="86"/>
    </row>
    <row r="30" spans="1:11" x14ac:dyDescent="0.35">
      <c r="A30" s="69"/>
      <c r="B30" s="43">
        <f>MIN(E$18,(F3*($F$21+C29)+F4*($F$21+C30)+(1-F3-F4)*(C31+$F$21) ) /(1+B4))</f>
        <v>65.866542570296033</v>
      </c>
      <c r="C30" s="43">
        <f>MIN(F$18,$G$21/(1+C4))</f>
        <v>34.059971840955853</v>
      </c>
      <c r="D30" s="43">
        <v>0</v>
      </c>
      <c r="E30" s="6"/>
      <c r="F30" s="44"/>
      <c r="G30" s="44" t="str">
        <f>IF(B30=E$18,"Call", "Hold")</f>
        <v>Hold</v>
      </c>
      <c r="H30" s="44" t="str">
        <f>IF(C30=F$18,"Call", "Hold")</f>
        <v>Call</v>
      </c>
      <c r="I30" s="53" t="s">
        <v>94</v>
      </c>
      <c r="J30" s="86"/>
    </row>
    <row r="31" spans="1:11" x14ac:dyDescent="0.35">
      <c r="A31" s="70">
        <f>MIN(D$18,(E5*($E$21+B30)+(1-E5)*($E$21+B31))/(1+A5))</f>
        <v>99.222548315182294</v>
      </c>
      <c r="B31" s="43">
        <f>MIN(E$18,(F5*($F$21+C30)+(1-F5)*($F$21+C31))/(1+B5))</f>
        <v>67.388062956248007</v>
      </c>
      <c r="C31" s="43">
        <f>MIN(F$18,$G$21/(1+C5))</f>
        <v>34.059971840955853</v>
      </c>
      <c r="D31" s="43">
        <v>0</v>
      </c>
      <c r="E31" s="6"/>
      <c r="F31" s="44" t="str">
        <f>IF(A31=D$18,"Call", "Hold")</f>
        <v>Hold</v>
      </c>
      <c r="G31" s="44" t="str">
        <f>IF(B31=E$18,"Call", "Hold")</f>
        <v>Call</v>
      </c>
      <c r="H31" s="44" t="str">
        <f>IF(C31=F$18,"Call", "Hold")</f>
        <v>Call</v>
      </c>
      <c r="I31" s="6"/>
      <c r="J31" s="7"/>
    </row>
    <row r="32" spans="1:11" ht="15" thickBot="1" x14ac:dyDescent="0.4">
      <c r="A32" s="71" t="s">
        <v>45</v>
      </c>
      <c r="B32" s="72">
        <v>1</v>
      </c>
      <c r="C32" s="72">
        <v>2</v>
      </c>
      <c r="D32" s="72">
        <v>3</v>
      </c>
      <c r="E32" s="9"/>
      <c r="F32" s="73" t="s">
        <v>45</v>
      </c>
      <c r="G32" s="72">
        <v>1</v>
      </c>
      <c r="H32" s="72">
        <v>2</v>
      </c>
      <c r="I32" s="9"/>
      <c r="J32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G4" sqref="G4"/>
    </sheetView>
  </sheetViews>
  <sheetFormatPr defaultRowHeight="14.5" x14ac:dyDescent="0.35"/>
  <sheetData>
    <row r="1" spans="1:14" ht="15" thickTop="1" x14ac:dyDescent="0.35">
      <c r="A1" s="83" t="s">
        <v>83</v>
      </c>
      <c r="B1" s="11"/>
      <c r="C1" s="11"/>
      <c r="D1" s="11"/>
      <c r="E1" s="12"/>
      <c r="G1" s="84" t="s">
        <v>84</v>
      </c>
      <c r="H1" s="11"/>
      <c r="I1" s="11"/>
      <c r="J1" s="11"/>
      <c r="K1" s="11"/>
      <c r="L1" s="11"/>
      <c r="M1" s="11"/>
      <c r="N1" s="12"/>
    </row>
    <row r="2" spans="1:14" x14ac:dyDescent="0.35">
      <c r="A2" s="17"/>
      <c r="B2" s="6"/>
      <c r="C2" s="6"/>
      <c r="D2" s="6"/>
      <c r="E2" s="14"/>
      <c r="G2" s="17"/>
      <c r="H2" s="6"/>
      <c r="I2" s="6"/>
      <c r="J2" s="6"/>
      <c r="K2" s="6"/>
      <c r="L2" s="6"/>
      <c r="M2" s="6"/>
      <c r="N2" s="14"/>
    </row>
    <row r="3" spans="1:14" x14ac:dyDescent="0.35">
      <c r="A3" s="17"/>
      <c r="B3" s="6"/>
      <c r="C3" s="6"/>
      <c r="D3" s="6"/>
      <c r="E3" s="14"/>
      <c r="G3" s="17" t="s">
        <v>91</v>
      </c>
      <c r="H3" s="6"/>
      <c r="I3" s="6"/>
      <c r="J3" s="6"/>
      <c r="K3" s="6"/>
      <c r="L3" s="6"/>
      <c r="M3" s="6"/>
      <c r="N3" s="14"/>
    </row>
    <row r="4" spans="1:14" x14ac:dyDescent="0.35">
      <c r="A4" s="17"/>
      <c r="B4" s="6"/>
      <c r="C4" s="6"/>
      <c r="D4" s="6"/>
      <c r="E4" s="14"/>
      <c r="G4" s="17" t="s">
        <v>85</v>
      </c>
      <c r="H4" s="6"/>
      <c r="I4" s="6"/>
      <c r="J4" s="6"/>
      <c r="K4" s="6"/>
      <c r="L4" s="6"/>
      <c r="M4" s="6"/>
      <c r="N4" s="14"/>
    </row>
    <row r="5" spans="1:14" x14ac:dyDescent="0.35">
      <c r="A5" s="17"/>
      <c r="B5" s="6"/>
      <c r="C5" s="6"/>
      <c r="D5" s="6"/>
      <c r="E5" s="14"/>
      <c r="G5" s="17" t="s">
        <v>86</v>
      </c>
      <c r="H5" s="6"/>
      <c r="I5" s="6"/>
      <c r="J5" s="6"/>
      <c r="K5" s="6"/>
      <c r="L5" s="6"/>
      <c r="M5" s="6"/>
      <c r="N5" s="14"/>
    </row>
    <row r="6" spans="1:14" x14ac:dyDescent="0.35">
      <c r="A6" s="17"/>
      <c r="B6" s="6"/>
      <c r="C6" s="6"/>
      <c r="D6" s="6"/>
      <c r="E6" s="14"/>
      <c r="G6" s="17" t="s">
        <v>87</v>
      </c>
      <c r="H6" s="6"/>
      <c r="I6" s="6"/>
      <c r="J6" s="6"/>
      <c r="K6" s="6"/>
      <c r="L6" s="6"/>
      <c r="M6" s="6"/>
      <c r="N6" s="14"/>
    </row>
    <row r="7" spans="1:14" x14ac:dyDescent="0.35">
      <c r="A7" s="17"/>
      <c r="B7" s="6"/>
      <c r="C7" s="6"/>
      <c r="D7" s="6"/>
      <c r="E7" s="14"/>
      <c r="G7" s="17" t="s">
        <v>88</v>
      </c>
      <c r="H7" s="6"/>
      <c r="I7" s="6"/>
      <c r="J7" s="6"/>
      <c r="K7" s="6"/>
      <c r="L7" s="6"/>
      <c r="M7" s="6"/>
      <c r="N7" s="14"/>
    </row>
    <row r="8" spans="1:14" x14ac:dyDescent="0.35">
      <c r="A8" s="17"/>
      <c r="B8" s="6"/>
      <c r="C8" s="6"/>
      <c r="D8" s="6"/>
      <c r="E8" s="14"/>
      <c r="G8" s="17" t="s">
        <v>89</v>
      </c>
      <c r="H8" s="6"/>
      <c r="I8" s="6"/>
      <c r="J8" s="6"/>
      <c r="K8" s="6"/>
      <c r="L8" s="6"/>
      <c r="M8" s="6"/>
      <c r="N8" s="14"/>
    </row>
    <row r="9" spans="1:14" ht="15" thickBot="1" x14ac:dyDescent="0.4">
      <c r="A9" s="17"/>
      <c r="B9" s="6"/>
      <c r="C9" s="6"/>
      <c r="D9" s="6"/>
      <c r="E9" s="14"/>
      <c r="G9" s="19" t="s">
        <v>90</v>
      </c>
      <c r="H9" s="20"/>
      <c r="I9" s="20"/>
      <c r="J9" s="20"/>
      <c r="K9" s="20"/>
      <c r="L9" s="20"/>
      <c r="M9" s="20"/>
      <c r="N9" s="21"/>
    </row>
    <row r="10" spans="1:14" ht="15" thickTop="1" x14ac:dyDescent="0.35">
      <c r="A10" s="17"/>
      <c r="B10" s="6"/>
      <c r="C10" s="6"/>
      <c r="D10" s="6"/>
      <c r="E10" s="14"/>
    </row>
    <row r="11" spans="1:14" x14ac:dyDescent="0.35">
      <c r="A11" s="17"/>
      <c r="B11" s="6"/>
      <c r="C11" s="6"/>
      <c r="D11" s="6"/>
      <c r="E11" s="14"/>
    </row>
    <row r="12" spans="1:14" x14ac:dyDescent="0.35">
      <c r="A12" s="17"/>
      <c r="B12" s="6"/>
      <c r="C12" s="6"/>
      <c r="D12" s="6"/>
      <c r="E12" s="14"/>
    </row>
    <row r="13" spans="1:14" x14ac:dyDescent="0.35">
      <c r="A13" s="17"/>
      <c r="B13" s="6"/>
      <c r="C13" s="6"/>
      <c r="D13" s="6"/>
      <c r="E13" s="14"/>
    </row>
    <row r="14" spans="1:14" x14ac:dyDescent="0.35">
      <c r="A14" s="17"/>
      <c r="B14" s="6"/>
      <c r="C14" s="6"/>
      <c r="D14" s="6"/>
      <c r="E14" s="14"/>
    </row>
    <row r="15" spans="1:14" x14ac:dyDescent="0.35">
      <c r="A15" s="17"/>
      <c r="B15" s="6"/>
      <c r="C15" s="6"/>
      <c r="D15" s="6"/>
      <c r="E15" s="14"/>
    </row>
    <row r="16" spans="1:14" x14ac:dyDescent="0.35">
      <c r="A16" s="17"/>
      <c r="B16" s="6"/>
      <c r="C16" s="6"/>
      <c r="D16" s="6"/>
      <c r="E16" s="14"/>
    </row>
    <row r="17" spans="1:5" x14ac:dyDescent="0.35">
      <c r="A17" s="17"/>
      <c r="B17" s="6"/>
      <c r="C17" s="6"/>
      <c r="D17" s="6"/>
      <c r="E17" s="14"/>
    </row>
    <row r="18" spans="1:5" x14ac:dyDescent="0.35">
      <c r="A18" s="17"/>
      <c r="B18" s="6"/>
      <c r="C18" s="6"/>
      <c r="D18" s="6"/>
      <c r="E18" s="14"/>
    </row>
    <row r="19" spans="1:5" x14ac:dyDescent="0.35">
      <c r="A19" s="17"/>
      <c r="B19" s="6"/>
      <c r="C19" s="6"/>
      <c r="D19" s="6"/>
      <c r="E19" s="14"/>
    </row>
    <row r="20" spans="1:5" x14ac:dyDescent="0.35">
      <c r="A20" s="17"/>
      <c r="B20" s="6"/>
      <c r="C20" s="6"/>
      <c r="D20" s="6"/>
      <c r="E20" s="14"/>
    </row>
    <row r="21" spans="1:5" x14ac:dyDescent="0.35">
      <c r="A21" s="17"/>
      <c r="B21" s="6"/>
      <c r="C21" s="6"/>
      <c r="D21" s="6"/>
      <c r="E21" s="14"/>
    </row>
    <row r="22" spans="1:5" x14ac:dyDescent="0.35">
      <c r="A22" s="17"/>
      <c r="B22" s="6"/>
      <c r="C22" s="6"/>
      <c r="D22" s="6"/>
      <c r="E22" s="14"/>
    </row>
    <row r="23" spans="1:5" x14ac:dyDescent="0.35">
      <c r="A23" s="17"/>
      <c r="B23" s="6"/>
      <c r="C23" s="6"/>
      <c r="D23" s="6"/>
      <c r="E23" s="14"/>
    </row>
    <row r="24" spans="1:5" x14ac:dyDescent="0.35">
      <c r="A24" s="17"/>
      <c r="B24" s="6"/>
      <c r="C24" s="6"/>
      <c r="D24" s="6"/>
      <c r="E24" s="14"/>
    </row>
    <row r="25" spans="1:5" x14ac:dyDescent="0.35">
      <c r="A25" s="17"/>
      <c r="B25" s="6"/>
      <c r="C25" s="6"/>
      <c r="D25" s="6"/>
      <c r="E25" s="14"/>
    </row>
    <row r="26" spans="1:5" ht="15" thickBot="1" x14ac:dyDescent="0.4">
      <c r="A26" s="19"/>
      <c r="B26" s="20"/>
      <c r="C26" s="20"/>
      <c r="D26" s="20"/>
      <c r="E26" s="21"/>
    </row>
    <row r="27" spans="1:5" ht="15" thickTop="1" x14ac:dyDescent="0.3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Opgave 1</vt:lpstr>
      <vt:lpstr>Opgave 2</vt:lpstr>
      <vt:lpstr>Opgave 3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Rolf Poulsen</dc:creator>
  <cp:lastModifiedBy>Rolf Poulsen</cp:lastModifiedBy>
  <dcterms:created xsi:type="dcterms:W3CDTF">2020-06-09T14:53:22Z</dcterms:created>
  <dcterms:modified xsi:type="dcterms:W3CDTF">2022-06-23T13:30:14Z</dcterms:modified>
</cp:coreProperties>
</file>