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x738\Dropbox\Fin1_2020\Eksamen, juni\"/>
    </mc:Choice>
  </mc:AlternateContent>
  <bookViews>
    <workbookView xWindow="0" yWindow="0" windowWidth="19180" windowHeight="8280"/>
  </bookViews>
  <sheets>
    <sheet name="Opgave 1" sheetId="1" r:id="rId1"/>
    <sheet name="Opgave 2" sheetId="3" r:id="rId2"/>
    <sheet name="Opgave 3" sheetId="2" r:id="rId3"/>
  </sheets>
  <definedNames>
    <definedName name="solver_adj" localSheetId="0" hidden="1">'Opgave 1'!$H$14</definedName>
    <definedName name="solver_adj" localSheetId="1" hidden="1">'Opgave 2'!$J$17</definedName>
    <definedName name="solver_adj" localSheetId="2" hidden="1">'Opgave 3'!$B$26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1" hidden="1">"""0,0001"""</definedName>
    <definedName name="solver_cvg" localSheetId="2" hidden="1">"0,0001"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'Opgave 1'!$H$14:$H$16</definedName>
    <definedName name="solver_lhs2" localSheetId="0" hidden="1">'Opgave 1'!$H$14:$H$16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1" hidden="1">"""0,075"""</definedName>
    <definedName name="solver_mrt" localSheetId="2" hidden="1">"0,075"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1</definedName>
    <definedName name="solver_num" localSheetId="1" hidden="1">0</definedName>
    <definedName name="solver_num" localSheetId="2" hidden="1">0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'Opgave 1'!$A$32</definedName>
    <definedName name="solver_opt" localSheetId="1" hidden="1">'Opgave 2'!$K$17</definedName>
    <definedName name="solver_opt" localSheetId="2" hidden="1">'Opgave 3'!$D$27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1" hidden="1">"""0,000001"""</definedName>
    <definedName name="solver_pre" localSheetId="2" hidden="1">"0,000001"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1</definedName>
    <definedName name="solver_tol" localSheetId="1" hidden="1">1</definedName>
    <definedName name="solver_tol" localSheetId="2" hidden="1">0.01</definedName>
    <definedName name="solver_typ" localSheetId="0" hidden="1">2</definedName>
    <definedName name="solver_typ" localSheetId="1" hidden="1">3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" i="1" l="1"/>
  <c r="N11" i="1"/>
  <c r="N10" i="1"/>
  <c r="J15" i="1" l="1"/>
  <c r="J14" i="1"/>
  <c r="H15" i="1" l="1" a="1"/>
  <c r="H16" i="1" s="1"/>
  <c r="D29" i="2"/>
  <c r="H15" i="1" l="1"/>
  <c r="L11" i="1" s="1" a="1"/>
  <c r="L12" i="1" s="1"/>
  <c r="G11" i="3"/>
  <c r="C12" i="3"/>
  <c r="I41" i="3"/>
  <c r="I40" i="3"/>
  <c r="F41" i="3"/>
  <c r="G36" i="3"/>
  <c r="B36" i="3"/>
  <c r="G35" i="3"/>
  <c r="B35" i="3"/>
  <c r="D12" i="3"/>
  <c r="H12" i="3"/>
  <c r="H11" i="3"/>
  <c r="G12" i="3"/>
  <c r="F40" i="3"/>
  <c r="C30" i="3"/>
  <c r="C29" i="3"/>
  <c r="B30" i="3"/>
  <c r="B29" i="3"/>
  <c r="A30" i="3"/>
  <c r="C28" i="3"/>
  <c r="F12" i="3"/>
  <c r="J16" i="3"/>
  <c r="J18" i="3"/>
  <c r="K17" i="3"/>
  <c r="E22" i="3"/>
  <c r="F22" i="3"/>
  <c r="G22" i="3"/>
  <c r="H10" i="3"/>
  <c r="D11" i="3"/>
  <c r="A12" i="3"/>
  <c r="H30" i="3"/>
  <c r="G30" i="3"/>
  <c r="F30" i="3"/>
  <c r="H29" i="3"/>
  <c r="G29" i="3"/>
  <c r="H28" i="3"/>
  <c r="B29" i="2"/>
  <c r="B30" i="2"/>
  <c r="B27" i="2"/>
  <c r="D27" i="2" a="1"/>
  <c r="D27" i="2"/>
  <c r="E23" i="2"/>
  <c r="E22" i="2"/>
  <c r="D23" i="2"/>
  <c r="D22" i="2"/>
  <c r="C32" i="1"/>
  <c r="B32" i="1" s="1" a="1"/>
  <c r="B32" i="1" s="1"/>
  <c r="C31" i="1"/>
  <c r="C30" i="1"/>
  <c r="C29" i="1"/>
  <c r="B23" i="1"/>
  <c r="F2" i="1"/>
  <c r="G12" i="1"/>
  <c r="H12" i="1"/>
  <c r="G11" i="1"/>
  <c r="H11" i="1"/>
  <c r="J11" i="1"/>
  <c r="I11" i="1"/>
  <c r="J12" i="1"/>
  <c r="I12" i="1"/>
  <c r="A17" i="1"/>
  <c r="C17" i="1"/>
  <c r="C16" i="1"/>
  <c r="B16" i="1"/>
  <c r="A16" i="1"/>
  <c r="B17" i="1"/>
  <c r="A12" i="1"/>
  <c r="C12" i="1"/>
  <c r="B12" i="1"/>
  <c r="C11" i="1"/>
  <c r="B11" i="1"/>
  <c r="A11" i="1"/>
  <c r="D16" i="1" a="1"/>
  <c r="D16" i="1"/>
  <c r="D17" i="1"/>
  <c r="D11" i="1" a="1"/>
  <c r="D11" i="1"/>
  <c r="D12" i="1"/>
  <c r="E17" i="1"/>
  <c r="E16" i="1"/>
  <c r="E12" i="1"/>
  <c r="E11" i="1"/>
  <c r="L11" i="1" l="1"/>
  <c r="B31" i="1" a="1"/>
  <c r="B31" i="1" s="1"/>
  <c r="A32" i="1" l="1" a="1"/>
  <c r="A32" i="1" s="1"/>
  <c r="F31" i="1" a="1"/>
  <c r="F31" i="1" l="1"/>
  <c r="F32" i="1"/>
</calcChain>
</file>

<file path=xl/sharedStrings.xml><?xml version="1.0" encoding="utf-8"?>
<sst xmlns="http://schemas.openxmlformats.org/spreadsheetml/2006/main" count="131" uniqueCount="121">
  <si>
    <t>R</t>
  </si>
  <si>
    <t>r</t>
  </si>
  <si>
    <t>x</t>
  </si>
  <si>
    <t>Div'</t>
  </si>
  <si>
    <t>Rente</t>
  </si>
  <si>
    <t>Aktie</t>
  </si>
  <si>
    <t>tid</t>
  </si>
  <si>
    <t>0-&gt;1 delmodellen</t>
  </si>
  <si>
    <t>pi</t>
  </si>
  <si>
    <t>D</t>
  </si>
  <si>
    <t>psi = D^-1pi</t>
  </si>
  <si>
    <t>q_i</t>
  </si>
  <si>
    <t>"1, ned" -&gt; 2-delmodellen</t>
  </si>
  <si>
    <t>"1, op"-&gt;-delmodellem</t>
  </si>
  <si>
    <t>\psi_1</t>
  </si>
  <si>
    <t>\psi_2</t>
  </si>
  <si>
    <t xml:space="preserve"> </t>
  </si>
  <si>
    <t>pi-\psi*1. søjle i D</t>
  </si>
  <si>
    <t>mindste</t>
  </si>
  <si>
    <t>største</t>
  </si>
  <si>
    <t>Entyidgig løsning med strengt postive koordinater &lt;=&gt; komp' &amp;arb'fri</t>
  </si>
  <si>
    <t>\psi_3</t>
  </si>
  <si>
    <t>Der findes mange tilstandprisvektorer &lt;=&gt; arb'fri &amp; inkomplet</t>
  </si>
  <si>
    <t>1a</t>
  </si>
  <si>
    <t>&lt;- vi vælger/gætter</t>
  </si>
  <si>
    <t>1b</t>
  </si>
  <si>
    <t>Dividendebetalingen er deterministisk, så vi kan bruge Proposition 12 til at finde Fwd(0,2)</t>
  </si>
  <si>
    <t>Fwd(0,2)=</t>
  </si>
  <si>
    <t>1c</t>
  </si>
  <si>
    <t>Strike-108, udløb-2-putoptionen betaler identisk 0 i alle tilstande i den inkomplette delmodel, så dens entydige arbitragefri pris der bare 0.</t>
  </si>
  <si>
    <t>For de komplette del kan vi trævle baglæns som sædvanlig</t>
  </si>
  <si>
    <t>K=</t>
  </si>
  <si>
    <t>a</t>
  </si>
  <si>
    <t>b</t>
  </si>
  <si>
    <t>Den replikerende strategi (a,b) i aktier/riskofrit starter som løsning til D^T (a,b) = put(1)</t>
  </si>
  <si>
    <t>1d</t>
  </si>
  <si>
    <t xml:space="preserve">En strike-110, udløb 2-putoption betaler (0,0,2) i den inkomplette delmodel, hvilket vi ikke kan replikere. Optionen har derfor ikke en entydig </t>
  </si>
  <si>
    <t>postiv (&gt;0 i vektor-notation) betaling på tid 2. Altså en arbitrage.</t>
  </si>
  <si>
    <t>Prisinterval</t>
  </si>
  <si>
    <t>øvre</t>
  </si>
  <si>
    <t>nedre</t>
  </si>
  <si>
    <t>Ikke Fin1-pensum</t>
  </si>
  <si>
    <t xml:space="preserve">Man kan finde det (åbne) arbitragefri interval ved at (a) Skrive 110 i cell G27, således at </t>
  </si>
  <si>
    <t xml:space="preserve">celle A32 giver en arb'fri prise på K=110-putten, (b) hhv. maksimalisere og minimalisere </t>
  </si>
  <si>
    <t>A32 (med Solver) over \psi_1-værdier i celle H14 under den bibetingelse at H14:H16 &gt;= 0</t>
  </si>
  <si>
    <t>3a</t>
  </si>
  <si>
    <t>Vi regner på porteføljens afkastrates spredning i korrelation=1-tilfældet:</t>
  </si>
  <si>
    <t>Det fortæller os netop det ønskede.</t>
  </si>
  <si>
    <t>3b</t>
  </si>
  <si>
    <t>\sigma_1</t>
  </si>
  <si>
    <t>\sigma_2</t>
  </si>
  <si>
    <t>\rho</t>
  </si>
  <si>
    <t>\Sigma</t>
  </si>
  <si>
    <t>\alpha_1</t>
  </si>
  <si>
    <t>\alpha_2</t>
  </si>
  <si>
    <t>Pf's afkastrates varians</t>
  </si>
  <si>
    <t>&lt;- minimaliser over B26 med solver</t>
  </si>
  <si>
    <t>z</t>
  </si>
  <si>
    <t>div'gevinst</t>
  </si>
  <si>
    <t>1-&gt;2</t>
  </si>
  <si>
    <t>H, initial principal</t>
  </si>
  <si>
    <t>Coupon rate, R</t>
  </si>
  <si>
    <t>H(0)</t>
  </si>
  <si>
    <t>H(1)</t>
  </si>
  <si>
    <t xml:space="preserve">H(2) </t>
  </si>
  <si>
    <t>H(3)</t>
  </si>
  <si>
    <t>Maturity, \tau</t>
  </si>
  <si>
    <t>Rentegitteret</t>
  </si>
  <si>
    <t>Niveuer (rho(t))</t>
  </si>
  <si>
    <t>Betingede Q-ssh.</t>
  </si>
  <si>
    <t>0-&gt;1</t>
  </si>
  <si>
    <t>2a</t>
  </si>
  <si>
    <t>P(.,1)</t>
  </si>
  <si>
    <t>P(.2)</t>
  </si>
  <si>
    <t>P(.3)</t>
  </si>
  <si>
    <t>2b</t>
  </si>
  <si>
    <t>Amortiseringsplan for det stående lån</t>
  </si>
  <si>
    <t>Restgæld</t>
  </si>
  <si>
    <t>Ydelse</t>
  </si>
  <si>
    <t>y(1)</t>
  </si>
  <si>
    <t>y(2)</t>
  </si>
  <si>
    <t>y(3)</t>
  </si>
  <si>
    <t>Kurs</t>
  </si>
  <si>
    <t>Effektiv rente</t>
  </si>
  <si>
    <t>FW-varighed</t>
  </si>
  <si>
    <t>2d</t>
  </si>
  <si>
    <t>For at skaffe 100 kr. skal man på tid 0 sælge</t>
  </si>
  <si>
    <t>a)</t>
  </si>
  <si>
    <t xml:space="preserve">stk. inknoverterbare obl. </t>
  </si>
  <si>
    <t>1. ydelse</t>
  </si>
  <si>
    <t>b)</t>
  </si>
  <si>
    <t>Ydelsen på det konverterbare lån er altså (en anelse) større end på det inkonverterbare,</t>
  </si>
  <si>
    <t>hvilket afspejler at låntager betaler for konverteringsretten via an lavere salgskurs.</t>
  </si>
  <si>
    <t>Kurs på den inkonverterbare obligation i tid 1, ned-knuden</t>
  </si>
  <si>
    <t>Kurs på den konverterbare obligation i tid 1, ned-knuden</t>
  </si>
  <si>
    <t>Markedsværdi af restgæld</t>
  </si>
  <si>
    <t>Markedsværdien af restgælden er det, det vil koste os at komme ud af vores gældsforpligtelser i dag, alstå mao.</t>
  </si>
  <si>
    <t>det beløb, vi reelt skylder bank/krediforeningen/investor.</t>
  </si>
  <si>
    <t>Når markedsrenten falder, så *stiger* markedsværdien af vores restgæld -- vi har bundet og til nogle nu forholdsvis</t>
  </si>
  <si>
    <t>høje betainger, så investor ejer en attraktiv obligation, dvs. han skal have en høl pris for at sælge den igen.</t>
  </si>
  <si>
    <t>For det konverterbare lån stiger markedsværdien af gælden også, når renten falder, men ikke så meget som for</t>
  </si>
  <si>
    <t>bør udnytte den endu).</t>
  </si>
  <si>
    <t>2c</t>
  </si>
  <si>
    <t>Tid (t) = 0</t>
  </si>
  <si>
    <t>Spredning</t>
  </si>
  <si>
    <t xml:space="preserve">stk. konverterbare obl. </t>
  </si>
  <si>
    <t>Optimal  indfrielsesstrategi (call~konverter)</t>
  </si>
  <si>
    <t>\ps_1i'er, der giver positiv løsning</t>
  </si>
  <si>
    <t>6.9388 = pris på en K=108-putoption ligger *ikke* i dette interval. Hvis K=110-putten handlede til den pris,</t>
  </si>
  <si>
    <t xml:space="preserve">kunne vi sælge strike-108-putten og købe strike-110-putten for nettobetalingen 0 (på tid 0) og få en </t>
  </si>
  <si>
    <t>arbitragefri pris, men mange; de udgør et interval. Vælger man/bruger man et bestemt \psi, får man én muligt arbitragefri pris.</t>
  </si>
  <si>
    <t>q</t>
  </si>
  <si>
    <t>pi, D</t>
  </si>
  <si>
    <t xml:space="preserve"> D (tilst. 1)</t>
  </si>
  <si>
    <t>tilst. 2</t>
  </si>
  <si>
    <t>tilst. 3</t>
  </si>
  <si>
    <t xml:space="preserve">(Opgaven kan også løses med formler fra kap. 3; </t>
  </si>
  <si>
    <t>alpha'erne afhænger ikke af forv. Akkastrater.)</t>
  </si>
  <si>
    <t>Pris på konverterbar obl. (jf. afsnit 8.3)</t>
  </si>
  <si>
    <t>det inkonverterbare lån; vores konverteringsret (som vi betalte for) yder os nu beskyttelse (også selvom vi ikke</t>
  </si>
  <si>
    <t>Vi tjekker alle de tre 1-periodedelmodeller (nedenfor) og slutter heraf, at modellen er arbitragefri og/men inkomplet.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</si>
</sst>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16" xfId="0" applyFont="1" applyBorder="1"/>
    <xf numFmtId="0" fontId="1" fillId="0" borderId="0" xfId="0" applyFont="1" applyBorder="1"/>
    <xf numFmtId="0" fontId="1" fillId="0" borderId="13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2" fillId="0" borderId="9" xfId="0" applyFont="1" applyBorder="1"/>
    <xf numFmtId="0" fontId="3" fillId="0" borderId="16" xfId="0" applyFont="1" applyBorder="1"/>
    <xf numFmtId="0" fontId="3" fillId="0" borderId="0" xfId="0" applyFont="1" applyBorder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2" fillId="0" borderId="16" xfId="0" applyFont="1" applyBorder="1"/>
    <xf numFmtId="2" fontId="0" fillId="5" borderId="0" xfId="0" applyNumberFormat="1" applyFill="1" applyBorder="1" applyAlignment="1">
      <alignment horizontal="center"/>
    </xf>
    <xf numFmtId="10" fontId="0" fillId="0" borderId="0" xfId="0" applyNumberFormat="1" applyBorder="1"/>
    <xf numFmtId="0" fontId="3" fillId="0" borderId="0" xfId="0" applyFont="1" applyBorder="1" applyAlignment="1">
      <alignment horizontal="center"/>
    </xf>
    <xf numFmtId="164" fontId="0" fillId="0" borderId="16" xfId="0" applyNumberFormat="1" applyBorder="1"/>
    <xf numFmtId="164" fontId="0" fillId="0" borderId="0" xfId="0" applyNumberFormat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164" fontId="0" fillId="0" borderId="18" xfId="0" applyNumberFormat="1" applyBorder="1"/>
    <xf numFmtId="164" fontId="3" fillId="0" borderId="16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0" fillId="0" borderId="13" xfId="0" applyNumberFormat="1" applyBorder="1"/>
    <xf numFmtId="164" fontId="3" fillId="0" borderId="19" xfId="0" applyNumberFormat="1" applyFont="1" applyFill="1" applyBorder="1" applyAlignment="1">
      <alignment horizontal="center"/>
    </xf>
    <xf numFmtId="164" fontId="0" fillId="0" borderId="19" xfId="0" applyNumberFormat="1" applyBorder="1"/>
    <xf numFmtId="164" fontId="0" fillId="0" borderId="20" xfId="0" applyNumberFormat="1" applyBorder="1"/>
    <xf numFmtId="2" fontId="0" fillId="0" borderId="0" xfId="0" applyNumberFormat="1" applyFill="1" applyBorder="1"/>
    <xf numFmtId="164" fontId="3" fillId="7" borderId="18" xfId="0" applyNumberFormat="1" applyFont="1" applyFill="1" applyBorder="1" applyAlignment="1">
      <alignment horizontal="center"/>
    </xf>
    <xf numFmtId="164" fontId="3" fillId="7" borderId="19" xfId="0" applyNumberFormat="1" applyFont="1" applyFill="1" applyBorder="1" applyAlignment="1">
      <alignment horizontal="center"/>
    </xf>
    <xf numFmtId="164" fontId="0" fillId="7" borderId="19" xfId="0" applyNumberFormat="1" applyFill="1" applyBorder="1"/>
    <xf numFmtId="164" fontId="0" fillId="7" borderId="0" xfId="0" applyNumberFormat="1" applyFill="1" applyBorder="1"/>
    <xf numFmtId="164" fontId="3" fillId="7" borderId="16" xfId="0" applyNumberFormat="1" applyFont="1" applyFill="1" applyBorder="1"/>
    <xf numFmtId="164" fontId="0" fillId="0" borderId="0" xfId="0" applyNumberFormat="1" applyFill="1" applyBorder="1"/>
    <xf numFmtId="0" fontId="0" fillId="0" borderId="0" xfId="0" applyFill="1" applyBorder="1"/>
    <xf numFmtId="0" fontId="0" fillId="0" borderId="13" xfId="0" applyFill="1" applyBorder="1"/>
    <xf numFmtId="2" fontId="0" fillId="7" borderId="0" xfId="0" applyNumberFormat="1" applyFill="1" applyBorder="1"/>
    <xf numFmtId="2" fontId="0" fillId="7" borderId="13" xfId="0" applyNumberFormat="1" applyFill="1" applyBorder="1"/>
    <xf numFmtId="0" fontId="0" fillId="8" borderId="0" xfId="0" applyFill="1" applyBorder="1"/>
    <xf numFmtId="0" fontId="0" fillId="0" borderId="0" xfId="0" applyFont="1" applyBorder="1"/>
    <xf numFmtId="164" fontId="0" fillId="0" borderId="0" xfId="0" applyNumberFormat="1" applyBorder="1" applyAlignment="1">
      <alignment horizontal="left"/>
    </xf>
    <xf numFmtId="0" fontId="3" fillId="4" borderId="9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2" fontId="0" fillId="7" borderId="10" xfId="0" applyNumberFormat="1" applyFill="1" applyBorder="1"/>
    <xf numFmtId="165" fontId="0" fillId="7" borderId="0" xfId="0" applyNumberFormat="1" applyFill="1" applyBorder="1"/>
    <xf numFmtId="0" fontId="4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184152</xdr:colOff>
      <xdr:row>2</xdr:row>
      <xdr:rowOff>120553</xdr:rowOff>
    </xdr:from>
    <xdr:to>
      <xdr:col>4</xdr:col>
      <xdr:colOff>349254</xdr:colOff>
      <xdr:row>16</xdr:row>
      <xdr:rowOff>2626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389166" y="283839"/>
          <a:ext cx="2460173" cy="2870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A8" sqref="A8"/>
    </sheetView>
  </sheetViews>
  <sheetFormatPr defaultRowHeight="14.5" x14ac:dyDescent="0.35"/>
  <cols>
    <col min="1" max="1" width="13.1796875" customWidth="1"/>
    <col min="4" max="4" width="12.1796875" customWidth="1"/>
    <col min="6" max="6" width="12.6328125" customWidth="1"/>
    <col min="9" max="9" width="20.36328125" customWidth="1"/>
    <col min="14" max="14" width="11.36328125" customWidth="1"/>
  </cols>
  <sheetData>
    <row r="1" spans="1:14" x14ac:dyDescent="0.35">
      <c r="A1" t="s">
        <v>5</v>
      </c>
      <c r="C1" s="1">
        <v>170</v>
      </c>
      <c r="D1" t="s">
        <v>4</v>
      </c>
      <c r="E1" t="s">
        <v>1</v>
      </c>
      <c r="F1">
        <v>0.05</v>
      </c>
      <c r="G1" t="s">
        <v>3</v>
      </c>
      <c r="J1">
        <v>0</v>
      </c>
    </row>
    <row r="2" spans="1:14" x14ac:dyDescent="0.35">
      <c r="C2">
        <v>144</v>
      </c>
      <c r="E2" t="s">
        <v>0</v>
      </c>
      <c r="F2">
        <f>F1+1</f>
        <v>1.05</v>
      </c>
      <c r="J2">
        <v>0</v>
      </c>
    </row>
    <row r="3" spans="1:14" x14ac:dyDescent="0.35">
      <c r="B3">
        <v>120</v>
      </c>
      <c r="C3">
        <v>108</v>
      </c>
      <c r="I3">
        <v>2</v>
      </c>
      <c r="J3">
        <v>0</v>
      </c>
    </row>
    <row r="4" spans="1:14" x14ac:dyDescent="0.35">
      <c r="A4">
        <v>100</v>
      </c>
      <c r="B4">
        <v>90</v>
      </c>
      <c r="C4">
        <v>81</v>
      </c>
      <c r="H4" t="s">
        <v>2</v>
      </c>
      <c r="I4">
        <v>2</v>
      </c>
      <c r="J4">
        <v>0</v>
      </c>
    </row>
    <row r="5" spans="1:14" x14ac:dyDescent="0.35">
      <c r="A5" s="2">
        <v>0</v>
      </c>
      <c r="B5" s="2">
        <v>1</v>
      </c>
      <c r="C5" s="2">
        <v>2</v>
      </c>
      <c r="E5" s="2" t="s">
        <v>6</v>
      </c>
      <c r="H5" s="2">
        <v>0</v>
      </c>
      <c r="I5" s="2">
        <v>1</v>
      </c>
      <c r="J5" s="2">
        <v>2</v>
      </c>
    </row>
    <row r="6" spans="1:14" ht="15" thickBot="1" x14ac:dyDescent="0.4"/>
    <row r="7" spans="1:14" ht="15" thickTop="1" x14ac:dyDescent="0.35">
      <c r="A7" s="74" t="s">
        <v>23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3"/>
    </row>
    <row r="8" spans="1:14" ht="15" thickBot="1" x14ac:dyDescent="0.4">
      <c r="A8" s="14" t="s">
        <v>120</v>
      </c>
      <c r="B8" s="10"/>
      <c r="C8" s="10"/>
      <c r="D8" s="10"/>
      <c r="E8" s="10"/>
      <c r="F8" s="10"/>
      <c r="G8" s="7"/>
      <c r="H8" s="7"/>
      <c r="I8" s="7"/>
      <c r="J8" s="7"/>
      <c r="K8" s="7"/>
      <c r="L8" s="7"/>
      <c r="M8" s="7"/>
      <c r="N8" s="15"/>
    </row>
    <row r="9" spans="1:14" x14ac:dyDescent="0.35">
      <c r="A9" s="16" t="s">
        <v>7</v>
      </c>
      <c r="B9" s="4"/>
      <c r="C9" s="4"/>
      <c r="D9" s="4"/>
      <c r="E9" s="4"/>
      <c r="F9" s="5"/>
      <c r="G9" s="3" t="s">
        <v>13</v>
      </c>
      <c r="H9" s="4"/>
      <c r="I9" s="4"/>
      <c r="J9" s="4"/>
      <c r="K9" s="4"/>
      <c r="L9" s="4"/>
      <c r="M9" s="4"/>
      <c r="N9" s="17" t="s">
        <v>111</v>
      </c>
    </row>
    <row r="10" spans="1:14" x14ac:dyDescent="0.35">
      <c r="A10" s="18" t="s">
        <v>8</v>
      </c>
      <c r="B10" s="7" t="s">
        <v>9</v>
      </c>
      <c r="C10" s="7"/>
      <c r="D10" s="7" t="s">
        <v>10</v>
      </c>
      <c r="E10" s="7" t="s">
        <v>11</v>
      </c>
      <c r="F10" s="8"/>
      <c r="G10" s="6" t="s">
        <v>112</v>
      </c>
      <c r="H10" s="67" t="s">
        <v>113</v>
      </c>
      <c r="I10" s="67" t="s">
        <v>114</v>
      </c>
      <c r="J10" s="67" t="s">
        <v>115</v>
      </c>
      <c r="K10" s="7"/>
      <c r="L10" s="7"/>
      <c r="M10" s="7"/>
      <c r="N10" s="15">
        <f>H14/SUM($H$14:$H$16)</f>
        <v>0.57750000000000012</v>
      </c>
    </row>
    <row r="11" spans="1:14" x14ac:dyDescent="0.35">
      <c r="A11" s="18">
        <f>A4</f>
        <v>100</v>
      </c>
      <c r="B11" s="7">
        <f>B3+I3</f>
        <v>122</v>
      </c>
      <c r="C11" s="7">
        <f>B4+I4</f>
        <v>92</v>
      </c>
      <c r="D11" s="7">
        <f t="array" ref="D11:D12">MMULT(MINVERSE(B11:C12),A11:A12)</f>
        <v>0.41269841269841301</v>
      </c>
      <c r="E11" s="7">
        <f>D11/SUM($D$11:$D$12)</f>
        <v>0.43333333333333357</v>
      </c>
      <c r="F11" s="8"/>
      <c r="G11" s="6">
        <f>B3</f>
        <v>120</v>
      </c>
      <c r="H11" s="66">
        <f>C3</f>
        <v>108</v>
      </c>
      <c r="I11" s="66">
        <f>C2</f>
        <v>144</v>
      </c>
      <c r="J11" s="66">
        <f>C1</f>
        <v>170</v>
      </c>
      <c r="K11" s="7"/>
      <c r="L11" s="7">
        <f t="array" ref="L11:L12">MMULT(H11:J12,H14:H16)</f>
        <v>120</v>
      </c>
      <c r="M11" s="7"/>
      <c r="N11" s="15">
        <f t="shared" ref="N11:N12" si="0">H15/SUM($H$14:$H$16)</f>
        <v>0.31519230769230755</v>
      </c>
    </row>
    <row r="12" spans="1:14" x14ac:dyDescent="0.35">
      <c r="A12" s="18">
        <f>1</f>
        <v>1</v>
      </c>
      <c r="B12" s="7">
        <f>A12*$F$2</f>
        <v>1.05</v>
      </c>
      <c r="C12" s="7">
        <f>A12*$F$2</f>
        <v>1.05</v>
      </c>
      <c r="D12" s="7">
        <v>0.53968253968253954</v>
      </c>
      <c r="E12" s="7">
        <f>D12/SUM($D$11:$D$12)</f>
        <v>0.56666666666666643</v>
      </c>
      <c r="F12" s="8"/>
      <c r="G12" s="6">
        <f>F2</f>
        <v>1.05</v>
      </c>
      <c r="H12" s="66">
        <f>G12*$F$2</f>
        <v>1.1025</v>
      </c>
      <c r="I12" s="66">
        <f>G12*$F$2</f>
        <v>1.1025</v>
      </c>
      <c r="J12" s="66">
        <f>G12*$F$2</f>
        <v>1.1025</v>
      </c>
      <c r="K12" s="7"/>
      <c r="L12" s="7">
        <v>1.05</v>
      </c>
      <c r="M12" s="7"/>
      <c r="N12" s="15">
        <f t="shared" si="0"/>
        <v>0.1073076923076924</v>
      </c>
    </row>
    <row r="13" spans="1:14" ht="15" thickBot="1" x14ac:dyDescent="0.4">
      <c r="A13" s="14" t="s">
        <v>20</v>
      </c>
      <c r="B13" s="10"/>
      <c r="C13" s="10"/>
      <c r="D13" s="10"/>
      <c r="E13" s="10"/>
      <c r="F13" s="11"/>
      <c r="G13" s="6"/>
      <c r="H13" s="7"/>
      <c r="I13" s="7" t="s">
        <v>16</v>
      </c>
      <c r="J13" s="7" t="s">
        <v>17</v>
      </c>
      <c r="K13" s="7"/>
      <c r="L13" s="7"/>
      <c r="M13" s="7"/>
      <c r="N13" s="15"/>
    </row>
    <row r="14" spans="1:14" x14ac:dyDescent="0.35">
      <c r="A14" s="16" t="s">
        <v>12</v>
      </c>
      <c r="B14" s="4"/>
      <c r="C14" s="4"/>
      <c r="D14" s="4"/>
      <c r="E14" s="4"/>
      <c r="F14" s="5"/>
      <c r="G14" s="6" t="s">
        <v>14</v>
      </c>
      <c r="H14" s="7">
        <v>0.55000000000000004</v>
      </c>
      <c r="I14" s="7" t="s">
        <v>24</v>
      </c>
      <c r="J14" s="7">
        <f>G11-H14*H11</f>
        <v>60.599999999999994</v>
      </c>
      <c r="K14" s="7"/>
      <c r="L14" s="7" t="s">
        <v>107</v>
      </c>
      <c r="M14" s="7"/>
      <c r="N14" s="15"/>
    </row>
    <row r="15" spans="1:14" x14ac:dyDescent="0.35">
      <c r="A15" s="18" t="s">
        <v>8</v>
      </c>
      <c r="B15" s="7" t="s">
        <v>9</v>
      </c>
      <c r="C15" s="7"/>
      <c r="D15" s="7" t="s">
        <v>10</v>
      </c>
      <c r="E15" s="7" t="s">
        <v>11</v>
      </c>
      <c r="F15" s="8"/>
      <c r="G15" s="6" t="s">
        <v>15</v>
      </c>
      <c r="H15" s="7">
        <f t="array" ref="H15:H16">MMULT(MINVERSE(I11:J12),J14:J15)</f>
        <v>0.30018315018315</v>
      </c>
      <c r="I15" s="7"/>
      <c r="J15" s="7">
        <f>G12-H14*H12</f>
        <v>0.44362499999999994</v>
      </c>
      <c r="K15" s="7"/>
      <c r="L15" s="7" t="s">
        <v>18</v>
      </c>
      <c r="M15" s="7">
        <v>0.47619047619047622</v>
      </c>
      <c r="N15" s="15"/>
    </row>
    <row r="16" spans="1:14" x14ac:dyDescent="0.35">
      <c r="A16" s="18">
        <f>B4</f>
        <v>90</v>
      </c>
      <c r="B16" s="7">
        <f>C3</f>
        <v>108</v>
      </c>
      <c r="C16" s="7">
        <f>C4</f>
        <v>81</v>
      </c>
      <c r="D16" s="7">
        <f t="array" ref="D16:D17">MMULT(MINVERSE(B16:C17),A16:A17)</f>
        <v>0.47619047619047583</v>
      </c>
      <c r="E16" s="7">
        <f>D16/SUM($D$11:$D$12)</f>
        <v>0.49999999999999956</v>
      </c>
      <c r="F16" s="8"/>
      <c r="G16" s="6" t="s">
        <v>21</v>
      </c>
      <c r="H16" s="7">
        <v>0.10219780219780228</v>
      </c>
      <c r="I16" s="7"/>
      <c r="J16" s="7"/>
      <c r="K16" s="7"/>
      <c r="L16" s="7" t="s">
        <v>19</v>
      </c>
      <c r="M16" s="7">
        <v>0.67588325652841774</v>
      </c>
      <c r="N16" s="15"/>
    </row>
    <row r="17" spans="1:14" ht="15" thickBot="1" x14ac:dyDescent="0.4">
      <c r="A17" s="18">
        <f>F2</f>
        <v>1.05</v>
      </c>
      <c r="B17" s="7">
        <f>A17*$F$2</f>
        <v>1.1025</v>
      </c>
      <c r="C17" s="7">
        <f>A17*$F$2</f>
        <v>1.1025</v>
      </c>
      <c r="D17" s="7">
        <v>0.47619047619047628</v>
      </c>
      <c r="E17" s="7">
        <f>D17/SUM($D$11:$D$12)</f>
        <v>0.5</v>
      </c>
      <c r="F17" s="8"/>
      <c r="G17" s="9" t="s">
        <v>22</v>
      </c>
      <c r="H17" s="10"/>
      <c r="I17" s="10"/>
      <c r="J17" s="10"/>
      <c r="K17" s="10"/>
      <c r="L17" s="10"/>
      <c r="M17" s="10"/>
      <c r="N17" s="19"/>
    </row>
    <row r="18" spans="1:14" ht="15" thickBot="1" x14ac:dyDescent="0.4">
      <c r="A18" s="14" t="s">
        <v>20</v>
      </c>
      <c r="B18" s="10"/>
      <c r="C18" s="10"/>
      <c r="D18" s="10"/>
      <c r="E18" s="10"/>
      <c r="F18" s="11"/>
      <c r="G18" s="7"/>
      <c r="H18" s="7"/>
      <c r="I18" s="7"/>
      <c r="J18" s="7"/>
      <c r="K18" s="7"/>
      <c r="L18" s="7"/>
      <c r="M18" s="7"/>
      <c r="N18" s="15"/>
    </row>
    <row r="19" spans="1:14" ht="15" thickBot="1" x14ac:dyDescent="0.4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2"/>
    </row>
    <row r="20" spans="1:14" ht="15.5" thickTop="1" thickBot="1" x14ac:dyDescent="0.4"/>
    <row r="21" spans="1:14" ht="15" thickTop="1" x14ac:dyDescent="0.35">
      <c r="A21" s="74" t="s">
        <v>25</v>
      </c>
      <c r="B21" s="12"/>
      <c r="C21" s="12"/>
      <c r="D21" s="12"/>
      <c r="E21" s="12"/>
      <c r="F21" s="12"/>
      <c r="G21" s="12"/>
      <c r="H21" s="13"/>
    </row>
    <row r="22" spans="1:14" x14ac:dyDescent="0.35">
      <c r="A22" s="18" t="s">
        <v>26</v>
      </c>
      <c r="B22" s="7"/>
      <c r="C22" s="7"/>
      <c r="D22" s="7"/>
      <c r="E22" s="7"/>
      <c r="F22" s="7"/>
      <c r="G22" s="7"/>
      <c r="H22" s="15"/>
    </row>
    <row r="23" spans="1:14" ht="15" thickBot="1" x14ac:dyDescent="0.4">
      <c r="A23" s="20" t="s">
        <v>27</v>
      </c>
      <c r="B23" s="21">
        <f>(A4-I4/F2)/(1/F2^2)</f>
        <v>108.15000000000002</v>
      </c>
      <c r="C23" s="21"/>
      <c r="D23" s="21"/>
      <c r="E23" s="21"/>
      <c r="F23" s="21"/>
      <c r="G23" s="21"/>
      <c r="H23" s="22"/>
    </row>
    <row r="24" spans="1:14" ht="15.5" thickTop="1" thickBot="1" x14ac:dyDescent="0.4"/>
    <row r="25" spans="1:14" ht="15" thickTop="1" x14ac:dyDescent="0.35">
      <c r="A25" s="74" t="s">
        <v>28</v>
      </c>
      <c r="B25" s="12"/>
      <c r="C25" s="12"/>
      <c r="D25" s="12"/>
      <c r="E25" s="12"/>
      <c r="F25" s="12"/>
      <c r="G25" s="12"/>
      <c r="H25" s="12"/>
      <c r="I25" s="12"/>
      <c r="J25" s="12"/>
      <c r="K25" s="13"/>
    </row>
    <row r="26" spans="1:14" x14ac:dyDescent="0.35">
      <c r="A26" s="18" t="s">
        <v>29</v>
      </c>
      <c r="B26" s="7"/>
      <c r="C26" s="7"/>
      <c r="D26" s="7"/>
      <c r="E26" s="7"/>
      <c r="F26" s="7"/>
      <c r="G26" s="7"/>
      <c r="H26" s="7"/>
      <c r="I26" s="7"/>
      <c r="J26" s="7"/>
      <c r="K26" s="15"/>
    </row>
    <row r="27" spans="1:14" x14ac:dyDescent="0.35">
      <c r="A27" s="18" t="s">
        <v>30</v>
      </c>
      <c r="B27" s="7"/>
      <c r="C27" s="7"/>
      <c r="D27" s="7"/>
      <c r="E27" s="7"/>
      <c r="F27" s="7" t="s">
        <v>31</v>
      </c>
      <c r="G27" s="7">
        <v>108</v>
      </c>
      <c r="H27" s="7"/>
      <c r="I27" s="7"/>
      <c r="J27" s="7"/>
      <c r="K27" s="15"/>
    </row>
    <row r="28" spans="1:14" x14ac:dyDescent="0.35">
      <c r="A28" s="18"/>
      <c r="B28" s="7"/>
      <c r="C28" s="7"/>
      <c r="D28" s="7"/>
      <c r="E28" s="7"/>
      <c r="F28" s="7"/>
      <c r="G28" s="7"/>
      <c r="H28" s="7"/>
      <c r="I28" s="7"/>
      <c r="J28" s="7"/>
      <c r="K28" s="15"/>
    </row>
    <row r="29" spans="1:14" x14ac:dyDescent="0.35">
      <c r="A29" s="18"/>
      <c r="B29" s="7"/>
      <c r="C29" s="7">
        <f>MAX($G$27-C1,0)</f>
        <v>0</v>
      </c>
      <c r="D29" s="7"/>
      <c r="E29" s="7" t="s">
        <v>34</v>
      </c>
      <c r="F29" s="7"/>
      <c r="G29" s="7"/>
      <c r="H29" s="7"/>
      <c r="I29" s="7"/>
      <c r="J29" s="7"/>
      <c r="K29" s="15"/>
    </row>
    <row r="30" spans="1:14" x14ac:dyDescent="0.35">
      <c r="A30" s="18"/>
      <c r="B30" s="7"/>
      <c r="C30" s="7">
        <f t="shared" ref="C30:C32" si="1">MAX($G$27-C2,0)</f>
        <v>0</v>
      </c>
      <c r="D30" s="7"/>
      <c r="E30" s="7"/>
      <c r="F30" s="7"/>
      <c r="G30" s="7"/>
      <c r="H30" s="7"/>
      <c r="I30" s="7"/>
      <c r="J30" s="7"/>
      <c r="K30" s="15"/>
    </row>
    <row r="31" spans="1:14" x14ac:dyDescent="0.35">
      <c r="A31" s="18"/>
      <c r="B31" s="7">
        <f t="array" ref="B31">MMULT(TRANSPOSE(H14:H16),C29:C31)</f>
        <v>0</v>
      </c>
      <c r="C31" s="7">
        <f t="shared" si="1"/>
        <v>0</v>
      </c>
      <c r="D31" s="7"/>
      <c r="E31" s="7" t="s">
        <v>32</v>
      </c>
      <c r="F31" s="7">
        <f t="array" ref="F31:F32">MMULT(MINVERSE(TRANSPOSE(B11:C12)),B31:B32)</f>
        <v>-0.42857142857142866</v>
      </c>
      <c r="G31" s="7"/>
      <c r="H31" s="7"/>
      <c r="I31" s="7"/>
      <c r="J31" s="7"/>
      <c r="K31" s="15"/>
    </row>
    <row r="32" spans="1:14" ht="15" thickBot="1" x14ac:dyDescent="0.4">
      <c r="A32" s="48">
        <f t="array" ref="A32">MMULT(TRANSPOSE(D11:D12),B31:B32)</f>
        <v>6.9387755102040813</v>
      </c>
      <c r="B32" s="21">
        <f t="array" ref="B32">MMULT(TRANSPOSE(D16:D17),C31:C32)</f>
        <v>12.857142857142859</v>
      </c>
      <c r="C32" s="21">
        <f t="shared" si="1"/>
        <v>27</v>
      </c>
      <c r="D32" s="21"/>
      <c r="E32" s="21" t="s">
        <v>33</v>
      </c>
      <c r="F32" s="21">
        <v>49.79591836734695</v>
      </c>
      <c r="G32" s="21" t="s">
        <v>16</v>
      </c>
      <c r="H32" s="21"/>
      <c r="I32" s="21"/>
      <c r="J32" s="21"/>
      <c r="K32" s="22"/>
    </row>
    <row r="33" spans="1:11" ht="15.5" thickTop="1" thickBot="1" x14ac:dyDescent="0.4"/>
    <row r="34" spans="1:11" ht="15" thickTop="1" x14ac:dyDescent="0.35">
      <c r="A34" s="74" t="s">
        <v>35</v>
      </c>
      <c r="B34" s="12"/>
      <c r="C34" s="12"/>
      <c r="D34" s="12"/>
      <c r="E34" s="12"/>
      <c r="F34" s="12"/>
      <c r="G34" s="12"/>
      <c r="H34" s="12"/>
      <c r="I34" s="12"/>
      <c r="J34" s="12"/>
      <c r="K34" s="13"/>
    </row>
    <row r="35" spans="1:11" x14ac:dyDescent="0.35">
      <c r="A35" s="18" t="s">
        <v>36</v>
      </c>
      <c r="B35" s="7"/>
      <c r="C35" s="7"/>
      <c r="D35" s="7"/>
      <c r="E35" s="7"/>
      <c r="F35" s="7"/>
      <c r="G35" s="7"/>
      <c r="H35" s="7"/>
      <c r="I35" s="7"/>
      <c r="J35" s="7"/>
      <c r="K35" s="15"/>
    </row>
    <row r="36" spans="1:11" x14ac:dyDescent="0.35">
      <c r="A36" s="18" t="s">
        <v>110</v>
      </c>
      <c r="B36" s="7"/>
      <c r="C36" s="7"/>
      <c r="D36" s="7"/>
      <c r="E36" s="7"/>
      <c r="F36" s="7"/>
      <c r="G36" s="7"/>
      <c r="H36" s="7"/>
      <c r="I36" s="7"/>
      <c r="J36" s="7"/>
      <c r="K36" s="15"/>
    </row>
    <row r="37" spans="1:11" x14ac:dyDescent="0.35">
      <c r="A37" s="18"/>
      <c r="B37" s="7"/>
      <c r="C37" s="7"/>
      <c r="D37" s="7"/>
      <c r="E37" s="7"/>
      <c r="F37" s="7"/>
      <c r="G37" s="7"/>
      <c r="H37" s="7"/>
      <c r="I37" s="7"/>
      <c r="J37" s="7"/>
      <c r="K37" s="15"/>
    </row>
    <row r="38" spans="1:11" x14ac:dyDescent="0.35">
      <c r="A38" s="18" t="s">
        <v>108</v>
      </c>
      <c r="B38" s="7"/>
      <c r="C38" s="7"/>
      <c r="D38" s="7"/>
      <c r="E38" s="7"/>
      <c r="F38" s="7"/>
      <c r="G38" s="7"/>
      <c r="H38" s="7"/>
      <c r="I38" s="7"/>
      <c r="J38" s="7"/>
      <c r="K38" s="15"/>
    </row>
    <row r="39" spans="1:11" x14ac:dyDescent="0.35">
      <c r="A39" s="18" t="s">
        <v>109</v>
      </c>
      <c r="B39" s="7"/>
      <c r="C39" s="7"/>
      <c r="D39" s="7"/>
      <c r="E39" s="7"/>
      <c r="F39" s="7"/>
      <c r="G39" s="7"/>
      <c r="H39" s="7"/>
      <c r="I39" s="7"/>
      <c r="J39" s="7"/>
      <c r="K39" s="15"/>
    </row>
    <row r="40" spans="1:11" x14ac:dyDescent="0.35">
      <c r="A40" s="18" t="s">
        <v>37</v>
      </c>
      <c r="B40" s="7"/>
      <c r="C40" s="7"/>
      <c r="D40" s="7"/>
      <c r="E40" s="7"/>
      <c r="F40" s="7"/>
      <c r="G40" s="7"/>
      <c r="H40" s="7"/>
      <c r="I40" s="7"/>
      <c r="J40" s="7"/>
      <c r="K40" s="15"/>
    </row>
    <row r="41" spans="1:11" x14ac:dyDescent="0.35">
      <c r="A41" s="18"/>
      <c r="B41" s="7"/>
      <c r="C41" s="7"/>
      <c r="D41" s="7"/>
      <c r="E41" s="7"/>
      <c r="F41" s="7"/>
      <c r="G41" s="7"/>
      <c r="H41" s="7"/>
      <c r="I41" s="7"/>
      <c r="J41" s="7"/>
      <c r="K41" s="15"/>
    </row>
    <row r="42" spans="1:11" x14ac:dyDescent="0.35">
      <c r="A42" s="23" t="s">
        <v>41</v>
      </c>
      <c r="B42" s="24"/>
      <c r="C42" s="24"/>
      <c r="D42" s="24"/>
      <c r="E42" s="24"/>
      <c r="F42" s="24"/>
      <c r="G42" s="24"/>
      <c r="H42" s="24"/>
      <c r="I42" s="24"/>
      <c r="J42" s="24"/>
      <c r="K42" s="25"/>
    </row>
    <row r="43" spans="1:11" x14ac:dyDescent="0.35">
      <c r="A43" s="23" t="s">
        <v>38</v>
      </c>
      <c r="B43" s="24" t="s">
        <v>39</v>
      </c>
      <c r="C43" s="24">
        <v>8.1949625728427549</v>
      </c>
      <c r="D43" s="24"/>
      <c r="E43" s="24" t="s">
        <v>42</v>
      </c>
      <c r="F43" s="24"/>
      <c r="G43" s="24"/>
      <c r="H43" s="24"/>
      <c r="I43" s="24"/>
      <c r="J43" s="24"/>
      <c r="K43" s="25"/>
    </row>
    <row r="44" spans="1:11" x14ac:dyDescent="0.35">
      <c r="A44" s="23"/>
      <c r="B44" s="24" t="s">
        <v>40</v>
      </c>
      <c r="C44" s="24">
        <v>7.9667422524565366</v>
      </c>
      <c r="D44" s="24"/>
      <c r="E44" s="24" t="s">
        <v>43</v>
      </c>
      <c r="F44" s="24"/>
      <c r="G44" s="24"/>
      <c r="H44" s="24"/>
      <c r="I44" s="24"/>
      <c r="J44" s="24"/>
      <c r="K44" s="25"/>
    </row>
    <row r="45" spans="1:11" ht="15" thickBot="1" x14ac:dyDescent="0.4">
      <c r="A45" s="26"/>
      <c r="B45" s="27"/>
      <c r="C45" s="27"/>
      <c r="D45" s="27"/>
      <c r="E45" s="27" t="s">
        <v>44</v>
      </c>
      <c r="F45" s="27"/>
      <c r="G45" s="27"/>
      <c r="H45" s="27"/>
      <c r="I45" s="27"/>
      <c r="J45" s="27"/>
      <c r="K45" s="28"/>
    </row>
    <row r="46" spans="1:11" ht="15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15" workbookViewId="0">
      <selection activeCell="M26" sqref="M26"/>
    </sheetView>
  </sheetViews>
  <sheetFormatPr defaultRowHeight="14.5" x14ac:dyDescent="0.35"/>
  <cols>
    <col min="1" max="1" width="13.81640625" customWidth="1"/>
    <col min="6" max="6" width="9.90625" customWidth="1"/>
    <col min="8" max="8" width="16.54296875" customWidth="1"/>
    <col min="9" max="9" width="13.08984375" customWidth="1"/>
    <col min="10" max="10" width="7.08984375" customWidth="1"/>
  </cols>
  <sheetData>
    <row r="1" spans="1:11" ht="15" thickTop="1" x14ac:dyDescent="0.35">
      <c r="A1" s="29" t="s">
        <v>67</v>
      </c>
      <c r="B1" s="12"/>
      <c r="C1" s="12"/>
      <c r="D1" s="12"/>
      <c r="E1" s="12"/>
      <c r="F1" s="13"/>
    </row>
    <row r="2" spans="1:11" x14ac:dyDescent="0.35">
      <c r="A2" s="30" t="s">
        <v>68</v>
      </c>
      <c r="B2" s="7"/>
      <c r="C2" s="7"/>
      <c r="D2" s="7"/>
      <c r="E2" s="31" t="s">
        <v>69</v>
      </c>
      <c r="F2" s="15"/>
    </row>
    <row r="3" spans="1:11" x14ac:dyDescent="0.35">
      <c r="A3" s="18"/>
      <c r="B3" s="7"/>
      <c r="C3" s="7">
        <v>7.0000000000000007E-2</v>
      </c>
      <c r="D3" s="7"/>
      <c r="E3" s="7"/>
      <c r="F3" s="15"/>
    </row>
    <row r="4" spans="1:11" x14ac:dyDescent="0.35">
      <c r="A4" s="18"/>
      <c r="B4" s="7">
        <v>0.06</v>
      </c>
      <c r="C4" s="7">
        <v>0.05</v>
      </c>
      <c r="D4" s="7"/>
      <c r="E4" s="7"/>
      <c r="F4" s="15">
        <v>0.4</v>
      </c>
    </row>
    <row r="5" spans="1:11" x14ac:dyDescent="0.35">
      <c r="A5" s="18">
        <v>0.05</v>
      </c>
      <c r="B5" s="7">
        <v>0.04</v>
      </c>
      <c r="C5" s="7">
        <v>0.02</v>
      </c>
      <c r="D5" s="7"/>
      <c r="E5" s="7">
        <v>0.75</v>
      </c>
      <c r="F5" s="15">
        <v>0.6</v>
      </c>
    </row>
    <row r="6" spans="1:11" ht="15" thickBot="1" x14ac:dyDescent="0.4">
      <c r="A6" s="42">
        <v>0</v>
      </c>
      <c r="B6" s="43">
        <v>1</v>
      </c>
      <c r="C6" s="43">
        <v>2</v>
      </c>
      <c r="D6" s="33"/>
      <c r="E6" s="43" t="s">
        <v>70</v>
      </c>
      <c r="F6" s="44" t="s">
        <v>59</v>
      </c>
    </row>
    <row r="7" spans="1:11" ht="15.5" thickTop="1" thickBot="1" x14ac:dyDescent="0.4">
      <c r="A7" s="45"/>
      <c r="B7" s="45"/>
      <c r="C7" s="45"/>
      <c r="D7" s="45"/>
      <c r="E7" s="45"/>
      <c r="F7" s="45"/>
    </row>
    <row r="8" spans="1:11" ht="15" thickTop="1" x14ac:dyDescent="0.35">
      <c r="A8" s="69" t="s">
        <v>71</v>
      </c>
      <c r="B8" s="46"/>
      <c r="C8" s="46"/>
      <c r="D8" s="46"/>
      <c r="E8" s="46"/>
      <c r="F8" s="46"/>
      <c r="G8" s="12"/>
      <c r="H8" s="13"/>
    </row>
    <row r="9" spans="1:11" x14ac:dyDescent="0.35">
      <c r="A9" s="47" t="s">
        <v>72</v>
      </c>
      <c r="B9" s="45"/>
      <c r="C9" s="45" t="s">
        <v>73</v>
      </c>
      <c r="D9" s="45"/>
      <c r="E9" s="45"/>
      <c r="F9" s="45" t="s">
        <v>74</v>
      </c>
      <c r="G9" s="7"/>
      <c r="H9" s="15"/>
    </row>
    <row r="10" spans="1:11" x14ac:dyDescent="0.35">
      <c r="A10" s="49"/>
      <c r="B10" s="50"/>
      <c r="C10" s="50"/>
      <c r="D10" s="50"/>
      <c r="E10" s="50"/>
      <c r="F10" s="50"/>
      <c r="G10" s="39"/>
      <c r="H10" s="51">
        <f>1/(1+C3)</f>
        <v>0.93457943925233644</v>
      </c>
    </row>
    <row r="11" spans="1:11" x14ac:dyDescent="0.35">
      <c r="A11" s="49"/>
      <c r="B11" s="50"/>
      <c r="C11" s="50"/>
      <c r="D11" s="50">
        <f>1/(1+B4)</f>
        <v>0.94339622641509424</v>
      </c>
      <c r="E11" s="50"/>
      <c r="F11" s="50"/>
      <c r="G11" s="39">
        <f>(F4*H10+(1-F4)*H11)/(1+B4)</f>
        <v>0.8917550444617981</v>
      </c>
      <c r="H11" s="51">
        <f t="shared" ref="H11:H12" si="0">1/(1+C4)</f>
        <v>0.95238095238095233</v>
      </c>
    </row>
    <row r="12" spans="1:11" ht="15" thickBot="1" x14ac:dyDescent="0.4">
      <c r="A12" s="56">
        <f>1/(1+A5)</f>
        <v>0.95238095238095233</v>
      </c>
      <c r="B12" s="52"/>
      <c r="C12" s="57">
        <f>(E5*D11+(1-E5)*D12)/(1+A5)</f>
        <v>0.90279217637708198</v>
      </c>
      <c r="D12" s="52">
        <f>1/(1+B5)</f>
        <v>0.96153846153846145</v>
      </c>
      <c r="E12" s="52"/>
      <c r="F12" s="58">
        <f>(E5*G11+(1-E5)*G12)/(1+A5)</f>
        <v>0.85756894983847964</v>
      </c>
      <c r="G12" s="53">
        <f>(F5*H11+(1-F5)*H12)/(1+B5)</f>
        <v>0.92652445593622057</v>
      </c>
      <c r="H12" s="54">
        <f t="shared" si="0"/>
        <v>0.98039215686274506</v>
      </c>
    </row>
    <row r="13" spans="1:11" ht="15" thickTop="1" x14ac:dyDescent="0.35">
      <c r="A13" s="45"/>
      <c r="B13" s="45"/>
      <c r="C13" s="45"/>
      <c r="D13" s="45"/>
      <c r="E13" s="45"/>
      <c r="F13" s="45"/>
    </row>
    <row r="14" spans="1:11" x14ac:dyDescent="0.35">
      <c r="A14" s="45"/>
      <c r="B14" s="45"/>
      <c r="C14" s="45"/>
      <c r="D14" s="45"/>
      <c r="E14" s="45"/>
      <c r="F14" s="45"/>
    </row>
    <row r="15" spans="1:11" ht="15" thickBot="1" x14ac:dyDescent="0.4"/>
    <row r="16" spans="1:11" ht="15" thickTop="1" x14ac:dyDescent="0.35">
      <c r="A16" s="71" t="s">
        <v>75</v>
      </c>
      <c r="B16" s="12"/>
      <c r="C16" s="12"/>
      <c r="D16" s="12"/>
      <c r="E16" s="12"/>
      <c r="F16" s="12"/>
      <c r="G16" s="12"/>
      <c r="H16" s="12"/>
      <c r="I16" s="12" t="s">
        <v>82</v>
      </c>
      <c r="J16" s="72">
        <f>E22*A12+F22*C12+F12*G22</f>
        <v>96.607863298234008</v>
      </c>
      <c r="K16" s="13"/>
    </row>
    <row r="17" spans="1:11" x14ac:dyDescent="0.35">
      <c r="A17" s="34" t="s">
        <v>76</v>
      </c>
      <c r="B17" s="7"/>
      <c r="C17" s="7"/>
      <c r="D17" s="7"/>
      <c r="E17" s="7"/>
      <c r="F17" s="7"/>
      <c r="G17" s="7"/>
      <c r="H17" s="7"/>
      <c r="I17" s="7" t="s">
        <v>83</v>
      </c>
      <c r="J17" s="59">
        <v>5.2514960883336348E-2</v>
      </c>
      <c r="K17" s="15">
        <f>E22/(1+J17)+F22/(1+J17)^2+G22/(1+J17)^3-J16</f>
        <v>-1.0437872788315872E-10</v>
      </c>
    </row>
    <row r="18" spans="1:11" x14ac:dyDescent="0.35">
      <c r="A18" s="30"/>
      <c r="B18" s="7"/>
      <c r="C18" s="7"/>
      <c r="D18" s="31" t="s">
        <v>77</v>
      </c>
      <c r="E18" s="7"/>
      <c r="F18" s="7"/>
      <c r="G18" s="7"/>
      <c r="H18" s="7"/>
      <c r="I18" s="7" t="s">
        <v>84</v>
      </c>
      <c r="J18" s="73">
        <f>(E22*A12+2*C12*F22+3*F12*G22)/J16</f>
        <v>2.8837546350664276</v>
      </c>
      <c r="K18" s="15"/>
    </row>
    <row r="19" spans="1:11" x14ac:dyDescent="0.35">
      <c r="A19" s="30" t="s">
        <v>60</v>
      </c>
      <c r="B19" s="7">
        <v>100</v>
      </c>
      <c r="C19" s="7"/>
      <c r="D19" s="35">
        <v>100</v>
      </c>
      <c r="E19" s="35">
        <v>100</v>
      </c>
      <c r="F19" s="35">
        <v>100</v>
      </c>
      <c r="G19" s="35">
        <v>0</v>
      </c>
      <c r="H19" s="7"/>
      <c r="I19" s="7"/>
      <c r="J19" s="7"/>
      <c r="K19" s="15"/>
    </row>
    <row r="20" spans="1:11" x14ac:dyDescent="0.35">
      <c r="A20" s="30" t="s">
        <v>61</v>
      </c>
      <c r="B20" s="36">
        <v>0.04</v>
      </c>
      <c r="C20" s="7"/>
      <c r="D20" s="37" t="s">
        <v>62</v>
      </c>
      <c r="E20" s="37" t="s">
        <v>63</v>
      </c>
      <c r="F20" s="37" t="s">
        <v>64</v>
      </c>
      <c r="G20" s="37" t="s">
        <v>65</v>
      </c>
      <c r="H20" s="7"/>
      <c r="I20" s="7"/>
      <c r="J20" s="45" t="s">
        <v>16</v>
      </c>
      <c r="K20" s="15"/>
    </row>
    <row r="21" spans="1:11" x14ac:dyDescent="0.35">
      <c r="A21" s="30" t="s">
        <v>66</v>
      </c>
      <c r="B21" s="7">
        <v>3</v>
      </c>
      <c r="C21" s="7"/>
      <c r="D21" s="7" t="s">
        <v>78</v>
      </c>
      <c r="E21" s="7"/>
      <c r="F21" s="7"/>
      <c r="G21" s="7"/>
      <c r="H21" s="7"/>
      <c r="I21" s="7"/>
      <c r="J21" s="7"/>
      <c r="K21" s="15"/>
    </row>
    <row r="22" spans="1:11" x14ac:dyDescent="0.35">
      <c r="A22" s="30"/>
      <c r="B22" s="55"/>
      <c r="C22" s="7"/>
      <c r="D22" s="7"/>
      <c r="E22" s="7">
        <f t="shared" ref="E22:F22" si="1">$B$19*$B$20</f>
        <v>4</v>
      </c>
      <c r="F22" s="7">
        <f t="shared" si="1"/>
        <v>4</v>
      </c>
      <c r="G22" s="7">
        <f>$B$19*$B$20+B19</f>
        <v>104</v>
      </c>
      <c r="H22" s="7"/>
      <c r="I22" s="7"/>
      <c r="J22" s="7"/>
      <c r="K22" s="15"/>
    </row>
    <row r="23" spans="1:11" ht="15" thickBot="1" x14ac:dyDescent="0.4">
      <c r="A23" s="20"/>
      <c r="B23" s="21"/>
      <c r="C23" s="21"/>
      <c r="D23" s="21"/>
      <c r="E23" s="21" t="s">
        <v>79</v>
      </c>
      <c r="F23" s="21" t="s">
        <v>80</v>
      </c>
      <c r="G23" s="21" t="s">
        <v>81</v>
      </c>
      <c r="H23" s="21"/>
      <c r="I23" s="21"/>
      <c r="J23" s="21"/>
      <c r="K23" s="22"/>
    </row>
    <row r="24" spans="1:11" ht="15.5" thickTop="1" thickBot="1" x14ac:dyDescent="0.4"/>
    <row r="25" spans="1:11" ht="15" thickTop="1" x14ac:dyDescent="0.35">
      <c r="A25" s="71" t="s">
        <v>102</v>
      </c>
      <c r="B25" s="12"/>
      <c r="C25" s="12"/>
      <c r="D25" s="12"/>
      <c r="E25" s="12"/>
      <c r="F25" s="12"/>
      <c r="G25" s="12"/>
      <c r="H25" s="13"/>
    </row>
    <row r="26" spans="1:11" x14ac:dyDescent="0.35">
      <c r="A26" s="30" t="s">
        <v>118</v>
      </c>
      <c r="B26" s="7"/>
      <c r="C26" s="7"/>
      <c r="D26" s="7"/>
      <c r="E26" s="7"/>
      <c r="F26" s="31" t="s">
        <v>106</v>
      </c>
      <c r="G26" s="7"/>
      <c r="H26" s="15"/>
    </row>
    <row r="27" spans="1:11" x14ac:dyDescent="0.35">
      <c r="A27" s="38"/>
      <c r="B27" s="61"/>
      <c r="C27" s="61"/>
      <c r="D27" s="61">
        <v>0</v>
      </c>
      <c r="E27" s="7"/>
      <c r="F27" s="7"/>
      <c r="G27" s="7"/>
      <c r="H27" s="15"/>
    </row>
    <row r="28" spans="1:11" x14ac:dyDescent="0.35">
      <c r="A28" s="38"/>
      <c r="B28" s="61"/>
      <c r="C28" s="61">
        <f>MIN(F$19,$G$22/(1+C3))</f>
        <v>97.196261682242991</v>
      </c>
      <c r="D28" s="61">
        <v>0</v>
      </c>
      <c r="E28" s="7"/>
      <c r="F28" s="62"/>
      <c r="G28" s="62"/>
      <c r="H28" s="63" t="str">
        <f>IF(C28=F$19,"Call", "Hold")</f>
        <v>Hold</v>
      </c>
    </row>
    <row r="29" spans="1:11" x14ac:dyDescent="0.35">
      <c r="A29" s="38"/>
      <c r="B29" s="61">
        <f>MIN(E$19,(F4*($F$22+C28)+(1-F4)*($F$22+C29))/(1+B4))</f>
        <v>96.51610952968737</v>
      </c>
      <c r="C29" s="61">
        <f t="shared" ref="C29:C30" si="2">MIN(F$19,$G$22/(1+C4))</f>
        <v>99.047619047619037</v>
      </c>
      <c r="D29" s="61">
        <v>0</v>
      </c>
      <c r="E29" s="7"/>
      <c r="F29" s="62"/>
      <c r="G29" s="62" t="str">
        <f>IF(B29=E$19,"Call", "Hold")</f>
        <v>Hold</v>
      </c>
      <c r="H29" s="63" t="str">
        <f t="shared" ref="H29" si="3">IF(C29=F$19,"Call", "Hold")</f>
        <v>Hold</v>
      </c>
    </row>
    <row r="30" spans="1:11" x14ac:dyDescent="0.35">
      <c r="A30" s="60">
        <f>MIN(D$19,(E5*($E$22+B29)+(1-E5)*($E$22+B30))/(1+A5))</f>
        <v>96.428304295145608</v>
      </c>
      <c r="B30" s="61">
        <f>MIN(E$19,(F5*($F$22+C29)+(1-F5)*($F$22+C30))/(1+B5))</f>
        <v>99.450549450549431</v>
      </c>
      <c r="C30" s="61">
        <f t="shared" si="2"/>
        <v>100</v>
      </c>
      <c r="D30" s="61">
        <v>0</v>
      </c>
      <c r="E30" s="7"/>
      <c r="F30" s="62" t="str">
        <f>IF(A30=D$19,"Call", "Hold")</f>
        <v>Hold</v>
      </c>
      <c r="G30" s="62" t="str">
        <f>IF(B30=E$19,"Call", "Hold")</f>
        <v>Hold</v>
      </c>
      <c r="H30" s="63" t="str">
        <f>IF(C30=F$19,"Call", "Hold")</f>
        <v>Call</v>
      </c>
    </row>
    <row r="31" spans="1:11" ht="15" thickBot="1" x14ac:dyDescent="0.4">
      <c r="A31" s="32" t="s">
        <v>103</v>
      </c>
      <c r="B31" s="40">
        <v>1</v>
      </c>
      <c r="C31" s="40">
        <v>2</v>
      </c>
      <c r="D31" s="40">
        <v>3</v>
      </c>
      <c r="E31" s="21"/>
      <c r="F31" s="32" t="s">
        <v>103</v>
      </c>
      <c r="G31" s="40">
        <v>1</v>
      </c>
      <c r="H31" s="41">
        <v>2</v>
      </c>
    </row>
    <row r="32" spans="1:11" ht="15.5" thickTop="1" thickBot="1" x14ac:dyDescent="0.4"/>
    <row r="33" spans="1:9" ht="15" thickTop="1" x14ac:dyDescent="0.35">
      <c r="A33" s="70" t="s">
        <v>85</v>
      </c>
      <c r="B33" s="12"/>
      <c r="C33" s="12"/>
      <c r="D33" s="12"/>
      <c r="E33" s="12"/>
      <c r="F33" s="12"/>
      <c r="G33" s="12"/>
      <c r="H33" s="12"/>
      <c r="I33" s="13"/>
    </row>
    <row r="34" spans="1:9" x14ac:dyDescent="0.35">
      <c r="A34" s="18" t="s">
        <v>86</v>
      </c>
      <c r="B34" s="7"/>
      <c r="C34" s="7"/>
      <c r="D34" s="7"/>
      <c r="E34" s="7"/>
      <c r="F34" s="7"/>
      <c r="G34" s="7"/>
      <c r="H34" s="7"/>
      <c r="I34" s="15"/>
    </row>
    <row r="35" spans="1:9" x14ac:dyDescent="0.35">
      <c r="A35" s="18" t="s">
        <v>87</v>
      </c>
      <c r="B35" s="59">
        <f>100/J16</f>
        <v>1.0351124285949092</v>
      </c>
      <c r="C35" s="7" t="s">
        <v>88</v>
      </c>
      <c r="D35" s="7"/>
      <c r="E35" s="7"/>
      <c r="F35" s="7" t="s">
        <v>89</v>
      </c>
      <c r="G35" s="59">
        <f>B35*E22</f>
        <v>4.1404497143796366</v>
      </c>
      <c r="H35" s="7"/>
      <c r="I35" s="15"/>
    </row>
    <row r="36" spans="1:9" x14ac:dyDescent="0.35">
      <c r="A36" s="18" t="s">
        <v>90</v>
      </c>
      <c r="B36" s="59">
        <f>100/A30</f>
        <v>1.0370399099202474</v>
      </c>
      <c r="C36" s="7" t="s">
        <v>105</v>
      </c>
      <c r="D36" s="7"/>
      <c r="E36" s="7"/>
      <c r="F36" s="7" t="s">
        <v>89</v>
      </c>
      <c r="G36" s="59">
        <f>E22*B36</f>
        <v>4.1481596396809897</v>
      </c>
      <c r="H36" s="7"/>
      <c r="I36" s="15"/>
    </row>
    <row r="37" spans="1:9" x14ac:dyDescent="0.35">
      <c r="A37" s="18" t="s">
        <v>91</v>
      </c>
      <c r="B37" s="7"/>
      <c r="C37" s="7"/>
      <c r="D37" s="7"/>
      <c r="E37" s="7"/>
      <c r="F37" s="7"/>
      <c r="G37" s="7"/>
      <c r="H37" s="7"/>
      <c r="I37" s="15"/>
    </row>
    <row r="38" spans="1:9" x14ac:dyDescent="0.35">
      <c r="A38" s="18" t="s">
        <v>92</v>
      </c>
      <c r="B38" s="7"/>
      <c r="C38" s="7"/>
      <c r="D38" s="7"/>
      <c r="E38" s="7"/>
      <c r="F38" s="7"/>
      <c r="G38" s="7"/>
      <c r="H38" s="7"/>
      <c r="I38" s="15"/>
    </row>
    <row r="39" spans="1:9" x14ac:dyDescent="0.35">
      <c r="A39" s="18"/>
      <c r="B39" s="7"/>
      <c r="C39" s="7"/>
      <c r="D39" s="7"/>
      <c r="E39" s="7"/>
      <c r="F39" s="7"/>
      <c r="G39" s="7"/>
      <c r="H39" s="7"/>
      <c r="I39" s="15"/>
    </row>
    <row r="40" spans="1:9" x14ac:dyDescent="0.35">
      <c r="A40" s="18" t="s">
        <v>93</v>
      </c>
      <c r="B40" s="7"/>
      <c r="C40" s="7"/>
      <c r="D40" s="7"/>
      <c r="E40" s="7"/>
      <c r="F40" s="64">
        <f>F22*D12+G22*G12</f>
        <v>100.20469726352079</v>
      </c>
      <c r="G40" s="7" t="s">
        <v>95</v>
      </c>
      <c r="H40" s="7"/>
      <c r="I40" s="65">
        <f>F40*B35</f>
        <v>103.72312754106065</v>
      </c>
    </row>
    <row r="41" spans="1:9" x14ac:dyDescent="0.35">
      <c r="A41" s="18" t="s">
        <v>94</v>
      </c>
      <c r="B41" s="7"/>
      <c r="C41" s="7"/>
      <c r="D41" s="7"/>
      <c r="E41" s="7"/>
      <c r="F41" s="64">
        <f>B30</f>
        <v>99.450549450549431</v>
      </c>
      <c r="G41" s="7" t="s">
        <v>95</v>
      </c>
      <c r="H41" s="7"/>
      <c r="I41" s="65">
        <f>F41*B36</f>
        <v>103.1341888437169</v>
      </c>
    </row>
    <row r="42" spans="1:9" x14ac:dyDescent="0.35">
      <c r="A42" s="18" t="s">
        <v>96</v>
      </c>
      <c r="B42" s="7"/>
      <c r="C42" s="7"/>
      <c r="D42" s="7"/>
      <c r="E42" s="7"/>
      <c r="F42" s="7"/>
      <c r="G42" s="7"/>
      <c r="H42" s="7"/>
      <c r="I42" s="15"/>
    </row>
    <row r="43" spans="1:9" x14ac:dyDescent="0.35">
      <c r="A43" s="18" t="s">
        <v>97</v>
      </c>
      <c r="B43" s="7"/>
      <c r="C43" s="7"/>
      <c r="D43" s="7"/>
      <c r="E43" s="7"/>
      <c r="F43" s="7"/>
      <c r="G43" s="7"/>
      <c r="H43" s="7"/>
      <c r="I43" s="15"/>
    </row>
    <row r="44" spans="1:9" x14ac:dyDescent="0.35">
      <c r="A44" s="18" t="s">
        <v>98</v>
      </c>
      <c r="B44" s="7"/>
      <c r="C44" s="7"/>
      <c r="D44" s="7"/>
      <c r="E44" s="7"/>
      <c r="F44" s="7"/>
      <c r="G44" s="7"/>
      <c r="H44" s="7"/>
      <c r="I44" s="15"/>
    </row>
    <row r="45" spans="1:9" x14ac:dyDescent="0.35">
      <c r="A45" s="18" t="s">
        <v>99</v>
      </c>
      <c r="B45" s="7"/>
      <c r="C45" s="7"/>
      <c r="D45" s="7"/>
      <c r="E45" s="7"/>
      <c r="F45" s="7"/>
      <c r="G45" s="7"/>
      <c r="H45" s="7"/>
      <c r="I45" s="15"/>
    </row>
    <row r="46" spans="1:9" x14ac:dyDescent="0.35">
      <c r="A46" s="18" t="s">
        <v>100</v>
      </c>
      <c r="B46" s="7"/>
      <c r="C46" s="7"/>
      <c r="D46" s="7"/>
      <c r="E46" s="7"/>
      <c r="F46" s="7"/>
      <c r="G46" s="7"/>
      <c r="H46" s="7"/>
      <c r="I46" s="15"/>
    </row>
    <row r="47" spans="1:9" x14ac:dyDescent="0.35">
      <c r="A47" s="18" t="s">
        <v>119</v>
      </c>
      <c r="B47" s="7"/>
      <c r="C47" s="7"/>
      <c r="D47" s="7"/>
      <c r="E47" s="7"/>
      <c r="F47" s="7"/>
      <c r="G47" s="7"/>
      <c r="H47" s="7"/>
      <c r="I47" s="15"/>
    </row>
    <row r="48" spans="1:9" ht="15" thickBot="1" x14ac:dyDescent="0.4">
      <c r="A48" s="20" t="s">
        <v>101</v>
      </c>
      <c r="B48" s="21"/>
      <c r="C48" s="21"/>
      <c r="D48" s="21"/>
      <c r="E48" s="21"/>
      <c r="F48" s="21"/>
      <c r="G48" s="21"/>
      <c r="H48" s="21"/>
      <c r="I48" s="22"/>
    </row>
    <row r="49" ht="15" thickTop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I15" sqref="I15"/>
    </sheetView>
  </sheetViews>
  <sheetFormatPr defaultRowHeight="14.5" x14ac:dyDescent="0.35"/>
  <cols>
    <col min="1" max="1" width="12.26953125" customWidth="1"/>
    <col min="3" max="3" width="5.90625" customWidth="1"/>
    <col min="4" max="4" width="11.81640625" customWidth="1"/>
    <col min="8" max="8" width="15.453125" customWidth="1"/>
  </cols>
  <sheetData>
    <row r="1" spans="1:7" ht="15" thickTop="1" x14ac:dyDescent="0.35">
      <c r="A1" s="74" t="s">
        <v>45</v>
      </c>
      <c r="B1" s="12"/>
      <c r="C1" s="12"/>
      <c r="D1" s="12"/>
      <c r="E1" s="12"/>
      <c r="F1" s="12"/>
      <c r="G1" s="13"/>
    </row>
    <row r="2" spans="1:7" x14ac:dyDescent="0.35">
      <c r="A2" s="18" t="s">
        <v>46</v>
      </c>
      <c r="B2" s="7"/>
      <c r="C2" s="7"/>
      <c r="D2" s="7"/>
      <c r="E2" s="7"/>
      <c r="F2" s="7"/>
      <c r="G2" s="15"/>
    </row>
    <row r="3" spans="1:7" x14ac:dyDescent="0.35">
      <c r="A3" s="18"/>
      <c r="B3" s="7"/>
      <c r="C3" s="7"/>
      <c r="D3" s="7"/>
      <c r="E3" s="7"/>
      <c r="F3" s="7"/>
      <c r="G3" s="15"/>
    </row>
    <row r="4" spans="1:7" x14ac:dyDescent="0.35">
      <c r="A4" s="18"/>
      <c r="B4" s="7"/>
      <c r="C4" s="7"/>
      <c r="D4" s="7"/>
      <c r="E4" s="7"/>
      <c r="F4" s="7"/>
      <c r="G4" s="15"/>
    </row>
    <row r="5" spans="1:7" x14ac:dyDescent="0.35">
      <c r="A5" s="18"/>
      <c r="B5" s="7"/>
      <c r="C5" s="7"/>
      <c r="D5" s="7"/>
      <c r="E5" s="7"/>
      <c r="F5" s="7"/>
      <c r="G5" s="15"/>
    </row>
    <row r="6" spans="1:7" x14ac:dyDescent="0.35">
      <c r="A6" s="18"/>
      <c r="B6" s="7"/>
      <c r="C6" s="7"/>
      <c r="D6" s="7"/>
      <c r="E6" s="7"/>
      <c r="F6" s="7"/>
      <c r="G6" s="15"/>
    </row>
    <row r="7" spans="1:7" x14ac:dyDescent="0.35">
      <c r="A7" s="18"/>
      <c r="B7" s="7"/>
      <c r="C7" s="7"/>
      <c r="D7" s="7"/>
      <c r="E7" s="7"/>
      <c r="F7" s="7"/>
      <c r="G7" s="15"/>
    </row>
    <row r="8" spans="1:7" x14ac:dyDescent="0.35">
      <c r="A8" s="18"/>
      <c r="B8" s="7"/>
      <c r="C8" s="7"/>
      <c r="D8" s="7"/>
      <c r="E8" s="7"/>
      <c r="F8" s="7"/>
      <c r="G8" s="15"/>
    </row>
    <row r="9" spans="1:7" x14ac:dyDescent="0.35">
      <c r="A9" s="18"/>
      <c r="B9" s="7"/>
      <c r="C9" s="7"/>
      <c r="D9" s="7"/>
      <c r="E9" s="7"/>
      <c r="F9" s="7"/>
      <c r="G9" s="15"/>
    </row>
    <row r="10" spans="1:7" x14ac:dyDescent="0.35">
      <c r="A10" s="18"/>
      <c r="B10" s="7"/>
      <c r="C10" s="7"/>
      <c r="D10" s="7"/>
      <c r="E10" s="7"/>
      <c r="F10" s="7"/>
      <c r="G10" s="15"/>
    </row>
    <row r="11" spans="1:7" x14ac:dyDescent="0.35">
      <c r="A11" s="18"/>
      <c r="B11" s="7"/>
      <c r="C11" s="7"/>
      <c r="D11" s="7"/>
      <c r="E11" s="7"/>
      <c r="F11" s="7"/>
      <c r="G11" s="15"/>
    </row>
    <row r="12" spans="1:7" x14ac:dyDescent="0.35">
      <c r="A12" s="18"/>
      <c r="B12" s="7"/>
      <c r="C12" s="7"/>
      <c r="D12" s="7"/>
      <c r="E12" s="7"/>
      <c r="F12" s="7"/>
      <c r="G12" s="15"/>
    </row>
    <row r="13" spans="1:7" x14ac:dyDescent="0.35">
      <c r="A13" s="18"/>
      <c r="B13" s="7"/>
      <c r="C13" s="7"/>
      <c r="D13" s="7"/>
      <c r="E13" s="7"/>
      <c r="F13" s="7"/>
      <c r="G13" s="15"/>
    </row>
    <row r="14" spans="1:7" x14ac:dyDescent="0.35">
      <c r="A14" s="18"/>
      <c r="B14" s="7"/>
      <c r="C14" s="7"/>
      <c r="D14" s="7"/>
      <c r="E14" s="7"/>
      <c r="F14" s="7"/>
      <c r="G14" s="15"/>
    </row>
    <row r="15" spans="1:7" x14ac:dyDescent="0.35">
      <c r="A15" s="18"/>
      <c r="B15" s="7"/>
      <c r="C15" s="7"/>
      <c r="D15" s="7"/>
      <c r="E15" s="7"/>
      <c r="F15" s="7"/>
      <c r="G15" s="15"/>
    </row>
    <row r="16" spans="1:7" x14ac:dyDescent="0.35">
      <c r="A16" s="18"/>
      <c r="B16" s="7"/>
      <c r="C16" s="7"/>
      <c r="D16" s="7"/>
      <c r="E16" s="7"/>
      <c r="F16" s="7"/>
      <c r="G16" s="15"/>
    </row>
    <row r="17" spans="1:8" x14ac:dyDescent="0.35">
      <c r="A17" s="18"/>
      <c r="B17" s="7"/>
      <c r="C17" s="7"/>
      <c r="D17" s="7"/>
      <c r="E17" s="7"/>
      <c r="F17" s="7"/>
      <c r="G17" s="15"/>
    </row>
    <row r="18" spans="1:8" ht="15" thickBot="1" x14ac:dyDescent="0.4">
      <c r="A18" s="20" t="s">
        <v>47</v>
      </c>
      <c r="B18" s="21"/>
      <c r="C18" s="21"/>
      <c r="D18" s="21"/>
      <c r="E18" s="21"/>
      <c r="F18" s="21"/>
      <c r="G18" s="22"/>
    </row>
    <row r="19" spans="1:8" ht="15.5" thickTop="1" thickBot="1" x14ac:dyDescent="0.4"/>
    <row r="20" spans="1:8" ht="15" thickTop="1" x14ac:dyDescent="0.35">
      <c r="A20" s="74" t="s">
        <v>48</v>
      </c>
      <c r="B20" s="12"/>
      <c r="C20" s="12"/>
      <c r="D20" s="12"/>
      <c r="E20" s="12"/>
      <c r="F20" s="12"/>
      <c r="G20" s="12"/>
      <c r="H20" s="13"/>
    </row>
    <row r="21" spans="1:8" x14ac:dyDescent="0.35">
      <c r="A21" s="18"/>
      <c r="B21" s="7"/>
      <c r="C21" s="7"/>
      <c r="D21" s="7" t="s">
        <v>52</v>
      </c>
      <c r="E21" s="7"/>
      <c r="F21" s="7"/>
      <c r="G21" s="7"/>
      <c r="H21" s="15"/>
    </row>
    <row r="22" spans="1:8" x14ac:dyDescent="0.35">
      <c r="A22" s="18" t="s">
        <v>49</v>
      </c>
      <c r="B22" s="7">
        <v>0.2</v>
      </c>
      <c r="C22" s="7"/>
      <c r="D22" s="7">
        <f>B22^2</f>
        <v>4.0000000000000008E-2</v>
      </c>
      <c r="E22" s="7">
        <f>D23</f>
        <v>0.03</v>
      </c>
      <c r="F22" s="7"/>
      <c r="G22" s="7"/>
      <c r="H22" s="15"/>
    </row>
    <row r="23" spans="1:8" x14ac:dyDescent="0.35">
      <c r="A23" s="18" t="s">
        <v>50</v>
      </c>
      <c r="B23" s="7">
        <v>0.3</v>
      </c>
      <c r="C23" s="7"/>
      <c r="D23" s="7">
        <f>B22*B23*B24</f>
        <v>0.03</v>
      </c>
      <c r="E23" s="7">
        <f>B23^2</f>
        <v>0.09</v>
      </c>
      <c r="F23" s="7"/>
      <c r="G23" s="7"/>
      <c r="H23" s="15"/>
    </row>
    <row r="24" spans="1:8" x14ac:dyDescent="0.35">
      <c r="A24" s="18" t="s">
        <v>51</v>
      </c>
      <c r="B24" s="7">
        <v>0.5</v>
      </c>
      <c r="C24" s="7"/>
      <c r="D24" s="7"/>
      <c r="E24" s="7"/>
      <c r="F24" s="7"/>
      <c r="G24" s="7"/>
      <c r="H24" s="15"/>
    </row>
    <row r="25" spans="1:8" x14ac:dyDescent="0.35">
      <c r="A25" s="18"/>
      <c r="B25" s="7"/>
      <c r="C25" s="7"/>
      <c r="D25" s="7"/>
      <c r="E25" s="7"/>
      <c r="F25" s="7"/>
      <c r="G25" s="7"/>
      <c r="H25" s="15"/>
    </row>
    <row r="26" spans="1:8" x14ac:dyDescent="0.35">
      <c r="A26" s="18" t="s">
        <v>53</v>
      </c>
      <c r="B26" s="7">
        <v>0.85714285214285713</v>
      </c>
      <c r="C26" s="7"/>
      <c r="D26" s="7" t="s">
        <v>55</v>
      </c>
      <c r="E26" s="7"/>
      <c r="F26" s="7"/>
      <c r="G26" s="7"/>
      <c r="H26" s="15"/>
    </row>
    <row r="27" spans="1:8" x14ac:dyDescent="0.35">
      <c r="A27" s="18" t="s">
        <v>54</v>
      </c>
      <c r="B27" s="7">
        <f>1-B26</f>
        <v>0.14285714785714287</v>
      </c>
      <c r="C27" s="7"/>
      <c r="D27" s="68">
        <f t="array" ref="D27">MMULT(TRANSPOSE(B26:B27),MMULT(D22:E23,B26:B27))</f>
        <v>3.8571428571428576E-2</v>
      </c>
      <c r="E27" s="7" t="s">
        <v>56</v>
      </c>
      <c r="F27" s="7"/>
      <c r="G27" s="7"/>
      <c r="H27" s="15"/>
    </row>
    <row r="28" spans="1:8" x14ac:dyDescent="0.35">
      <c r="A28" s="18"/>
      <c r="B28" s="7"/>
      <c r="C28" s="7"/>
      <c r="D28" s="7" t="s">
        <v>104</v>
      </c>
      <c r="E28" s="24" t="s">
        <v>116</v>
      </c>
      <c r="F28" s="24"/>
      <c r="G28" s="24"/>
      <c r="H28" s="25"/>
    </row>
    <row r="29" spans="1:8" x14ac:dyDescent="0.35">
      <c r="A29" s="18" t="s">
        <v>57</v>
      </c>
      <c r="B29" s="7">
        <f>B26*B22+B23*B27</f>
        <v>0.21428571478571429</v>
      </c>
      <c r="C29" s="7"/>
      <c r="D29" s="68">
        <f>SQRT(D27)</f>
        <v>0.19639610121239315</v>
      </c>
      <c r="E29" s="24" t="s">
        <v>117</v>
      </c>
      <c r="F29" s="24"/>
      <c r="G29" s="24"/>
      <c r="H29" s="25"/>
    </row>
    <row r="30" spans="1:8" ht="15" thickBot="1" x14ac:dyDescent="0.4">
      <c r="A30" s="20" t="s">
        <v>58</v>
      </c>
      <c r="B30" s="21">
        <f>B29-SQRT(D27)</f>
        <v>1.7889613573321139E-2</v>
      </c>
      <c r="C30" s="21"/>
      <c r="D30" s="21"/>
      <c r="E30" s="21"/>
      <c r="F30" s="21"/>
      <c r="G30" s="21"/>
      <c r="H30" s="22"/>
    </row>
    <row r="31" spans="1:8" ht="15" thickTop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Opgave 1</vt:lpstr>
      <vt:lpstr>Opgave 2</vt:lpstr>
      <vt:lpstr>Opgave 3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Poulsen</dc:creator>
  <cp:lastModifiedBy>Rolf Poulsen</cp:lastModifiedBy>
  <dcterms:created xsi:type="dcterms:W3CDTF">2020-06-09T14:53:22Z</dcterms:created>
  <dcterms:modified xsi:type="dcterms:W3CDTF">2020-08-13T14:33:28Z</dcterms:modified>
</cp:coreProperties>
</file>