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qw767\Dropbox\Teaching\Fin1\Fin1 2021\eksamen 2021\"/>
    </mc:Choice>
  </mc:AlternateContent>
  <bookViews>
    <workbookView xWindow="0" yWindow="0" windowWidth="19200" windowHeight="6300" activeTab="2"/>
  </bookViews>
  <sheets>
    <sheet name="Opg 1" sheetId="1" r:id="rId1"/>
    <sheet name="opg2" sheetId="2" r:id="rId2"/>
    <sheet name="Opg3" sheetId="3" r:id="rId3"/>
  </sheets>
  <definedNames>
    <definedName name="ones">'Opg3'!$G$37:$G$38</definedName>
    <definedName name="pi_">'Opg3'!$B$9:$B$10</definedName>
    <definedName name="R_1">'Opg 1'!$B$2</definedName>
    <definedName name="Sigma">'Opg3'!$D$37:$E$38</definedName>
    <definedName name="Strike">'Opg 1'!$B$19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4" i="3" l="1"/>
  <c r="H24" i="3" l="1"/>
  <c r="B42" i="1" l="1"/>
  <c r="A54" i="1" l="1"/>
  <c r="E54" i="1"/>
  <c r="C82" i="1"/>
  <c r="C80" i="1"/>
  <c r="C78" i="1"/>
  <c r="H26" i="3" l="1"/>
  <c r="H25" i="3"/>
  <c r="G26" i="3"/>
  <c r="G25" i="3"/>
  <c r="G24" i="3"/>
  <c r="C26" i="3"/>
  <c r="C25" i="3"/>
  <c r="C24" i="3"/>
  <c r="B26" i="3"/>
  <c r="B25" i="3"/>
  <c r="B24" i="3"/>
  <c r="B27" i="3" s="1" a="1"/>
  <c r="B27" i="3" s="1"/>
  <c r="E4" i="3"/>
  <c r="E3" i="3"/>
  <c r="E2" i="3"/>
  <c r="E5" i="3" s="1"/>
  <c r="D10" i="3" a="1"/>
  <c r="D10" i="3" s="1"/>
  <c r="D9" i="3" a="1"/>
  <c r="D9" i="3" s="1"/>
  <c r="A71" i="1"/>
  <c r="A69" i="1"/>
  <c r="B69" i="1"/>
  <c r="B68" i="1"/>
  <c r="C66" i="1"/>
  <c r="C65" i="1"/>
  <c r="B66" i="1" s="1"/>
  <c r="C64" i="1"/>
  <c r="C61" i="1"/>
  <c r="C60" i="1"/>
  <c r="C59" i="1"/>
  <c r="C58" i="1"/>
  <c r="B60" i="1"/>
  <c r="B59" i="1"/>
  <c r="E55" i="1"/>
  <c r="A55" i="1"/>
  <c r="D44" i="1" a="1"/>
  <c r="D44" i="1" s="1"/>
  <c r="B44" i="1"/>
  <c r="D38" i="1"/>
  <c r="C22" i="1"/>
  <c r="C76" i="1" s="1"/>
  <c r="C21" i="1"/>
  <c r="C75" i="1" s="1"/>
  <c r="C20" i="1"/>
  <c r="B2" i="1"/>
  <c r="C12" i="1" s="1"/>
  <c r="C13" i="1" s="1"/>
  <c r="C10" i="1"/>
  <c r="C9" i="1"/>
  <c r="C8" i="1"/>
  <c r="C7" i="1"/>
  <c r="B9" i="1"/>
  <c r="B8" i="1"/>
  <c r="D26" i="3" l="1"/>
  <c r="B37" i="3"/>
  <c r="C74" i="1"/>
  <c r="B75" i="1" s="1"/>
  <c r="B21" i="1"/>
  <c r="C26" i="1"/>
  <c r="B76" i="1"/>
  <c r="C79" i="1"/>
  <c r="D24" i="3"/>
  <c r="D25" i="3"/>
  <c r="G27" i="3" a="1"/>
  <c r="G27" i="3" s="1"/>
  <c r="F10" i="3"/>
  <c r="E10" i="3"/>
  <c r="F9" i="3"/>
  <c r="E9" i="3"/>
  <c r="C20" i="3" s="1" a="1"/>
  <c r="B65" i="1"/>
  <c r="A66" i="1" s="1"/>
  <c r="D45" i="1"/>
  <c r="C27" i="1"/>
  <c r="C29" i="1" s="1"/>
  <c r="C14" i="1"/>
  <c r="C15" i="1" s="1"/>
  <c r="B13" i="1"/>
  <c r="B14" i="1" s="1"/>
  <c r="C20" i="3" l="1"/>
  <c r="C21" i="3"/>
  <c r="I24" i="3"/>
  <c r="B38" i="3"/>
  <c r="C28" i="1"/>
  <c r="C31" i="1" s="1"/>
  <c r="A76" i="1"/>
  <c r="B79" i="1"/>
  <c r="C32" i="1"/>
  <c r="C81" i="1"/>
  <c r="C83" i="1" s="1"/>
  <c r="B33" i="3"/>
  <c r="B28" i="3"/>
  <c r="B29" i="3" s="1"/>
  <c r="A16" i="3" a="1"/>
  <c r="A16" i="3" s="1"/>
  <c r="B32" i="3"/>
  <c r="I26" i="3"/>
  <c r="B31" i="3"/>
  <c r="I25" i="3"/>
  <c r="B22" i="1"/>
  <c r="D37" i="3" l="1"/>
  <c r="B81" i="1"/>
  <c r="B83" i="1" s="1"/>
  <c r="A17" i="3"/>
  <c r="A20" i="3" s="1" a="1"/>
  <c r="G28" i="3"/>
  <c r="G29" i="3" s="1"/>
  <c r="B35" i="3" s="1"/>
  <c r="D38" i="3"/>
  <c r="E37" i="3" s="1"/>
  <c r="A22" i="1"/>
  <c r="B27" i="1"/>
  <c r="B29" i="1" s="1"/>
  <c r="B32" i="1" s="1"/>
  <c r="E38" i="3" l="1"/>
  <c r="B40" i="3" s="1" a="1"/>
  <c r="B40" i="3" s="1"/>
  <c r="A21" i="3"/>
  <c r="A20" i="3"/>
  <c r="B41" i="3" l="1"/>
  <c r="B44" i="3" a="1"/>
  <c r="B44" i="3" s="1"/>
  <c r="B45" i="3" s="1"/>
  <c r="B43" i="3"/>
</calcChain>
</file>

<file path=xl/sharedStrings.xml><?xml version="1.0" encoding="utf-8"?>
<sst xmlns="http://schemas.openxmlformats.org/spreadsheetml/2006/main" count="87" uniqueCount="68">
  <si>
    <t>u/d</t>
  </si>
  <si>
    <t>q</t>
  </si>
  <si>
    <t>R_1</t>
  </si>
  <si>
    <t>0&lt;d&lt;R&lt;d for alle undermodeller. Arbitragefrit og komplet</t>
  </si>
  <si>
    <t>1.a</t>
  </si>
  <si>
    <t>1.b</t>
  </si>
  <si>
    <t>Strike</t>
  </si>
  <si>
    <t>pf sammensætning</t>
  </si>
  <si>
    <t>a</t>
  </si>
  <si>
    <t>b</t>
  </si>
  <si>
    <t>t=</t>
  </si>
  <si>
    <t>tjæksum</t>
  </si>
  <si>
    <t>1.c</t>
  </si>
  <si>
    <t>Dvs en undermodel hvor</t>
  </si>
  <si>
    <t>pi</t>
  </si>
  <si>
    <t>D</t>
  </si>
  <si>
    <t>Der er kun en arbitragemulighed i t=1 down undermodellen da det er den eneste hvor 0&lt;d&lt;1.04&lt;u ikke holder</t>
  </si>
  <si>
    <t>Det risikofri aktiv er for billigt. Derfor sæt \theta_2=1. Eksempelv på arbitrage</t>
  </si>
  <si>
    <t>theta</t>
  </si>
  <si>
    <t>pris</t>
  </si>
  <si>
    <t>betalings række</t>
  </si>
  <si>
    <t>&gt;0</t>
  </si>
  <si>
    <t>Derfor en arbitrage</t>
  </si>
  <si>
    <t>1.d</t>
  </si>
  <si>
    <t>rentetræ</t>
  </si>
  <si>
    <t>i undermodellen t=1 down skal X opfylde d&lt;1+X&lt;u dvs</t>
  </si>
  <si>
    <t>&lt;</t>
  </si>
  <si>
    <t>X</t>
  </si>
  <si>
    <t>1.e</t>
  </si>
  <si>
    <t>q- ss er IKKE oplyst. Det er med vilje. De skal genberegnes</t>
  </si>
  <si>
    <t>P(0,3)</t>
  </si>
  <si>
    <t>P(1,3)</t>
  </si>
  <si>
    <t>P(2,3)</t>
  </si>
  <si>
    <t>P(0,2)</t>
  </si>
  <si>
    <t>P(1,2)</t>
  </si>
  <si>
    <t>P(0,1)</t>
  </si>
  <si>
    <t>1.f</t>
  </si>
  <si>
    <t>Optionstræ</t>
  </si>
  <si>
    <t>position</t>
  </si>
  <si>
    <t>Optionen koster mere fordi rente niveauet er generelt lavere end i 1b. Intuition: Hvis renten falder stiger prisen på det risikofri aktiv. For at hedge en put er du lang i det risikofri aktiv. Hvis det bliver dyrere er det dyrere at hedge optionion dvs en højere pris.</t>
  </si>
  <si>
    <t>Markedet er åbenlyst ikke komplet da S&gt;N</t>
  </si>
  <si>
    <t>Alternativt kan du bemærke at hvis man gætter en værdi af én indgang i \psi er de øvrige to værdier bestemt. Vi gætter en værdi en af \psi_3=0.39 og de øvrige to indgange bestemmes</t>
  </si>
  <si>
    <t>psi</t>
  </si>
  <si>
    <t>tjæksum D\psi=pi</t>
  </si>
  <si>
    <t xml:space="preserve">realisationer </t>
  </si>
  <si>
    <t>P</t>
  </si>
  <si>
    <t>r</t>
  </si>
  <si>
    <t>mu</t>
  </si>
  <si>
    <t>std</t>
  </si>
  <si>
    <t>(r-mu)^2</t>
  </si>
  <si>
    <t>var</t>
  </si>
  <si>
    <t>aktiv 1</t>
  </si>
  <si>
    <t>aktiv 2</t>
  </si>
  <si>
    <t>covar1,2</t>
  </si>
  <si>
    <t>correl</t>
  </si>
  <si>
    <t>Sigma</t>
  </si>
  <si>
    <t>w_gmv</t>
  </si>
  <si>
    <t>mu_gmv</t>
  </si>
  <si>
    <t>vmu</t>
  </si>
  <si>
    <t>var_gnv</t>
  </si>
  <si>
    <t>std_gmv</t>
  </si>
  <si>
    <t>Vi omformulerer</t>
  </si>
  <si>
    <t>Findes der en positiv løsning til D\psi =pi ? Solver etc kan finde en til dig</t>
  </si>
  <si>
    <t>3.b</t>
  </si>
  <si>
    <t>3.a</t>
  </si>
  <si>
    <t>1+X</t>
  </si>
  <si>
    <t>Komplethed har ikke noget med CAPM ligningen at gøre. Middelværdi og varians, risikofrit aktiv osv kan bestemms  uafhængigt af antal tilstande i økonominien dvs uagtet om S&gt;N er opfyldt eller ej. Ergo uafhængigt af om markedet er komplet eller ej.</t>
  </si>
  <si>
    <t>3.c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</si>
</sst>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52</xdr:row>
      <xdr:rowOff>152400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257300" y="12573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topLeftCell="A19" workbookViewId="0">
      <selection activeCell="G73" sqref="G73"/>
    </sheetView>
  </sheetViews>
  <sheetFormatPr defaultRowHeight="15" x14ac:dyDescent="0.25"/>
  <sheetData>
    <row r="1" spans="1:3" x14ac:dyDescent="0.25">
      <c r="A1" t="s">
        <v>4</v>
      </c>
    </row>
    <row r="2" spans="1:3" x14ac:dyDescent="0.25">
      <c r="A2" t="s">
        <v>2</v>
      </c>
      <c r="B2">
        <f>1+0.02</f>
        <v>1.02</v>
      </c>
    </row>
    <row r="3" spans="1:3" x14ac:dyDescent="0.25">
      <c r="B3">
        <v>3</v>
      </c>
      <c r="C3">
        <v>110</v>
      </c>
    </row>
    <row r="4" spans="1:3" x14ac:dyDescent="0.25">
      <c r="B4">
        <v>104</v>
      </c>
      <c r="C4">
        <v>93</v>
      </c>
    </row>
    <row r="5" spans="1:3" x14ac:dyDescent="0.25">
      <c r="A5">
        <v>100</v>
      </c>
      <c r="B5">
        <v>90</v>
      </c>
      <c r="C5">
        <v>88</v>
      </c>
    </row>
    <row r="6" spans="1:3" x14ac:dyDescent="0.25">
      <c r="B6">
        <v>1</v>
      </c>
    </row>
    <row r="7" spans="1:3" x14ac:dyDescent="0.25">
      <c r="C7">
        <f>C3/B4</f>
        <v>1.0576923076923077</v>
      </c>
    </row>
    <row r="8" spans="1:3" x14ac:dyDescent="0.25">
      <c r="B8">
        <f>(B4+B3)/A5</f>
        <v>1.07</v>
      </c>
      <c r="C8">
        <f>C4/B4</f>
        <v>0.89423076923076927</v>
      </c>
    </row>
    <row r="9" spans="1:3" x14ac:dyDescent="0.25">
      <c r="A9" t="s">
        <v>0</v>
      </c>
      <c r="B9">
        <f>(B5+B6)/A5</f>
        <v>0.91</v>
      </c>
      <c r="C9">
        <f>C4/B5</f>
        <v>1.0333333333333334</v>
      </c>
    </row>
    <row r="10" spans="1:3" x14ac:dyDescent="0.25">
      <c r="C10">
        <f>C5/B5</f>
        <v>0.97777777777777775</v>
      </c>
    </row>
    <row r="12" spans="1:3" x14ac:dyDescent="0.25">
      <c r="C12">
        <f>(R_1-C8)/(C7-C8)</f>
        <v>0.76941176470588235</v>
      </c>
    </row>
    <row r="13" spans="1:3" x14ac:dyDescent="0.25">
      <c r="B13">
        <f>(R_1-B9)/(B8-B9)</f>
        <v>0.68749999999999978</v>
      </c>
      <c r="C13">
        <f>1-C12</f>
        <v>0.23058823529411765</v>
      </c>
    </row>
    <row r="14" spans="1:3" x14ac:dyDescent="0.25">
      <c r="A14" t="s">
        <v>1</v>
      </c>
      <c r="B14">
        <f>1-B13</f>
        <v>0.31250000000000022</v>
      </c>
      <c r="C14">
        <f>(R_1-C10)/(C9-C10)</f>
        <v>0.75999999999999901</v>
      </c>
    </row>
    <row r="15" spans="1:3" x14ac:dyDescent="0.25">
      <c r="C15">
        <f>1-C14</f>
        <v>0.24000000000000099</v>
      </c>
    </row>
    <row r="17" spans="1:3" x14ac:dyDescent="0.25">
      <c r="A17" t="s">
        <v>3</v>
      </c>
    </row>
    <row r="18" spans="1:3" x14ac:dyDescent="0.25">
      <c r="A18" t="s">
        <v>5</v>
      </c>
    </row>
    <row r="19" spans="1:3" x14ac:dyDescent="0.25">
      <c r="A19" t="s">
        <v>6</v>
      </c>
      <c r="B19">
        <v>100</v>
      </c>
    </row>
    <row r="20" spans="1:3" x14ac:dyDescent="0.25">
      <c r="C20">
        <f>MAX(Strike-C3,0)</f>
        <v>0</v>
      </c>
    </row>
    <row r="21" spans="1:3" x14ac:dyDescent="0.25">
      <c r="B21">
        <f>(C20*C12+C21*(1-C12))/R_1</f>
        <v>1.5824682814302193</v>
      </c>
      <c r="C21">
        <f>MAX(Strike-C4,0)</f>
        <v>7</v>
      </c>
    </row>
    <row r="22" spans="1:3" x14ac:dyDescent="0.25">
      <c r="A22">
        <f>(B21*B13+B22*(1-B13))/R_1</f>
        <v>3.5296096523961404</v>
      </c>
      <c r="B22">
        <f>(C21*C14+C22*(1-C14))/R_1</f>
        <v>8.039215686274515</v>
      </c>
      <c r="C22">
        <f>MAX(Strike-C5,0)</f>
        <v>12</v>
      </c>
    </row>
    <row r="24" spans="1:3" x14ac:dyDescent="0.25">
      <c r="A24" t="s">
        <v>7</v>
      </c>
    </row>
    <row r="25" spans="1:3" x14ac:dyDescent="0.25">
      <c r="A25" t="s">
        <v>10</v>
      </c>
      <c r="B25">
        <v>0</v>
      </c>
      <c r="C25">
        <v>1</v>
      </c>
    </row>
    <row r="26" spans="1:3" x14ac:dyDescent="0.25">
      <c r="C26">
        <f>(C20-C21)/( B4*(C7-C8))</f>
        <v>-0.41176470588235303</v>
      </c>
    </row>
    <row r="27" spans="1:3" x14ac:dyDescent="0.25">
      <c r="A27" t="s">
        <v>8</v>
      </c>
      <c r="B27">
        <f>(B21-B22)/(A5*(B8-B9))</f>
        <v>-0.40354671280276838</v>
      </c>
      <c r="C27">
        <f>(C21-C22)/(B5*(C9-C10))</f>
        <v>-0.99999999999999756</v>
      </c>
    </row>
    <row r="28" spans="1:3" x14ac:dyDescent="0.25">
      <c r="C28">
        <f>(C20-C26*C3)/R_1</f>
        <v>44.405997693194934</v>
      </c>
    </row>
    <row r="29" spans="1:3" x14ac:dyDescent="0.25">
      <c r="A29" t="s">
        <v>9</v>
      </c>
      <c r="B29">
        <f>(B21-B27*A5*B8)/R_1</f>
        <v>43.884280932672979</v>
      </c>
      <c r="C29">
        <f>(C21-C27*B5*C9)/R_1</f>
        <v>98.039215686274304</v>
      </c>
    </row>
    <row r="31" spans="1:3" x14ac:dyDescent="0.25">
      <c r="C31">
        <f>B4*C26+C28</f>
        <v>1.5824682814302165</v>
      </c>
    </row>
    <row r="32" spans="1:3" x14ac:dyDescent="0.25">
      <c r="A32" t="s">
        <v>11</v>
      </c>
      <c r="B32">
        <f>B27*A5+B29</f>
        <v>3.5296096523961396</v>
      </c>
      <c r="C32">
        <f>B5*C27+C29</f>
        <v>8.0392156862745168</v>
      </c>
    </row>
    <row r="34" spans="1:6" x14ac:dyDescent="0.25">
      <c r="A34" t="s">
        <v>12</v>
      </c>
    </row>
    <row r="35" spans="1:6" x14ac:dyDescent="0.25">
      <c r="A35" t="s">
        <v>16</v>
      </c>
    </row>
    <row r="36" spans="1:6" x14ac:dyDescent="0.25">
      <c r="A36" t="s">
        <v>13</v>
      </c>
    </row>
    <row r="38" spans="1:6" x14ac:dyDescent="0.25">
      <c r="A38" t="s">
        <v>14</v>
      </c>
      <c r="B38">
        <v>90</v>
      </c>
      <c r="C38" t="s">
        <v>15</v>
      </c>
      <c r="D38">
        <f>93</f>
        <v>93</v>
      </c>
      <c r="E38">
        <v>88</v>
      </c>
    </row>
    <row r="39" spans="1:6" x14ac:dyDescent="0.25">
      <c r="B39">
        <v>1</v>
      </c>
      <c r="D39">
        <v>1.04</v>
      </c>
      <c r="E39">
        <v>1.04</v>
      </c>
    </row>
    <row r="40" spans="1:6" x14ac:dyDescent="0.25">
      <c r="A40" t="s">
        <v>17</v>
      </c>
    </row>
    <row r="42" spans="1:6" x14ac:dyDescent="0.25">
      <c r="A42" t="s">
        <v>18</v>
      </c>
      <c r="B42">
        <f>-1/B38</f>
        <v>-1.1111111111111112E-2</v>
      </c>
      <c r="C42">
        <v>-8.8207056940154283E-3</v>
      </c>
      <c r="D42">
        <v>-0.33910000000000001</v>
      </c>
    </row>
    <row r="43" spans="1:6" x14ac:dyDescent="0.25">
      <c r="B43">
        <v>1</v>
      </c>
      <c r="C43">
        <v>0.86507555349734711</v>
      </c>
      <c r="D43">
        <v>35.587000000000003</v>
      </c>
    </row>
    <row r="44" spans="1:6" x14ac:dyDescent="0.25">
      <c r="A44" t="s">
        <v>19</v>
      </c>
      <c r="B44">
        <f>SUMPRODUCT(B38:B39,B42:B43)</f>
        <v>0</v>
      </c>
      <c r="C44" t="s">
        <v>20</v>
      </c>
      <c r="D44">
        <f t="array" ref="D44:D45">MMULT(TRANSPOSE(D38:E39),B42:B43)</f>
        <v>6.6666666666665986E-3</v>
      </c>
      <c r="E44" t="s">
        <v>21</v>
      </c>
      <c r="F44" t="s">
        <v>22</v>
      </c>
    </row>
    <row r="45" spans="1:6" x14ac:dyDescent="0.25">
      <c r="D45">
        <v>6.2222222222222179E-2</v>
      </c>
    </row>
    <row r="46" spans="1:6" x14ac:dyDescent="0.25">
      <c r="A46" t="s">
        <v>23</v>
      </c>
    </row>
    <row r="47" spans="1:6" x14ac:dyDescent="0.25">
      <c r="A47" t="s">
        <v>24</v>
      </c>
    </row>
    <row r="49" spans="1:5" x14ac:dyDescent="0.25">
      <c r="C49">
        <v>0.05</v>
      </c>
    </row>
    <row r="50" spans="1:5" x14ac:dyDescent="0.25">
      <c r="B50">
        <v>0.02</v>
      </c>
      <c r="C50">
        <v>1.4999999999999999E-2</v>
      </c>
    </row>
    <row r="51" spans="1:5" x14ac:dyDescent="0.25">
      <c r="A51">
        <v>0.01</v>
      </c>
      <c r="B51">
        <v>5.0000000000000001E-3</v>
      </c>
      <c r="C51">
        <v>-0.01</v>
      </c>
    </row>
    <row r="53" spans="1:5" x14ac:dyDescent="0.25">
      <c r="A53" t="s">
        <v>25</v>
      </c>
    </row>
    <row r="54" spans="1:5" x14ac:dyDescent="0.25">
      <c r="A54">
        <f>C10</f>
        <v>0.97777777777777775</v>
      </c>
      <c r="B54" t="s">
        <v>26</v>
      </c>
      <c r="C54" t="s">
        <v>65</v>
      </c>
      <c r="D54" t="s">
        <v>26</v>
      </c>
      <c r="E54">
        <f>C9</f>
        <v>1.0333333333333334</v>
      </c>
    </row>
    <row r="55" spans="1:5" x14ac:dyDescent="0.25">
      <c r="A55">
        <f>C10-1</f>
        <v>-2.2222222222222254E-2</v>
      </c>
      <c r="B55" t="s">
        <v>26</v>
      </c>
      <c r="C55" t="s">
        <v>27</v>
      </c>
      <c r="D55" t="s">
        <v>26</v>
      </c>
      <c r="E55">
        <f>C9-1</f>
        <v>3.3333333333333437E-2</v>
      </c>
    </row>
    <row r="56" spans="1:5" x14ac:dyDescent="0.25">
      <c r="A56" t="s">
        <v>28</v>
      </c>
    </row>
    <row r="57" spans="1:5" x14ac:dyDescent="0.25">
      <c r="A57" t="s">
        <v>29</v>
      </c>
    </row>
    <row r="58" spans="1:5" x14ac:dyDescent="0.25">
      <c r="C58">
        <f>(1+B50-C8)/(C7-C8)</f>
        <v>0.76941176470588235</v>
      </c>
    </row>
    <row r="59" spans="1:5" x14ac:dyDescent="0.25">
      <c r="B59">
        <f>(1+A51-B9)/(B8-B9)</f>
        <v>0.62499999999999978</v>
      </c>
      <c r="C59">
        <f>1-C58</f>
        <v>0.23058823529411765</v>
      </c>
    </row>
    <row r="60" spans="1:5" x14ac:dyDescent="0.25">
      <c r="A60" t="s">
        <v>1</v>
      </c>
      <c r="B60">
        <f>1-B59</f>
        <v>0.37500000000000022</v>
      </c>
      <c r="C60">
        <f>(1+B51-C10)/(C9-C10)</f>
        <v>0.48999999999999744</v>
      </c>
    </row>
    <row r="61" spans="1:5" x14ac:dyDescent="0.25">
      <c r="C61">
        <f>1-C60</f>
        <v>0.51000000000000256</v>
      </c>
    </row>
    <row r="63" spans="1:5" x14ac:dyDescent="0.25">
      <c r="A63" t="s">
        <v>30</v>
      </c>
      <c r="B63" t="s">
        <v>31</v>
      </c>
      <c r="C63" t="s">
        <v>32</v>
      </c>
    </row>
    <row r="64" spans="1:5" x14ac:dyDescent="0.25">
      <c r="C64">
        <f>1/(C49+1)</f>
        <v>0.95238095238095233</v>
      </c>
    </row>
    <row r="65" spans="1:3" x14ac:dyDescent="0.25">
      <c r="B65">
        <f>(C64*C58+C65*(1-C58))/(1+B50)</f>
        <v>0.94113101630104368</v>
      </c>
      <c r="C65">
        <f>1/(C50+1)</f>
        <v>0.98522167487684742</v>
      </c>
    </row>
    <row r="66" spans="1:3" x14ac:dyDescent="0.25">
      <c r="A66" s="1">
        <f>(B65*B59+B66*(1-B59))/(1+A51)</f>
        <v>0.95105090444266982</v>
      </c>
      <c r="B66">
        <f>(C65*C60+C66*(1-C60))/(1+B51)</f>
        <v>0.99294540879718463</v>
      </c>
      <c r="C66">
        <f>1/(C51+1)</f>
        <v>1.0101010101010102</v>
      </c>
    </row>
    <row r="67" spans="1:3" x14ac:dyDescent="0.25">
      <c r="A67" t="s">
        <v>33</v>
      </c>
      <c r="B67" t="s">
        <v>34</v>
      </c>
    </row>
    <row r="68" spans="1:3" x14ac:dyDescent="0.25">
      <c r="B68">
        <f>1/(1+B50)</f>
        <v>0.98039215686274506</v>
      </c>
    </row>
    <row r="69" spans="1:3" x14ac:dyDescent="0.25">
      <c r="A69" s="1">
        <f>(B68*B59+B69*(1-B59))/(1+A51)</f>
        <v>0.97611824395784619</v>
      </c>
      <c r="B69">
        <f>1/(1+B51)</f>
        <v>0.99502487562189068</v>
      </c>
    </row>
    <row r="70" spans="1:3" x14ac:dyDescent="0.25">
      <c r="A70" t="s">
        <v>35</v>
      </c>
    </row>
    <row r="71" spans="1:3" x14ac:dyDescent="0.25">
      <c r="A71" s="1">
        <f>1/(A51+1)</f>
        <v>0.99009900990099009</v>
      </c>
    </row>
    <row r="72" spans="1:3" x14ac:dyDescent="0.25">
      <c r="A72" t="s">
        <v>36</v>
      </c>
    </row>
    <row r="73" spans="1:3" x14ac:dyDescent="0.25">
      <c r="A73" t="s">
        <v>37</v>
      </c>
    </row>
    <row r="74" spans="1:3" x14ac:dyDescent="0.25">
      <c r="C74">
        <f>C20</f>
        <v>0</v>
      </c>
    </row>
    <row r="75" spans="1:3" x14ac:dyDescent="0.25">
      <c r="B75">
        <f>(C74*C58+C75*(1-C58))/(1+B50)</f>
        <v>1.5824682814302193</v>
      </c>
      <c r="C75">
        <f>C21</f>
        <v>7</v>
      </c>
    </row>
    <row r="76" spans="1:3" x14ac:dyDescent="0.25">
      <c r="A76">
        <f>(B75*B59+B76*(1-B59))/(1+A51)</f>
        <v>4.5074014967473168</v>
      </c>
      <c r="B76">
        <f>(C75*C60+C76*(1-C60))/(1+B51)</f>
        <v>9.502487562189069</v>
      </c>
      <c r="C76">
        <f>C22</f>
        <v>12</v>
      </c>
    </row>
    <row r="77" spans="1:3" x14ac:dyDescent="0.25">
      <c r="A77" t="s">
        <v>38</v>
      </c>
    </row>
    <row r="78" spans="1:3" x14ac:dyDescent="0.25">
      <c r="C78">
        <f>(C74-C75)/(B4*(C7-C8))</f>
        <v>-0.41176470588235303</v>
      </c>
    </row>
    <row r="79" spans="1:3" x14ac:dyDescent="0.25">
      <c r="A79" t="s">
        <v>8</v>
      </c>
      <c r="B79">
        <f>(B75-B76)/(A5*(B8-B9))</f>
        <v>-0.49500120504742801</v>
      </c>
      <c r="C79">
        <f>(C75-C76)/(B5*(C9-C10))</f>
        <v>-0.99999999999999756</v>
      </c>
    </row>
    <row r="80" spans="1:3" x14ac:dyDescent="0.25">
      <c r="C80">
        <f>(C74-C78*C3)/(1+B50)</f>
        <v>44.405997693194934</v>
      </c>
    </row>
    <row r="81" spans="1:3" x14ac:dyDescent="0.25">
      <c r="A81" t="s">
        <v>9</v>
      </c>
      <c r="B81">
        <f>(B75-B79*A5*B8)/(1+A51)</f>
        <v>54.007522001490123</v>
      </c>
      <c r="C81">
        <f>(C75-C79*B5*C9)/(1+B51)</f>
        <v>99.502487562188847</v>
      </c>
    </row>
    <row r="82" spans="1:3" x14ac:dyDescent="0.25">
      <c r="C82">
        <f>B4*C78+C80</f>
        <v>1.5824682814302165</v>
      </c>
    </row>
    <row r="83" spans="1:3" x14ac:dyDescent="0.25">
      <c r="A83" t="s">
        <v>11</v>
      </c>
      <c r="B83">
        <f>B79*A5+B81</f>
        <v>4.5074014967473204</v>
      </c>
      <c r="C83">
        <f>C79*B5+C81</f>
        <v>9.5024875621890601</v>
      </c>
    </row>
    <row r="85" spans="1:3" x14ac:dyDescent="0.25">
      <c r="A85" t="s">
        <v>39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tabSelected="1" topLeftCell="A28" workbookViewId="0">
      <selection activeCell="A48" sqref="A48"/>
    </sheetView>
  </sheetViews>
  <sheetFormatPr defaultRowHeight="15" x14ac:dyDescent="0.25"/>
  <sheetData>
    <row r="1" spans="1:6" x14ac:dyDescent="0.25">
      <c r="E1" t="s">
        <v>45</v>
      </c>
    </row>
    <row r="2" spans="1:6" x14ac:dyDescent="0.25">
      <c r="B2">
        <v>140</v>
      </c>
      <c r="D2">
        <v>160</v>
      </c>
      <c r="E2">
        <f>1/3</f>
        <v>0.33333333333333331</v>
      </c>
    </row>
    <row r="3" spans="1:6" x14ac:dyDescent="0.25">
      <c r="A3">
        <v>104</v>
      </c>
      <c r="B3">
        <v>100</v>
      </c>
      <c r="C3">
        <v>107</v>
      </c>
      <c r="D3">
        <v>112</v>
      </c>
      <c r="E3">
        <f>0.5</f>
        <v>0.5</v>
      </c>
    </row>
    <row r="4" spans="1:6" x14ac:dyDescent="0.25">
      <c r="B4">
        <v>92</v>
      </c>
      <c r="D4">
        <v>75</v>
      </c>
      <c r="E4">
        <f>1/6</f>
        <v>0.16666666666666666</v>
      </c>
    </row>
    <row r="5" spans="1:6" x14ac:dyDescent="0.25">
      <c r="D5" t="s">
        <v>11</v>
      </c>
      <c r="E5">
        <f>SUM(E2:E4)</f>
        <v>0.99999999999999989</v>
      </c>
    </row>
    <row r="6" spans="1:6" x14ac:dyDescent="0.25">
      <c r="A6" t="s">
        <v>64</v>
      </c>
    </row>
    <row r="7" spans="1:6" x14ac:dyDescent="0.25">
      <c r="A7" t="s">
        <v>61</v>
      </c>
    </row>
    <row r="9" spans="1:6" x14ac:dyDescent="0.25">
      <c r="A9" t="s">
        <v>14</v>
      </c>
      <c r="B9">
        <v>104</v>
      </c>
      <c r="C9" t="s">
        <v>15</v>
      </c>
      <c r="D9">
        <f t="array" ref="D9:F9">TRANSPOSE(B2:B4)</f>
        <v>140</v>
      </c>
      <c r="E9">
        <v>100</v>
      </c>
      <c r="F9">
        <v>92</v>
      </c>
    </row>
    <row r="10" spans="1:6" x14ac:dyDescent="0.25">
      <c r="B10">
        <v>107</v>
      </c>
      <c r="D10">
        <f t="array" ref="D10:F10">TRANSPOSE(D2:D4)</f>
        <v>160</v>
      </c>
      <c r="E10">
        <v>112</v>
      </c>
      <c r="F10">
        <v>75</v>
      </c>
    </row>
    <row r="11" spans="1:6" x14ac:dyDescent="0.25">
      <c r="A11" t="s">
        <v>40</v>
      </c>
    </row>
    <row r="13" spans="1:6" x14ac:dyDescent="0.25">
      <c r="A13" t="s">
        <v>62</v>
      </c>
    </row>
    <row r="14" spans="1:6" x14ac:dyDescent="0.25">
      <c r="A14" t="s">
        <v>41</v>
      </c>
    </row>
    <row r="15" spans="1:6" x14ac:dyDescent="0.25">
      <c r="A15" t="s">
        <v>42</v>
      </c>
      <c r="C15" t="s">
        <v>42</v>
      </c>
    </row>
    <row r="16" spans="1:6" x14ac:dyDescent="0.25">
      <c r="A16">
        <f t="array" ref="A16:A17">MMULT(MINVERSE(D9:E10),pi_-(F9:F10)*A18)</f>
        <v>0.45487500000000125</v>
      </c>
      <c r="C16">
        <v>0.32290570000000002</v>
      </c>
    </row>
    <row r="17" spans="1:9" x14ac:dyDescent="0.25">
      <c r="A17">
        <v>4.4375000000002274E-2</v>
      </c>
      <c r="C17">
        <v>0.24298775910000001</v>
      </c>
    </row>
    <row r="18" spans="1:9" x14ac:dyDescent="0.25">
      <c r="A18">
        <v>0.39</v>
      </c>
      <c r="C18">
        <v>0.37493931679999998</v>
      </c>
    </row>
    <row r="19" spans="1:9" x14ac:dyDescent="0.25">
      <c r="A19" t="s">
        <v>43</v>
      </c>
      <c r="C19" t="s">
        <v>11</v>
      </c>
    </row>
    <row r="20" spans="1:9" x14ac:dyDescent="0.25">
      <c r="A20">
        <f t="array" ref="A20:A21">MMULT(D9:F10,A16:A18)</f>
        <v>104.0000000000004</v>
      </c>
      <c r="C20">
        <f t="array" ref="C20:C21">MMULT(D9:F10,C16:C18)</f>
        <v>103.99999105559999</v>
      </c>
    </row>
    <row r="21" spans="1:9" x14ac:dyDescent="0.25">
      <c r="A21">
        <v>107.00000000000045</v>
      </c>
      <c r="C21">
        <v>106.99998977920001</v>
      </c>
    </row>
    <row r="22" spans="1:9" x14ac:dyDescent="0.25">
      <c r="A22" t="s">
        <v>63</v>
      </c>
      <c r="B22" t="s">
        <v>51</v>
      </c>
      <c r="F22" t="s">
        <v>5</v>
      </c>
      <c r="G22" t="s">
        <v>52</v>
      </c>
    </row>
    <row r="23" spans="1:9" x14ac:dyDescent="0.25">
      <c r="A23" t="s">
        <v>44</v>
      </c>
      <c r="C23" t="s">
        <v>46</v>
      </c>
      <c r="D23" t="s">
        <v>49</v>
      </c>
      <c r="F23" t="s">
        <v>44</v>
      </c>
      <c r="H23" t="s">
        <v>46</v>
      </c>
      <c r="I23" t="s">
        <v>49</v>
      </c>
    </row>
    <row r="24" spans="1:9" x14ac:dyDescent="0.25">
      <c r="B24">
        <f>1/3</f>
        <v>0.33333333333333331</v>
      </c>
      <c r="C24">
        <f>B2/$A$3-1</f>
        <v>0.34615384615384626</v>
      </c>
      <c r="D24">
        <f>(C24-$B$27)^2</f>
        <v>7.2485207100591739E-2</v>
      </c>
      <c r="G24">
        <f>1/3</f>
        <v>0.33333333333333331</v>
      </c>
      <c r="H24">
        <f>D2/$C$3-1</f>
        <v>0.49532710280373826</v>
      </c>
      <c r="I24">
        <f>(H24-$G$27)^2</f>
        <v>0.12723333430382083</v>
      </c>
    </row>
    <row r="25" spans="1:9" x14ac:dyDescent="0.25">
      <c r="B25">
        <f>0.5</f>
        <v>0.5</v>
      </c>
      <c r="C25">
        <f>B3/$A$3-1</f>
        <v>-3.8461538461538436E-2</v>
      </c>
      <c r="D25">
        <f>(C25-$B$27)^2</f>
        <v>1.3313609467455627E-2</v>
      </c>
      <c r="G25">
        <f>0.5</f>
        <v>0.5</v>
      </c>
      <c r="H25">
        <f>D3/$C$3-1</f>
        <v>4.6728971962616717E-2</v>
      </c>
      <c r="I25">
        <f>(H25-$G$27)^2</f>
        <v>8.4456672586640281E-3</v>
      </c>
    </row>
    <row r="26" spans="1:9" x14ac:dyDescent="0.25">
      <c r="B26">
        <f>1/6</f>
        <v>0.16666666666666666</v>
      </c>
      <c r="C26">
        <f>B4/$A$3-1</f>
        <v>-0.11538461538461542</v>
      </c>
      <c r="D26">
        <f>(C26-$B$27)^2</f>
        <v>3.6982248520710095E-2</v>
      </c>
      <c r="G26">
        <f>1/6</f>
        <v>0.16666666666666666</v>
      </c>
      <c r="H26">
        <f>D4/$C$3-1</f>
        <v>-0.2990654205607477</v>
      </c>
      <c r="I26">
        <f>(H26-$G$27)^2</f>
        <v>0.19157665395328069</v>
      </c>
    </row>
    <row r="27" spans="1:9" x14ac:dyDescent="0.25">
      <c r="A27" t="s">
        <v>47</v>
      </c>
      <c r="B27">
        <f t="array" ref="B27">SUMPRODUCT(B24:B26,C24:C26)</f>
        <v>7.6923076923076969E-2</v>
      </c>
      <c r="F27" t="s">
        <v>47</v>
      </c>
      <c r="G27">
        <f t="array" ref="G27">SUMPRODUCT(G24:G26,H24:H26)</f>
        <v>0.13862928348909648</v>
      </c>
    </row>
    <row r="28" spans="1:9" x14ac:dyDescent="0.25">
      <c r="A28" t="s">
        <v>50</v>
      </c>
      <c r="B28">
        <f>SUMPRODUCT(B24:B26,D24:D26)</f>
        <v>3.6982248520710075E-2</v>
      </c>
      <c r="F28" t="s">
        <v>50</v>
      </c>
      <c r="G28">
        <f>SUMPRODUCT(G24:G26,I24:I26)</f>
        <v>7.8563387389485734E-2</v>
      </c>
    </row>
    <row r="29" spans="1:9" x14ac:dyDescent="0.25">
      <c r="A29" t="s">
        <v>48</v>
      </c>
      <c r="B29">
        <f>SQRT(B28)</f>
        <v>0.19230769230769235</v>
      </c>
      <c r="F29" t="s">
        <v>48</v>
      </c>
      <c r="G29">
        <f>SQRT(G28)</f>
        <v>0.28029161134341096</v>
      </c>
    </row>
    <row r="31" spans="1:9" x14ac:dyDescent="0.25">
      <c r="B31">
        <f>(C24-$B$27)*(H24-$G$27)</f>
        <v>9.6034028277018957E-2</v>
      </c>
    </row>
    <row r="32" spans="1:9" x14ac:dyDescent="0.25">
      <c r="B32">
        <f>(C25-$B$27)*(H25-$G$27)</f>
        <v>1.0603882099209205E-2</v>
      </c>
    </row>
    <row r="33" spans="1:7" x14ac:dyDescent="0.25">
      <c r="B33">
        <f>(C26-$B$27)*(H26-$G$27)</f>
        <v>8.4172058471123926E-2</v>
      </c>
    </row>
    <row r="34" spans="1:7" x14ac:dyDescent="0.25">
      <c r="A34" t="s">
        <v>53</v>
      </c>
      <c r="B34">
        <f>SUMPRODUCT(B31:B33,B24:B26)</f>
        <v>5.1341960220464902E-2</v>
      </c>
    </row>
    <row r="35" spans="1:7" x14ac:dyDescent="0.25">
      <c r="A35" t="s">
        <v>54</v>
      </c>
      <c r="B35">
        <f>B34/(B29*G29)</f>
        <v>0.95250154603919979</v>
      </c>
    </row>
    <row r="37" spans="1:7" x14ac:dyDescent="0.25">
      <c r="A37" t="s">
        <v>58</v>
      </c>
      <c r="B37">
        <f>B27</f>
        <v>7.6923076923076969E-2</v>
      </c>
      <c r="C37" t="s">
        <v>55</v>
      </c>
      <c r="D37">
        <f>B28</f>
        <v>3.6982248520710075E-2</v>
      </c>
      <c r="E37">
        <f>D38</f>
        <v>5.1341960220464902E-2</v>
      </c>
      <c r="G37">
        <v>1</v>
      </c>
    </row>
    <row r="38" spans="1:7" x14ac:dyDescent="0.25">
      <c r="B38">
        <f>G27</f>
        <v>0.13862928348909648</v>
      </c>
      <c r="D38">
        <f>B34</f>
        <v>5.1341960220464902E-2</v>
      </c>
      <c r="E38">
        <f>G28</f>
        <v>7.8563387389485734E-2</v>
      </c>
      <c r="G38">
        <v>1</v>
      </c>
    </row>
    <row r="40" spans="1:7" x14ac:dyDescent="0.25">
      <c r="A40" t="s">
        <v>56</v>
      </c>
      <c r="B40">
        <f t="array" ref="B40:B41">1/MMULT(TRANSPOSE(ones),MMULT(MINVERSE(Sigma),ones))*MMULT(MINVERSE(Sigma),ones)</f>
        <v>2.1164693958646796</v>
      </c>
    </row>
    <row r="41" spans="1:7" x14ac:dyDescent="0.25">
      <c r="B41">
        <v>-1.1164693958646796</v>
      </c>
    </row>
    <row r="43" spans="1:7" x14ac:dyDescent="0.25">
      <c r="A43" t="s">
        <v>57</v>
      </c>
      <c r="B43">
        <f>SUMPRODUCT(B37:B38,B40:B41)</f>
        <v>8.0299857572120603E-3</v>
      </c>
    </row>
    <row r="44" spans="1:7" x14ac:dyDescent="0.25">
      <c r="A44" t="s">
        <v>59</v>
      </c>
      <c r="B44">
        <f t="array" ref="B44">MMULT(TRANSPOSE(B40:B41),MMULT(Sigma,B40:B41))</f>
        <v>2.0950069874493823E-2</v>
      </c>
    </row>
    <row r="45" spans="1:7" x14ac:dyDescent="0.25">
      <c r="A45" t="s">
        <v>60</v>
      </c>
      <c r="B45">
        <f>SQRT(B44)</f>
        <v>0.14474138963853367</v>
      </c>
    </row>
    <row r="47" spans="1:7" x14ac:dyDescent="0.25">
      <c r="A47" t="s">
        <v>67</v>
      </c>
    </row>
    <row r="48" spans="1:7" x14ac:dyDescent="0.25">
      <c r="A48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Opg 1</vt:lpstr>
      <vt:lpstr>opg2</vt:lpstr>
      <vt:lpstr>Opg3</vt:lpstr>
      <vt:lpstr>ones</vt:lpstr>
      <vt:lpstr>pi_</vt:lpstr>
      <vt:lpstr>R_1</vt:lpstr>
      <vt:lpstr>Sigma</vt:lpstr>
      <vt:lpstr>Strike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Glavind Skovmand</dc:creator>
  <cp:lastModifiedBy>David Glavind Skovmand</cp:lastModifiedBy>
  <dcterms:created xsi:type="dcterms:W3CDTF">2021-08-15T11:18:04Z</dcterms:created>
  <dcterms:modified xsi:type="dcterms:W3CDTF">2021-09-08T10:14:24Z</dcterms:modified>
</cp:coreProperties>
</file>