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qw767\Dropbox\Teaching\Fin1\Fin1 2021\eksamen 2021\"/>
    </mc:Choice>
  </mc:AlternateContent>
  <bookViews>
    <workbookView xWindow="0" yWindow="0" windowWidth="28800" windowHeight="12300" activeTab="1"/>
  </bookViews>
  <sheets>
    <sheet name="opgave 1" sheetId="1" r:id="rId1"/>
    <sheet name="opgave 2" sheetId="2" r:id="rId2"/>
    <sheet name="opgave 3" sheetId="3" r:id="rId3"/>
  </sheets>
  <definedNames>
    <definedName name="a_">'opgave 3'!$I$62</definedName>
    <definedName name="b_">'opgave 3'!$J$62</definedName>
    <definedName name="C_">'opgave 1'!$B$4:$D$6</definedName>
    <definedName name="c__">'opgave 3'!$J$63</definedName>
    <definedName name="D">'opgave 2'!$B$3:$C$4</definedName>
    <definedName name="mu">'opgave 3'!$B$1:$B$3</definedName>
    <definedName name="mu_0">'opgave 3'!$B$12</definedName>
    <definedName name="mu_P">'opgave 3'!$B$65</definedName>
    <definedName name="mu_tan1">'opgave 3'!$B$16</definedName>
    <definedName name="ones">'opgave 3'!$I$1:$I$3</definedName>
    <definedName name="pi">'opgave 1'!$E$4:$E$6</definedName>
    <definedName name="sigma">'opgave 3'!$E$1:$G$3</definedName>
    <definedName name="sigma_P">'opgave 3'!$B$66</definedName>
    <definedName name="sigma_tan1">'opgave 3'!$B$18</definedName>
    <definedName name="SR_tan2">'opgave 3'!$B$42</definedName>
    <definedName name="tilmu_0">'opgave 3'!$B$35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6" i="3" l="1"/>
  <c r="I31" i="3" l="1"/>
  <c r="B87" i="3" l="1"/>
  <c r="B84" i="3" l="1" a="1"/>
  <c r="B85" i="3" s="1"/>
  <c r="B84" i="3" l="1"/>
  <c r="B86" i="3"/>
  <c r="B76" i="3" l="1"/>
  <c r="B82" i="3" s="1"/>
  <c r="B70" i="3"/>
  <c r="G2" i="3"/>
  <c r="J63" i="3" l="1" a="1"/>
  <c r="J63" i="3" s="1"/>
  <c r="B13" i="3" a="1"/>
  <c r="B13" i="3" s="1"/>
  <c r="B5" i="3" a="1"/>
  <c r="B5" i="3" s="1"/>
  <c r="B36" i="3" a="1"/>
  <c r="B36" i="3" s="1"/>
  <c r="I62" i="3" a="1"/>
  <c r="I62" i="3" s="1"/>
  <c r="B78" i="3" s="1" a="1"/>
  <c r="J62" i="3" a="1"/>
  <c r="J62" i="3" s="1"/>
  <c r="I63" i="3" s="1"/>
  <c r="B79" i="3" l="1"/>
  <c r="B78" i="3"/>
  <c r="B80" i="3"/>
  <c r="B14" i="3"/>
  <c r="B15" i="3"/>
  <c r="B16" i="3" s="1" a="1"/>
  <c r="B16" i="3" s="1"/>
  <c r="B21" i="3" s="1"/>
  <c r="B22" i="3" s="1" a="1"/>
  <c r="B66" i="3"/>
  <c r="B71" i="3" s="1"/>
  <c r="B6" i="3"/>
  <c r="B7" i="3"/>
  <c r="B9" i="3" s="1" a="1"/>
  <c r="B9" i="3" s="1"/>
  <c r="B10" i="3" s="1"/>
  <c r="B77" i="3"/>
  <c r="B83" i="3" s="1"/>
  <c r="B37" i="3"/>
  <c r="B38" i="3"/>
  <c r="B8" i="3" l="1" a="1"/>
  <c r="B8" i="3" s="1"/>
  <c r="D78" i="3" a="1"/>
  <c r="D78" i="3" s="1"/>
  <c r="B17" i="3" a="1"/>
  <c r="B17" i="3" s="1"/>
  <c r="B18" i="3" s="1"/>
  <c r="B32" i="3" s="1"/>
  <c r="B31" i="3"/>
  <c r="B39" i="3" a="1"/>
  <c r="B39" i="3" s="1"/>
  <c r="E39" i="3" s="1"/>
  <c r="B40" i="3" a="1"/>
  <c r="B40" i="3" s="1"/>
  <c r="B41" i="3" s="1"/>
  <c r="B42" i="3" s="1"/>
  <c r="B67" i="3" s="1"/>
  <c r="B22" i="3"/>
  <c r="B24" i="3"/>
  <c r="B23" i="3"/>
  <c r="D28" i="2"/>
  <c r="B27" i="2"/>
  <c r="D27" i="2" s="1"/>
  <c r="B20" i="2" a="1"/>
  <c r="B20" i="2" s="1"/>
  <c r="A34" i="1"/>
  <c r="B34" i="1"/>
  <c r="B33" i="1"/>
  <c r="C34" i="1"/>
  <c r="C33" i="1"/>
  <c r="C32" i="1"/>
  <c r="B10" i="2"/>
  <c r="B9" i="2"/>
  <c r="E3" i="2" a="1"/>
  <c r="E3" i="2" s="1"/>
  <c r="D3" i="2"/>
  <c r="B9" i="1" a="1"/>
  <c r="B9" i="1" s="1"/>
  <c r="F4" i="1" a="1"/>
  <c r="F4" i="1" s="1"/>
  <c r="C45" i="1"/>
  <c r="C46" i="1"/>
  <c r="C47" i="1"/>
  <c r="B46" i="1"/>
  <c r="B47" i="1"/>
  <c r="A47" i="1"/>
  <c r="A42" i="1"/>
  <c r="B41" i="1"/>
  <c r="B42" i="1"/>
  <c r="C42" i="1"/>
  <c r="C41" i="1"/>
  <c r="C40" i="1"/>
  <c r="B30" i="1"/>
  <c r="A30" i="1" s="1"/>
  <c r="B29" i="1"/>
  <c r="C30" i="1"/>
  <c r="C29" i="1"/>
  <c r="C28" i="1"/>
  <c r="C22" i="1"/>
  <c r="C26" i="1" s="1"/>
  <c r="C21" i="1"/>
  <c r="B22" i="1" s="1"/>
  <c r="C20" i="1"/>
  <c r="C24" i="1" s="1"/>
  <c r="C6" i="1"/>
  <c r="B6" i="1"/>
  <c r="B38" i="1" s="1"/>
  <c r="C38" i="1" s="1"/>
  <c r="D38" i="1" s="1"/>
  <c r="D6" i="1"/>
  <c r="D5" i="1"/>
  <c r="C5" i="1"/>
  <c r="B5" i="1"/>
  <c r="B26" i="3" l="1"/>
  <c r="H39" i="3" a="1"/>
  <c r="H40" i="3" s="1"/>
  <c r="E40" i="3"/>
  <c r="E41" i="3"/>
  <c r="B12" i="2" a="1"/>
  <c r="B25" i="3"/>
  <c r="B21" i="2"/>
  <c r="D20" i="2" s="1"/>
  <c r="E4" i="2"/>
  <c r="F3" i="2" s="1" a="1"/>
  <c r="B11" i="1"/>
  <c r="B10" i="1"/>
  <c r="F5" i="1"/>
  <c r="F6" i="1"/>
  <c r="C25" i="1"/>
  <c r="B26" i="1" s="1"/>
  <c r="B21" i="1"/>
  <c r="A22" i="1" s="1"/>
  <c r="H41" i="3" l="1"/>
  <c r="H39" i="3"/>
  <c r="F3" i="2"/>
  <c r="F4" i="2"/>
  <c r="B12" i="2"/>
  <c r="C20" i="2" a="1"/>
  <c r="B25" i="1"/>
  <c r="A26" i="1" s="1"/>
  <c r="C20" i="2" l="1"/>
  <c r="C21" i="2"/>
</calcChain>
</file>

<file path=xl/sharedStrings.xml><?xml version="1.0" encoding="utf-8"?>
<sst xmlns="http://schemas.openxmlformats.org/spreadsheetml/2006/main" count="124" uniqueCount="117">
  <si>
    <t>1.a</t>
  </si>
  <si>
    <t xml:space="preserve">Betalingsrækker </t>
  </si>
  <si>
    <t>St. lån</t>
  </si>
  <si>
    <t>Annuitetslån</t>
  </si>
  <si>
    <t>serie</t>
  </si>
  <si>
    <t>pris</t>
  </si>
  <si>
    <t>NKO'er/diskfaktor d=D^(-1) pi</t>
  </si>
  <si>
    <t>pris/pi</t>
  </si>
  <si>
    <t>1.b</t>
  </si>
  <si>
    <t>Replikationspf \theta=(D^T)^{-1} c</t>
  </si>
  <si>
    <t>c</t>
  </si>
  <si>
    <t>1.c</t>
  </si>
  <si>
    <t>P(0,3)</t>
  </si>
  <si>
    <t>P(1,3)</t>
  </si>
  <si>
    <t>P(2,3)</t>
  </si>
  <si>
    <t>put</t>
  </si>
  <si>
    <t>bemærk P(0,3) og P( 1,2) er ikke nødvendige at beregne i opgaven. Jeg gør det her for at vise at P(0,3) er det samme som vi beregnede i 1.a</t>
  </si>
  <si>
    <t>1.d</t>
  </si>
  <si>
    <t>Rest hovedstol, ligning 2.2 i Noterne</t>
  </si>
  <si>
    <t>1.e</t>
  </si>
  <si>
    <t>C</t>
  </si>
  <si>
    <t>træ for konvertibel serieobligation, konvertering markeret med fed</t>
  </si>
  <si>
    <t>Alternativt træ hvor kursen plottes. Her kan ses at konvertering sker når kurser ryger over 100. Ligesom ved en fastsforrentet realkreditobligation</t>
  </si>
  <si>
    <t>2.a</t>
  </si>
  <si>
    <t>D matrice</t>
  </si>
  <si>
    <t>N=2</t>
  </si>
  <si>
    <t>S=2</t>
  </si>
  <si>
    <t>pi</t>
  </si>
  <si>
    <t>tilstandsprisvektor</t>
  </si>
  <si>
    <t>Da \psi&gt;&gt;0 og entydig har vi et komplet og arbitragefrit marked</t>
  </si>
  <si>
    <t>2.b</t>
  </si>
  <si>
    <t>checksum</t>
  </si>
  <si>
    <t>Put betaler</t>
  </si>
  <si>
    <t>pris på put</t>
  </si>
  <si>
    <t>2.c</t>
  </si>
  <si>
    <t>put med strike 33.5 på tid</t>
  </si>
  <si>
    <t>bemærk tid 0 tid 1 priserne er ikke nødvendige at beregne i opgaven. Jeg gør det her for at vise at prisen er den samme som opgivet i tabellen</t>
  </si>
  <si>
    <t>Vi prisfastsætter en nulkupon obligation</t>
  </si>
  <si>
    <t xml:space="preserve">Den betaler </t>
  </si>
  <si>
    <t>Den replikerende pf</t>
  </si>
  <si>
    <t>Renten er derfor nul.</t>
  </si>
  <si>
    <t>Det risikofrie aktivs pris er summen af tilstandsprisvektoren. Det er 1. Derfor er renten nul. Alternativt findes den replikerende portefølje</t>
  </si>
  <si>
    <t>2.d</t>
  </si>
  <si>
    <t xml:space="preserve">Findes en NKO der koster 0.99 kan der laves en arbitrage ved at købe 100 af den og sælge 99 enheder af det risikofri aktiv til en omkostning på 99. Den porteføljer koster nul kroner, men betaler 100-99=1 kr i begge scenarier på tid 1. </t>
  </si>
  <si>
    <t>Vi kan formalisere strategien</t>
  </si>
  <si>
    <t>betaling tid 0</t>
  </si>
  <si>
    <t>Sælg 99 enheder af Gammel NKO</t>
  </si>
  <si>
    <t>sum</t>
  </si>
  <si>
    <t>betaling tid 1</t>
  </si>
  <si>
    <t>Dvs en arbitrage</t>
  </si>
  <si>
    <t>køb 100 af \tilde{P}</t>
  </si>
  <si>
    <t>3.a</t>
  </si>
  <si>
    <t>mu</t>
  </si>
  <si>
    <t>Sigma</t>
  </si>
  <si>
    <t>w_gmv</t>
  </si>
  <si>
    <t>mu_gmv</t>
  </si>
  <si>
    <t>sigma_gmv</t>
  </si>
  <si>
    <t>var_gmv</t>
  </si>
  <si>
    <t>3.b</t>
  </si>
  <si>
    <t>w_tan1</t>
  </si>
  <si>
    <t>mu_0</t>
  </si>
  <si>
    <t>3.c</t>
  </si>
  <si>
    <t>mu_tan1</t>
  </si>
  <si>
    <t>var_tan1</t>
  </si>
  <si>
    <t>sigma_tan1</t>
  </si>
  <si>
    <t>Konstruer r_p = y*r_tan1+ (1-y)*mu_0 så mu_p=0.12</t>
  </si>
  <si>
    <t>y</t>
  </si>
  <si>
    <t>w_p</t>
  </si>
  <si>
    <t>w_0</t>
  </si>
  <si>
    <t>sigma_p</t>
  </si>
  <si>
    <t>Vi finder punkterne a og b</t>
  </si>
  <si>
    <t>Punkt a</t>
  </si>
  <si>
    <t>mu_a</t>
  </si>
  <si>
    <t>sigma_a</t>
  </si>
  <si>
    <t>pf mellem a og b findes ved at geare de pf på den blå linje 1.5 gang så vi undgår w_0&lt;-0.5</t>
  </si>
  <si>
    <t>punkterne efter b findes ved geare tan2 pf med en omkostning på \tilde{mu}_0=0.05</t>
  </si>
  <si>
    <t xml:space="preserve">Dvs for at finde b skal vi have </t>
  </si>
  <si>
    <t>r_{ab} = 1.5*r_P+(1-1.5)*mu_0</t>
  </si>
  <si>
    <t>hvor r_P er den relevante portefølje på den blå linje</t>
  </si>
  <si>
    <t>r_{b+}=y*r_tan2+(1-y)*\tilde{mu_0}</t>
  </si>
  <si>
    <t>E[r_{ab}]=E[r_{b+}]</t>
  </si>
  <si>
    <t>og</t>
  </si>
  <si>
    <t>Std[r_{ab}]=Std[r_{b+}]</t>
  </si>
  <si>
    <t>1.5*mu_p+(1-1.5)*mu_0=y *(mu_tan2-\tilde{mu}_0)+\tilde{mu}_0</t>
  </si>
  <si>
    <t>1.5*sigma_p=y*sigma_tan2</t>
  </si>
  <si>
    <t xml:space="preserve"> formel 3.11 fra noterne siger sigma_p^2 = (a-b*mu_p+c*mu_p^2)/(ac-b^2)</t>
  </si>
  <si>
    <t>Dvs en ligning med en ubekendt</t>
  </si>
  <si>
    <t>Dette giver os to ligninger der bestemmer b. Nærmere bestemt P</t>
  </si>
  <si>
    <t>1.5*mu_p+(1-1.5)*mu_0- 1.5*SR_tan2*sqrt()-\tilde{mu}_0=0</t>
  </si>
  <si>
    <t>Vi finder tan2 baseret på den forhøjede risikofri rente \tilde{mu}_0=0.05</t>
  </si>
  <si>
    <t>tilmu_0</t>
  </si>
  <si>
    <t>A matrice</t>
  </si>
  <si>
    <t>mu_p</t>
  </si>
  <si>
    <t>kriterie</t>
  </si>
  <si>
    <t>SR_tan2</t>
  </si>
  <si>
    <t>løses for mu_p numerisk med solve</t>
  </si>
  <si>
    <t>dvs b kan findes som</t>
  </si>
  <si>
    <t>mu_b</t>
  </si>
  <si>
    <t>sigma_b</t>
  </si>
  <si>
    <t>0.12=1.5*mu_U+(1-1.5)*mu_0 =&gt; mu_U= (0.12+0.5*mu_0)/1.5</t>
  </si>
  <si>
    <t>mu_u</t>
  </si>
  <si>
    <t>sigma_u</t>
  </si>
  <si>
    <t>mu_12</t>
  </si>
  <si>
    <t>sigma_12</t>
  </si>
  <si>
    <t>da vi kan se mu_a&lt;0.12&lt;mu_b Findes den ønskede portefølje ved at geare portefølje U 1.5 gang. Bemærk første del af løsningen er ikke nødvendig for at finde det her punkt. Det er nødvendigt for at beskrive den effektive rand.</t>
  </si>
  <si>
    <t xml:space="preserve">bemærk \psi=q i dette tilfælde. Dvs </t>
  </si>
  <si>
    <t>Alternativt kan den efficiente rand bare findes med Solver et  $\mu$ ad gangen. Det er også et acceptabelt svar.</t>
  </si>
  <si>
    <t>w_tan2</t>
  </si>
  <si>
    <t>mu_tan2</t>
  </si>
  <si>
    <t>var_tan2</t>
  </si>
  <si>
    <t>gear tan2 løsning</t>
  </si>
  <si>
    <t>sigma</t>
  </si>
  <si>
    <t>w</t>
  </si>
  <si>
    <t>gear tan1 løsning</t>
  </si>
  <si>
    <t>w_u</t>
  </si>
  <si>
    <t>sanity tjæk</t>
  </si>
  <si>
    <t>w_12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</si>
</sst>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0" borderId="0" xfId="0" applyFont="1"/>
    <xf numFmtId="0" fontId="0" fillId="0" borderId="0" xfId="0" quotePrefix="1"/>
    <xf numFmtId="0" fontId="0" fillId="2" borderId="1" xfId="0" applyFill="1" applyBorder="1" applyAlignment="1">
      <alignment horizontal="center"/>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10</xdr:col>
      <xdr:colOff>419100</xdr:colOff>
      <xdr:row>34</xdr:row>
      <xdr:rowOff>128586</xdr:rowOff>
    </xdr:from>
    <xdr:to>
      <xdr:col>20</xdr:col>
      <xdr:colOff>400050</xdr:colOff>
      <xdr:row>58</xdr:row>
      <xdr:rowOff>114299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15100" y="6605586"/>
          <a:ext cx="6076950" cy="4557713"/>
        </a:xfrm>
        <a:prstGeom prst="rect">
          <a:avLst/>
        </a:prstGeom>
      </xdr:spPr>
    </xdr:pic>
    <xdr:clientData/>
  </xdr:twoCellAnchor>
  <xdr:twoCellAnchor editAs="oneCell">
    <xdr:from>
      <xdr:col>11</xdr:col>
      <xdr:colOff>533400</xdr:colOff>
      <xdr:row>70</xdr:row>
      <xdr:rowOff>95250</xdr:rowOff>
    </xdr:from>
    <xdr:to>
      <xdr:col>24</xdr:col>
      <xdr:colOff>152400</xdr:colOff>
      <xdr:row>123</xdr:row>
      <xdr:rowOff>57150</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5981700" y="14687550"/>
          <a:ext cx="10058400" cy="7543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topLeftCell="A28" workbookViewId="0">
      <selection activeCell="D46" sqref="D46"/>
    </sheetView>
  </sheetViews>
  <sheetFormatPr defaultRowHeight="15" x14ac:dyDescent="0.25"/>
  <sheetData>
    <row r="1" spans="1:6" x14ac:dyDescent="0.25">
      <c r="A1" s="1" t="s">
        <v>0</v>
      </c>
    </row>
    <row r="2" spans="1:6" x14ac:dyDescent="0.25">
      <c r="A2" t="s">
        <v>1</v>
      </c>
    </row>
    <row r="3" spans="1:6" x14ac:dyDescent="0.25">
      <c r="A3" t="s">
        <v>20</v>
      </c>
      <c r="B3">
        <v>1</v>
      </c>
      <c r="C3">
        <v>2</v>
      </c>
      <c r="D3">
        <v>3</v>
      </c>
      <c r="E3" t="s">
        <v>7</v>
      </c>
      <c r="F3" t="s">
        <v>6</v>
      </c>
    </row>
    <row r="4" spans="1:6" x14ac:dyDescent="0.25">
      <c r="A4" t="s">
        <v>2</v>
      </c>
      <c r="B4">
        <v>2</v>
      </c>
      <c r="C4">
        <v>102</v>
      </c>
      <c r="D4">
        <v>0</v>
      </c>
      <c r="E4">
        <v>100.00942000000001</v>
      </c>
      <c r="F4">
        <f t="array" ref="F4:F6">MMULT(MINVERSE(C_),pi)</f>
        <v>0.98039193292707694</v>
      </c>
    </row>
    <row r="5" spans="1:6" x14ac:dyDescent="0.25">
      <c r="A5" t="s">
        <v>3</v>
      </c>
      <c r="B5">
        <f>100*0.01/(1-(1.01)^(-3))</f>
        <v>34.002211148147026</v>
      </c>
      <c r="C5">
        <f>100*0.01/(1-(1.01)^(-3))</f>
        <v>34.002211148147026</v>
      </c>
      <c r="D5">
        <f>100*0.01/(1-(1.01)^(-3))</f>
        <v>34.002211148147026</v>
      </c>
      <c r="E5">
        <v>98.024299999999997</v>
      </c>
      <c r="F5">
        <v>0.96126113857005691</v>
      </c>
    </row>
    <row r="6" spans="1:6" x14ac:dyDescent="0.25">
      <c r="A6" t="s">
        <v>4</v>
      </c>
      <c r="B6">
        <f>100/3+0.015*(100-(B3-1)/3*100)</f>
        <v>34.833333333333336</v>
      </c>
      <c r="C6">
        <f>100/3+0.015*(100-(C3-1)/3*100)</f>
        <v>34.333333333333336</v>
      </c>
      <c r="D6">
        <f>100/3+0.015*(100-(D3-1)/3*100)</f>
        <v>33.833333333333336</v>
      </c>
      <c r="E6">
        <v>98.998468000000003</v>
      </c>
      <c r="F6">
        <v>0.94122709099903545</v>
      </c>
    </row>
    <row r="7" spans="1:6" x14ac:dyDescent="0.25">
      <c r="A7" s="1" t="s">
        <v>8</v>
      </c>
    </row>
    <row r="8" spans="1:6" x14ac:dyDescent="0.25">
      <c r="A8" t="s">
        <v>10</v>
      </c>
      <c r="B8" t="s">
        <v>9</v>
      </c>
    </row>
    <row r="9" spans="1:6" x14ac:dyDescent="0.25">
      <c r="A9">
        <v>100</v>
      </c>
      <c r="B9">
        <f t="array" ref="B9:B11">MMULT(MINVERSE(TRANSPOSE(C_)),A9:A11)</f>
        <v>0.17326732673267742</v>
      </c>
    </row>
    <row r="10" spans="1:6" x14ac:dyDescent="0.25">
      <c r="A10">
        <v>120</v>
      </c>
      <c r="B10">
        <v>8.4080146394976367</v>
      </c>
    </row>
    <row r="11" spans="1:6" x14ac:dyDescent="0.25">
      <c r="A11">
        <v>105</v>
      </c>
      <c r="B11">
        <v>-5.3465346534653264</v>
      </c>
    </row>
    <row r="12" spans="1:6" x14ac:dyDescent="0.25">
      <c r="A12" s="1" t="s">
        <v>11</v>
      </c>
    </row>
    <row r="13" spans="1:6" x14ac:dyDescent="0.25">
      <c r="C13">
        <v>0.05</v>
      </c>
    </row>
    <row r="14" spans="1:6" x14ac:dyDescent="0.25">
      <c r="B14">
        <v>0.03</v>
      </c>
      <c r="C14">
        <v>2.5000000000000001E-2</v>
      </c>
    </row>
    <row r="15" spans="1:6" x14ac:dyDescent="0.25">
      <c r="A15">
        <v>0.02</v>
      </c>
      <c r="B15">
        <v>0.01</v>
      </c>
      <c r="C15">
        <v>-0.01</v>
      </c>
    </row>
    <row r="16" spans="1:6" x14ac:dyDescent="0.25">
      <c r="C16">
        <v>0.6</v>
      </c>
    </row>
    <row r="17" spans="1:4" x14ac:dyDescent="0.25">
      <c r="B17">
        <v>0.5</v>
      </c>
      <c r="C17">
        <v>0.4</v>
      </c>
    </row>
    <row r="18" spans="1:4" x14ac:dyDescent="0.25">
      <c r="B18">
        <v>0.5</v>
      </c>
      <c r="C18">
        <v>0.6</v>
      </c>
    </row>
    <row r="19" spans="1:4" x14ac:dyDescent="0.25">
      <c r="A19" t="s">
        <v>12</v>
      </c>
      <c r="B19" t="s">
        <v>13</v>
      </c>
      <c r="C19" t="s">
        <v>14</v>
      </c>
      <c r="D19" t="s">
        <v>16</v>
      </c>
    </row>
    <row r="20" spans="1:4" x14ac:dyDescent="0.25">
      <c r="C20">
        <f>1/(1+C13)</f>
        <v>0.95238095238095233</v>
      </c>
    </row>
    <row r="21" spans="1:4" x14ac:dyDescent="0.25">
      <c r="B21">
        <f>(C16*C20+(1-C16)*C21)/(1+B14)</f>
        <v>0.9336625959879572</v>
      </c>
      <c r="C21">
        <f>1/(1+C14)</f>
        <v>0.97560975609756106</v>
      </c>
    </row>
    <row r="22" spans="1:4" x14ac:dyDescent="0.25">
      <c r="A22">
        <f>(B17*B21+(1-B17)*B22)/(1+A15)</f>
        <v>0.94122681539869302</v>
      </c>
      <c r="B22">
        <f>(C17*C21+(1-C17)*C22)/(1+B15)</f>
        <v>0.98644010742537669</v>
      </c>
      <c r="C22">
        <f>1/(1+C15)</f>
        <v>1.0101010101010102</v>
      </c>
    </row>
    <row r="23" spans="1:4" x14ac:dyDescent="0.25">
      <c r="A23" t="s">
        <v>15</v>
      </c>
    </row>
    <row r="24" spans="1:4" x14ac:dyDescent="0.25">
      <c r="C24">
        <f>MAX(0.98-C20,0)</f>
        <v>2.7619047619047654E-2</v>
      </c>
    </row>
    <row r="25" spans="1:4" x14ac:dyDescent="0.25">
      <c r="B25">
        <f>(C16*C24+(1-C16)*C25)/(1+B14)</f>
        <v>1.7793714691654521E-2</v>
      </c>
      <c r="C25">
        <f>MAX(0.98-C21,0)</f>
        <v>4.3902439024389173E-3</v>
      </c>
    </row>
    <row r="26" spans="1:4" x14ac:dyDescent="0.25">
      <c r="A26">
        <f>(B17*B25+(1-B17)*B26)/(1+A15)</f>
        <v>9.5747182098362606E-3</v>
      </c>
      <c r="B26">
        <f>(C17*C25+(1-C17)*C26)/(1+B15)</f>
        <v>1.7387104564114526E-3</v>
      </c>
      <c r="C26">
        <f>MAX(0.98-C22,0)</f>
        <v>0</v>
      </c>
    </row>
    <row r="27" spans="1:4" x14ac:dyDescent="0.25">
      <c r="A27" s="1" t="s">
        <v>17</v>
      </c>
    </row>
    <row r="28" spans="1:4" x14ac:dyDescent="0.25">
      <c r="C28">
        <f>$D$6/(1+C13)</f>
        <v>32.222222222222221</v>
      </c>
      <c r="D28" t="s">
        <v>36</v>
      </c>
    </row>
    <row r="29" spans="1:4" x14ac:dyDescent="0.25">
      <c r="B29">
        <f>(C28*C16+C29*(1-C16))/(1+B14)+ $C$6/(1+B14)</f>
        <v>64.922251164259222</v>
      </c>
      <c r="C29">
        <f>$D$6/(1+C14)</f>
        <v>33.00813008130082</v>
      </c>
    </row>
    <row r="30" spans="1:4" x14ac:dyDescent="0.25">
      <c r="A30">
        <f>(B29*B17+B30*(1-B17))/(1+A15)+ B6/(1+A15)</f>
        <v>98.998467715074412</v>
      </c>
      <c r="B30">
        <f>(C29*C17+C30*(1-C17))/(1+B15)+ C6/(1+B15)</f>
        <v>67.367956307825921</v>
      </c>
      <c r="C30">
        <f>$D$6/(1+C15)</f>
        <v>34.17508417508418</v>
      </c>
    </row>
    <row r="31" spans="1:4" x14ac:dyDescent="0.25">
      <c r="A31" t="s">
        <v>35</v>
      </c>
    </row>
    <row r="32" spans="1:4" x14ac:dyDescent="0.25">
      <c r="C32">
        <f>MAX(33.5-C28,0)</f>
        <v>1.2777777777777786</v>
      </c>
    </row>
    <row r="33" spans="1:4" x14ac:dyDescent="0.25">
      <c r="B33">
        <f>(C16*C32+(1-C16)*C33)/(1+B14)</f>
        <v>0.93535401373430993</v>
      </c>
      <c r="C33">
        <f>MAX(33.5-C29,0)</f>
        <v>0.49186991869918018</v>
      </c>
    </row>
    <row r="34" spans="1:4" x14ac:dyDescent="0.25">
      <c r="A34">
        <f>(B33*B17+B34*(1-B17))/(1+A15)</f>
        <v>0.55399704977253206</v>
      </c>
      <c r="B34">
        <f>(C17*C33+(1-C17)*C34)/(1+B15)</f>
        <v>0.19479996780165551</v>
      </c>
      <c r="C34">
        <f>MAX(33.5-C30,0)</f>
        <v>0</v>
      </c>
    </row>
    <row r="35" spans="1:4" x14ac:dyDescent="0.25">
      <c r="A35" s="1" t="s">
        <v>19</v>
      </c>
    </row>
    <row r="36" spans="1:4" x14ac:dyDescent="0.25">
      <c r="A36" t="s">
        <v>18</v>
      </c>
    </row>
    <row r="37" spans="1:4" x14ac:dyDescent="0.25">
      <c r="A37">
        <v>0</v>
      </c>
      <c r="B37">
        <v>1</v>
      </c>
      <c r="C37">
        <v>2</v>
      </c>
      <c r="D37">
        <v>3</v>
      </c>
    </row>
    <row r="38" spans="1:4" x14ac:dyDescent="0.25">
      <c r="A38">
        <v>100</v>
      </c>
      <c r="B38">
        <f>1.015*A38 -B6</f>
        <v>66.666666666666657</v>
      </c>
      <c r="C38">
        <f>1.015*B38 -C6</f>
        <v>33.333333333333321</v>
      </c>
      <c r="D38">
        <f>1.015*C38 -D6</f>
        <v>0</v>
      </c>
    </row>
    <row r="39" spans="1:4" x14ac:dyDescent="0.25">
      <c r="A39" t="s">
        <v>21</v>
      </c>
    </row>
    <row r="40" spans="1:4" x14ac:dyDescent="0.25">
      <c r="C40">
        <f>MIN(C28,$C$38)</f>
        <v>32.222222222222221</v>
      </c>
    </row>
    <row r="41" spans="1:4" x14ac:dyDescent="0.25">
      <c r="B41">
        <f>MIN((C40*C16+C41*(1-C16))/(1+B14)+C6/(1+B14),B38)</f>
        <v>64.922251164259222</v>
      </c>
      <c r="C41">
        <f>MIN(C29,$C$38)</f>
        <v>33.00813008130082</v>
      </c>
    </row>
    <row r="42" spans="1:4" x14ac:dyDescent="0.25">
      <c r="A42">
        <f>MIN((B41*B17+B42*(1-B17))/(1+A15)+B6/(1+A15),A38)</f>
        <v>98.654698283133598</v>
      </c>
      <c r="B42" s="1">
        <f>MIN((C41*C17+C42*(1-C17))/(1+B15)+C6/(1+B15),B38)</f>
        <v>66.666666666666657</v>
      </c>
      <c r="C42" s="1">
        <f>MIN(C30,$C$38)</f>
        <v>33.333333333333321</v>
      </c>
    </row>
    <row r="44" spans="1:4" x14ac:dyDescent="0.25">
      <c r="A44" t="s">
        <v>22</v>
      </c>
    </row>
    <row r="45" spans="1:4" x14ac:dyDescent="0.25">
      <c r="C45">
        <f>100*C40/C$38</f>
        <v>96.6666666666667</v>
      </c>
    </row>
    <row r="46" spans="1:4" x14ac:dyDescent="0.25">
      <c r="B46">
        <f>100*B41/B$38</f>
        <v>97.383376746388848</v>
      </c>
      <c r="C46">
        <f>100*C41/C$38</f>
        <v>99.024390243902488</v>
      </c>
    </row>
    <row r="47" spans="1:4" x14ac:dyDescent="0.25">
      <c r="A47">
        <f>100*A42/A$38</f>
        <v>98.654698283133598</v>
      </c>
      <c r="B47">
        <f>100*B42/B$38</f>
        <v>100</v>
      </c>
      <c r="C47">
        <f>100*C42/C$38</f>
        <v>100</v>
      </c>
    </row>
  </sheetData>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tabSelected="1" topLeftCell="A27" workbookViewId="0">
      <selection activeCell="J38" sqref="J38"/>
    </sheetView>
  </sheetViews>
  <sheetFormatPr defaultRowHeight="15" x14ac:dyDescent="0.25"/>
  <sheetData>
    <row r="1" spans="1:6" x14ac:dyDescent="0.25">
      <c r="A1" t="s">
        <v>23</v>
      </c>
      <c r="B1" t="s">
        <v>25</v>
      </c>
      <c r="C1" t="s">
        <v>26</v>
      </c>
    </row>
    <row r="2" spans="1:6" x14ac:dyDescent="0.25">
      <c r="A2" t="s">
        <v>24</v>
      </c>
      <c r="D2" t="s">
        <v>27</v>
      </c>
      <c r="E2" t="s">
        <v>28</v>
      </c>
      <c r="F2" t="s">
        <v>31</v>
      </c>
    </row>
    <row r="3" spans="1:6" x14ac:dyDescent="0.25">
      <c r="B3">
        <v>110</v>
      </c>
      <c r="C3">
        <v>90</v>
      </c>
      <c r="D3">
        <f>100</f>
        <v>100</v>
      </c>
      <c r="E3">
        <f t="array" ref="E3:E4">MMULT(MINVERSE(D),D3:D4)</f>
        <v>0.50000000000000355</v>
      </c>
      <c r="F3">
        <f t="array" ref="F3:F4">MMULT(D,E3:E4)</f>
        <v>100.0000000000004</v>
      </c>
    </row>
    <row r="4" spans="1:6" x14ac:dyDescent="0.25">
      <c r="B4">
        <v>115</v>
      </c>
      <c r="C4">
        <v>97</v>
      </c>
      <c r="D4">
        <v>106</v>
      </c>
      <c r="E4">
        <v>0.5</v>
      </c>
      <c r="F4">
        <v>106.00000000000041</v>
      </c>
    </row>
    <row r="5" spans="1:6" x14ac:dyDescent="0.25">
      <c r="A5" t="s">
        <v>29</v>
      </c>
    </row>
    <row r="7" spans="1:6" x14ac:dyDescent="0.25">
      <c r="A7" t="s">
        <v>30</v>
      </c>
    </row>
    <row r="8" spans="1:6" x14ac:dyDescent="0.25">
      <c r="A8" t="s">
        <v>105</v>
      </c>
    </row>
    <row r="9" spans="1:6" x14ac:dyDescent="0.25">
      <c r="A9" t="s">
        <v>32</v>
      </c>
      <c r="B9">
        <f>MAX(96-B3,0)</f>
        <v>0</v>
      </c>
    </row>
    <row r="10" spans="1:6" x14ac:dyDescent="0.25">
      <c r="B10">
        <f>MAX(96-C3,0)</f>
        <v>6</v>
      </c>
    </row>
    <row r="12" spans="1:6" x14ac:dyDescent="0.25">
      <c r="A12" t="s">
        <v>33</v>
      </c>
      <c r="B12">
        <f t="array" ref="B12">SUMPRODUCT(B9:B10,E3:E4)</f>
        <v>3</v>
      </c>
    </row>
    <row r="14" spans="1:6" x14ac:dyDescent="0.25">
      <c r="A14" t="s">
        <v>34</v>
      </c>
    </row>
    <row r="15" spans="1:6" x14ac:dyDescent="0.25">
      <c r="A15" t="s">
        <v>37</v>
      </c>
    </row>
    <row r="16" spans="1:6" x14ac:dyDescent="0.25">
      <c r="A16" t="s">
        <v>41</v>
      </c>
    </row>
    <row r="17" spans="1:5" x14ac:dyDescent="0.25">
      <c r="A17" t="s">
        <v>38</v>
      </c>
      <c r="B17">
        <v>1</v>
      </c>
    </row>
    <row r="18" spans="1:5" x14ac:dyDescent="0.25">
      <c r="B18">
        <v>1</v>
      </c>
    </row>
    <row r="19" spans="1:5" x14ac:dyDescent="0.25">
      <c r="A19" t="s">
        <v>39</v>
      </c>
      <c r="C19" t="s">
        <v>31</v>
      </c>
      <c r="D19" t="s">
        <v>5</v>
      </c>
    </row>
    <row r="20" spans="1:5" x14ac:dyDescent="0.25">
      <c r="B20">
        <f t="array" ref="B20:B21">MMULT(MINVERSE(TRANSPOSE(D)),B17:B18)</f>
        <v>-5.6250000000000078E-2</v>
      </c>
      <c r="C20">
        <f t="array" ref="C20:C21">MMULT(TRANSPOSE(D),B20:B21)</f>
        <v>0.99999999999999734</v>
      </c>
      <c r="D20">
        <f>SUMPRODUCT(B20:B21,D3:D4)</f>
        <v>0.99999999999999822</v>
      </c>
      <c r="E20" t="s">
        <v>40</v>
      </c>
    </row>
    <row r="21" spans="1:5" x14ac:dyDescent="0.25">
      <c r="B21">
        <v>6.2500000000000056E-2</v>
      </c>
      <c r="C21">
        <v>0.99999999999999822</v>
      </c>
    </row>
    <row r="22" spans="1:5" x14ac:dyDescent="0.25">
      <c r="A22" t="s">
        <v>42</v>
      </c>
    </row>
    <row r="23" spans="1:5" x14ac:dyDescent="0.25">
      <c r="A23" t="s">
        <v>43</v>
      </c>
    </row>
    <row r="25" spans="1:5" x14ac:dyDescent="0.25">
      <c r="A25" t="s">
        <v>44</v>
      </c>
      <c r="D25" t="s">
        <v>47</v>
      </c>
    </row>
    <row r="26" spans="1:5" x14ac:dyDescent="0.25">
      <c r="B26" t="s">
        <v>50</v>
      </c>
      <c r="C26" t="s">
        <v>46</v>
      </c>
      <c r="D26" t="s">
        <v>47</v>
      </c>
    </row>
    <row r="27" spans="1:5" x14ac:dyDescent="0.25">
      <c r="A27" t="s">
        <v>45</v>
      </c>
      <c r="B27">
        <f>-100*0.99</f>
        <v>-99</v>
      </c>
      <c r="C27">
        <v>99</v>
      </c>
      <c r="D27">
        <f>SUM(B27:C27)</f>
        <v>0</v>
      </c>
    </row>
    <row r="28" spans="1:5" x14ac:dyDescent="0.25">
      <c r="A28" t="s">
        <v>48</v>
      </c>
      <c r="B28">
        <v>100</v>
      </c>
      <c r="C28">
        <v>-99</v>
      </c>
      <c r="D28">
        <f>SUM(B28:C28)</f>
        <v>1</v>
      </c>
    </row>
    <row r="30" spans="1:5" x14ac:dyDescent="0.25">
      <c r="A30" t="s">
        <v>49</v>
      </c>
    </row>
    <row r="36" spans="3:3" x14ac:dyDescent="0.25">
      <c r="C36" s="3"/>
    </row>
    <row r="37" spans="3:3" ht="15.75" x14ac:dyDescent="0.25">
      <c r="C37" s="4"/>
    </row>
    <row r="38" spans="3:3" ht="15.75" x14ac:dyDescent="0.25">
      <c r="C38" s="4"/>
    </row>
    <row r="39" spans="3:3" ht="15.75" x14ac:dyDescent="0.25">
      <c r="C39"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8"/>
  <sheetViews>
    <sheetView topLeftCell="A34" workbookViewId="0">
      <selection activeCell="E61" sqref="E61"/>
    </sheetView>
  </sheetViews>
  <sheetFormatPr defaultRowHeight="15" x14ac:dyDescent="0.25"/>
  <sheetData>
    <row r="1" spans="1:9" x14ac:dyDescent="0.25">
      <c r="A1" t="s">
        <v>52</v>
      </c>
      <c r="B1">
        <v>0.06</v>
      </c>
      <c r="C1">
        <v>1</v>
      </c>
      <c r="D1" t="s">
        <v>53</v>
      </c>
      <c r="E1">
        <v>6.4000000000000003E-3</v>
      </c>
      <c r="F1">
        <v>-1.4400000000000001E-3</v>
      </c>
      <c r="G1">
        <v>4.7999999999999996E-3</v>
      </c>
      <c r="I1">
        <v>1</v>
      </c>
    </row>
    <row r="2" spans="1:9" x14ac:dyDescent="0.25">
      <c r="B2">
        <v>0.08</v>
      </c>
      <c r="C2">
        <v>1</v>
      </c>
      <c r="E2">
        <v>-1.4400000000000001E-3</v>
      </c>
      <c r="F2">
        <v>1.44E-2</v>
      </c>
      <c r="G2">
        <f>F3</f>
        <v>7.1999999999999998E-3</v>
      </c>
      <c r="I2">
        <v>1</v>
      </c>
    </row>
    <row r="3" spans="1:9" x14ac:dyDescent="0.25">
      <c r="B3">
        <v>0.15</v>
      </c>
      <c r="C3">
        <v>1</v>
      </c>
      <c r="E3">
        <v>4.7999999999999996E-3</v>
      </c>
      <c r="F3">
        <v>7.1999999999999998E-3</v>
      </c>
      <c r="G3">
        <v>0.09</v>
      </c>
      <c r="I3">
        <v>1</v>
      </c>
    </row>
    <row r="4" spans="1:9" x14ac:dyDescent="0.25">
      <c r="A4" t="s">
        <v>51</v>
      </c>
    </row>
    <row r="5" spans="1:9" x14ac:dyDescent="0.25">
      <c r="A5" t="s">
        <v>54</v>
      </c>
      <c r="B5">
        <f t="array" ref="B5:B7">1/(MMULT(TRANSPOSE(ones),MMULT(MINVERSE(sigma),ones)))*MMULT(MINVERSE(sigma),ones)</f>
        <v>0.68125442948263648</v>
      </c>
    </row>
    <row r="6" spans="1:9" x14ac:dyDescent="0.25">
      <c r="B6">
        <v>0.34047956532010393</v>
      </c>
    </row>
    <row r="7" spans="1:9" x14ac:dyDescent="0.25">
      <c r="B7">
        <v>-2.1733994802740367E-2</v>
      </c>
    </row>
    <row r="8" spans="1:9" x14ac:dyDescent="0.25">
      <c r="A8" t="s">
        <v>55</v>
      </c>
      <c r="B8">
        <f t="array" ref="B8">SUMPRODUCT(mu,B5:B7)</f>
        <v>6.4853531774155454E-2</v>
      </c>
    </row>
    <row r="9" spans="1:9" x14ac:dyDescent="0.25">
      <c r="A9" t="s">
        <v>57</v>
      </c>
      <c r="B9">
        <f t="array" ref="B9">MMULT(TRANSPOSE(B5:B7),MMULT(sigma,B5:B7))</f>
        <v>3.7654145995747704E-3</v>
      </c>
    </row>
    <row r="10" spans="1:9" x14ac:dyDescent="0.25">
      <c r="A10" t="s">
        <v>56</v>
      </c>
      <c r="B10">
        <f>SQRT(B9)</f>
        <v>6.1362974174780434E-2</v>
      </c>
    </row>
    <row r="11" spans="1:9" x14ac:dyDescent="0.25">
      <c r="A11" t="s">
        <v>58</v>
      </c>
    </row>
    <row r="12" spans="1:9" x14ac:dyDescent="0.25">
      <c r="A12" t="s">
        <v>60</v>
      </c>
      <c r="B12">
        <v>0.02</v>
      </c>
    </row>
    <row r="13" spans="1:9" x14ac:dyDescent="0.25">
      <c r="A13" t="s">
        <v>59</v>
      </c>
      <c r="B13">
        <f t="array" ref="B13:B15">1/MMULT(TRANSPOSE(ones),MMULT(MINVERSE(sigma),mu-mu_0))*MMULT(MINVERSE(sigma),mu-mu_0)</f>
        <v>0.56329497274379159</v>
      </c>
    </row>
    <row r="14" spans="1:9" x14ac:dyDescent="0.25">
      <c r="B14">
        <v>0.37552998182919439</v>
      </c>
    </row>
    <row r="15" spans="1:9" x14ac:dyDescent="0.25">
      <c r="B15">
        <v>6.1175045427013956E-2</v>
      </c>
    </row>
    <row r="16" spans="1:9" x14ac:dyDescent="0.25">
      <c r="A16" t="s">
        <v>62</v>
      </c>
      <c r="B16">
        <f t="array" ref="B16">SUMPRODUCT(mu,B13:B15)</f>
        <v>7.3016353725015137E-2</v>
      </c>
    </row>
    <row r="17" spans="1:9" x14ac:dyDescent="0.25">
      <c r="A17" t="s">
        <v>63</v>
      </c>
      <c r="B17">
        <f t="array" ref="B17">MMULT(TRANSPOSE(B13:B15),MMULT(sigma,B13:B15))</f>
        <v>4.4506763333053284E-3</v>
      </c>
    </row>
    <row r="18" spans="1:9" x14ac:dyDescent="0.25">
      <c r="A18" t="s">
        <v>64</v>
      </c>
      <c r="B18">
        <f>SQRT(B17)</f>
        <v>6.6713389460477335E-2</v>
      </c>
    </row>
    <row r="20" spans="1:9" x14ac:dyDescent="0.25">
      <c r="A20" t="s">
        <v>65</v>
      </c>
    </row>
    <row r="21" spans="1:9" x14ac:dyDescent="0.25">
      <c r="A21" t="s">
        <v>66</v>
      </c>
      <c r="B21">
        <f>(0.12-mu_0)/(B16-mu_0)</f>
        <v>1.8862104421341257</v>
      </c>
    </row>
    <row r="22" spans="1:9" x14ac:dyDescent="0.25">
      <c r="A22" t="s">
        <v>67</v>
      </c>
      <c r="B22" s="2">
        <f t="array" ref="B22:B24">B21*B13:B15</f>
        <v>1.0624928595909975</v>
      </c>
    </row>
    <row r="23" spans="1:9" x14ac:dyDescent="0.25">
      <c r="B23">
        <v>0.70832857306066499</v>
      </c>
    </row>
    <row r="24" spans="1:9" x14ac:dyDescent="0.25">
      <c r="B24">
        <v>0.11538900948246322</v>
      </c>
    </row>
    <row r="25" spans="1:9" x14ac:dyDescent="0.25">
      <c r="A25" t="s">
        <v>68</v>
      </c>
      <c r="B25">
        <f>1-SUM(B22:B24)</f>
        <v>-0.8862104421341257</v>
      </c>
    </row>
    <row r="26" spans="1:9" x14ac:dyDescent="0.25">
      <c r="A26" t="s">
        <v>69</v>
      </c>
      <c r="B26">
        <f>B21*B18</f>
        <v>0.12583549183051307</v>
      </c>
      <c r="C26">
        <f>B26^2</f>
        <v>1.5834571004227121E-2</v>
      </c>
    </row>
    <row r="28" spans="1:9" x14ac:dyDescent="0.25">
      <c r="A28" t="s">
        <v>61</v>
      </c>
      <c r="B28" t="s">
        <v>70</v>
      </c>
    </row>
    <row r="30" spans="1:9" x14ac:dyDescent="0.25">
      <c r="A30" t="s">
        <v>71</v>
      </c>
    </row>
    <row r="31" spans="1:9" x14ac:dyDescent="0.25">
      <c r="A31" t="s">
        <v>72</v>
      </c>
      <c r="B31">
        <f>1.5*mu_tan1+(1-1.5)*mu_0</f>
        <v>9.9524530587522711E-2</v>
      </c>
      <c r="I31">
        <f>SQRT(0.095)</f>
        <v>0.30822070014844882</v>
      </c>
    </row>
    <row r="32" spans="1:9" x14ac:dyDescent="0.25">
      <c r="A32" t="s">
        <v>73</v>
      </c>
      <c r="B32">
        <f>1.5*sigma_tan1</f>
        <v>0.100070084190716</v>
      </c>
    </row>
    <row r="34" spans="1:8" x14ac:dyDescent="0.25">
      <c r="A34" t="s">
        <v>89</v>
      </c>
      <c r="D34" t="s">
        <v>113</v>
      </c>
    </row>
    <row r="35" spans="1:8" x14ac:dyDescent="0.25">
      <c r="A35" t="s">
        <v>90</v>
      </c>
      <c r="B35">
        <v>0.05</v>
      </c>
    </row>
    <row r="36" spans="1:8" x14ac:dyDescent="0.25">
      <c r="A36" t="s">
        <v>107</v>
      </c>
      <c r="B36">
        <f t="array" ref="B36:B38">1/MMULT(TRANSPOSE(ones),MMULT(MINVERSE(sigma),mu-tilmu_0))*MMULT(MINVERSE(sigma),mu-tilmu_0)</f>
        <v>0.32504970178926423</v>
      </c>
    </row>
    <row r="37" spans="1:8" x14ac:dyDescent="0.25">
      <c r="B37">
        <v>0.44632206759443349</v>
      </c>
    </row>
    <row r="38" spans="1:8" x14ac:dyDescent="0.25">
      <c r="B38">
        <v>0.22862823061630222</v>
      </c>
      <c r="D38" t="s">
        <v>110</v>
      </c>
    </row>
    <row r="39" spans="1:8" x14ac:dyDescent="0.25">
      <c r="A39" t="s">
        <v>108</v>
      </c>
      <c r="B39">
        <f t="array" ref="B39">SUMPRODUCT(mu,B36:B38)</f>
        <v>8.9502982107355855E-2</v>
      </c>
      <c r="D39" t="s">
        <v>66</v>
      </c>
      <c r="E39">
        <f>(0.12-0.05)/(B39-tilmu_0)</f>
        <v>1.7720181177654759</v>
      </c>
      <c r="G39" t="s">
        <v>112</v>
      </c>
      <c r="H39">
        <f t="array" ref="H39:H41">E39*B36:B38</f>
        <v>0.57599396074484122</v>
      </c>
    </row>
    <row r="40" spans="1:8" x14ac:dyDescent="0.25">
      <c r="A40" t="s">
        <v>109</v>
      </c>
      <c r="B40">
        <f t="array" ref="B40">MMULT(TRANSPOSE(B36:B38),MMULT(sigma,B36:B38))</f>
        <v>1.0014123766348235E-2</v>
      </c>
      <c r="D40" t="s">
        <v>52</v>
      </c>
      <c r="E40">
        <f>E39*B39+(1-E39)*tilmu_0</f>
        <v>0.12</v>
      </c>
      <c r="H40">
        <v>0.79089079013588359</v>
      </c>
    </row>
    <row r="41" spans="1:8" x14ac:dyDescent="0.25">
      <c r="A41" t="s">
        <v>64</v>
      </c>
      <c r="B41">
        <f>SQRT(B40)</f>
        <v>0.10007059391423753</v>
      </c>
      <c r="D41" t="s">
        <v>111</v>
      </c>
      <c r="E41">
        <f>E39*B41</f>
        <v>0.17732690547158048</v>
      </c>
      <c r="H41">
        <v>0.40513336688475099</v>
      </c>
    </row>
    <row r="42" spans="1:8" x14ac:dyDescent="0.25">
      <c r="A42" t="s">
        <v>94</v>
      </c>
      <c r="B42">
        <f>(B39-tilmu_0)/(B41)</f>
        <v>0.39475115078472189</v>
      </c>
    </row>
    <row r="44" spans="1:8" x14ac:dyDescent="0.25">
      <c r="A44" t="s">
        <v>74</v>
      </c>
    </row>
    <row r="45" spans="1:8" x14ac:dyDescent="0.25">
      <c r="A45" t="s">
        <v>75</v>
      </c>
    </row>
    <row r="47" spans="1:8" x14ac:dyDescent="0.25">
      <c r="A47" t="s">
        <v>76</v>
      </c>
    </row>
    <row r="49" spans="1:10" x14ac:dyDescent="0.25">
      <c r="A49" t="s">
        <v>77</v>
      </c>
      <c r="D49" t="s">
        <v>78</v>
      </c>
    </row>
    <row r="50" spans="1:10" x14ac:dyDescent="0.25">
      <c r="A50" t="s">
        <v>79</v>
      </c>
    </row>
    <row r="52" spans="1:10" x14ac:dyDescent="0.25">
      <c r="A52" t="s">
        <v>87</v>
      </c>
    </row>
    <row r="53" spans="1:10" x14ac:dyDescent="0.25">
      <c r="A53" t="s">
        <v>80</v>
      </c>
    </row>
    <row r="54" spans="1:10" x14ac:dyDescent="0.25">
      <c r="A54" t="s">
        <v>81</v>
      </c>
    </row>
    <row r="55" spans="1:10" x14ac:dyDescent="0.25">
      <c r="A55" t="s">
        <v>82</v>
      </c>
    </row>
    <row r="57" spans="1:10" x14ac:dyDescent="0.25">
      <c r="A57" t="s">
        <v>83</v>
      </c>
    </row>
    <row r="58" spans="1:10" x14ac:dyDescent="0.25">
      <c r="A58" t="s">
        <v>84</v>
      </c>
    </row>
    <row r="59" spans="1:10" x14ac:dyDescent="0.25">
      <c r="A59" t="s">
        <v>85</v>
      </c>
    </row>
    <row r="61" spans="1:10" x14ac:dyDescent="0.25">
      <c r="A61" t="s">
        <v>86</v>
      </c>
      <c r="H61" t="s">
        <v>91</v>
      </c>
    </row>
    <row r="62" spans="1:10" x14ac:dyDescent="0.25">
      <c r="I62">
        <f t="array" ref="I62">MMULT(TRANSPOSE(mu),MMULT(MINVERSE(sigma),mu))</f>
        <v>1.2142386598908337</v>
      </c>
      <c r="J62">
        <f t="array" ref="J62">MMULT(TRANSPOSE(ones),MMULT(MINVERSE(sigma),mu))</f>
        <v>17.223477006085702</v>
      </c>
    </row>
    <row r="63" spans="1:10" x14ac:dyDescent="0.25">
      <c r="A63" t="s">
        <v>88</v>
      </c>
      <c r="I63">
        <f>J62</f>
        <v>17.223477006085702</v>
      </c>
      <c r="J63">
        <f t="array" ref="J63">MMULT(TRANSPOSE(ones),MMULT(MINVERSE(sigma),ones))</f>
        <v>265.57500470543948</v>
      </c>
    </row>
    <row r="64" spans="1:10" x14ac:dyDescent="0.25">
      <c r="A64" t="s">
        <v>95</v>
      </c>
    </row>
    <row r="65" spans="1:4" x14ac:dyDescent="0.25">
      <c r="A65" t="s">
        <v>92</v>
      </c>
      <c r="B65">
        <v>0.14796025618209638</v>
      </c>
    </row>
    <row r="66" spans="1:4" x14ac:dyDescent="0.25">
      <c r="A66" t="s">
        <v>69</v>
      </c>
      <c r="B66">
        <f>SQRT((a_-2*b_*mu_P+c__*mu_P^2)/(a_*c__-b_^2))</f>
        <v>0.27348940203570266</v>
      </c>
    </row>
    <row r="67" spans="1:4" x14ac:dyDescent="0.25">
      <c r="A67" t="s">
        <v>93</v>
      </c>
      <c r="B67">
        <f>1.5*mu_P+(1-1.5)*mu_0-1.5*SR_tan2*sigma_P-tilmu_0</f>
        <v>1.6159157345541075E-12</v>
      </c>
    </row>
    <row r="69" spans="1:4" x14ac:dyDescent="0.25">
      <c r="A69" t="s">
        <v>96</v>
      </c>
    </row>
    <row r="70" spans="1:4" x14ac:dyDescent="0.25">
      <c r="A70" t="s">
        <v>97</v>
      </c>
      <c r="B70">
        <f>1.5*mu_P+(1-1.5)*mu_0</f>
        <v>0.21194038427314454</v>
      </c>
    </row>
    <row r="71" spans="1:4" x14ac:dyDescent="0.25">
      <c r="A71" t="s">
        <v>98</v>
      </c>
      <c r="B71">
        <f>1.5*sigma_P</f>
        <v>0.41023410305355401</v>
      </c>
    </row>
    <row r="73" spans="1:4" x14ac:dyDescent="0.25">
      <c r="A73" t="s">
        <v>104</v>
      </c>
    </row>
    <row r="75" spans="1:4" x14ac:dyDescent="0.25">
      <c r="A75" t="s">
        <v>99</v>
      </c>
    </row>
    <row r="76" spans="1:4" x14ac:dyDescent="0.25">
      <c r="A76" t="s">
        <v>100</v>
      </c>
      <c r="B76">
        <f>(0.12+0.5*mu_0)/1.5</f>
        <v>8.666666666666667E-2</v>
      </c>
      <c r="C76">
        <v>1</v>
      </c>
    </row>
    <row r="77" spans="1:4" x14ac:dyDescent="0.25">
      <c r="A77" t="s">
        <v>101</v>
      </c>
      <c r="B77">
        <f>SQRT((a_-2*b_*B76+c__*B76^2)/(a_*c__-b_^2))</f>
        <v>9.3052829549820512E-2</v>
      </c>
    </row>
    <row r="78" spans="1:4" x14ac:dyDescent="0.25">
      <c r="A78" t="s">
        <v>114</v>
      </c>
      <c r="B78">
        <f t="array" ref="B78:B80">MMULT(MMULT(MINVERSE(sigma),MMULT(B1:C3,MINVERSE(I62:J63))),TRANSPOSE(B76:C76))</f>
        <v>0.36603678083347257</v>
      </c>
      <c r="C78" t="s">
        <v>115</v>
      </c>
      <c r="D78">
        <f t="array" ref="D78">SUMPRODUCT(B78:B80,mu)</f>
        <v>8.6666666666666586E-2</v>
      </c>
    </row>
    <row r="79" spans="1:4" x14ac:dyDescent="0.25">
      <c r="B79">
        <v>0.43414318654743783</v>
      </c>
    </row>
    <row r="80" spans="1:4" x14ac:dyDescent="0.25">
      <c r="B80">
        <v>0.19982003261908809</v>
      </c>
    </row>
    <row r="82" spans="1:2" x14ac:dyDescent="0.25">
      <c r="A82" t="s">
        <v>102</v>
      </c>
      <c r="B82">
        <f>1.5*B76+(1-1.5)*mu_0</f>
        <v>0.12000000000000001</v>
      </c>
    </row>
    <row r="83" spans="1:2" x14ac:dyDescent="0.25">
      <c r="A83" t="s">
        <v>103</v>
      </c>
      <c r="B83">
        <f>1.5*B77</f>
        <v>0.13957924432473076</v>
      </c>
    </row>
    <row r="84" spans="1:2" x14ac:dyDescent="0.25">
      <c r="A84" t="s">
        <v>116</v>
      </c>
      <c r="B84">
        <f t="array" ref="B84:B86">1.5*B78:B80</f>
        <v>0.54905517125020886</v>
      </c>
    </row>
    <row r="85" spans="1:2" x14ac:dyDescent="0.25">
      <c r="B85">
        <v>0.65121477982115672</v>
      </c>
    </row>
    <row r="86" spans="1:2" x14ac:dyDescent="0.25">
      <c r="B86">
        <v>0.29973004892863214</v>
      </c>
    </row>
    <row r="87" spans="1:2" x14ac:dyDescent="0.25">
      <c r="A87" t="s">
        <v>68</v>
      </c>
      <c r="B87">
        <f>1-SUM(B84:B86)</f>
        <v>-0.49999999999999778</v>
      </c>
    </row>
    <row r="88" spans="1:2" x14ac:dyDescent="0.25">
      <c r="A88" t="s">
        <v>106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16</vt:i4>
      </vt:variant>
    </vt:vector>
  </HeadingPairs>
  <TitlesOfParts>
    <vt:vector size="19" baseType="lpstr">
      <vt:lpstr>opgave 1</vt:lpstr>
      <vt:lpstr>opgave 2</vt:lpstr>
      <vt:lpstr>opgave 3</vt:lpstr>
      <vt:lpstr>a_</vt:lpstr>
      <vt:lpstr>b_</vt:lpstr>
      <vt:lpstr>C_</vt:lpstr>
      <vt:lpstr>c__</vt:lpstr>
      <vt:lpstr>D</vt:lpstr>
      <vt:lpstr>mu</vt:lpstr>
      <vt:lpstr>mu_0</vt:lpstr>
      <vt:lpstr>mu_P</vt:lpstr>
      <vt:lpstr>mu_tan1</vt:lpstr>
      <vt:lpstr>ones</vt:lpstr>
      <vt:lpstr>pi</vt:lpstr>
      <vt:lpstr>sigma</vt:lpstr>
      <vt:lpstr>sigma_P</vt:lpstr>
      <vt:lpstr>sigma_tan1</vt:lpstr>
      <vt:lpstr>SR_tan2</vt:lpstr>
      <vt:lpstr>tilmu_0</vt:lpstr>
    </vt:vector>
  </TitlesOfParts>
  <Company>SUND - KU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Glavind Skovmand</dc:creator>
  <cp:lastModifiedBy>David Glavind Skovmand</cp:lastModifiedBy>
  <dcterms:created xsi:type="dcterms:W3CDTF">2021-06-15T10:25:45Z</dcterms:created>
  <dcterms:modified xsi:type="dcterms:W3CDTF">2021-07-13T06:14:39Z</dcterms:modified>
</cp:coreProperties>
</file>