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x738\Dropbox\Fin1_2022\Eksamen, august 2022\"/>
    </mc:Choice>
  </mc:AlternateContent>
  <bookViews>
    <workbookView xWindow="0" yWindow="0" windowWidth="2350" windowHeight="0" activeTab="2"/>
  </bookViews>
  <sheets>
    <sheet name="Opgave 1" sheetId="1" r:id="rId1"/>
    <sheet name="Opgave 2" sheetId="5" r:id="rId2"/>
    <sheet name="Opgave 3" sheetId="6" r:id="rId3"/>
  </sheets>
  <definedNames>
    <definedName name="solver_adj" localSheetId="0" hidden="1">'Opgave 1'!$B$35</definedName>
    <definedName name="solver_adj" localSheetId="1" hidden="1">'Opgave 2'!$A$19:$C$19</definedName>
    <definedName name="solver_adj" localSheetId="2" hidden="1">'Opgave 3'!$C$36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1" hidden="1">'Opgave 2'!$E$19</definedName>
    <definedName name="solver_lhs2" localSheetId="1" hidden="1">'Opgave 2'!$E$20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2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2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'Opgave 1'!$I$39</definedName>
    <definedName name="solver_opt" localSheetId="1" hidden="1">'Opgave 2'!$E$18</definedName>
    <definedName name="solver_opt" localSheetId="2" hidden="1">'Opgave 3'!$O$32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el1" localSheetId="1" hidden="1">2</definedName>
    <definedName name="solver_rel2" localSheetId="1" hidden="1">1</definedName>
    <definedName name="solver_rhs1" localSheetId="1" hidden="1">'Opgave 2'!$F$19</definedName>
    <definedName name="solver_rhs2" localSheetId="1" hidden="1">'Opgave 2'!$F$20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3</definedName>
    <definedName name="solver_typ" localSheetId="1" hidden="1">1</definedName>
    <definedName name="solver_typ" localSheetId="2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H18" i="5"/>
  <c r="E29" i="5" l="1"/>
  <c r="E28" i="5"/>
  <c r="F25" i="5"/>
  <c r="F24" i="5" a="1"/>
  <c r="F24" i="5" s="1"/>
  <c r="F23" i="5" a="1"/>
  <c r="F23" i="5" s="1"/>
  <c r="F22" i="5" a="1"/>
  <c r="F22" i="5" s="1"/>
  <c r="D22" i="5" a="1"/>
  <c r="D22" i="5" s="1"/>
  <c r="B25" i="5" a="1"/>
  <c r="B25" i="5" s="1"/>
  <c r="B24" i="5"/>
  <c r="B23" i="5"/>
  <c r="B22" i="5"/>
  <c r="D24" i="5" l="1"/>
  <c r="D23" i="5"/>
  <c r="D13" i="5"/>
  <c r="C13" i="5"/>
  <c r="B13" i="5"/>
  <c r="G13" i="5" s="1" a="1"/>
  <c r="G13" i="5" s="1"/>
  <c r="A39" i="1"/>
  <c r="F35" i="1"/>
  <c r="B39" i="1" s="1"/>
  <c r="C39" i="1" s="1"/>
  <c r="E39" i="1" s="1"/>
  <c r="D35" i="1"/>
  <c r="B38" i="1" s="1"/>
  <c r="F30" i="1"/>
  <c r="E18" i="5" a="1"/>
  <c r="E18" i="5" s="1"/>
  <c r="D3" i="5"/>
  <c r="E3" i="5"/>
  <c r="D4" i="5" s="1"/>
  <c r="F3" i="5"/>
  <c r="D5" i="5" s="1"/>
  <c r="E4" i="5"/>
  <c r="F4" i="5"/>
  <c r="E5" i="5" s="1"/>
  <c r="F5" i="5"/>
  <c r="G14" i="5" l="1" a="1"/>
  <c r="G14" i="5" s="1"/>
  <c r="F20" i="5" s="1"/>
  <c r="E20" i="5" a="1"/>
  <c r="E20" i="5" s="1"/>
  <c r="H35" i="1"/>
  <c r="C37" i="1"/>
  <c r="E37" i="1" s="1"/>
  <c r="C38" i="1"/>
  <c r="E38" i="1" s="1"/>
  <c r="E19" i="5"/>
  <c r="C34" i="6"/>
  <c r="C35" i="6" s="1"/>
  <c r="N34" i="6" s="1"/>
  <c r="C29" i="6"/>
  <c r="N25" i="6"/>
  <c r="M25" i="6"/>
  <c r="L25" i="6"/>
  <c r="K25" i="6"/>
  <c r="J25" i="6"/>
  <c r="I25" i="6"/>
  <c r="H25" i="6"/>
  <c r="G25" i="6"/>
  <c r="F25" i="6"/>
  <c r="E25" i="6"/>
  <c r="G15" i="5" l="1" a="1"/>
  <c r="G15" i="5" s="1"/>
  <c r="F38" i="1"/>
  <c r="F39" i="1"/>
  <c r="J32" i="6"/>
  <c r="J33" i="6" s="1"/>
  <c r="L32" i="6"/>
  <c r="L33" i="6" s="1"/>
  <c r="N32" i="6"/>
  <c r="N33" i="6" s="1"/>
  <c r="K32" i="6"/>
  <c r="K33" i="6" s="1"/>
  <c r="F34" i="6"/>
  <c r="G34" i="6"/>
  <c r="E32" i="6"/>
  <c r="E33" i="6" s="1"/>
  <c r="M32" i="6"/>
  <c r="M33" i="6" s="1"/>
  <c r="I34" i="6"/>
  <c r="H34" i="6"/>
  <c r="L34" i="6"/>
  <c r="F32" i="6"/>
  <c r="F33" i="6" s="1"/>
  <c r="J34" i="6"/>
  <c r="G32" i="6"/>
  <c r="G33" i="6" s="1"/>
  <c r="E34" i="6"/>
  <c r="C38" i="6" s="1"/>
  <c r="K34" i="6"/>
  <c r="H32" i="6"/>
  <c r="H33" i="6" s="1"/>
  <c r="I32" i="6"/>
  <c r="I33" i="6" s="1"/>
  <c r="M34" i="6"/>
  <c r="N23" i="6"/>
  <c r="N24" i="6" s="1"/>
  <c r="M23" i="6"/>
  <c r="M24" i="6" s="1"/>
  <c r="L23" i="6"/>
  <c r="L24" i="6" s="1"/>
  <c r="K23" i="6"/>
  <c r="K24" i="6" s="1"/>
  <c r="J23" i="6"/>
  <c r="J24" i="6" s="1"/>
  <c r="I23" i="6"/>
  <c r="I24" i="6" s="1"/>
  <c r="H23" i="6"/>
  <c r="H24" i="6" s="1"/>
  <c r="G23" i="6"/>
  <c r="G24" i="6" s="1"/>
  <c r="F23" i="6"/>
  <c r="F24" i="6" s="1"/>
  <c r="E23" i="6"/>
  <c r="E24" i="6" s="1"/>
  <c r="C26" i="6"/>
  <c r="C25" i="6"/>
  <c r="A13" i="6"/>
  <c r="C6" i="6"/>
  <c r="D6" i="6" s="1"/>
  <c r="B10" i="6"/>
  <c r="B13" i="6" s="1"/>
  <c r="A8" i="6"/>
  <c r="A10" i="6" s="1"/>
  <c r="G39" i="1" l="1"/>
  <c r="I39" i="1" s="1"/>
  <c r="C37" i="6"/>
  <c r="O32" i="6"/>
  <c r="C28" i="6"/>
  <c r="O23" i="6"/>
  <c r="E6" i="6"/>
  <c r="D8" i="6"/>
  <c r="D10" i="6" s="1"/>
  <c r="C8" i="6"/>
  <c r="C10" i="6" s="1"/>
  <c r="C23" i="1"/>
  <c r="C24" i="1"/>
  <c r="C25" i="1"/>
  <c r="C15" i="1"/>
  <c r="C17" i="1"/>
  <c r="C16" i="1"/>
  <c r="F6" i="1"/>
  <c r="L5" i="1"/>
  <c r="D13" i="6" l="1"/>
  <c r="C13" i="6"/>
  <c r="F6" i="6"/>
  <c r="E8" i="6"/>
  <c r="E10" i="6" s="1"/>
  <c r="E13" i="6" s="1"/>
  <c r="G6" i="6" l="1"/>
  <c r="F8" i="6"/>
  <c r="F10" i="6" s="1"/>
  <c r="F13" i="6" l="1"/>
  <c r="H6" i="6"/>
  <c r="G8" i="6"/>
  <c r="G10" i="6" s="1"/>
  <c r="G13" i="6" s="1"/>
  <c r="A8" i="5" a="1"/>
  <c r="B9" i="5" s="1"/>
  <c r="I6" i="6" l="1"/>
  <c r="H8" i="6"/>
  <c r="H10" i="6" s="1"/>
  <c r="A8" i="5"/>
  <c r="B8" i="5"/>
  <c r="A9" i="5"/>
  <c r="D8" i="5" l="1" a="1"/>
  <c r="D8" i="5" s="1"/>
  <c r="H13" i="6"/>
  <c r="J6" i="6"/>
  <c r="I8" i="6"/>
  <c r="I10" i="6" s="1"/>
  <c r="I13" i="6" s="1"/>
  <c r="D9" i="5" l="1"/>
  <c r="E9" i="5"/>
  <c r="E8" i="5"/>
  <c r="D10" i="5"/>
  <c r="E10" i="5"/>
  <c r="J8" i="6"/>
  <c r="J10" i="6" s="1"/>
  <c r="C11" i="6" s="1"/>
  <c r="K6" i="6"/>
  <c r="K8" i="6" s="1"/>
  <c r="K10" i="6" s="1"/>
  <c r="G5" i="5"/>
  <c r="K13" i="6" l="1"/>
  <c r="J13" i="6"/>
  <c r="G4" i="5"/>
  <c r="G3" i="5"/>
  <c r="G8" i="5" s="1" a="1"/>
  <c r="G9" i="5" s="1"/>
  <c r="B14" i="6" l="1"/>
  <c r="G10" i="5"/>
  <c r="G8" i="5"/>
  <c r="B15" i="6" l="1"/>
  <c r="D15" i="6"/>
  <c r="E15" i="6"/>
  <c r="C15" i="6"/>
  <c r="F15" i="6"/>
  <c r="G15" i="6"/>
  <c r="H15" i="6"/>
  <c r="I15" i="6"/>
  <c r="K15" i="6"/>
  <c r="J15" i="6"/>
  <c r="B11" i="1"/>
  <c r="D14" i="6" l="1"/>
  <c r="F5" i="1" l="1"/>
  <c r="F7" i="1" s="1"/>
  <c r="H17" i="1" l="1"/>
  <c r="I6" i="1"/>
  <c r="I5" i="1"/>
  <c r="L6" i="1"/>
  <c r="J17" i="1" l="1"/>
  <c r="J25" i="1" s="1"/>
  <c r="L7" i="1"/>
  <c r="H15" i="1"/>
  <c r="I7" i="1"/>
  <c r="K16" i="1" l="1"/>
  <c r="K17" i="1"/>
  <c r="B17" i="1" l="1"/>
  <c r="K25" i="1"/>
  <c r="B25" i="1" s="1"/>
  <c r="B16" i="1"/>
  <c r="H16" i="1" s="1"/>
  <c r="K24" i="1"/>
  <c r="B24" i="1" s="1"/>
  <c r="F17" i="1" l="1"/>
  <c r="H18" i="1"/>
  <c r="A25" i="1"/>
  <c r="A17" i="1"/>
  <c r="F18" i="1" l="1"/>
</calcChain>
</file>

<file path=xl/sharedStrings.xml><?xml version="1.0" encoding="utf-8"?>
<sst xmlns="http://schemas.openxmlformats.org/spreadsheetml/2006/main" count="133" uniqueCount="107">
  <si>
    <t>Sigma</t>
  </si>
  <si>
    <t>r</t>
  </si>
  <si>
    <t>R</t>
  </si>
  <si>
    <t>Tid 0</t>
  </si>
  <si>
    <t>q</t>
  </si>
  <si>
    <t>u</t>
  </si>
  <si>
    <t xml:space="preserve">d </t>
  </si>
  <si>
    <t>Tid 1,ned</t>
  </si>
  <si>
    <t>d</t>
  </si>
  <si>
    <t>1-periodedelmodellerne</t>
  </si>
  <si>
    <t>1a</t>
  </si>
  <si>
    <t>1b</t>
  </si>
  <si>
    <t xml:space="preserve"> </t>
  </si>
  <si>
    <t>1c</t>
  </si>
  <si>
    <t>q'erne nyttigt arrangeret</t>
  </si>
  <si>
    <t>a</t>
  </si>
  <si>
    <t>b</t>
  </si>
  <si>
    <t>2a</t>
  </si>
  <si>
    <t>2b</t>
  </si>
  <si>
    <t>Kurs</t>
  </si>
  <si>
    <t>Ydelse</t>
  </si>
  <si>
    <t>Alle 1-periodedelmodellerne er komplette (u not = d) og arb'fri ( 0&lt;q&lt;1 i alle).</t>
  </si>
  <si>
    <t>3a</t>
  </si>
  <si>
    <t>mu</t>
  </si>
  <si>
    <t>r0</t>
  </si>
  <si>
    <r>
      <t>mu- r0</t>
    </r>
    <r>
      <rPr>
        <b/>
        <sz val="10"/>
        <rFont val="Arial"/>
        <family val="2"/>
      </rPr>
      <t>1</t>
    </r>
  </si>
  <si>
    <t>Sigma^-1(mu-r01)</t>
  </si>
  <si>
    <t>Vi laver set-up</t>
  </si>
  <si>
    <t>B:=Sigma^-1 [mu 1]A^-1</t>
  </si>
  <si>
    <t>A = (a b \\ b c)</t>
  </si>
  <si>
    <t>vol_1</t>
  </si>
  <si>
    <t>vol_2</t>
  </si>
  <si>
    <t>vol_3</t>
  </si>
  <si>
    <t>corr(1,2)</t>
  </si>
  <si>
    <t>corr(1,3)</t>
  </si>
  <si>
    <t>corr(2,3)</t>
  </si>
  <si>
    <t>Hedge i 1-periode-delmodeller (a~aktie, b~kr. i banken)</t>
  </si>
  <si>
    <t>Derfor er hele modellen komplet og arb'fri. Men 1-per'delmodllerne er ikke ens -- selvom ens q'er.</t>
  </si>
  <si>
    <t>Tid 1, op</t>
  </si>
  <si>
    <t>K (strike på put)</t>
  </si>
  <si>
    <t>Europæisk put-pris</t>
  </si>
  <si>
    <t>Amerikansk put-pris</t>
  </si>
  <si>
    <t>a0</t>
  </si>
  <si>
    <t>a1</t>
  </si>
  <si>
    <t>a2</t>
  </si>
  <si>
    <t>a3</t>
  </si>
  <si>
    <t>nko-pris; P(0;tau)</t>
  </si>
  <si>
    <t>kontinuert tilskrevet nk-rente; y(0;tau)</t>
  </si>
  <si>
    <t>kontinuert tilskrevet fwd-rente; f(0;tau)</t>
  </si>
  <si>
    <t>Max f(0;tau)</t>
  </si>
  <si>
    <t>ved løbetid</t>
  </si>
  <si>
    <t>SUM_i=0^10 P(0;i)</t>
  </si>
  <si>
    <t>løbetid (i år); tau</t>
  </si>
  <si>
    <t>Annuitet</t>
  </si>
  <si>
    <t>Hovedsol, F</t>
  </si>
  <si>
    <t>Løbetid, T</t>
  </si>
  <si>
    <t>Kuponrente, R</t>
  </si>
  <si>
    <t>Eff' rente</t>
  </si>
  <si>
    <t>M-varighed</t>
  </si>
  <si>
    <t>FW-varighed</t>
  </si>
  <si>
    <t>x_1/3^\top</t>
  </si>
  <si>
    <t>mu_1/3</t>
  </si>
  <si>
    <t>sigma_1/3</t>
  </si>
  <si>
    <t>rho_2,1/3</t>
  </si>
  <si>
    <t>x^T \mu</t>
  </si>
  <si>
    <t>x^T 1</t>
  </si>
  <si>
    <t>x^T \Sigma x</t>
  </si>
  <si>
    <t>x^T</t>
  </si>
  <si>
    <t>Højreside</t>
  </si>
  <si>
    <t>1d</t>
  </si>
  <si>
    <t>Vi ændrer tallet i celle C14 og paste as value'er tallet i A17</t>
  </si>
  <si>
    <t>Put, K=110</t>
  </si>
  <si>
    <t>Put, K=90</t>
  </si>
  <si>
    <t>Gennemsnit</t>
  </si>
  <si>
    <t>&gt;</t>
  </si>
  <si>
    <t>Put(100)=</t>
  </si>
  <si>
    <t>Da renten er negativ (og dividender=0) vil vi</t>
  </si>
  <si>
    <t>aldrig indfri en amr' put førtidigt.</t>
  </si>
  <si>
    <t>= KP(t,T) - S(t) &gt; K - S(t) = hva' vi får ved indfrielse</t>
  </si>
  <si>
    <t>Argument med put/call-paritet:</t>
  </si>
  <si>
    <t>Dette skyldes at put-priser er konvekse i strike.</t>
  </si>
  <si>
    <t>Put^A &gt;= Put^E&gt;= Put^E-Call^E</t>
  </si>
  <si>
    <t>vol</t>
  </si>
  <si>
    <t>K=</t>
  </si>
  <si>
    <t>K=90</t>
  </si>
  <si>
    <t>imp'vol</t>
  </si>
  <si>
    <t>K=100</t>
  </si>
  <si>
    <t>K=110</t>
  </si>
  <si>
    <t>Da modellen ikke er et specialtilfælde af std'binom'modellen</t>
  </si>
  <si>
    <t>put-optioner forskeliige implicitte volatiliteter</t>
  </si>
  <si>
    <t>Med solver, ændringer i K i E36 og referencen i I36 samt 'paste as value' finder vi følgende:</t>
  </si>
  <si>
    <t xml:space="preserve">(u og d varierer i 1-periodedelmodellerne), så har forskellige </t>
  </si>
  <si>
    <t>1e</t>
  </si>
  <si>
    <t>2c</t>
  </si>
  <si>
    <t>mu^e</t>
  </si>
  <si>
    <t>1^T \Sigma^-1 \mu^e</t>
  </si>
  <si>
    <t>x_tangent</t>
  </si>
  <si>
    <t>(fra (3.16))</t>
  </si>
  <si>
    <t>mu_tangent</t>
  </si>
  <si>
    <t>sigma_tangent</t>
  </si>
  <si>
    <t>cov(r_1/3,r_tangent)</t>
  </si>
  <si>
    <t>beta_1/3</t>
  </si>
  <si>
    <t>CAPM</t>
  </si>
  <si>
    <t>mu_1/3 - r0 = beta_1/3*(\mu_tangent-r0)</t>
  </si>
  <si>
    <t>Venstreside</t>
  </si>
  <si>
    <t>Så det passer -- som det skal, når referencepf' er middelværdi/varians-efficient</t>
  </si>
  <si>
    <t>\sigma fra eff' 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</si>
</sst>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0"/>
    <numFmt numFmtId="167" formatCode="#,##0.0000\ _k_r_.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2" borderId="1" xfId="0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5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0" xfId="0" applyNumberFormat="1" applyBorder="1"/>
    <xf numFmtId="0" fontId="0" fillId="3" borderId="11" xfId="0" applyFill="1" applyBorder="1"/>
    <xf numFmtId="0" fontId="0" fillId="0" borderId="16" xfId="0" applyBorder="1"/>
    <xf numFmtId="0" fontId="0" fillId="2" borderId="9" xfId="0" applyFill="1" applyBorder="1"/>
    <xf numFmtId="0" fontId="0" fillId="3" borderId="12" xfId="0" applyFill="1" applyBorder="1"/>
    <xf numFmtId="0" fontId="0" fillId="2" borderId="1" xfId="0" applyFont="1" applyFill="1" applyBorder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164" fontId="0" fillId="0" borderId="0" xfId="0" applyNumberFormat="1" applyFont="1" applyFill="1"/>
    <xf numFmtId="0" fontId="1" fillId="0" borderId="0" xfId="0" applyFont="1" applyFill="1"/>
    <xf numFmtId="166" fontId="0" fillId="0" borderId="0" xfId="0" applyNumberFormat="1" applyBorder="1"/>
    <xf numFmtId="165" fontId="0" fillId="0" borderId="0" xfId="0" applyNumberFormat="1" applyFont="1" applyFill="1"/>
    <xf numFmtId="165" fontId="0" fillId="0" borderId="2" xfId="0" applyNumberFormat="1" applyBorder="1"/>
    <xf numFmtId="0" fontId="2" fillId="2" borderId="1" xfId="0" applyFont="1" applyFill="1" applyBorder="1"/>
    <xf numFmtId="0" fontId="0" fillId="3" borderId="4" xfId="0" applyFill="1" applyBorder="1"/>
    <xf numFmtId="164" fontId="0" fillId="0" borderId="0" xfId="0" applyNumberFormat="1" applyFont="1"/>
    <xf numFmtId="167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2" fontId="0" fillId="2" borderId="1" xfId="0" applyNumberFormat="1" applyFill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0" xfId="0" quotePrefix="1" applyNumberFormat="1" applyBorder="1"/>
    <xf numFmtId="0" fontId="0" fillId="0" borderId="0" xfId="0" applyBorder="1" applyAlignment="1">
      <alignment horizontal="right"/>
    </xf>
    <xf numFmtId="166" fontId="0" fillId="0" borderId="4" xfId="0" applyNumberFormat="1" applyBorder="1"/>
    <xf numFmtId="0" fontId="0" fillId="2" borderId="0" xfId="0" applyFont="1" applyFill="1"/>
    <xf numFmtId="165" fontId="0" fillId="0" borderId="4" xfId="0" applyNumberFormat="1" applyFont="1" applyBorder="1"/>
    <xf numFmtId="165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v>Nk-renter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'Opgave 3'!$B$6:$K$6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'Opgave 3'!$B$8:$K$8</c:f>
              <c:numCache>
                <c:formatCode>General</c:formatCode>
                <c:ptCount val="10"/>
                <c:pt idx="0">
                  <c:v>4.3871561480013282E-2</c:v>
                </c:pt>
                <c:pt idx="1">
                  <c:v>5.377957569770464E-2</c:v>
                </c:pt>
                <c:pt idx="2">
                  <c:v>6.0702252602396069E-2</c:v>
                </c:pt>
                <c:pt idx="3">
                  <c:v>6.5387728530568262E-2</c:v>
                </c:pt>
                <c:pt idx="4">
                  <c:v>6.8407002253080468E-2</c:v>
                </c:pt>
                <c:pt idx="5">
                  <c:v>7.0194835704636915E-2</c:v>
                </c:pt>
                <c:pt idx="6">
                  <c:v>7.1081336054775734E-2</c:v>
                </c:pt>
                <c:pt idx="7">
                  <c:v>7.1316325433592773E-2</c:v>
                </c:pt>
                <c:pt idx="8">
                  <c:v>7.1088130962885132E-2</c:v>
                </c:pt>
                <c:pt idx="9">
                  <c:v>7.0538060225680585E-2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99CB-4251-B992-720349DB8059}"/>
            </c:ext>
          </c:extLst>
        </c:ser>
        <c:ser>
          <c:idx val="1"/>
          <c:order val="1"/>
          <c:tx>
            <c:v>Fwd-renter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'Opgave 3'!$B$6:$K$6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'Opgave 3'!$B$13:$K$13</c:f>
              <c:numCache>
                <c:formatCode>General</c:formatCode>
                <c:ptCount val="10"/>
                <c:pt idx="0">
                  <c:v>4.3871561480013255E-2</c:v>
                </c:pt>
                <c:pt idx="1">
                  <c:v>6.3687589915395984E-2</c:v>
                </c:pt>
                <c:pt idx="2">
                  <c:v>7.4547606411778752E-2</c:v>
                </c:pt>
                <c:pt idx="3">
                  <c:v>7.9444156315084877E-2</c:v>
                </c:pt>
                <c:pt idx="4">
                  <c:v>8.0484097143129221E-2</c:v>
                </c:pt>
                <c:pt idx="5">
                  <c:v>7.9134002962419125E-2</c:v>
                </c:pt>
                <c:pt idx="6">
                  <c:v>7.6400338155608483E-2</c:v>
                </c:pt>
                <c:pt idx="7">
                  <c:v>7.296125108531204E-2</c:v>
                </c:pt>
                <c:pt idx="8">
                  <c:v>6.9262575197224077E-2</c:v>
                </c:pt>
                <c:pt idx="9">
                  <c:v>6.5587423590839619E-2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9CB-4251-B992-720349DB8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799800"/>
        <c:axId val="396795208"/>
      </c:scatterChart>
      <c:valAx>
        <c:axId val="39679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95208"/>
        <c:crosses val="autoZero"/>
        <c:crossBetween val="midCat"/>
      </c:valAx>
      <c:valAx>
        <c:axId val="39679520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799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171449</xdr:colOff>
      <xdr:row>3</xdr:row>
      <xdr:rowOff>165099</xdr:rowOff>
    </xdr:from>
    <xdr:to>
      <xdr:col>17</xdr:col>
      <xdr:colOff>504824</xdr:colOff>
      <xdr:row>17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5" sqref="A5:C7"/>
    </sheetView>
  </sheetViews>
  <sheetFormatPr defaultRowHeight="14.5" x14ac:dyDescent="0.35"/>
  <cols>
    <col min="1" max="1" width="14.26953125" customWidth="1"/>
    <col min="2" max="2" width="14" customWidth="1"/>
    <col min="3" max="3" width="9.26953125" bestFit="1" customWidth="1"/>
    <col min="4" max="4" width="6.36328125" customWidth="1"/>
    <col min="7" max="7" width="10.81640625" customWidth="1"/>
    <col min="9" max="9" width="18.1796875" customWidth="1"/>
    <col min="12" max="12" width="15" customWidth="1"/>
  </cols>
  <sheetData>
    <row r="1" spans="1:12" ht="15" thickBot="1" x14ac:dyDescent="0.4"/>
    <row r="2" spans="1:12" ht="15" thickTop="1" x14ac:dyDescent="0.35">
      <c r="A2" s="32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</row>
    <row r="3" spans="1:12" x14ac:dyDescent="0.35">
      <c r="A3" s="13"/>
      <c r="B3" s="14"/>
      <c r="C3" s="14"/>
      <c r="D3" s="14"/>
      <c r="E3" s="14" t="s">
        <v>9</v>
      </c>
      <c r="F3" s="14"/>
      <c r="G3" s="14"/>
      <c r="H3" s="14"/>
      <c r="I3" s="14"/>
      <c r="J3" s="14"/>
      <c r="K3" s="14"/>
      <c r="L3" s="15"/>
    </row>
    <row r="4" spans="1:12" x14ac:dyDescent="0.35">
      <c r="A4" s="13"/>
      <c r="B4" s="14"/>
      <c r="C4" s="14"/>
      <c r="D4" s="14"/>
      <c r="E4" s="14" t="s">
        <v>3</v>
      </c>
      <c r="F4" s="14"/>
      <c r="G4" s="14"/>
      <c r="H4" s="14" t="s">
        <v>7</v>
      </c>
      <c r="I4" s="14"/>
      <c r="J4" s="14"/>
      <c r="K4" s="14" t="s">
        <v>38</v>
      </c>
      <c r="L4" s="15"/>
    </row>
    <row r="5" spans="1:12" x14ac:dyDescent="0.35">
      <c r="A5" s="60"/>
      <c r="B5" s="61"/>
      <c r="C5" s="61">
        <v>131.24010804436909</v>
      </c>
      <c r="D5" s="14"/>
      <c r="E5" s="14" t="s">
        <v>5</v>
      </c>
      <c r="F5" s="14">
        <f>B6/A7</f>
        <v>1.180000219013051</v>
      </c>
      <c r="G5" s="14"/>
      <c r="H5" s="14" t="s">
        <v>5</v>
      </c>
      <c r="I5" s="14">
        <f>C6/B7</f>
        <v>1.2799997808056358</v>
      </c>
      <c r="J5" s="14"/>
      <c r="K5" s="14" t="s">
        <v>5</v>
      </c>
      <c r="L5" s="15">
        <f>C5/B6</f>
        <v>1.1122040990309137</v>
      </c>
    </row>
    <row r="6" spans="1:12" x14ac:dyDescent="0.35">
      <c r="A6" s="60"/>
      <c r="B6" s="61">
        <v>118.00002190130509</v>
      </c>
      <c r="C6" s="61">
        <v>102.39998246445087</v>
      </c>
      <c r="D6" s="14"/>
      <c r="E6" s="14" t="s">
        <v>6</v>
      </c>
      <c r="F6" s="14">
        <f>B7/A7</f>
        <v>0.8</v>
      </c>
      <c r="G6" s="14"/>
      <c r="H6" s="14" t="s">
        <v>8</v>
      </c>
      <c r="I6" s="14">
        <f>C7/B7</f>
        <v>0.7</v>
      </c>
      <c r="J6" s="14"/>
      <c r="K6" s="14" t="s">
        <v>8</v>
      </c>
      <c r="L6" s="15">
        <f>C6/B6</f>
        <v>0.86779630049643508</v>
      </c>
    </row>
    <row r="7" spans="1:12" x14ac:dyDescent="0.35">
      <c r="A7" s="60">
        <v>100</v>
      </c>
      <c r="B7" s="61">
        <v>80</v>
      </c>
      <c r="C7" s="61">
        <v>56</v>
      </c>
      <c r="D7" s="14"/>
      <c r="E7" s="14" t="s">
        <v>4</v>
      </c>
      <c r="F7" s="19">
        <f>($B$11-F6)/(F5-F6)</f>
        <v>0.49999971182509895</v>
      </c>
      <c r="G7" s="14"/>
      <c r="H7" s="14" t="s">
        <v>4</v>
      </c>
      <c r="I7" s="19">
        <f>($B$11-I6)/(I5-I6)</f>
        <v>0.50000018896073017</v>
      </c>
      <c r="J7" s="14"/>
      <c r="K7" s="14" t="s">
        <v>4</v>
      </c>
      <c r="L7" s="20">
        <f>($B$11-L6)/(L5-L6)</f>
        <v>0.4999991826624372</v>
      </c>
    </row>
    <row r="8" spans="1:12" x14ac:dyDescent="0.35">
      <c r="A8" s="13">
        <v>0</v>
      </c>
      <c r="B8" s="14">
        <v>1</v>
      </c>
      <c r="C8" s="14">
        <v>2</v>
      </c>
      <c r="D8" s="14"/>
      <c r="E8" s="14"/>
      <c r="F8" s="14"/>
      <c r="G8" s="14"/>
      <c r="H8" s="14"/>
      <c r="I8" s="14"/>
      <c r="J8" s="14"/>
      <c r="K8" s="14"/>
      <c r="L8" s="15"/>
    </row>
    <row r="9" spans="1:12" x14ac:dyDescent="0.35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5"/>
    </row>
    <row r="10" spans="1:12" x14ac:dyDescent="0.35">
      <c r="A10" s="13" t="s">
        <v>1</v>
      </c>
      <c r="B10" s="14">
        <v>-0.01</v>
      </c>
      <c r="C10" s="14"/>
      <c r="D10" s="14" t="s">
        <v>21</v>
      </c>
      <c r="E10" s="14"/>
      <c r="F10" s="14"/>
      <c r="G10" s="14"/>
      <c r="H10" s="14"/>
      <c r="I10" s="14"/>
      <c r="K10" s="14"/>
      <c r="L10" s="15"/>
    </row>
    <row r="11" spans="1:12" ht="15" thickBot="1" x14ac:dyDescent="0.4">
      <c r="A11" s="16" t="s">
        <v>2</v>
      </c>
      <c r="B11" s="17">
        <f>1+B10</f>
        <v>0.99</v>
      </c>
      <c r="C11" s="17"/>
      <c r="D11" s="17" t="s">
        <v>37</v>
      </c>
      <c r="E11" s="17"/>
      <c r="F11" s="17"/>
      <c r="G11" s="17"/>
      <c r="H11" s="17"/>
      <c r="I11" s="17"/>
      <c r="J11" s="7"/>
      <c r="K11" s="17"/>
      <c r="L11" s="18"/>
    </row>
    <row r="12" spans="1:12" ht="15.5" thickTop="1" thickBot="1" x14ac:dyDescent="0.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5" thickTop="1" thickBot="1" x14ac:dyDescent="0.4">
      <c r="A13" s="30" t="s">
        <v>11</v>
      </c>
      <c r="B13" s="1" t="s">
        <v>39</v>
      </c>
      <c r="C13" s="40">
        <v>100</v>
      </c>
      <c r="D13" s="26"/>
      <c r="E13" s="26" t="s">
        <v>36</v>
      </c>
      <c r="F13" s="26"/>
      <c r="G13" s="26"/>
      <c r="H13" s="21"/>
      <c r="I13" s="26"/>
      <c r="J13" s="26"/>
      <c r="K13" s="26"/>
      <c r="L13" s="21"/>
    </row>
    <row r="14" spans="1:12" x14ac:dyDescent="0.35">
      <c r="A14" s="26" t="s">
        <v>40</v>
      </c>
      <c r="D14" s="3"/>
      <c r="E14" s="3"/>
      <c r="F14" s="3"/>
      <c r="G14" s="3"/>
      <c r="H14" s="23"/>
      <c r="I14" s="3"/>
      <c r="J14" s="3" t="s">
        <v>14</v>
      </c>
      <c r="K14" s="3"/>
      <c r="L14" s="23"/>
    </row>
    <row r="15" spans="1:12" x14ac:dyDescent="0.35">
      <c r="A15" s="22"/>
      <c r="B15" s="3"/>
      <c r="C15" s="27">
        <f>MAX($C$13-C5,0)</f>
        <v>0</v>
      </c>
      <c r="D15" s="3"/>
      <c r="E15" s="3"/>
      <c r="F15" s="3"/>
      <c r="G15" s="3" t="s">
        <v>15</v>
      </c>
      <c r="H15" s="31">
        <f>(C15-C16)/(C5-C6)</f>
        <v>0</v>
      </c>
      <c r="I15" s="3"/>
      <c r="J15" s="3"/>
      <c r="K15" s="3"/>
      <c r="L15" s="23"/>
    </row>
    <row r="16" spans="1:12" x14ac:dyDescent="0.35">
      <c r="A16" s="22"/>
      <c r="B16" s="3">
        <f>(C15*K16+C16*(1-K16))/$B$11</f>
        <v>0</v>
      </c>
      <c r="C16" s="27">
        <f>MAX($C$13-C6,0)</f>
        <v>0</v>
      </c>
      <c r="D16" s="3"/>
      <c r="E16" s="3"/>
      <c r="F16" s="3"/>
      <c r="G16" s="3" t="s">
        <v>16</v>
      </c>
      <c r="H16" s="31">
        <f>B16-B6*H15</f>
        <v>0</v>
      </c>
      <c r="I16" s="3"/>
      <c r="J16" s="3"/>
      <c r="K16" s="3">
        <f>L7</f>
        <v>0.4999991826624372</v>
      </c>
      <c r="L16" s="23"/>
    </row>
    <row r="17" spans="1:12" x14ac:dyDescent="0.35">
      <c r="A17" s="28">
        <f>(B16*J17+B17*(1-J17))/$B$11</f>
        <v>11.223346783705093</v>
      </c>
      <c r="B17" s="3">
        <f>(C16*K17+C17*(1-K17))/$B$11</f>
        <v>22.222213823967547</v>
      </c>
      <c r="C17" s="27">
        <f>MAX($C$13-C7,0)</f>
        <v>44</v>
      </c>
      <c r="D17" s="3"/>
      <c r="E17" s="3" t="s">
        <v>15</v>
      </c>
      <c r="F17" s="9">
        <f>(B16-B17)/(B6-B7)</f>
        <v>-0.58479476358418458</v>
      </c>
      <c r="G17" s="3" t="s">
        <v>15</v>
      </c>
      <c r="H17" s="31">
        <f>(C16-C17)/(C6-C7)</f>
        <v>-0.94827622044276405</v>
      </c>
      <c r="I17" s="3"/>
      <c r="J17" s="3">
        <f>F7</f>
        <v>0.49999971182509895</v>
      </c>
      <c r="K17" s="3">
        <f>I7</f>
        <v>0.50000018896073017</v>
      </c>
      <c r="L17" s="23"/>
    </row>
    <row r="18" spans="1:12" x14ac:dyDescent="0.35">
      <c r="A18" s="22">
        <v>0</v>
      </c>
      <c r="B18" s="3">
        <v>1</v>
      </c>
      <c r="C18" s="3">
        <v>2</v>
      </c>
      <c r="D18" s="3"/>
      <c r="E18" s="3" t="s">
        <v>16</v>
      </c>
      <c r="F18" s="9">
        <f>A17-F17*A7</f>
        <v>69.702823142123549</v>
      </c>
      <c r="G18" s="3" t="s">
        <v>16</v>
      </c>
      <c r="H18" s="31">
        <f>B17-H17*B7</f>
        <v>98.084311459388672</v>
      </c>
      <c r="I18" s="3"/>
      <c r="J18" s="3"/>
      <c r="K18" s="3"/>
      <c r="L18" s="23"/>
    </row>
    <row r="19" spans="1:12" ht="15" thickBot="1" x14ac:dyDescent="0.4">
      <c r="A19" s="24"/>
      <c r="B19" s="29"/>
      <c r="C19" s="29"/>
      <c r="D19" s="29"/>
      <c r="E19" s="29"/>
      <c r="F19" s="29"/>
      <c r="G19" s="29"/>
      <c r="H19" s="29"/>
      <c r="I19" s="29">
        <v>0</v>
      </c>
      <c r="J19" s="29"/>
      <c r="K19" s="29">
        <v>1</v>
      </c>
      <c r="L19" s="25"/>
    </row>
    <row r="20" spans="1:12" ht="15" thickBot="1" x14ac:dyDescent="0.4">
      <c r="B20" t="s">
        <v>12</v>
      </c>
    </row>
    <row r="21" spans="1:12" ht="15" thickTop="1" x14ac:dyDescent="0.35">
      <c r="A21" s="47" t="s">
        <v>13</v>
      </c>
      <c r="B21" s="48" t="s">
        <v>39</v>
      </c>
      <c r="C21" s="48">
        <v>100</v>
      </c>
      <c r="D21" s="48"/>
      <c r="E21" s="48"/>
      <c r="F21" s="48"/>
      <c r="G21" s="48"/>
      <c r="H21" s="48"/>
      <c r="I21" s="48"/>
      <c r="J21" s="48"/>
      <c r="K21" s="49"/>
    </row>
    <row r="22" spans="1:12" x14ac:dyDescent="0.35">
      <c r="A22" s="50" t="s">
        <v>41</v>
      </c>
      <c r="B22" s="51"/>
      <c r="C22" s="51"/>
      <c r="D22" s="51"/>
      <c r="E22" s="51" t="s">
        <v>76</v>
      </c>
      <c r="F22" s="51"/>
      <c r="G22" s="51"/>
      <c r="H22" s="51"/>
      <c r="I22" s="51"/>
      <c r="J22" s="51"/>
      <c r="K22" s="52"/>
    </row>
    <row r="23" spans="1:12" x14ac:dyDescent="0.35">
      <c r="A23" s="58"/>
      <c r="B23" s="38"/>
      <c r="C23" s="38">
        <f>MAX($C$21-C5,0)</f>
        <v>0</v>
      </c>
      <c r="D23" s="51"/>
      <c r="E23" s="51" t="s">
        <v>77</v>
      </c>
      <c r="F23" s="51"/>
      <c r="G23" s="51"/>
      <c r="H23" s="51"/>
      <c r="I23" s="51" t="s">
        <v>79</v>
      </c>
      <c r="J23" s="51"/>
      <c r="K23" s="52"/>
    </row>
    <row r="24" spans="1:12" x14ac:dyDescent="0.35">
      <c r="A24" s="58"/>
      <c r="B24" s="38">
        <f>MAX((C23*K24+C24*(1-K24))/$B$11,MAX($C$21-B6,0))</f>
        <v>0</v>
      </c>
      <c r="C24" s="38">
        <f>MAX($C$21-C6,0)</f>
        <v>0</v>
      </c>
      <c r="D24" s="51"/>
      <c r="E24" s="51" t="s">
        <v>81</v>
      </c>
      <c r="F24" s="51"/>
      <c r="G24" s="51"/>
      <c r="H24" s="51"/>
      <c r="I24" s="51"/>
      <c r="J24" s="51"/>
      <c r="K24" s="52">
        <f>K16</f>
        <v>0.4999991826624372</v>
      </c>
    </row>
    <row r="25" spans="1:12" x14ac:dyDescent="0.35">
      <c r="A25" s="58">
        <f>MAX((B24*J25+B25*(1-J25))/$B$11,MAX(C21-A7,0))</f>
        <v>11.223346783705093</v>
      </c>
      <c r="B25" s="38">
        <f>MAX((C24*K25+C25*(1-K25))/$B$11,MAX($C$21-B7,0))</f>
        <v>22.222213823967547</v>
      </c>
      <c r="C25" s="38">
        <f>MAX($C$21-C7,0)</f>
        <v>44</v>
      </c>
      <c r="D25" s="51"/>
      <c r="E25" s="56" t="s">
        <v>78</v>
      </c>
      <c r="F25" s="51"/>
      <c r="G25" s="51"/>
      <c r="H25" s="51"/>
      <c r="I25" s="51"/>
      <c r="J25" s="51">
        <f>J17</f>
        <v>0.49999971182509895</v>
      </c>
      <c r="K25" s="52">
        <f>K17</f>
        <v>0.50000018896073017</v>
      </c>
    </row>
    <row r="26" spans="1:12" ht="15" thickBot="1" x14ac:dyDescent="0.4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5"/>
    </row>
    <row r="27" spans="1:12" ht="15.5" thickTop="1" thickBot="1" x14ac:dyDescent="0.4"/>
    <row r="28" spans="1:12" ht="15" thickTop="1" x14ac:dyDescent="0.35">
      <c r="A28" s="10" t="s">
        <v>69</v>
      </c>
      <c r="B28" s="1" t="s">
        <v>70</v>
      </c>
      <c r="C28" s="1"/>
      <c r="D28" s="1"/>
      <c r="E28" s="1"/>
      <c r="F28" s="1"/>
      <c r="G28" s="1"/>
      <c r="H28" s="1"/>
      <c r="I28" s="1"/>
      <c r="J28" s="1"/>
      <c r="K28" s="2"/>
    </row>
    <row r="29" spans="1:12" x14ac:dyDescent="0.35">
      <c r="A29" s="5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2" x14ac:dyDescent="0.35">
      <c r="A30" s="5" t="s">
        <v>71</v>
      </c>
      <c r="B30" s="3">
        <v>17.651275656050601</v>
      </c>
      <c r="C30" s="3"/>
      <c r="D30" s="3" t="s">
        <v>73</v>
      </c>
      <c r="E30" s="3"/>
      <c r="F30" s="3">
        <f>(B30+B31)/2</f>
        <v>13.161930903547724</v>
      </c>
      <c r="G30" s="3" t="s">
        <v>74</v>
      </c>
      <c r="H30" s="3" t="s">
        <v>75</v>
      </c>
      <c r="I30" s="3">
        <v>11.223346783705093</v>
      </c>
      <c r="J30" s="3"/>
      <c r="K30" s="4"/>
    </row>
    <row r="31" spans="1:12" x14ac:dyDescent="0.35">
      <c r="A31" s="5" t="s">
        <v>72</v>
      </c>
      <c r="B31" s="3">
        <v>8.6725861510448468</v>
      </c>
      <c r="C31" s="3"/>
      <c r="D31" s="3" t="s">
        <v>80</v>
      </c>
      <c r="E31" s="3"/>
      <c r="F31" s="3"/>
      <c r="G31" s="3"/>
      <c r="H31" s="3"/>
      <c r="I31" s="3"/>
      <c r="J31" s="3"/>
      <c r="K31" s="4"/>
    </row>
    <row r="32" spans="1:12" ht="15" thickBot="1" x14ac:dyDescent="0.4">
      <c r="A32" s="6"/>
      <c r="B32" s="7"/>
      <c r="C32" s="7"/>
      <c r="D32" s="7"/>
      <c r="E32" s="7"/>
      <c r="F32" s="7"/>
      <c r="G32" s="7"/>
      <c r="H32" s="7"/>
      <c r="I32" s="7"/>
      <c r="J32" s="7"/>
      <c r="K32" s="8"/>
    </row>
    <row r="33" spans="1:10" ht="15.5" thickTop="1" thickBot="1" x14ac:dyDescent="0.4"/>
    <row r="34" spans="1:10" ht="15" thickTop="1" x14ac:dyDescent="0.35">
      <c r="A34" s="10" t="s">
        <v>92</v>
      </c>
      <c r="B34" s="1"/>
      <c r="C34" s="1"/>
      <c r="D34" s="1"/>
      <c r="E34" s="1"/>
      <c r="F34" s="1"/>
      <c r="G34" s="1"/>
      <c r="H34" s="1"/>
      <c r="I34" s="1"/>
      <c r="J34" s="2"/>
    </row>
    <row r="35" spans="1:10" x14ac:dyDescent="0.35">
      <c r="A35" s="5" t="s">
        <v>82</v>
      </c>
      <c r="B35" s="3">
        <v>0.42597400472613528</v>
      </c>
      <c r="C35" s="3" t="s">
        <v>5</v>
      </c>
      <c r="D35" s="3">
        <f>EXP(B35)</f>
        <v>1.5310809737467042</v>
      </c>
      <c r="E35" s="3" t="s">
        <v>8</v>
      </c>
      <c r="F35" s="3">
        <f>EXP(-B35)</f>
        <v>0.65313332027952953</v>
      </c>
      <c r="G35" s="3" t="s">
        <v>4</v>
      </c>
      <c r="H35" s="3">
        <f>(B11-F35)/(D35-F35)</f>
        <v>0.38369790999511511</v>
      </c>
      <c r="I35" s="3"/>
      <c r="J35" s="4"/>
    </row>
    <row r="36" spans="1:10" x14ac:dyDescent="0.35">
      <c r="A36" s="5"/>
      <c r="B36" s="3"/>
      <c r="C36" s="3"/>
      <c r="D36" s="57" t="s">
        <v>83</v>
      </c>
      <c r="E36" s="3">
        <v>100</v>
      </c>
      <c r="F36" s="3"/>
      <c r="G36" s="3"/>
      <c r="H36" s="3"/>
      <c r="I36" s="3"/>
      <c r="J36" s="4"/>
    </row>
    <row r="37" spans="1:10" x14ac:dyDescent="0.35">
      <c r="A37" s="5"/>
      <c r="B37" s="3"/>
      <c r="C37" s="3">
        <f>B38*D35</f>
        <v>234.42089481691559</v>
      </c>
      <c r="D37" s="3"/>
      <c r="E37" s="3">
        <f>MAX($E$36-C37,0)</f>
        <v>0</v>
      </c>
      <c r="F37" s="3"/>
      <c r="G37" s="3"/>
      <c r="H37" s="3"/>
      <c r="I37" s="3"/>
      <c r="J37" s="4"/>
    </row>
    <row r="38" spans="1:10" x14ac:dyDescent="0.35">
      <c r="A38" s="5"/>
      <c r="B38" s="3">
        <f>A39*D35</f>
        <v>153.10809737467042</v>
      </c>
      <c r="C38" s="3">
        <f>B38*F35</f>
        <v>100.00000000000001</v>
      </c>
      <c r="D38" s="3"/>
      <c r="E38" s="3">
        <f t="shared" ref="E38:E39" si="0">MAX($E$36-C38,0)</f>
        <v>0</v>
      </c>
      <c r="F38" s="3">
        <f>($H$35*E37+(1-$H$35)*E38)/$B$11</f>
        <v>0</v>
      </c>
      <c r="G38" s="3"/>
      <c r="H38" s="3"/>
      <c r="I38" s="3"/>
      <c r="J38" s="4"/>
    </row>
    <row r="39" spans="1:10" x14ac:dyDescent="0.35">
      <c r="A39" s="50">
        <f>A7</f>
        <v>100</v>
      </c>
      <c r="B39" s="3">
        <f>A39*F35</f>
        <v>65.313332027952953</v>
      </c>
      <c r="C39" s="3">
        <f>B39*F35</f>
        <v>42.658313405936248</v>
      </c>
      <c r="D39" s="3"/>
      <c r="E39" s="3">
        <f t="shared" si="0"/>
        <v>57.341686594063752</v>
      </c>
      <c r="F39" s="3">
        <f t="shared" ref="F39:G39" si="1">($H$35*E38+(1-$H$35)*E39)/$B$11</f>
        <v>35.696768982148058</v>
      </c>
      <c r="G39" s="3">
        <f t="shared" si="1"/>
        <v>22.222215484969087</v>
      </c>
      <c r="H39" s="3"/>
      <c r="I39" s="3">
        <f>G39-B17</f>
        <v>1.6610015407536594E-6</v>
      </c>
      <c r="J39" s="4"/>
    </row>
    <row r="40" spans="1:10" x14ac:dyDescent="0.35">
      <c r="A40" s="5" t="s">
        <v>90</v>
      </c>
      <c r="B40" s="3"/>
      <c r="C40" s="3"/>
      <c r="D40" s="3"/>
      <c r="E40" s="3"/>
      <c r="F40" s="3"/>
      <c r="G40" s="3"/>
      <c r="H40" s="3"/>
      <c r="I40" s="3"/>
      <c r="J40" s="4"/>
    </row>
    <row r="41" spans="1:10" x14ac:dyDescent="0.35">
      <c r="A41" s="5"/>
      <c r="B41" s="3"/>
      <c r="C41" s="3" t="s">
        <v>85</v>
      </c>
      <c r="D41" s="3"/>
      <c r="E41" s="3"/>
      <c r="F41" s="3"/>
      <c r="G41" s="3"/>
      <c r="H41" s="3"/>
      <c r="I41" s="3"/>
      <c r="J41" s="4"/>
    </row>
    <row r="42" spans="1:10" x14ac:dyDescent="0.35">
      <c r="A42" s="5"/>
      <c r="B42" s="3" t="s">
        <v>84</v>
      </c>
      <c r="C42" s="3">
        <v>0.21933531548423776</v>
      </c>
      <c r="D42" s="3"/>
      <c r="E42" s="3"/>
      <c r="F42" s="3" t="s">
        <v>88</v>
      </c>
      <c r="G42" s="3"/>
      <c r="H42" s="3"/>
      <c r="I42" s="3"/>
      <c r="J42" s="4"/>
    </row>
    <row r="43" spans="1:10" x14ac:dyDescent="0.35">
      <c r="A43" s="5"/>
      <c r="B43" s="9" t="s">
        <v>86</v>
      </c>
      <c r="C43" s="9">
        <v>0.2023023042250206</v>
      </c>
      <c r="D43" s="3"/>
      <c r="E43" s="3"/>
      <c r="F43" s="3" t="s">
        <v>91</v>
      </c>
      <c r="G43" s="3"/>
      <c r="H43" s="3"/>
      <c r="I43" s="3"/>
      <c r="J43" s="4"/>
    </row>
    <row r="44" spans="1:10" x14ac:dyDescent="0.35">
      <c r="A44" s="5"/>
      <c r="B44" s="3" t="s">
        <v>87</v>
      </c>
      <c r="C44" s="3">
        <v>0.16425409602688018</v>
      </c>
      <c r="D44" s="3"/>
      <c r="E44" s="3"/>
      <c r="F44" s="3" t="s">
        <v>89</v>
      </c>
      <c r="G44" s="3"/>
      <c r="H44" s="3"/>
      <c r="I44" s="3"/>
      <c r="J44" s="4"/>
    </row>
    <row r="45" spans="1:10" ht="15" thickBot="1" x14ac:dyDescent="0.4">
      <c r="A45" s="6"/>
      <c r="B45" s="7"/>
      <c r="C45" s="7"/>
      <c r="D45" s="7"/>
      <c r="E45" s="7"/>
      <c r="F45" s="7"/>
      <c r="G45" s="7"/>
      <c r="H45" s="7"/>
      <c r="I45" s="7"/>
      <c r="J45" s="8"/>
    </row>
    <row r="46" spans="1:10" ht="15" thickTop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5" zoomScale="113" workbookViewId="0">
      <selection activeCell="E18" sqref="E18"/>
    </sheetView>
  </sheetViews>
  <sheetFormatPr defaultRowHeight="14.5" x14ac:dyDescent="0.35"/>
  <cols>
    <col min="1" max="1" width="19.453125" customWidth="1"/>
    <col min="2" max="2" width="13.81640625" customWidth="1"/>
    <col min="3" max="3" width="12.90625" customWidth="1"/>
    <col min="4" max="4" width="13.54296875" bestFit="1" customWidth="1"/>
    <col min="5" max="5" width="18.54296875" customWidth="1"/>
    <col min="6" max="6" width="9.81640625" customWidth="1"/>
    <col min="7" max="7" width="15.90625" customWidth="1"/>
    <col min="8" max="8" width="11.81640625" bestFit="1" customWidth="1"/>
    <col min="11" max="11" width="11.81640625" bestFit="1" customWidth="1"/>
  </cols>
  <sheetData>
    <row r="1" spans="1:13" x14ac:dyDescent="0.35">
      <c r="A1" t="s">
        <v>27</v>
      </c>
    </row>
    <row r="2" spans="1:13" x14ac:dyDescent="0.35">
      <c r="A2" s="33" t="s">
        <v>23</v>
      </c>
      <c r="B2" s="33">
        <v>1</v>
      </c>
      <c r="C2" s="33" t="s">
        <v>24</v>
      </c>
      <c r="D2" s="33" t="s">
        <v>0</v>
      </c>
      <c r="G2" s="33" t="s">
        <v>25</v>
      </c>
    </row>
    <row r="3" spans="1:13" x14ac:dyDescent="0.35">
      <c r="A3" s="33">
        <v>0.04</v>
      </c>
      <c r="B3" s="33">
        <v>1</v>
      </c>
      <c r="C3" s="33"/>
      <c r="D3" s="43">
        <f>K3^2</f>
        <v>1.0000000000000002E-2</v>
      </c>
      <c r="E3" s="43">
        <f>M3*K3*K4</f>
        <v>3.0000000000000005E-3</v>
      </c>
      <c r="F3" s="43">
        <f>M5*K3*K5</f>
        <v>2.0000000000000004E-2</v>
      </c>
      <c r="G3" s="33">
        <f>A3-$C$4</f>
        <v>0.02</v>
      </c>
      <c r="J3" t="s">
        <v>30</v>
      </c>
      <c r="K3">
        <v>0.1</v>
      </c>
      <c r="L3" t="s">
        <v>33</v>
      </c>
      <c r="M3">
        <v>0.2</v>
      </c>
    </row>
    <row r="4" spans="1:13" x14ac:dyDescent="0.35">
      <c r="A4" s="33">
        <v>0.05</v>
      </c>
      <c r="B4" s="33">
        <v>1</v>
      </c>
      <c r="C4" s="33">
        <v>0.02</v>
      </c>
      <c r="D4" s="43">
        <f>E3</f>
        <v>3.0000000000000005E-3</v>
      </c>
      <c r="E4" s="43">
        <f>K4^2</f>
        <v>2.2499999999999999E-2</v>
      </c>
      <c r="F4" s="43">
        <f>M4*K4*K5</f>
        <v>6.0000000000000001E-3</v>
      </c>
      <c r="G4" s="33">
        <f>A4-$C$4</f>
        <v>3.0000000000000002E-2</v>
      </c>
      <c r="J4" t="s">
        <v>31</v>
      </c>
      <c r="K4">
        <v>0.15</v>
      </c>
      <c r="L4" t="s">
        <v>35</v>
      </c>
      <c r="M4">
        <v>0.1</v>
      </c>
    </row>
    <row r="5" spans="1:13" x14ac:dyDescent="0.35">
      <c r="A5" s="33">
        <v>0.08</v>
      </c>
      <c r="B5" s="33">
        <v>1</v>
      </c>
      <c r="D5" s="43">
        <f>F3</f>
        <v>2.0000000000000004E-2</v>
      </c>
      <c r="E5" s="43">
        <f>F4</f>
        <v>6.0000000000000001E-3</v>
      </c>
      <c r="F5" s="43">
        <f>K5^2</f>
        <v>0.16000000000000003</v>
      </c>
      <c r="G5" s="33">
        <f>A5-$C$4</f>
        <v>0.06</v>
      </c>
      <c r="J5" t="s">
        <v>32</v>
      </c>
      <c r="K5">
        <v>0.4</v>
      </c>
      <c r="L5" t="s">
        <v>34</v>
      </c>
      <c r="M5">
        <v>0.5</v>
      </c>
    </row>
    <row r="6" spans="1:13" x14ac:dyDescent="0.35">
      <c r="A6" s="34"/>
      <c r="B6" s="34"/>
      <c r="C6" s="35"/>
      <c r="D6" s="33" t="s">
        <v>12</v>
      </c>
      <c r="E6" s="35"/>
      <c r="F6" s="35"/>
      <c r="G6" s="35"/>
      <c r="H6" s="35"/>
    </row>
    <row r="7" spans="1:13" x14ac:dyDescent="0.35">
      <c r="A7" s="34" t="s">
        <v>29</v>
      </c>
      <c r="B7" s="34"/>
      <c r="C7" s="35"/>
      <c r="D7" s="34" t="s">
        <v>28</v>
      </c>
      <c r="E7" s="35"/>
      <c r="F7" s="34"/>
      <c r="G7" s="35" t="s">
        <v>26</v>
      </c>
      <c r="H7" s="34"/>
    </row>
    <row r="8" spans="1:13" x14ac:dyDescent="0.35">
      <c r="A8" s="36">
        <f t="array" ref="A8:B9">MMULT(TRANSPOSE(A3:B5),MMULT(MINVERSE(D3:F5),A3:B5))</f>
        <v>0.22685185185185186</v>
      </c>
      <c r="B8" s="36">
        <v>5.2314814814814818</v>
      </c>
      <c r="C8" s="35"/>
      <c r="D8" s="39">
        <f t="array" ref="D8:E10">MMULT(MINVERSE(D3:F5),MMULT(A3:B5,MINVERSE(A8:B9)))</f>
        <v>-44.426229508196748</v>
      </c>
      <c r="E8" s="39">
        <v>2.5901639344262302</v>
      </c>
      <c r="F8" s="37"/>
      <c r="G8" s="35">
        <f t="array" ref="G8:G10">MMULT(MINVERSE(D3:F5),G3:G5)</f>
        <v>1.3333333333333328</v>
      </c>
      <c r="H8" s="37"/>
    </row>
    <row r="9" spans="1:13" x14ac:dyDescent="0.35">
      <c r="A9" s="36">
        <v>5.231481481481481</v>
      </c>
      <c r="B9" s="36">
        <v>131.0185185185185</v>
      </c>
      <c r="C9" s="35"/>
      <c r="D9" s="39">
        <v>25.901639344262307</v>
      </c>
      <c r="E9" s="39">
        <v>-0.78688524590164055</v>
      </c>
      <c r="F9" s="35"/>
      <c r="G9" s="35">
        <v>1.1111111111111116</v>
      </c>
      <c r="H9" s="35"/>
    </row>
    <row r="10" spans="1:13" x14ac:dyDescent="0.35">
      <c r="A10" s="34"/>
      <c r="B10" s="34"/>
      <c r="C10" s="35"/>
      <c r="D10" s="39">
        <v>18.52459016393443</v>
      </c>
      <c r="E10" s="39">
        <v>-0.8032786885245905</v>
      </c>
      <c r="F10" s="35"/>
      <c r="G10" s="35">
        <v>0.16666666666666657</v>
      </c>
      <c r="H10" s="35"/>
    </row>
    <row r="11" spans="1:13" x14ac:dyDescent="0.35">
      <c r="A11" s="34"/>
      <c r="B11" s="34"/>
      <c r="C11" s="35"/>
      <c r="D11" s="35"/>
      <c r="E11" s="35"/>
      <c r="F11" s="35"/>
      <c r="G11" s="35"/>
      <c r="H11" s="35"/>
    </row>
    <row r="12" spans="1:13" x14ac:dyDescent="0.35">
      <c r="A12" s="45" t="s">
        <v>17</v>
      </c>
      <c r="C12" s="33"/>
    </row>
    <row r="13" spans="1:13" x14ac:dyDescent="0.35">
      <c r="A13" t="s">
        <v>60</v>
      </c>
      <c r="B13" s="44">
        <f>1/3</f>
        <v>0.33333333333333331</v>
      </c>
      <c r="C13" s="44">
        <f>1/3</f>
        <v>0.33333333333333331</v>
      </c>
      <c r="D13" s="44">
        <f>1/3</f>
        <v>0.33333333333333331</v>
      </c>
      <c r="F13" t="s">
        <v>61</v>
      </c>
      <c r="G13">
        <f t="array" ref="G13">MMULT(B13:D13,A3:A5)</f>
        <v>5.6666666666666664E-2</v>
      </c>
      <c r="H13" t="s">
        <v>12</v>
      </c>
      <c r="J13">
        <v>0</v>
      </c>
    </row>
    <row r="14" spans="1:13" x14ac:dyDescent="0.35">
      <c r="B14" s="44"/>
      <c r="C14" s="44"/>
      <c r="D14" s="44"/>
      <c r="F14" t="s">
        <v>62</v>
      </c>
      <c r="G14">
        <f t="array" ref="G14">SQRT(MMULT(B13:D13,MMULT(D3:F5,TRANSPOSE(B13:D13))))</f>
        <v>0.16683325008322933</v>
      </c>
      <c r="J14">
        <v>1</v>
      </c>
    </row>
    <row r="15" spans="1:13" x14ac:dyDescent="0.35">
      <c r="A15" s="33"/>
      <c r="B15" s="33"/>
      <c r="F15" t="s">
        <v>63</v>
      </c>
      <c r="G15">
        <f t="array" ref="G15">MMULT(B13:D13,MMULT(D3:F5,J13:J15))/(G14*K4)</f>
        <v>0.41958062895183423</v>
      </c>
      <c r="J15">
        <v>0</v>
      </c>
    </row>
    <row r="16" spans="1:13" x14ac:dyDescent="0.35">
      <c r="A16" s="33"/>
      <c r="B16" s="33"/>
    </row>
    <row r="17" spans="1:8" x14ac:dyDescent="0.35">
      <c r="A17" s="59" t="s">
        <v>18</v>
      </c>
      <c r="B17" s="33"/>
      <c r="H17" t="s">
        <v>106</v>
      </c>
    </row>
    <row r="18" spans="1:8" x14ac:dyDescent="0.35">
      <c r="A18" s="33" t="s">
        <v>67</v>
      </c>
      <c r="B18" s="33"/>
      <c r="D18" s="46" t="s">
        <v>64</v>
      </c>
      <c r="E18">
        <f t="array" ref="E18">MMULT(A19:C19,A3:A5)</f>
        <v>5.8978040852242244E-2</v>
      </c>
      <c r="F18" t="s">
        <v>68</v>
      </c>
      <c r="H18">
        <f>(A8-2*B8*E18+B9*E18^2)/(A8*B9-B8^2)</f>
        <v>2.7833333001222885E-2</v>
      </c>
    </row>
    <row r="19" spans="1:8" x14ac:dyDescent="0.35">
      <c r="A19" s="33">
        <v>-3.0482824539625399E-2</v>
      </c>
      <c r="B19" s="33">
        <v>0.74137573768377785</v>
      </c>
      <c r="C19">
        <v>0.28910708687047959</v>
      </c>
      <c r="D19" s="46" t="s">
        <v>65</v>
      </c>
      <c r="E19">
        <f>SUM(A19:C19)</f>
        <v>1.0000000000146321</v>
      </c>
      <c r="F19">
        <v>1</v>
      </c>
    </row>
    <row r="20" spans="1:8" x14ac:dyDescent="0.35">
      <c r="A20" s="33"/>
      <c r="B20" s="33"/>
      <c r="D20" t="s">
        <v>66</v>
      </c>
      <c r="E20">
        <f t="array" ref="E20">MMULT(A19:C19,MMULT(D3:F5,TRANSPOSE(A19:C19)))</f>
        <v>2.783334827841609E-2</v>
      </c>
      <c r="F20">
        <f>G14^2</f>
        <v>2.7833333333333338E-2</v>
      </c>
    </row>
    <row r="21" spans="1:8" x14ac:dyDescent="0.35">
      <c r="A21" s="59" t="s">
        <v>93</v>
      </c>
      <c r="B21" s="33"/>
    </row>
    <row r="22" spans="1:8" x14ac:dyDescent="0.35">
      <c r="A22" s="33" t="s">
        <v>94</v>
      </c>
      <c r="B22" s="33">
        <f>A3-$C$4</f>
        <v>0.02</v>
      </c>
      <c r="C22" t="s">
        <v>96</v>
      </c>
      <c r="D22">
        <f t="array" ref="D22:D24">MMULT(MINVERSE(D3:F5),B22:B24)/B25</f>
        <v>0.51063829787234016</v>
      </c>
      <c r="E22" t="s">
        <v>98</v>
      </c>
      <c r="F22">
        <f t="array" ref="F22">MMULT(TRANSPOSE(D22:D24),A3:A5)</f>
        <v>4.6808510638297871E-2</v>
      </c>
    </row>
    <row r="23" spans="1:8" x14ac:dyDescent="0.35">
      <c r="A23" s="33"/>
      <c r="B23" s="33">
        <f t="shared" ref="B23:B24" si="0">A4-$C$4</f>
        <v>3.0000000000000002E-2</v>
      </c>
      <c r="C23" t="s">
        <v>97</v>
      </c>
      <c r="D23">
        <v>0.42553191489361719</v>
      </c>
      <c r="E23" t="s">
        <v>99</v>
      </c>
      <c r="F23">
        <f t="array" ref="F23">SQRT(MMULT(TRANSPOSE(D22:D24),MMULT(D3:F5,D22:D24)))</f>
        <v>0.10132664595566516</v>
      </c>
    </row>
    <row r="24" spans="1:8" x14ac:dyDescent="0.35">
      <c r="B24" s="33">
        <f t="shared" si="0"/>
        <v>0.06</v>
      </c>
      <c r="D24">
        <v>6.382978723404252E-2</v>
      </c>
      <c r="E24" t="s">
        <v>100</v>
      </c>
      <c r="F24">
        <f t="array" ref="F24">MMULT(B13:D13,MMULT(D3:F5,D22:D24))</f>
        <v>1.404255319148936E-2</v>
      </c>
    </row>
    <row r="25" spans="1:8" x14ac:dyDescent="0.35">
      <c r="A25" t="s">
        <v>95</v>
      </c>
      <c r="B25">
        <f t="array" ref="B25">MMULT(TRANSPOSE(B3:B5),MMULT(MINVERSE(D3:F5),B22:B24))</f>
        <v>2.6111111111111112</v>
      </c>
      <c r="E25" t="s">
        <v>101</v>
      </c>
      <c r="F25">
        <f>F24/F23^2</f>
        <v>1.3677248677248679</v>
      </c>
    </row>
    <row r="27" spans="1:8" x14ac:dyDescent="0.35">
      <c r="C27" t="s">
        <v>102</v>
      </c>
      <c r="D27" t="s">
        <v>103</v>
      </c>
    </row>
    <row r="28" spans="1:8" x14ac:dyDescent="0.35">
      <c r="D28" t="s">
        <v>104</v>
      </c>
      <c r="E28">
        <f>G13-C4</f>
        <v>3.6666666666666667E-2</v>
      </c>
    </row>
    <row r="29" spans="1:8" x14ac:dyDescent="0.35">
      <c r="D29" t="s">
        <v>68</v>
      </c>
      <c r="E29">
        <f>F25*(F22-C4)</f>
        <v>3.6666666666666667E-2</v>
      </c>
    </row>
    <row r="30" spans="1:8" x14ac:dyDescent="0.35">
      <c r="C30" t="s">
        <v>105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selection activeCell="B1" sqref="B1"/>
    </sheetView>
  </sheetViews>
  <sheetFormatPr defaultRowHeight="14.5" x14ac:dyDescent="0.35"/>
  <cols>
    <col min="1" max="1" width="11.7265625" customWidth="1"/>
    <col min="2" max="2" width="13.54296875" customWidth="1"/>
    <col min="3" max="3" width="12.36328125" customWidth="1"/>
    <col min="15" max="15" width="12.453125" bestFit="1" customWidth="1"/>
  </cols>
  <sheetData>
    <row r="1" spans="1:18" x14ac:dyDescent="0.35">
      <c r="A1" t="s">
        <v>42</v>
      </c>
      <c r="B1" t="s">
        <v>43</v>
      </c>
      <c r="C1" t="s">
        <v>44</v>
      </c>
      <c r="D1" t="s">
        <v>45</v>
      </c>
    </row>
    <row r="2" spans="1:18" x14ac:dyDescent="0.35">
      <c r="A2">
        <v>0.04</v>
      </c>
      <c r="B2">
        <v>-0.01</v>
      </c>
      <c r="C2">
        <v>0.12</v>
      </c>
      <c r="D2">
        <v>4</v>
      </c>
    </row>
    <row r="3" spans="1:18" ht="15" thickBot="1" x14ac:dyDescent="0.4"/>
    <row r="4" spans="1:18" ht="15" thickTop="1" x14ac:dyDescent="0.35">
      <c r="A4" s="4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x14ac:dyDescent="0.35">
      <c r="A5" s="5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</row>
    <row r="6" spans="1:18" x14ac:dyDescent="0.35">
      <c r="A6" s="5">
        <v>0</v>
      </c>
      <c r="B6" s="3">
        <v>1</v>
      </c>
      <c r="C6" s="3">
        <f>B6+1</f>
        <v>2</v>
      </c>
      <c r="D6" s="3">
        <f t="shared" ref="D6:J6" si="0">C6+1</f>
        <v>3</v>
      </c>
      <c r="E6" s="3">
        <f t="shared" si="0"/>
        <v>4</v>
      </c>
      <c r="F6" s="3">
        <f t="shared" si="0"/>
        <v>5</v>
      </c>
      <c r="G6" s="3">
        <f t="shared" si="0"/>
        <v>6</v>
      </c>
      <c r="H6" s="3">
        <f t="shared" si="0"/>
        <v>7</v>
      </c>
      <c r="I6" s="3">
        <f t="shared" si="0"/>
        <v>8</v>
      </c>
      <c r="J6" s="3">
        <f t="shared" si="0"/>
        <v>9</v>
      </c>
      <c r="K6" s="3">
        <f>J6+1</f>
        <v>10</v>
      </c>
      <c r="L6" s="3"/>
      <c r="M6" s="3"/>
      <c r="N6" s="3"/>
      <c r="O6" s="3"/>
      <c r="P6" s="3"/>
      <c r="Q6" s="3"/>
      <c r="R6" s="4"/>
    </row>
    <row r="7" spans="1:18" x14ac:dyDescent="0.35">
      <c r="A7" s="5" t="s">
        <v>47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</row>
    <row r="8" spans="1:18" x14ac:dyDescent="0.35">
      <c r="A8" s="5">
        <f>A2</f>
        <v>0.04</v>
      </c>
      <c r="B8" s="3">
        <f>$A$2+($B$2+$C$2)*(1-EXP(-B6/$D$2))/(B6/$D$2)-$C$2*EXP(-B6/$D$2)</f>
        <v>4.3871561480013282E-2</v>
      </c>
      <c r="C8" s="3">
        <f t="shared" ref="C8:K8" si="1">$A$2+($B$2+$C$2)*(1-EXP(-C6/$D$2))/(C6/$D$2)-$C$2*EXP(-C6/$D$2)</f>
        <v>5.377957569770464E-2</v>
      </c>
      <c r="D8" s="3">
        <f t="shared" si="1"/>
        <v>6.0702252602396069E-2</v>
      </c>
      <c r="E8" s="3">
        <f t="shared" si="1"/>
        <v>6.5387728530568262E-2</v>
      </c>
      <c r="F8" s="3">
        <f t="shared" si="1"/>
        <v>6.8407002253080468E-2</v>
      </c>
      <c r="G8" s="3">
        <f t="shared" si="1"/>
        <v>7.0194835704636915E-2</v>
      </c>
      <c r="H8" s="3">
        <f t="shared" si="1"/>
        <v>7.1081336054775734E-2</v>
      </c>
      <c r="I8" s="3">
        <f t="shared" si="1"/>
        <v>7.1316325433592773E-2</v>
      </c>
      <c r="J8" s="3">
        <f t="shared" si="1"/>
        <v>7.1088130962885132E-2</v>
      </c>
      <c r="K8" s="3">
        <f t="shared" si="1"/>
        <v>7.0538060225680585E-2</v>
      </c>
      <c r="L8" s="3"/>
      <c r="M8" s="3"/>
      <c r="N8" s="3"/>
      <c r="O8" s="3"/>
      <c r="P8" s="3"/>
      <c r="Q8" s="3"/>
      <c r="R8" s="4"/>
    </row>
    <row r="9" spans="1:18" x14ac:dyDescent="0.35">
      <c r="A9" s="5" t="s">
        <v>46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</row>
    <row r="10" spans="1:18" x14ac:dyDescent="0.35">
      <c r="A10" s="5">
        <f>EXP(-A6*A8)</f>
        <v>1</v>
      </c>
      <c r="B10" s="3">
        <f t="shared" ref="B10:J10" si="2">EXP(-B6*B8)</f>
        <v>0.95707687511655104</v>
      </c>
      <c r="C10" s="3">
        <f t="shared" si="2"/>
        <v>0.89802340154241866</v>
      </c>
      <c r="D10" s="3">
        <f t="shared" si="2"/>
        <v>0.83351235171476723</v>
      </c>
      <c r="E10" s="3">
        <f t="shared" si="2"/>
        <v>0.76985667784946565</v>
      </c>
      <c r="F10" s="3">
        <f t="shared" si="2"/>
        <v>0.71032333495501743</v>
      </c>
      <c r="G10" s="3">
        <f t="shared" si="2"/>
        <v>0.65627917151766091</v>
      </c>
      <c r="H10" s="3">
        <f t="shared" si="2"/>
        <v>0.60800671517366756</v>
      </c>
      <c r="I10" s="3">
        <f t="shared" si="2"/>
        <v>0.56522544853505041</v>
      </c>
      <c r="J10" s="3">
        <f t="shared" si="2"/>
        <v>0.5274014906438762</v>
      </c>
      <c r="K10" s="3">
        <f>EXP(-K6*K8)</f>
        <v>0.49392055120094197</v>
      </c>
      <c r="L10" s="3"/>
      <c r="M10" s="3"/>
      <c r="N10" s="3"/>
      <c r="O10" s="3"/>
      <c r="P10" s="3"/>
      <c r="Q10" s="3"/>
      <c r="R10" s="4"/>
    </row>
    <row r="11" spans="1:18" x14ac:dyDescent="0.35">
      <c r="A11" s="42" t="s">
        <v>51</v>
      </c>
      <c r="B11" s="9"/>
      <c r="C11" s="9">
        <f>SUM(B10:K10)</f>
        <v>7.0196260182494177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</row>
    <row r="12" spans="1:18" x14ac:dyDescent="0.35">
      <c r="A12" s="5" t="s">
        <v>48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</row>
    <row r="13" spans="1:18" x14ac:dyDescent="0.35">
      <c r="A13" s="5">
        <f>A8</f>
        <v>0.04</v>
      </c>
      <c r="B13" s="3">
        <f>LN(A10/B10)</f>
        <v>4.3871561480013255E-2</v>
      </c>
      <c r="C13" s="3">
        <f t="shared" ref="C13:K13" si="3">LN(B10/C10)</f>
        <v>6.3687589915395984E-2</v>
      </c>
      <c r="D13" s="3">
        <f t="shared" si="3"/>
        <v>7.4547606411778752E-2</v>
      </c>
      <c r="E13" s="3">
        <f t="shared" si="3"/>
        <v>7.9444156315084877E-2</v>
      </c>
      <c r="F13" s="3">
        <f t="shared" si="3"/>
        <v>8.0484097143129221E-2</v>
      </c>
      <c r="G13" s="3">
        <f t="shared" si="3"/>
        <v>7.9134002962419125E-2</v>
      </c>
      <c r="H13" s="3">
        <f t="shared" si="3"/>
        <v>7.6400338155608483E-2</v>
      </c>
      <c r="I13" s="3">
        <f t="shared" si="3"/>
        <v>7.296125108531204E-2</v>
      </c>
      <c r="J13" s="3">
        <f t="shared" si="3"/>
        <v>6.9262575197224077E-2</v>
      </c>
      <c r="K13" s="3">
        <f t="shared" si="3"/>
        <v>6.5587423590839619E-2</v>
      </c>
      <c r="L13" s="3" t="s">
        <v>12</v>
      </c>
      <c r="M13" s="3"/>
      <c r="N13" s="3"/>
      <c r="O13" s="3"/>
      <c r="P13" s="3"/>
      <c r="Q13" s="3"/>
      <c r="R13" s="4"/>
    </row>
    <row r="14" spans="1:18" x14ac:dyDescent="0.35">
      <c r="A14" s="42" t="s">
        <v>49</v>
      </c>
      <c r="B14" s="9">
        <f>MAX(A13:K13)</f>
        <v>8.0484097143129221E-2</v>
      </c>
      <c r="C14" s="9" t="s">
        <v>50</v>
      </c>
      <c r="D14" s="9">
        <f>SUM(B15:K15)</f>
        <v>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</row>
    <row r="15" spans="1:18" x14ac:dyDescent="0.35">
      <c r="A15" s="5"/>
      <c r="B15" s="3">
        <f>B6*IF(B13=$B$14,1,0)</f>
        <v>0</v>
      </c>
      <c r="C15" s="3">
        <f t="shared" ref="C15:K15" si="4">C6*IF(C13=$B$14,1,0)</f>
        <v>0</v>
      </c>
      <c r="D15" s="3">
        <f t="shared" si="4"/>
        <v>0</v>
      </c>
      <c r="E15" s="3">
        <f t="shared" si="4"/>
        <v>0</v>
      </c>
      <c r="F15" s="3">
        <f t="shared" si="4"/>
        <v>5</v>
      </c>
      <c r="G15" s="3">
        <f t="shared" si="4"/>
        <v>0</v>
      </c>
      <c r="H15" s="3">
        <f t="shared" si="4"/>
        <v>0</v>
      </c>
      <c r="I15" s="3">
        <f t="shared" si="4"/>
        <v>0</v>
      </c>
      <c r="J15" s="3">
        <f t="shared" si="4"/>
        <v>0</v>
      </c>
      <c r="K15" s="3">
        <f t="shared" si="4"/>
        <v>0</v>
      </c>
      <c r="L15" s="3"/>
      <c r="M15" s="3"/>
      <c r="N15" s="3"/>
      <c r="O15" s="3"/>
      <c r="P15" s="3"/>
      <c r="Q15" s="3"/>
      <c r="R15" s="4"/>
    </row>
    <row r="16" spans="1:18" x14ac:dyDescent="0.35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</row>
    <row r="17" spans="1:18" x14ac:dyDescent="0.35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</row>
    <row r="18" spans="1:18" x14ac:dyDescent="0.35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</row>
    <row r="19" spans="1:18" ht="15" thickBot="1" x14ac:dyDescent="0.4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spans="1:18" ht="15" thickTop="1" x14ac:dyDescent="0.35"/>
    <row r="22" spans="1:18" x14ac:dyDescent="0.35">
      <c r="A22" t="s">
        <v>53</v>
      </c>
      <c r="B22" t="s">
        <v>54</v>
      </c>
      <c r="C22">
        <v>100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</row>
    <row r="23" spans="1:18" x14ac:dyDescent="0.35">
      <c r="B23" t="s">
        <v>55</v>
      </c>
      <c r="C23">
        <v>10</v>
      </c>
      <c r="E23">
        <f>$C$25*(1+$C$27)^-E22</f>
        <v>12.696493752281654</v>
      </c>
      <c r="F23">
        <f t="shared" ref="F23:N23" si="5">$C$25*(1+$C$27)^-F22</f>
        <v>11.864530512797737</v>
      </c>
      <c r="G23">
        <f t="shared" si="5"/>
        <v>11.087083334626273</v>
      </c>
      <c r="H23">
        <f t="shared" si="5"/>
        <v>10.360579943416695</v>
      </c>
      <c r="I23">
        <f t="shared" si="5"/>
        <v>9.6816821452660804</v>
      </c>
      <c r="J23">
        <f t="shared" si="5"/>
        <v>9.0472704881279302</v>
      </c>
      <c r="K23">
        <f t="shared" si="5"/>
        <v>8.4544299283129423</v>
      </c>
      <c r="L23">
        <f t="shared" si="5"/>
        <v>7.9004364362210806</v>
      </c>
      <c r="M23">
        <f t="shared" si="5"/>
        <v>7.3827444797599453</v>
      </c>
      <c r="N23">
        <f t="shared" si="5"/>
        <v>6.8989753279372774</v>
      </c>
      <c r="O23">
        <f>SUM(E23:N23)-C26</f>
        <v>8.9172458217490203E-7</v>
      </c>
    </row>
    <row r="24" spans="1:18" x14ac:dyDescent="0.35">
      <c r="B24" t="s">
        <v>56</v>
      </c>
      <c r="C24">
        <v>0.06</v>
      </c>
      <c r="E24">
        <f>E23*E22/$C$26</f>
        <v>0.13312290287487441</v>
      </c>
      <c r="F24">
        <f t="shared" ref="F24:N24" si="6">F23*F22/$C$26</f>
        <v>0.24879951487824264</v>
      </c>
      <c r="G24">
        <f t="shared" si="6"/>
        <v>0.34874464085547729</v>
      </c>
      <c r="H24">
        <f t="shared" si="6"/>
        <v>0.43452326427899818</v>
      </c>
      <c r="I24">
        <f t="shared" si="6"/>
        <v>0.50756281893103194</v>
      </c>
      <c r="J24">
        <f t="shared" si="6"/>
        <v>0.56916449563439486</v>
      </c>
      <c r="K24">
        <f t="shared" si="6"/>
        <v>0.62051365780011902</v>
      </c>
      <c r="L24">
        <f t="shared" si="6"/>
        <v>0.6626894340363374</v>
      </c>
      <c r="M24">
        <f t="shared" si="6"/>
        <v>0.69667355094569461</v>
      </c>
      <c r="N24">
        <f t="shared" si="6"/>
        <v>0.7233584644989911</v>
      </c>
    </row>
    <row r="25" spans="1:18" x14ac:dyDescent="0.35">
      <c r="B25" t="s">
        <v>20</v>
      </c>
      <c r="C25">
        <f>C22*C24*(1+C24)^C23/((1+C24)^C23-1)</f>
        <v>13.586795822038372</v>
      </c>
      <c r="E25">
        <f>E22*$C$25*B10/$C$26</f>
        <v>0.13634300069952027</v>
      </c>
      <c r="F25">
        <f t="shared" ref="F25:N25" si="7">F22*$C$25*C10/$C$26</f>
        <v>0.25586075360931299</v>
      </c>
      <c r="G25">
        <f t="shared" si="7"/>
        <v>0.35622083692827494</v>
      </c>
      <c r="H25">
        <f t="shared" si="7"/>
        <v>0.43868814426752356</v>
      </c>
      <c r="I25">
        <f t="shared" si="7"/>
        <v>0.50595525538564279</v>
      </c>
      <c r="J25">
        <f t="shared" si="7"/>
        <v>0.56095225285063821</v>
      </c>
      <c r="K25">
        <f t="shared" si="7"/>
        <v>0.6063068025491567</v>
      </c>
      <c r="L25">
        <f t="shared" si="7"/>
        <v>0.64416588241663453</v>
      </c>
      <c r="M25">
        <f t="shared" si="7"/>
        <v>0.6761917805100699</v>
      </c>
      <c r="N25">
        <f t="shared" si="7"/>
        <v>0.70362801368172856</v>
      </c>
    </row>
    <row r="26" spans="1:18" x14ac:dyDescent="0.35">
      <c r="B26" t="s">
        <v>19</v>
      </c>
      <c r="C26">
        <f>C25*C11</f>
        <v>95.374225457023044</v>
      </c>
    </row>
    <row r="27" spans="1:18" x14ac:dyDescent="0.35">
      <c r="B27" t="s">
        <v>57</v>
      </c>
      <c r="C27">
        <v>7.0121884602725448E-2</v>
      </c>
    </row>
    <row r="28" spans="1:18" x14ac:dyDescent="0.35">
      <c r="B28" t="s">
        <v>58</v>
      </c>
      <c r="C28">
        <f>SUM(E24:N24)</f>
        <v>4.9451527447341617</v>
      </c>
    </row>
    <row r="29" spans="1:18" x14ac:dyDescent="0.35">
      <c r="B29" t="s">
        <v>59</v>
      </c>
      <c r="C29">
        <f>SUM(E25:N25)</f>
        <v>4.8843127228985024</v>
      </c>
    </row>
    <row r="31" spans="1:18" x14ac:dyDescent="0.35">
      <c r="A31" t="s">
        <v>53</v>
      </c>
      <c r="B31" t="s">
        <v>54</v>
      </c>
      <c r="C31">
        <v>100</v>
      </c>
      <c r="E31">
        <v>1</v>
      </c>
      <c r="F31">
        <v>2</v>
      </c>
      <c r="G31">
        <v>3</v>
      </c>
      <c r="H31">
        <v>4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</row>
    <row r="32" spans="1:18" x14ac:dyDescent="0.35">
      <c r="B32" t="s">
        <v>55</v>
      </c>
      <c r="C32">
        <v>10</v>
      </c>
      <c r="E32">
        <f>$C$34*(1+$C$36)^-E31</f>
        <v>13.30479310590132</v>
      </c>
      <c r="F32">
        <f t="shared" ref="F32:N32" si="8">$C$34*(1+$C$36)^-F31</f>
        <v>12.432969830198946</v>
      </c>
      <c r="G32">
        <f t="shared" si="8"/>
        <v>11.618274524695464</v>
      </c>
      <c r="H32">
        <f t="shared" si="8"/>
        <v>10.856963764467503</v>
      </c>
      <c r="I32">
        <f t="shared" si="8"/>
        <v>10.145539420024166</v>
      </c>
      <c r="J32">
        <f t="shared" si="8"/>
        <v>9.4807325838314398</v>
      </c>
      <c r="K32">
        <f t="shared" si="8"/>
        <v>8.8594885500833289</v>
      </c>
      <c r="L32">
        <f t="shared" si="8"/>
        <v>8.2789527787036583</v>
      </c>
      <c r="M32">
        <f t="shared" si="8"/>
        <v>7.736457779084815</v>
      </c>
      <c r="N32">
        <f t="shared" si="8"/>
        <v>7.2295108532958521</v>
      </c>
      <c r="O32">
        <f>SUM(E32:N32)-C35</f>
        <v>9.3444782578444574E-7</v>
      </c>
    </row>
    <row r="33" spans="2:14" x14ac:dyDescent="0.35">
      <c r="B33" t="s">
        <v>56</v>
      </c>
      <c r="C33">
        <v>7.0000000000000007E-2</v>
      </c>
      <c r="E33">
        <f>E32*E31/$C$35</f>
        <v>0.13312290287487441</v>
      </c>
      <c r="F33">
        <f t="shared" ref="F33:N33" si="9">F32*F31/$C$35</f>
        <v>0.2487995148782427</v>
      </c>
      <c r="G33">
        <f t="shared" si="9"/>
        <v>0.34874464085547724</v>
      </c>
      <c r="H33">
        <f t="shared" si="9"/>
        <v>0.43452326427899823</v>
      </c>
      <c r="I33">
        <f t="shared" si="9"/>
        <v>0.50756281893103194</v>
      </c>
      <c r="J33">
        <f t="shared" si="9"/>
        <v>0.56916449563439486</v>
      </c>
      <c r="K33">
        <f t="shared" si="9"/>
        <v>0.62051365780011902</v>
      </c>
      <c r="L33">
        <f t="shared" si="9"/>
        <v>0.6626894340363374</v>
      </c>
      <c r="M33">
        <f t="shared" si="9"/>
        <v>0.69667355094569461</v>
      </c>
      <c r="N33">
        <f t="shared" si="9"/>
        <v>0.7233584644989911</v>
      </c>
    </row>
    <row r="34" spans="2:14" x14ac:dyDescent="0.35">
      <c r="B34" t="s">
        <v>20</v>
      </c>
      <c r="C34">
        <f>C31*C33*(1+C33)^C32/((1+C33)^C32-1)</f>
        <v>14.23775027273647</v>
      </c>
      <c r="E34">
        <f>E31*$C$34*B10/$C$35</f>
        <v>0.13634300069952027</v>
      </c>
      <c r="F34">
        <f t="shared" ref="F34:N34" si="10">F31*$C$34*C10/$C$35</f>
        <v>0.25586075360931299</v>
      </c>
      <c r="G34">
        <f t="shared" si="10"/>
        <v>0.35622083692827489</v>
      </c>
      <c r="H34">
        <f t="shared" si="10"/>
        <v>0.43868814426752362</v>
      </c>
      <c r="I34">
        <f t="shared" si="10"/>
        <v>0.50595525538564279</v>
      </c>
      <c r="J34">
        <f t="shared" si="10"/>
        <v>0.56095225285063821</v>
      </c>
      <c r="K34">
        <f t="shared" si="10"/>
        <v>0.6063068025491567</v>
      </c>
      <c r="L34">
        <f t="shared" si="10"/>
        <v>0.64416588241663464</v>
      </c>
      <c r="M34">
        <f t="shared" si="10"/>
        <v>0.67619178051006978</v>
      </c>
      <c r="N34">
        <f t="shared" si="10"/>
        <v>0.70362801368172867</v>
      </c>
    </row>
    <row r="35" spans="2:14" x14ac:dyDescent="0.35">
      <c r="B35" t="s">
        <v>19</v>
      </c>
      <c r="C35">
        <f>C34*C11</f>
        <v>99.943682255838667</v>
      </c>
    </row>
    <row r="36" spans="2:14" x14ac:dyDescent="0.35">
      <c r="B36" t="s">
        <v>57</v>
      </c>
      <c r="C36">
        <v>7.0121884602725448E-2</v>
      </c>
    </row>
    <row r="37" spans="2:14" x14ac:dyDescent="0.35">
      <c r="B37" t="s">
        <v>58</v>
      </c>
      <c r="C37">
        <f>SUM(E33:N33)</f>
        <v>4.9451527447341617</v>
      </c>
    </row>
    <row r="38" spans="2:14" x14ac:dyDescent="0.35">
      <c r="B38" t="s">
        <v>59</v>
      </c>
      <c r="C38">
        <f>SUM(E34:N34)</f>
        <v>4.8843127228985024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Opgave 1</vt:lpstr>
      <vt:lpstr>Opgave 2</vt:lpstr>
      <vt:lpstr>Opgave 3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Poulsen</dc:creator>
  <cp:lastModifiedBy>Rolf Poulsen</cp:lastModifiedBy>
  <dcterms:created xsi:type="dcterms:W3CDTF">2021-09-29T10:48:55Z</dcterms:created>
  <dcterms:modified xsi:type="dcterms:W3CDTF">2022-08-12T10:37:38Z</dcterms:modified>
</cp:coreProperties>
</file>