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x738\Dropbox\Fin1_2022\Eksamen, juni 2022\"/>
    </mc:Choice>
  </mc:AlternateContent>
  <bookViews>
    <workbookView xWindow="0" yWindow="0" windowWidth="2350" windowHeight="0" activeTab="2"/>
  </bookViews>
  <sheets>
    <sheet name="Opgave 1" sheetId="1" r:id="rId1"/>
    <sheet name="Opgave 2" sheetId="5" r:id="rId2"/>
    <sheet name="Opgave 3" sheetId="4" r:id="rId3"/>
  </sheets>
  <definedNames>
    <definedName name="solver_adj" localSheetId="0" hidden="1">'Opgave 1'!$B$1</definedName>
    <definedName name="solver_adj" localSheetId="1" hidden="1">'Opgave 2'!$A$5</definedName>
    <definedName name="solver_adj" localSheetId="2" hidden="1">'Opgave 3'!$B$53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'Opgave 1'!$F$12</definedName>
    <definedName name="solver_opt" localSheetId="1" hidden="1">'Opgave 2'!$C$25</definedName>
    <definedName name="solver_opt" localSheetId="2" hidden="1">'Opgave 3'!$C$53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3</definedName>
    <definedName name="solver_typ" localSheetId="1" hidden="1">3</definedName>
    <definedName name="solver_typ" localSheetId="2" hidden="1">3</definedName>
    <definedName name="solver_val" localSheetId="0" hidden="1">0.5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2" i="5" l="1"/>
  <c r="B26" i="4" l="1"/>
  <c r="C19" i="1" l="1"/>
  <c r="A12" i="4"/>
  <c r="E5" i="5" l="1"/>
  <c r="F4" i="5"/>
  <c r="F3" i="5"/>
  <c r="D5" i="5" s="1"/>
  <c r="E3" i="5"/>
  <c r="D4" i="5" s="1"/>
  <c r="F5" i="5"/>
  <c r="E4" i="5"/>
  <c r="D3" i="5"/>
  <c r="D55" i="4"/>
  <c r="C55" i="4"/>
  <c r="B55" i="4"/>
  <c r="B51" i="4"/>
  <c r="C51" i="4"/>
  <c r="C53" i="4"/>
  <c r="B23" i="4"/>
  <c r="C47" i="4"/>
  <c r="D47" i="4"/>
  <c r="B47" i="4"/>
  <c r="C50" i="4"/>
  <c r="B39" i="4"/>
  <c r="A39" i="4" s="1"/>
  <c r="B38" i="4"/>
  <c r="C39" i="4"/>
  <c r="C38" i="4"/>
  <c r="C37" i="4"/>
  <c r="A33" i="4"/>
  <c r="B33" i="4"/>
  <c r="B32" i="4"/>
  <c r="C33" i="4"/>
  <c r="C32" i="4"/>
  <c r="C31" i="4"/>
  <c r="B50" i="4" l="1"/>
  <c r="A8" i="5" l="1" a="1"/>
  <c r="B9" i="5" s="1"/>
  <c r="B21" i="5" s="1"/>
  <c r="D51" i="4"/>
  <c r="D50" i="4"/>
  <c r="A8" i="5" l="1"/>
  <c r="D8" i="5" s="1" a="1"/>
  <c r="D8" i="5" s="1"/>
  <c r="B8" i="5"/>
  <c r="B20" i="5" s="1"/>
  <c r="A9" i="5"/>
  <c r="D52" i="4"/>
  <c r="B20" i="4"/>
  <c r="H12" i="4"/>
  <c r="D12" i="4"/>
  <c r="H11" i="4"/>
  <c r="D11" i="4"/>
  <c r="H10" i="4"/>
  <c r="H24" i="5" l="1"/>
  <c r="B32" i="5" s="1"/>
  <c r="D10" i="5"/>
  <c r="E8" i="5"/>
  <c r="E10" i="5"/>
  <c r="E9" i="5"/>
  <c r="D9" i="5"/>
  <c r="E17" i="4"/>
  <c r="C12" i="4"/>
  <c r="J11" i="4" s="1"/>
  <c r="G12" i="4"/>
  <c r="G11" i="4"/>
  <c r="J10" i="4"/>
  <c r="C4" i="5" l="1"/>
  <c r="G5" i="5" s="1"/>
  <c r="K24" i="5" a="1"/>
  <c r="K25" i="5" s="1"/>
  <c r="C24" i="5" a="1"/>
  <c r="C24" i="5" s="1"/>
  <c r="E20" i="4"/>
  <c r="F17" i="4"/>
  <c r="F12" i="4"/>
  <c r="G4" i="5" l="1"/>
  <c r="G3" i="5"/>
  <c r="G8" i="5" s="1" a="1"/>
  <c r="G9" i="5" s="1"/>
  <c r="K24" i="5"/>
  <c r="K26" i="5"/>
  <c r="C25" i="5"/>
  <c r="C26" i="5"/>
  <c r="F32" i="5" a="1"/>
  <c r="F32" i="5" s="1"/>
  <c r="J12" i="4"/>
  <c r="H21" i="4"/>
  <c r="G17" i="4"/>
  <c r="G20" i="4"/>
  <c r="F20" i="4"/>
  <c r="E24" i="5" l="1" a="1"/>
  <c r="E24" i="5" s="1"/>
  <c r="G10" i="5"/>
  <c r="G8" i="5"/>
  <c r="H28" i="5" a="1"/>
  <c r="H28" i="5" s="1"/>
  <c r="C22" i="4"/>
  <c r="H32" i="5" l="1"/>
  <c r="E25" i="5"/>
  <c r="D39" i="5"/>
  <c r="D40" i="5"/>
  <c r="D38" i="5"/>
  <c r="B16" i="1"/>
  <c r="D4" i="1"/>
  <c r="E4" i="1" s="1"/>
  <c r="F4" i="1" s="1"/>
  <c r="F38" i="5" l="1" a="1"/>
  <c r="F38" i="5" s="1"/>
  <c r="F39" i="5" a="1"/>
  <c r="F39" i="5" s="1"/>
  <c r="F40" i="5" s="1"/>
  <c r="E3" i="1"/>
  <c r="F3" i="1" s="1"/>
  <c r="J3" i="1" s="1"/>
  <c r="I4" i="1"/>
  <c r="B12" i="1" s="1"/>
  <c r="J4" i="1"/>
  <c r="H4" i="1"/>
  <c r="A12" i="1" s="1"/>
  <c r="F41" i="5" l="1"/>
  <c r="C11" i="1"/>
  <c r="B30" i="1"/>
  <c r="C12" i="1"/>
  <c r="B31" i="1"/>
  <c r="F11" i="1"/>
  <c r="I3" i="1"/>
  <c r="B11" i="1" s="1"/>
  <c r="F2" i="1"/>
  <c r="J2" i="1" s="1"/>
  <c r="C22" i="1" l="1"/>
  <c r="C21" i="1"/>
  <c r="H22" i="1" s="1"/>
  <c r="I11" i="1"/>
  <c r="I10" i="1"/>
  <c r="B29" i="1"/>
  <c r="C10" i="1"/>
  <c r="B28" i="1"/>
  <c r="F10" i="1"/>
  <c r="F12" i="1" s="1"/>
  <c r="L11" i="1"/>
  <c r="J22" i="1" l="1"/>
  <c r="L10" i="1"/>
  <c r="L12" i="1" s="1"/>
  <c r="C20" i="1"/>
  <c r="H20" i="1" s="1"/>
  <c r="I12" i="1"/>
  <c r="K21" i="1" l="1"/>
  <c r="B21" i="1" s="1"/>
  <c r="H21" i="1" s="1"/>
  <c r="K22" i="1"/>
  <c r="B22" i="1" s="1"/>
  <c r="C30" i="1"/>
  <c r="C29" i="1"/>
  <c r="A22" i="1" l="1"/>
  <c r="H23" i="1"/>
  <c r="F22" i="1"/>
  <c r="D30" i="1"/>
  <c r="F23" i="1" l="1"/>
</calcChain>
</file>

<file path=xl/sharedStrings.xml><?xml version="1.0" encoding="utf-8"?>
<sst xmlns="http://schemas.openxmlformats.org/spreadsheetml/2006/main" count="146" uniqueCount="127">
  <si>
    <t>Sigma</t>
  </si>
  <si>
    <t>S0</t>
  </si>
  <si>
    <t>a_1</t>
  </si>
  <si>
    <t>a_2</t>
  </si>
  <si>
    <t>Std. gitter</t>
  </si>
  <si>
    <t>Tiltet gitter</t>
  </si>
  <si>
    <t>r</t>
  </si>
  <si>
    <t>R</t>
  </si>
  <si>
    <t>Tid 0</t>
  </si>
  <si>
    <t>q</t>
  </si>
  <si>
    <t>u</t>
  </si>
  <si>
    <t xml:space="preserve">d </t>
  </si>
  <si>
    <t>Tid 1,ned</t>
  </si>
  <si>
    <t>d</t>
  </si>
  <si>
    <t>Tid 1, up</t>
  </si>
  <si>
    <t>1-periodedelmodellerne</t>
  </si>
  <si>
    <t>1a</t>
  </si>
  <si>
    <t>1b</t>
  </si>
  <si>
    <t xml:space="preserve"> </t>
  </si>
  <si>
    <t>K</t>
  </si>
  <si>
    <t>1c</t>
  </si>
  <si>
    <t>q'erne nyttigt arrangeret</t>
  </si>
  <si>
    <t>1d</t>
  </si>
  <si>
    <t>a</t>
  </si>
  <si>
    <t>b</t>
  </si>
  <si>
    <t>2a</t>
  </si>
  <si>
    <t>2b</t>
  </si>
  <si>
    <t>Rentegitteret</t>
  </si>
  <si>
    <t>Betingede Q-ssh.</t>
  </si>
  <si>
    <t>0-&gt;1</t>
  </si>
  <si>
    <t>1-&gt;2</t>
  </si>
  <si>
    <t>P(.,1)</t>
  </si>
  <si>
    <t>P(.2)</t>
  </si>
  <si>
    <t>P(.3)</t>
  </si>
  <si>
    <t>Kurs</t>
  </si>
  <si>
    <t>Amortiseringsplan for det stående lån</t>
  </si>
  <si>
    <t>Restgæld</t>
  </si>
  <si>
    <t>H(0)</t>
  </si>
  <si>
    <t>H(1)</t>
  </si>
  <si>
    <t xml:space="preserve">H(2) </t>
  </si>
  <si>
    <t>Ydelse</t>
  </si>
  <si>
    <t>NK-renter</t>
  </si>
  <si>
    <t>H, hovedstol</t>
  </si>
  <si>
    <t>Kuponrente</t>
  </si>
  <si>
    <t>Løbetid</t>
  </si>
  <si>
    <t>Afdrag</t>
  </si>
  <si>
    <t>3c</t>
  </si>
  <si>
    <t>3b</t>
  </si>
  <si>
    <t>Niveauer (rho(t))</t>
  </si>
  <si>
    <t>3d</t>
  </si>
  <si>
    <t>Alle 1-periodedelmodellerne er komplette (u not = d) og arb'fri ( 0&lt;q&lt;1 i alle).</t>
  </si>
  <si>
    <t>Derfor er helt modellen komplet og arb'fri. (Men 1-per'delmodllerne er ikke ens.)</t>
  </si>
  <si>
    <t>3a</t>
  </si>
  <si>
    <t>H3</t>
  </si>
  <si>
    <t>Effektiv rente</t>
  </si>
  <si>
    <t>Fwd (0,2) fra Proposition 12</t>
  </si>
  <si>
    <t>Futures-pris = E^Q (A(2)), hvor A(t) er pris/kurs på annuitet</t>
  </si>
  <si>
    <t>A(t) fra lokalkar' (Tjek: A33 er det samme som H21)</t>
  </si>
  <si>
    <t>E_t^Q (A) fra itererede forventninger; tid 0-cellen er Fut(0,2)</t>
  </si>
  <si>
    <t>(Da renten er stokastisk er forward og futurespriser ikke ens.)</t>
  </si>
  <si>
    <t>y_t^TR</t>
  </si>
  <si>
    <t>Tid 0-kurs</t>
  </si>
  <si>
    <t>1.-årsydelsen for 1M</t>
  </si>
  <si>
    <t>Faktisk</t>
  </si>
  <si>
    <t>Ønske</t>
  </si>
  <si>
    <t>1.-årsydelse for 1M-provenue</t>
  </si>
  <si>
    <t>|Relativ afvigelse|</t>
  </si>
  <si>
    <t>Max afvigelse-&gt;</t>
  </si>
  <si>
    <t>y^TR/y^A</t>
  </si>
  <si>
    <t>Den lave startydelse modsvares (naturligvis) af større betalinger senere i lånets løbetid.</t>
  </si>
  <si>
    <t>Da rentestrukturen er voksende, så øges den effetive rente på lånet ved at flytte betalinger til senere.</t>
  </si>
  <si>
    <t>(Måske overraskende meget for en ikke-så-godt-oplyst låntager; tid 3-betalingen er mere end tre gange så stor som tid 1-betalingen.)</t>
  </si>
  <si>
    <t>&lt;- Minimer med Solver</t>
  </si>
  <si>
    <t>mu</t>
  </si>
  <si>
    <t>r0</t>
  </si>
  <si>
    <r>
      <t>mu- r0</t>
    </r>
    <r>
      <rPr>
        <b/>
        <sz val="10"/>
        <rFont val="Arial"/>
        <family val="2"/>
      </rPr>
      <t>1</t>
    </r>
  </si>
  <si>
    <t>Sigma^-1(mu-r01)</t>
  </si>
  <si>
    <t>\mu_GMV</t>
  </si>
  <si>
    <t>w_tg</t>
  </si>
  <si>
    <t>\mu_tg</t>
  </si>
  <si>
    <t>\sigma_GMV</t>
  </si>
  <si>
    <t>\sigma^2_tg</t>
  </si>
  <si>
    <t>sigma_tg</t>
  </si>
  <si>
    <t>Vi laver set-up</t>
  </si>
  <si>
    <t>B:=Sigma^-1 [mu 1]A^-1</t>
  </si>
  <si>
    <t>A = (a b \\ b c)</t>
  </si>
  <si>
    <t>De middelværdi-variansoptimale porteføljer er givet ved B (\mu_P // 1), hvor \mu_P er porteføljens forventede afkastrate.</t>
  </si>
  <si>
    <t>Minimum-variansranden er givet ved \sigma_P = (a - 2b\mu^P + c mu_P^2)/(ac-b^2)</t>
  </si>
  <si>
    <t>De efficiente porteføljer er dem på min-var-randen, der har forventet afkastrate &gt;= afkasraten på den globale minimum-variansaporteføjle, \mu_GMV</t>
  </si>
  <si>
    <t>Den efficiente portefølje med \mu_ref = 0,05 har værgte;</t>
  </si>
  <si>
    <t>x_ref</t>
  </si>
  <si>
    <t>var(r:ref)</t>
  </si>
  <si>
    <t>\mu_0beta</t>
  </si>
  <si>
    <t>Dens 0-beta-pf har (Prop. 4) forventet afkastrate \mu_0beta = (a - b \mu_ref)/(b-c\my_ref)</t>
  </si>
  <si>
    <t>og væte</t>
  </si>
  <si>
    <t>x_0beta</t>
  </si>
  <si>
    <t>Tjek</t>
  </si>
  <si>
    <t>cov(r_ref,r_0beta)</t>
  </si>
  <si>
    <t>Venstresiden</t>
  </si>
  <si>
    <t>cov(r_ref,r_2)</t>
  </si>
  <si>
    <t>Højresiden</t>
  </si>
  <si>
    <t>Vs=Hs?</t>
  </si>
  <si>
    <t>Vi tjekker E(r_2) - \mu_0beta = (cov(r_ref,r_2)/var(r_ref)) (E(r_ref) - \mu_0beta) ved at udregne venstre- og højresiden.</t>
  </si>
  <si>
    <t>Så det passer -- som Prop. 5 fortæller os, det skal.</t>
  </si>
  <si>
    <t>Vi har fra generelle formler at</t>
  </si>
  <si>
    <t>SR_tg</t>
  </si>
  <si>
    <t>I en verden med et risikofrit aktiv er tangentporteføljen den eneste efficiente portefølje med fuld vægt i usikre aktiver.</t>
  </si>
  <si>
    <t>Vi ved også, at en portefølje er efficient hvis og kun hvis E(r_i) -r0=(cov(r_pf,r_i)/var(r_pf))*(E(r_pf)-r0) holder for alle aktiver~i.</t>
  </si>
  <si>
    <t>vol_1</t>
  </si>
  <si>
    <t>vol_2</t>
  </si>
  <si>
    <t>vol_3</t>
  </si>
  <si>
    <t>corr(1,2)</t>
  </si>
  <si>
    <t>corr(1,3)</t>
  </si>
  <si>
    <t>corr(2,3)</t>
  </si>
  <si>
    <t>Da netop r0=\mu_0beta, og vi ved fra Prop. 5 at ligningen holder for alle aktiver med \mu_0beta, så er x_ref tangentporteføljen.</t>
  </si>
  <si>
    <t>vol(r_ref)</t>
  </si>
  <si>
    <t>&lt;- maksimalt opnåelige Sharpe-ratio</t>
  </si>
  <si>
    <t>Hedge i 1-periode-delmodeller (a~aktie, b~kr. i banken)</t>
  </si>
  <si>
    <t>Call-pris</t>
  </si>
  <si>
    <t>Fwd-starting optionens payoff er (S(2) - S(1))^+.</t>
  </si>
  <si>
    <t>Bemærk at E^Q(S(1)= (1+r)S(0) = 101,5. Så 1b optionen betaler (S(2) - E(S(1))^+</t>
  </si>
  <si>
    <t>Derfor er E^Q(S(2)-S(1)) = E^Q (S(2)  - 101,5).</t>
  </si>
  <si>
    <t>= (1+r)S(0)=E^Q(S(1)) pr. lokalkarakterisation</t>
  </si>
  <si>
    <t>Forward-staring optionspris: Vi tegner et træ</t>
  </si>
  <si>
    <t xml:space="preserve">Der er altså tale om call-optioner, hvor underliggende har samme middelværdi, og derfor </t>
  </si>
  <si>
    <t>giver højest varians højest pris -- 'call-priser vokser i volatilitet'.</t>
  </si>
  <si>
    <t>Da S(2) og S(1) er positivt korrelerede, så er var(S(2) - S(1)) &lt;  var(S(2)).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</si>
</sst>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"/>
    <numFmt numFmtId="166" formatCode="0.000000"/>
    <numFmt numFmtId="167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/>
    <xf numFmtId="0" fontId="0" fillId="0" borderId="4" xfId="0" applyBorder="1"/>
    <xf numFmtId="0" fontId="3" fillId="0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0" fillId="0" borderId="0" xfId="0" applyNumberFormat="1" applyBorder="1"/>
    <xf numFmtId="164" fontId="3" fillId="4" borderId="6" xfId="0" applyNumberFormat="1" applyFont="1" applyFill="1" applyBorder="1" applyAlignment="1">
      <alignment horizontal="center"/>
    </xf>
    <xf numFmtId="164" fontId="3" fillId="0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0" fillId="4" borderId="7" xfId="0" applyNumberFormat="1" applyFill="1" applyBorder="1"/>
    <xf numFmtId="164" fontId="0" fillId="0" borderId="7" xfId="0" applyNumberFormat="1" applyBorder="1"/>
    <xf numFmtId="0" fontId="3" fillId="0" borderId="0" xfId="0" applyFont="1" applyBorder="1" applyAlignment="1">
      <alignment horizontal="center"/>
    </xf>
    <xf numFmtId="2" fontId="0" fillId="0" borderId="0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0" fillId="4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2" fontId="0" fillId="0" borderId="0" xfId="0" applyNumberFormat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2" fontId="0" fillId="0" borderId="7" xfId="0" applyNumberFormat="1" applyFill="1" applyBorder="1"/>
    <xf numFmtId="2" fontId="0" fillId="0" borderId="0" xfId="0" applyNumberFormat="1" applyFill="1" applyBorder="1" applyAlignment="1">
      <alignment horizontal="center"/>
    </xf>
    <xf numFmtId="0" fontId="0" fillId="4" borderId="0" xfId="0" applyFill="1" applyBorder="1"/>
    <xf numFmtId="0" fontId="1" fillId="0" borderId="0" xfId="0" applyFont="1" applyBorder="1"/>
    <xf numFmtId="0" fontId="0" fillId="3" borderId="1" xfId="0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165" fontId="0" fillId="0" borderId="4" xfId="0" applyNumberFormat="1" applyFont="1" applyBorder="1"/>
    <xf numFmtId="165" fontId="0" fillId="0" borderId="0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5" borderId="0" xfId="0" applyFont="1" applyFill="1" applyBorder="1"/>
    <xf numFmtId="0" fontId="0" fillId="5" borderId="5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5" fontId="0" fillId="0" borderId="0" xfId="0" applyNumberFormat="1" applyBorder="1"/>
    <xf numFmtId="0" fontId="0" fillId="0" borderId="16" xfId="0" applyBorder="1"/>
    <xf numFmtId="0" fontId="0" fillId="3" borderId="9" xfId="0" applyFill="1" applyBorder="1"/>
    <xf numFmtId="0" fontId="0" fillId="3" borderId="1" xfId="0" applyFont="1" applyFill="1" applyBorder="1"/>
    <xf numFmtId="10" fontId="0" fillId="4" borderId="5" xfId="0" applyNumberFormat="1" applyFill="1" applyBorder="1"/>
    <xf numFmtId="10" fontId="0" fillId="4" borderId="8" xfId="0" applyNumberFormat="1" applyFill="1" applyBorder="1"/>
    <xf numFmtId="10" fontId="0" fillId="0" borderId="0" xfId="0" applyNumberFormat="1" applyFill="1" applyBorder="1"/>
    <xf numFmtId="2" fontId="0" fillId="4" borderId="0" xfId="0" applyNumberFormat="1" applyFill="1" applyBorder="1"/>
    <xf numFmtId="0" fontId="0" fillId="4" borderId="7" xfId="0" applyFill="1" applyBorder="1"/>
    <xf numFmtId="0" fontId="0" fillId="0" borderId="0" xfId="0" applyFill="1" applyBorder="1"/>
    <xf numFmtId="10" fontId="0" fillId="0" borderId="2" xfId="0" applyNumberFormat="1" applyFill="1" applyBorder="1"/>
    <xf numFmtId="0" fontId="2" fillId="3" borderId="1" xfId="0" applyFont="1" applyFill="1" applyBorder="1" applyAlignment="1">
      <alignment horizontal="center"/>
    </xf>
    <xf numFmtId="0" fontId="3" fillId="4" borderId="4" xfId="0" applyFont="1" applyFill="1" applyBorder="1"/>
    <xf numFmtId="2" fontId="0" fillId="0" borderId="4" xfId="0" applyNumberFormat="1" applyBorder="1"/>
    <xf numFmtId="2" fontId="0" fillId="4" borderId="4" xfId="0" applyNumberFormat="1" applyFill="1" applyBorder="1"/>
    <xf numFmtId="0" fontId="3" fillId="3" borderId="1" xfId="0" applyFont="1" applyFill="1" applyBorder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164" fontId="0" fillId="0" borderId="0" xfId="0" applyNumberFormat="1" applyFont="1" applyFill="1"/>
    <xf numFmtId="0" fontId="2" fillId="0" borderId="0" xfId="0" applyFont="1" applyFill="1"/>
    <xf numFmtId="0" fontId="4" fillId="3" borderId="1" xfId="0" applyFont="1" applyFill="1" applyBorder="1"/>
    <xf numFmtId="166" fontId="0" fillId="0" borderId="0" xfId="0" applyNumberFormat="1" applyBorder="1"/>
    <xf numFmtId="166" fontId="0" fillId="0" borderId="0" xfId="0" applyNumberFormat="1" applyFont="1"/>
    <xf numFmtId="165" fontId="0" fillId="0" borderId="0" xfId="0" applyNumberFormat="1" applyFont="1" applyFill="1"/>
    <xf numFmtId="165" fontId="0" fillId="4" borderId="0" xfId="0" applyNumberFormat="1" applyFill="1" applyBorder="1"/>
    <xf numFmtId="0" fontId="0" fillId="4" borderId="0" xfId="0" quotePrefix="1" applyFill="1" applyBorder="1"/>
    <xf numFmtId="167" fontId="0" fillId="4" borderId="11" xfId="0" applyNumberFormat="1" applyFill="1" applyBorder="1"/>
    <xf numFmtId="0" fontId="1" fillId="0" borderId="13" xfId="0" applyFont="1" applyBorder="1"/>
    <xf numFmtId="0" fontId="1" fillId="0" borderId="16" xfId="0" applyFont="1" applyBorder="1"/>
    <xf numFmtId="0" fontId="1" fillId="3" borderId="1" xfId="0" applyFont="1" applyFill="1" applyBorder="1"/>
    <xf numFmtId="0" fontId="1" fillId="0" borderId="2" xfId="0" applyFont="1" applyBorder="1"/>
    <xf numFmtId="0" fontId="0" fillId="0" borderId="4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A29" workbookViewId="0">
      <selection activeCell="K37" sqref="K37"/>
    </sheetView>
  </sheetViews>
  <sheetFormatPr defaultRowHeight="14.5" x14ac:dyDescent="0.35"/>
  <cols>
    <col min="1" max="1" width="21.6328125" customWidth="1"/>
    <col min="7" max="7" width="13.7265625" customWidth="1"/>
  </cols>
  <sheetData>
    <row r="1" spans="1:12" x14ac:dyDescent="0.35">
      <c r="A1" t="s">
        <v>0</v>
      </c>
      <c r="B1">
        <v>0.2</v>
      </c>
      <c r="D1" t="s">
        <v>4</v>
      </c>
      <c r="H1" t="s">
        <v>5</v>
      </c>
    </row>
    <row r="2" spans="1:12" x14ac:dyDescent="0.35">
      <c r="A2" t="s">
        <v>1</v>
      </c>
      <c r="B2">
        <v>70</v>
      </c>
      <c r="F2">
        <f>E3*EXP($B$1)</f>
        <v>104.42772883488892</v>
      </c>
      <c r="J2">
        <f t="shared" ref="J2:J4" si="0">F2*$B$4+$B$3</f>
        <v>134.42772883488891</v>
      </c>
    </row>
    <row r="3" spans="1:12" x14ac:dyDescent="0.35">
      <c r="A3" t="s">
        <v>2</v>
      </c>
      <c r="B3">
        <v>30</v>
      </c>
      <c r="E3">
        <f>D4*EXP($B$1)</f>
        <v>85.498193071211887</v>
      </c>
      <c r="F3">
        <f t="shared" ref="F3:F4" si="1">E3*EXP(-$B$1)</f>
        <v>70</v>
      </c>
      <c r="I3">
        <f t="shared" ref="I3:I4" si="2">E3*$B$4+$B$3</f>
        <v>115.49819307121189</v>
      </c>
      <c r="J3">
        <f t="shared" si="0"/>
        <v>100</v>
      </c>
    </row>
    <row r="4" spans="1:12" x14ac:dyDescent="0.35">
      <c r="A4" t="s">
        <v>3</v>
      </c>
      <c r="B4">
        <v>1</v>
      </c>
      <c r="D4">
        <f>B2</f>
        <v>70</v>
      </c>
      <c r="E4">
        <f>D4*EXP(-$B$1)</f>
        <v>57.311152715458725</v>
      </c>
      <c r="F4">
        <f t="shared" si="1"/>
        <v>46.922403222494744</v>
      </c>
      <c r="H4">
        <f>D4*$B$4+$B$3</f>
        <v>100</v>
      </c>
      <c r="I4">
        <f t="shared" si="2"/>
        <v>87.311152715458718</v>
      </c>
      <c r="J4">
        <f t="shared" si="0"/>
        <v>76.922403222494751</v>
      </c>
    </row>
    <row r="6" spans="1:12" ht="15" thickBot="1" x14ac:dyDescent="0.4"/>
    <row r="7" spans="1:12" ht="15" thickTop="1" x14ac:dyDescent="0.35">
      <c r="A7" s="60" t="s">
        <v>16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1:12" x14ac:dyDescent="0.35">
      <c r="A8" s="41"/>
      <c r="B8" s="42"/>
      <c r="C8" s="42"/>
      <c r="D8" s="42"/>
      <c r="E8" s="42" t="s">
        <v>15</v>
      </c>
      <c r="F8" s="42"/>
      <c r="G8" s="42"/>
      <c r="H8" s="42"/>
      <c r="I8" s="42"/>
      <c r="J8" s="42"/>
      <c r="K8" s="42"/>
      <c r="L8" s="43"/>
    </row>
    <row r="9" spans="1:12" x14ac:dyDescent="0.35">
      <c r="A9" s="41"/>
      <c r="B9" s="42"/>
      <c r="C9" s="42"/>
      <c r="D9" s="42"/>
      <c r="E9" s="42" t="s">
        <v>8</v>
      </c>
      <c r="F9" s="42"/>
      <c r="G9" s="42"/>
      <c r="H9" s="42" t="s">
        <v>12</v>
      </c>
      <c r="I9" s="42"/>
      <c r="J9" s="42"/>
      <c r="K9" s="42" t="s">
        <v>14</v>
      </c>
      <c r="L9" s="43"/>
    </row>
    <row r="10" spans="1:12" x14ac:dyDescent="0.35">
      <c r="A10" s="44"/>
      <c r="B10" s="45"/>
      <c r="C10" s="45">
        <f>J2</f>
        <v>134.42772883488891</v>
      </c>
      <c r="D10" s="42"/>
      <c r="E10" s="42" t="s">
        <v>10</v>
      </c>
      <c r="F10" s="42">
        <f>B11/A12</f>
        <v>1.154981930712119</v>
      </c>
      <c r="G10" s="42"/>
      <c r="H10" s="42" t="s">
        <v>10</v>
      </c>
      <c r="I10" s="42">
        <f>C11/B12</f>
        <v>1.1453290546500217</v>
      </c>
      <c r="J10" s="42"/>
      <c r="K10" s="42" t="s">
        <v>10</v>
      </c>
      <c r="L10" s="43">
        <f>C10/B11</f>
        <v>1.1638946485682748</v>
      </c>
    </row>
    <row r="11" spans="1:12" x14ac:dyDescent="0.35">
      <c r="A11" s="44"/>
      <c r="B11" s="45">
        <f>I3</f>
        <v>115.49819307121189</v>
      </c>
      <c r="C11" s="45">
        <f>J3</f>
        <v>100</v>
      </c>
      <c r="D11" s="42"/>
      <c r="E11" s="42" t="s">
        <v>11</v>
      </c>
      <c r="F11" s="42">
        <f>B12/A12</f>
        <v>0.87311152715458717</v>
      </c>
      <c r="G11" s="42"/>
      <c r="H11" s="42" t="s">
        <v>13</v>
      </c>
      <c r="I11" s="42">
        <f>C12/B12</f>
        <v>0.88101463364227683</v>
      </c>
      <c r="J11" s="42"/>
      <c r="K11" s="42" t="s">
        <v>13</v>
      </c>
      <c r="L11" s="43">
        <f>C11/B11</f>
        <v>0.86581441095224509</v>
      </c>
    </row>
    <row r="12" spans="1:12" x14ac:dyDescent="0.35">
      <c r="A12" s="44">
        <f>H4</f>
        <v>100</v>
      </c>
      <c r="B12" s="45">
        <f>I4</f>
        <v>87.311152715458718</v>
      </c>
      <c r="C12" s="45">
        <f>J4</f>
        <v>76.922403222494751</v>
      </c>
      <c r="D12" s="42"/>
      <c r="E12" s="42" t="s">
        <v>9</v>
      </c>
      <c r="F12" s="49">
        <f>($B$16-F11)/(F10-F11)</f>
        <v>0.50338194806767733</v>
      </c>
      <c r="G12" s="42"/>
      <c r="H12" s="42" t="s">
        <v>9</v>
      </c>
      <c r="I12" s="49">
        <f>($B$16-I11)/(I10-I11)</f>
        <v>0.50691659519325694</v>
      </c>
      <c r="J12" s="42"/>
      <c r="K12" s="42" t="s">
        <v>9</v>
      </c>
      <c r="L12" s="50">
        <f>($B$16-L11)/(L10-L11)</f>
        <v>0.50048802376468615</v>
      </c>
    </row>
    <row r="13" spans="1:12" x14ac:dyDescent="0.35">
      <c r="A13" s="41">
        <v>0</v>
      </c>
      <c r="B13" s="42">
        <v>1</v>
      </c>
      <c r="C13" s="42">
        <v>2</v>
      </c>
      <c r="D13" s="42"/>
      <c r="E13" s="42"/>
      <c r="F13" s="42"/>
      <c r="G13" s="42"/>
      <c r="H13" s="42"/>
      <c r="I13" s="42"/>
      <c r="J13" s="42"/>
      <c r="K13" s="42"/>
      <c r="L13" s="43"/>
    </row>
    <row r="14" spans="1:12" x14ac:dyDescent="0.35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3"/>
    </row>
    <row r="15" spans="1:12" x14ac:dyDescent="0.35">
      <c r="A15" s="41" t="s">
        <v>6</v>
      </c>
      <c r="B15" s="42">
        <v>1.4999999999999999E-2</v>
      </c>
      <c r="C15" s="42"/>
      <c r="D15" s="42"/>
      <c r="E15" s="42" t="s">
        <v>50</v>
      </c>
      <c r="F15" s="42"/>
      <c r="G15" s="42"/>
      <c r="H15" s="42"/>
      <c r="I15" s="42"/>
      <c r="J15" s="42"/>
      <c r="K15" s="42"/>
      <c r="L15" s="43"/>
    </row>
    <row r="16" spans="1:12" ht="15" thickBot="1" x14ac:dyDescent="0.4">
      <c r="A16" s="46" t="s">
        <v>7</v>
      </c>
      <c r="B16" s="47">
        <f>1+B15</f>
        <v>1.0149999999999999</v>
      </c>
      <c r="C16" s="47"/>
      <c r="D16" s="47"/>
      <c r="E16" s="47" t="s">
        <v>51</v>
      </c>
      <c r="F16" s="47"/>
      <c r="G16" s="47"/>
      <c r="H16" s="47"/>
      <c r="I16" s="47"/>
      <c r="J16" s="47"/>
      <c r="K16" s="47"/>
      <c r="L16" s="48"/>
    </row>
    <row r="17" spans="1:16" ht="15.5" thickTop="1" thickBot="1" x14ac:dyDescent="0.4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</row>
    <row r="18" spans="1:16" x14ac:dyDescent="0.35">
      <c r="A18" s="59" t="s">
        <v>17</v>
      </c>
      <c r="B18" s="56" t="s">
        <v>118</v>
      </c>
      <c r="C18" s="56"/>
      <c r="D18" s="56"/>
      <c r="E18" s="56" t="s">
        <v>117</v>
      </c>
      <c r="F18" s="56"/>
      <c r="G18" s="56"/>
      <c r="H18" s="51"/>
      <c r="I18" s="56"/>
      <c r="J18" s="56"/>
      <c r="K18" s="56"/>
      <c r="L18" s="51"/>
      <c r="M18" s="52"/>
      <c r="N18" s="5"/>
      <c r="O18" s="5"/>
      <c r="P18" s="5"/>
    </row>
    <row r="19" spans="1:16" x14ac:dyDescent="0.35">
      <c r="A19" s="52" t="s">
        <v>19</v>
      </c>
      <c r="B19" s="5"/>
      <c r="C19" s="82">
        <f>101.5</f>
        <v>101.5</v>
      </c>
      <c r="D19" s="83" t="s">
        <v>122</v>
      </c>
      <c r="E19" s="36"/>
      <c r="F19" s="36"/>
      <c r="G19" s="36"/>
      <c r="H19" s="66"/>
      <c r="I19" s="5"/>
      <c r="J19" s="5" t="s">
        <v>21</v>
      </c>
      <c r="K19" s="5"/>
      <c r="L19" s="53"/>
      <c r="M19" s="52"/>
      <c r="N19" s="5"/>
      <c r="O19" s="5"/>
      <c r="P19" s="5"/>
    </row>
    <row r="20" spans="1:16" x14ac:dyDescent="0.35">
      <c r="A20" s="52"/>
      <c r="B20" s="5"/>
      <c r="C20" s="57">
        <f>MAX(C10-$C$19,0)</f>
        <v>32.92772883488891</v>
      </c>
      <c r="D20" s="5"/>
      <c r="E20" s="5"/>
      <c r="F20" s="5"/>
      <c r="G20" s="5" t="s">
        <v>23</v>
      </c>
      <c r="H20" s="36">
        <f>(C20-C21)/(C10-C11)</f>
        <v>0.95643046896314854</v>
      </c>
      <c r="I20" s="5"/>
      <c r="J20" s="5"/>
      <c r="K20" s="5"/>
      <c r="L20" s="53"/>
      <c r="M20" s="52"/>
      <c r="N20" s="5"/>
      <c r="O20" s="5"/>
      <c r="P20" s="5"/>
    </row>
    <row r="21" spans="1:16" x14ac:dyDescent="0.35">
      <c r="A21" s="52"/>
      <c r="B21" s="5">
        <f>(C20*K21+C21*(1-K21))/$B$16</f>
        <v>16.236388109983277</v>
      </c>
      <c r="C21" s="57">
        <f t="shared" ref="C21:C22" si="3">MAX(C11-$C$19,0)</f>
        <v>0</v>
      </c>
      <c r="D21" s="5"/>
      <c r="E21" s="5"/>
      <c r="F21" s="5"/>
      <c r="G21" s="5" t="s">
        <v>24</v>
      </c>
      <c r="H21" s="36">
        <f>B21-B11*H20</f>
        <v>-94.229602853512176</v>
      </c>
      <c r="I21" s="5"/>
      <c r="J21" s="5"/>
      <c r="K21" s="5">
        <f>L12</f>
        <v>0.50048802376468615</v>
      </c>
      <c r="L21" s="53"/>
      <c r="M21" s="52"/>
      <c r="N21" s="5"/>
      <c r="O21" s="5"/>
      <c r="P21" s="5"/>
    </row>
    <row r="22" spans="1:16" x14ac:dyDescent="0.35">
      <c r="A22" s="84">
        <f>(B21*J22+B22*(1-J22))/$B$16</f>
        <v>8.0523198782130603</v>
      </c>
      <c r="B22" s="5">
        <f>(C21*K22+C22*(1-K22))/$B$16</f>
        <v>0</v>
      </c>
      <c r="C22" s="57">
        <f t="shared" si="3"/>
        <v>0</v>
      </c>
      <c r="D22" s="5"/>
      <c r="E22" s="5" t="s">
        <v>23</v>
      </c>
      <c r="F22" s="36">
        <f>(B21-B22)/(B11-B12)</f>
        <v>0.57602316188791769</v>
      </c>
      <c r="G22" s="5" t="s">
        <v>23</v>
      </c>
      <c r="H22" s="36">
        <f>(C21-C22)/(C11-C12)</f>
        <v>0</v>
      </c>
      <c r="I22" s="5"/>
      <c r="J22" s="5">
        <f>F12</f>
        <v>0.50338194806767733</v>
      </c>
      <c r="K22" s="5">
        <f>I12</f>
        <v>0.50691659519325694</v>
      </c>
      <c r="L22" s="53"/>
      <c r="M22" s="52"/>
      <c r="N22" s="5"/>
      <c r="O22" s="5"/>
      <c r="P22" s="5"/>
    </row>
    <row r="23" spans="1:16" x14ac:dyDescent="0.35">
      <c r="A23" s="52">
        <v>0</v>
      </c>
      <c r="B23" s="5">
        <v>1</v>
      </c>
      <c r="C23" s="5">
        <v>2</v>
      </c>
      <c r="D23" s="5"/>
      <c r="E23" s="5" t="s">
        <v>24</v>
      </c>
      <c r="F23" s="36">
        <f>A22-F22*A12</f>
        <v>-49.549996310578706</v>
      </c>
      <c r="G23" s="5" t="s">
        <v>24</v>
      </c>
      <c r="H23" s="36">
        <f>B22-H22*B12</f>
        <v>0</v>
      </c>
      <c r="I23" s="5"/>
      <c r="J23" s="5"/>
      <c r="K23" s="5"/>
      <c r="L23" s="53"/>
      <c r="M23" s="52"/>
      <c r="N23" s="5"/>
      <c r="O23" s="5"/>
      <c r="P23" s="5"/>
    </row>
    <row r="24" spans="1:16" ht="15" thickBot="1" x14ac:dyDescent="0.4">
      <c r="A24" s="54"/>
      <c r="B24" s="58"/>
      <c r="C24" s="58"/>
      <c r="D24" s="58"/>
      <c r="E24" s="58"/>
      <c r="F24" s="58"/>
      <c r="G24" s="58"/>
      <c r="H24" s="58"/>
      <c r="I24" s="58">
        <v>0</v>
      </c>
      <c r="J24" s="58"/>
      <c r="K24" s="58">
        <v>1</v>
      </c>
      <c r="L24" s="55"/>
      <c r="M24" s="52"/>
      <c r="N24" s="5"/>
      <c r="O24" s="5"/>
      <c r="P24" s="5"/>
    </row>
    <row r="25" spans="1:16" x14ac:dyDescent="0.35">
      <c r="B25" t="s">
        <v>18</v>
      </c>
    </row>
    <row r="26" spans="1:16" ht="15" thickBot="1" x14ac:dyDescent="0.4"/>
    <row r="27" spans="1:16" x14ac:dyDescent="0.35">
      <c r="A27" s="59" t="s">
        <v>20</v>
      </c>
      <c r="B27" s="56" t="s">
        <v>123</v>
      </c>
      <c r="C27" s="56"/>
      <c r="D27" s="56"/>
      <c r="E27" s="56"/>
      <c r="F27" s="56"/>
      <c r="G27" s="56"/>
      <c r="H27" s="51"/>
    </row>
    <row r="28" spans="1:16" x14ac:dyDescent="0.35">
      <c r="A28" s="52"/>
      <c r="B28" s="5">
        <f>MAX(J2-I3,0)</f>
        <v>18.929535763677023</v>
      </c>
      <c r="C28" s="5"/>
      <c r="D28" s="5"/>
      <c r="E28" s="5"/>
      <c r="F28" s="5"/>
      <c r="G28" s="5"/>
      <c r="H28" s="53"/>
    </row>
    <row r="29" spans="1:16" x14ac:dyDescent="0.35">
      <c r="A29" s="52"/>
      <c r="B29" s="5">
        <f>MAX(J3-I3,0)</f>
        <v>0</v>
      </c>
      <c r="C29" s="5">
        <f>(B28*L12+(1-L12)*B29)/B16</f>
        <v>9.3339960050696202</v>
      </c>
      <c r="D29" s="5"/>
      <c r="E29" s="5"/>
      <c r="F29" s="5"/>
      <c r="G29" s="5"/>
      <c r="H29" s="53"/>
    </row>
    <row r="30" spans="1:16" x14ac:dyDescent="0.35">
      <c r="A30" s="52"/>
      <c r="B30" s="5">
        <f>MAX(J3-I4,0)</f>
        <v>12.688847284541282</v>
      </c>
      <c r="C30" s="5">
        <f>(B30*I12+(1-I12)*B31)/B16</f>
        <v>6.3371303077900203</v>
      </c>
      <c r="D30" s="36">
        <f>(C29*F12+(1-F12)*C30)/B16</f>
        <v>7.7297521188017964</v>
      </c>
      <c r="E30" s="5"/>
      <c r="F30" s="5"/>
      <c r="G30" s="5"/>
      <c r="H30" s="53"/>
    </row>
    <row r="31" spans="1:16" x14ac:dyDescent="0.35">
      <c r="A31" s="52" t="s">
        <v>18</v>
      </c>
      <c r="B31" s="5">
        <f>MAX(J4-I4,0)</f>
        <v>0</v>
      </c>
      <c r="C31" s="5"/>
      <c r="D31" s="5"/>
      <c r="E31" s="5"/>
      <c r="F31" s="5"/>
      <c r="G31" s="5"/>
      <c r="H31" s="53"/>
    </row>
    <row r="32" spans="1:16" x14ac:dyDescent="0.35">
      <c r="A32" s="52"/>
      <c r="B32" s="5"/>
      <c r="C32" s="5"/>
      <c r="D32" s="5"/>
      <c r="E32" s="5"/>
      <c r="F32" s="5"/>
      <c r="G32" s="5"/>
      <c r="H32" s="53"/>
    </row>
    <row r="33" spans="1:8" ht="15" thickBot="1" x14ac:dyDescent="0.4">
      <c r="A33" s="85" t="s">
        <v>18</v>
      </c>
      <c r="B33" s="86">
        <v>2</v>
      </c>
      <c r="C33" s="86">
        <v>1</v>
      </c>
      <c r="D33" s="86">
        <v>0</v>
      </c>
      <c r="E33" s="58"/>
      <c r="F33" s="58"/>
      <c r="G33" s="58"/>
      <c r="H33" s="55"/>
    </row>
    <row r="34" spans="1:8" ht="15" thickBot="1" x14ac:dyDescent="0.4">
      <c r="A34" s="37"/>
      <c r="B34" s="37"/>
      <c r="C34" s="37"/>
      <c r="D34" s="37"/>
      <c r="E34" s="5"/>
      <c r="F34" s="5"/>
      <c r="G34" s="5"/>
      <c r="H34" s="56"/>
    </row>
    <row r="35" spans="1:8" ht="15" thickTop="1" x14ac:dyDescent="0.35">
      <c r="A35" s="87" t="s">
        <v>22</v>
      </c>
      <c r="B35" s="88"/>
      <c r="C35" s="88"/>
      <c r="D35" s="88"/>
      <c r="E35" s="2"/>
      <c r="F35" s="2"/>
      <c r="G35" s="2"/>
      <c r="H35" s="3"/>
    </row>
    <row r="36" spans="1:8" x14ac:dyDescent="0.35">
      <c r="A36" s="8" t="s">
        <v>119</v>
      </c>
      <c r="B36" s="5"/>
      <c r="C36" s="5"/>
      <c r="D36" s="5"/>
      <c r="E36" s="5"/>
      <c r="F36" s="5"/>
      <c r="G36" s="5"/>
      <c r="H36" s="7"/>
    </row>
    <row r="37" spans="1:8" x14ac:dyDescent="0.35">
      <c r="A37" s="89" t="s">
        <v>120</v>
      </c>
      <c r="B37" s="5"/>
      <c r="C37" s="5"/>
      <c r="D37" s="5"/>
      <c r="E37" s="5"/>
      <c r="F37" s="5"/>
      <c r="G37" s="5"/>
      <c r="H37" s="7"/>
    </row>
    <row r="38" spans="1:8" x14ac:dyDescent="0.35">
      <c r="A38" s="89" t="s">
        <v>121</v>
      </c>
      <c r="B38" s="5"/>
      <c r="C38" s="5"/>
      <c r="D38" s="5"/>
      <c r="E38" s="5"/>
      <c r="F38" s="5"/>
      <c r="G38" s="5"/>
      <c r="H38" s="7"/>
    </row>
    <row r="39" spans="1:8" x14ac:dyDescent="0.35">
      <c r="A39" s="8" t="s">
        <v>126</v>
      </c>
      <c r="B39" s="5"/>
      <c r="C39" s="5"/>
      <c r="D39" s="5"/>
      <c r="E39" s="5"/>
      <c r="F39" s="5"/>
      <c r="G39" s="5"/>
      <c r="H39" s="7"/>
    </row>
    <row r="40" spans="1:8" x14ac:dyDescent="0.35">
      <c r="A40" s="89" t="s">
        <v>124</v>
      </c>
      <c r="B40" s="5"/>
      <c r="C40" s="5"/>
      <c r="D40" s="5"/>
      <c r="E40" s="5"/>
      <c r="F40" s="5"/>
      <c r="G40" s="5"/>
      <c r="H40" s="7"/>
    </row>
    <row r="41" spans="1:8" ht="15" thickBot="1" x14ac:dyDescent="0.4">
      <c r="A41" s="90" t="s">
        <v>125</v>
      </c>
      <c r="B41" s="24"/>
      <c r="C41" s="24"/>
      <c r="D41" s="24"/>
      <c r="E41" s="24"/>
      <c r="F41" s="24"/>
      <c r="G41" s="24"/>
      <c r="H41" s="25"/>
    </row>
    <row r="42" spans="1:8" ht="15" thickTop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35" workbookViewId="0">
      <selection activeCell="K33" sqref="K33"/>
    </sheetView>
  </sheetViews>
  <sheetFormatPr defaultRowHeight="14.5" x14ac:dyDescent="0.35"/>
  <cols>
    <col min="1" max="1" width="16.6328125" customWidth="1"/>
    <col min="3" max="3" width="12.90625" customWidth="1"/>
    <col min="5" max="5" width="12.08984375" customWidth="1"/>
    <col min="7" max="7" width="15.90625" customWidth="1"/>
    <col min="8" max="8" width="11.81640625" bestFit="1" customWidth="1"/>
    <col min="11" max="11" width="11.81640625" bestFit="1" customWidth="1"/>
  </cols>
  <sheetData>
    <row r="1" spans="1:14" x14ac:dyDescent="0.35">
      <c r="A1" t="s">
        <v>83</v>
      </c>
    </row>
    <row r="2" spans="1:14" x14ac:dyDescent="0.35">
      <c r="A2" s="73" t="s">
        <v>73</v>
      </c>
      <c r="B2" s="73">
        <v>1</v>
      </c>
      <c r="C2" s="73" t="s">
        <v>74</v>
      </c>
      <c r="D2" s="73" t="s">
        <v>0</v>
      </c>
      <c r="G2" s="73" t="s">
        <v>75</v>
      </c>
    </row>
    <row r="3" spans="1:14" x14ac:dyDescent="0.35">
      <c r="A3" s="73">
        <v>0.02</v>
      </c>
      <c r="B3" s="73">
        <v>1</v>
      </c>
      <c r="C3" s="73"/>
      <c r="D3" s="80">
        <f>K3^2</f>
        <v>2.5000000000000005E-3</v>
      </c>
      <c r="E3" s="80">
        <f>M3*K3*K4</f>
        <v>2.0000000000000005E-3</v>
      </c>
      <c r="F3" s="80">
        <f>M5*K3*K5</f>
        <v>2.0000000000000005E-3</v>
      </c>
      <c r="G3" s="73">
        <f>A3-$C$4</f>
        <v>2.3529411764705958E-3</v>
      </c>
      <c r="J3" t="s">
        <v>108</v>
      </c>
      <c r="K3">
        <v>0.05</v>
      </c>
      <c r="L3" t="s">
        <v>111</v>
      </c>
      <c r="M3">
        <v>0.2</v>
      </c>
    </row>
    <row r="4" spans="1:14" x14ac:dyDescent="0.35">
      <c r="A4" s="73">
        <v>0.05</v>
      </c>
      <c r="B4" s="73">
        <v>1</v>
      </c>
      <c r="C4" s="73">
        <f>H24</f>
        <v>1.7647058823529405E-2</v>
      </c>
      <c r="D4" s="80">
        <f>E3</f>
        <v>2.0000000000000005E-3</v>
      </c>
      <c r="E4" s="80">
        <f>K4^2</f>
        <v>4.0000000000000008E-2</v>
      </c>
      <c r="F4" s="80">
        <f>M4*K4*K5</f>
        <v>6.4000000000000015E-2</v>
      </c>
      <c r="G4" s="73">
        <f>A4-$C$4</f>
        <v>3.2352941176470598E-2</v>
      </c>
      <c r="J4" t="s">
        <v>109</v>
      </c>
      <c r="K4">
        <v>0.2</v>
      </c>
      <c r="L4" t="s">
        <v>113</v>
      </c>
      <c r="M4">
        <v>0.8</v>
      </c>
    </row>
    <row r="5" spans="1:14" x14ac:dyDescent="0.35">
      <c r="A5" s="73">
        <v>0.09</v>
      </c>
      <c r="B5" s="73">
        <v>1</v>
      </c>
      <c r="D5" s="80">
        <f>F3</f>
        <v>2.0000000000000005E-3</v>
      </c>
      <c r="E5" s="80">
        <f>F4</f>
        <v>6.4000000000000015E-2</v>
      </c>
      <c r="F5" s="80">
        <f>K5^2</f>
        <v>0.16000000000000003</v>
      </c>
      <c r="G5" s="73">
        <f>A5-$C$4</f>
        <v>7.2352941176470592E-2</v>
      </c>
      <c r="J5" t="s">
        <v>110</v>
      </c>
      <c r="K5">
        <v>0.4</v>
      </c>
      <c r="L5" t="s">
        <v>112</v>
      </c>
      <c r="M5">
        <v>0.1</v>
      </c>
    </row>
    <row r="6" spans="1:14" x14ac:dyDescent="0.35">
      <c r="A6" s="74"/>
      <c r="B6" s="74"/>
      <c r="C6" s="75"/>
      <c r="D6" s="73" t="s">
        <v>18</v>
      </c>
      <c r="E6" s="75"/>
      <c r="F6" s="75"/>
      <c r="G6" s="75"/>
      <c r="H6" s="75"/>
    </row>
    <row r="7" spans="1:14" x14ac:dyDescent="0.35">
      <c r="A7" s="74" t="s">
        <v>85</v>
      </c>
      <c r="B7" s="74"/>
      <c r="C7" s="75"/>
      <c r="D7" s="74" t="s">
        <v>84</v>
      </c>
      <c r="E7" s="75"/>
      <c r="F7" s="74"/>
      <c r="G7" s="75" t="s">
        <v>76</v>
      </c>
      <c r="H7" s="74"/>
    </row>
    <row r="8" spans="1:14" x14ac:dyDescent="0.35">
      <c r="A8" s="76">
        <f t="array" ref="A8:B9">MMULT(TRANSPOSE(A3:B5),MMULT(MINVERSE(D3:F5),A3:B5))</f>
        <v>0.19627192982456132</v>
      </c>
      <c r="B8" s="76">
        <v>8.1359649122806985</v>
      </c>
      <c r="C8" s="75"/>
      <c r="D8" s="81">
        <f t="array" ref="D8:E10">MMULT(MINVERSE(D3:F5),MMULT(A3:B5,MINVERSE(A8:B9)))</f>
        <v>-17.441860465116164</v>
      </c>
      <c r="E8" s="81">
        <v>1.3372093023255802</v>
      </c>
      <c r="F8" s="77"/>
      <c r="G8" s="75">
        <f t="array" ref="G8:G10">MMULT(MINVERSE(D3:F5),G3:G5)</f>
        <v>0.49019607843137492</v>
      </c>
      <c r="H8" s="77"/>
    </row>
    <row r="9" spans="1:14" x14ac:dyDescent="0.35">
      <c r="A9" s="76">
        <v>8.1359649122806985</v>
      </c>
      <c r="B9" s="76">
        <v>401.31578947368416</v>
      </c>
      <c r="C9" s="75"/>
      <c r="D9" s="81">
        <v>5.5232558139535115</v>
      </c>
      <c r="E9" s="81">
        <v>-9.0116279069767824E-2</v>
      </c>
      <c r="F9" s="75"/>
      <c r="G9" s="75">
        <v>0.19607843137254966</v>
      </c>
      <c r="H9" s="75"/>
    </row>
    <row r="10" spans="1:14" x14ac:dyDescent="0.35">
      <c r="A10" s="74"/>
      <c r="B10" s="74"/>
      <c r="C10" s="75"/>
      <c r="D10" s="81">
        <v>11.91860465116277</v>
      </c>
      <c r="E10" s="81">
        <v>-0.24709302325581339</v>
      </c>
      <c r="F10" s="75"/>
      <c r="G10" s="75">
        <v>0.36764705882352899</v>
      </c>
      <c r="H10" s="75"/>
    </row>
    <row r="11" spans="1:14" x14ac:dyDescent="0.35">
      <c r="A11" s="74"/>
      <c r="B11" s="74"/>
      <c r="C11" s="75"/>
      <c r="D11" s="75"/>
      <c r="E11" s="75"/>
      <c r="F11" s="75"/>
      <c r="G11" s="75"/>
      <c r="H11" s="75"/>
    </row>
    <row r="12" spans="1:14" x14ac:dyDescent="0.35">
      <c r="C12" s="73"/>
    </row>
    <row r="13" spans="1:14" x14ac:dyDescent="0.35">
      <c r="H13" t="s">
        <v>18</v>
      </c>
    </row>
    <row r="14" spans="1:14" x14ac:dyDescent="0.35">
      <c r="A14" s="73"/>
      <c r="B14" s="73"/>
    </row>
    <row r="15" spans="1:14" ht="15" thickBot="1" x14ac:dyDescent="0.4"/>
    <row r="16" spans="1:14" ht="15" thickTop="1" x14ac:dyDescent="0.35">
      <c r="A16" s="78" t="s">
        <v>25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1:14" x14ac:dyDescent="0.35">
      <c r="A17" s="8" t="s">
        <v>86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</row>
    <row r="18" spans="1:14" x14ac:dyDescent="0.35">
      <c r="A18" s="8" t="s">
        <v>87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7"/>
    </row>
    <row r="19" spans="1:14" x14ac:dyDescent="0.35">
      <c r="A19" s="8" t="s">
        <v>88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7"/>
    </row>
    <row r="20" spans="1:14" x14ac:dyDescent="0.35">
      <c r="A20" s="41" t="s">
        <v>77</v>
      </c>
      <c r="B20" s="42">
        <f>B8/B9</f>
        <v>2.0273224043715843E-2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7"/>
    </row>
    <row r="21" spans="1:14" x14ac:dyDescent="0.35">
      <c r="A21" s="41" t="s">
        <v>80</v>
      </c>
      <c r="B21" s="42">
        <f>1/SQRT(B9)</f>
        <v>4.9917965490277397E-2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7"/>
    </row>
    <row r="22" spans="1:14" x14ac:dyDescent="0.35">
      <c r="A22" s="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7"/>
    </row>
    <row r="23" spans="1:14" x14ac:dyDescent="0.35">
      <c r="A23" s="8" t="s">
        <v>89</v>
      </c>
      <c r="B23" s="5"/>
      <c r="C23" s="5"/>
      <c r="D23" s="5"/>
      <c r="E23" s="5"/>
      <c r="F23" s="5"/>
      <c r="G23" s="5" t="s">
        <v>93</v>
      </c>
      <c r="H23" s="5"/>
      <c r="I23" s="5"/>
      <c r="J23" s="5"/>
      <c r="K23" s="5"/>
      <c r="L23" s="5"/>
      <c r="M23" s="5"/>
      <c r="N23" s="7"/>
    </row>
    <row r="24" spans="1:14" x14ac:dyDescent="0.35">
      <c r="A24" s="8">
        <v>0.05</v>
      </c>
      <c r="B24" s="5" t="s">
        <v>90</v>
      </c>
      <c r="C24" s="36">
        <f t="array" ref="C24:C26">MMULT(D8:E10,A24:A25)</f>
        <v>0.46511627906977193</v>
      </c>
      <c r="D24" s="5" t="s">
        <v>91</v>
      </c>
      <c r="E24" s="5">
        <f t="array" ref="E24">MMULT(TRANSPOSE(C24:C26),MMULT(D3:F5,C24:C26))</f>
        <v>3.0697674418604656E-2</v>
      </c>
      <c r="F24" s="5"/>
      <c r="G24" s="5" t="s">
        <v>92</v>
      </c>
      <c r="H24" s="5">
        <f>(A8-B8*A24)/(B8-B9*A24)</f>
        <v>1.7647058823529405E-2</v>
      </c>
      <c r="I24" s="5" t="s">
        <v>94</v>
      </c>
      <c r="J24" s="5" t="s">
        <v>95</v>
      </c>
      <c r="K24" s="5">
        <f t="array" ref="K24:K26">MMULT(D8:E10,H24:H25)</f>
        <v>1.0294117647058834</v>
      </c>
      <c r="L24" s="5"/>
      <c r="M24" s="5"/>
      <c r="N24" s="7"/>
    </row>
    <row r="25" spans="1:14" x14ac:dyDescent="0.35">
      <c r="A25" s="8">
        <v>1</v>
      </c>
      <c r="B25" s="5"/>
      <c r="C25" s="36">
        <v>0.18604651162790775</v>
      </c>
      <c r="D25" s="5" t="s">
        <v>115</v>
      </c>
      <c r="E25" s="5">
        <f>SQRT(E24)</f>
        <v>0.17520751815662663</v>
      </c>
      <c r="F25" s="5"/>
      <c r="G25" s="5"/>
      <c r="H25" s="5">
        <v>1</v>
      </c>
      <c r="I25" s="5"/>
      <c r="J25" s="5"/>
      <c r="K25" s="5">
        <v>7.352941176470576E-3</v>
      </c>
      <c r="L25" s="5"/>
      <c r="M25" s="5"/>
      <c r="N25" s="7"/>
    </row>
    <row r="26" spans="1:14" x14ac:dyDescent="0.35">
      <c r="A26" s="8"/>
      <c r="B26" s="5"/>
      <c r="C26" s="36">
        <v>0.34883720930232509</v>
      </c>
      <c r="D26" s="5"/>
      <c r="E26" s="5"/>
      <c r="F26" s="5"/>
      <c r="G26" s="5"/>
      <c r="H26" s="5"/>
      <c r="I26" s="5"/>
      <c r="J26" s="5"/>
      <c r="K26" s="5">
        <v>-3.6764705882352838E-2</v>
      </c>
      <c r="L26" s="5"/>
      <c r="M26" s="5"/>
      <c r="N26" s="7"/>
    </row>
    <row r="27" spans="1:14" x14ac:dyDescent="0.35">
      <c r="A27" s="8"/>
      <c r="B27" s="5"/>
      <c r="C27" s="5"/>
      <c r="D27" s="5"/>
      <c r="E27" s="5"/>
      <c r="F27" s="5"/>
      <c r="G27" s="5" t="s">
        <v>96</v>
      </c>
      <c r="H27" s="5"/>
      <c r="I27" s="5"/>
      <c r="J27" s="5"/>
      <c r="K27" s="5"/>
      <c r="L27" s="5"/>
      <c r="M27" s="5"/>
      <c r="N27" s="7"/>
    </row>
    <row r="28" spans="1:14" x14ac:dyDescent="0.35">
      <c r="A28" s="8"/>
      <c r="B28" s="5"/>
      <c r="C28" s="5"/>
      <c r="D28" s="5"/>
      <c r="E28" s="5"/>
      <c r="F28" s="5"/>
      <c r="G28" s="5" t="s">
        <v>97</v>
      </c>
      <c r="H28" s="79">
        <f t="array" ref="H28">MMULT(TRANSPOSE(C24:C26),MMULT(D3:F5,K24:K26))</f>
        <v>2.211772431870429E-17</v>
      </c>
      <c r="I28" s="5"/>
      <c r="J28" s="5"/>
      <c r="K28" s="5"/>
      <c r="L28" s="5"/>
      <c r="M28" s="5"/>
      <c r="N28" s="7"/>
    </row>
    <row r="29" spans="1:14" x14ac:dyDescent="0.35">
      <c r="A29" s="8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7"/>
    </row>
    <row r="30" spans="1:14" x14ac:dyDescent="0.35">
      <c r="A30" s="8" t="s">
        <v>102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7"/>
    </row>
    <row r="31" spans="1:14" x14ac:dyDescent="0.35">
      <c r="A31" s="8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7"/>
    </row>
    <row r="32" spans="1:14" x14ac:dyDescent="0.35">
      <c r="A32" s="8" t="s">
        <v>98</v>
      </c>
      <c r="B32" s="36">
        <f>A4-H24</f>
        <v>3.2352941176470598E-2</v>
      </c>
      <c r="C32" s="5"/>
      <c r="D32" s="5">
        <v>0</v>
      </c>
      <c r="E32" s="5" t="s">
        <v>99</v>
      </c>
      <c r="F32" s="5">
        <f t="array" ref="F32">MMULT(TRANSPOSE(D32:D34),MMULT(D3:F5,C24:C26))</f>
        <v>3.0697674418604666E-2</v>
      </c>
      <c r="G32" s="5" t="s">
        <v>100</v>
      </c>
      <c r="H32" s="36">
        <f>(F32/E24)*(A24-H24)</f>
        <v>3.2352941176470612E-2</v>
      </c>
      <c r="I32" s="5"/>
      <c r="J32" s="5" t="s">
        <v>101</v>
      </c>
      <c r="K32" s="36" t="str">
        <f>IF(B32=H32,"Ja","Nej")</f>
        <v>Ja</v>
      </c>
      <c r="L32" s="5"/>
      <c r="M32" s="5"/>
      <c r="N32" s="7"/>
    </row>
    <row r="33" spans="1:14" x14ac:dyDescent="0.35">
      <c r="A33" s="8"/>
      <c r="B33" s="5"/>
      <c r="C33" s="5"/>
      <c r="D33" s="5">
        <v>1</v>
      </c>
      <c r="E33" s="5"/>
      <c r="F33" s="5"/>
      <c r="G33" s="5"/>
      <c r="H33" s="5"/>
      <c r="I33" s="5"/>
      <c r="J33" s="5"/>
      <c r="K33" s="5"/>
      <c r="L33" s="5"/>
      <c r="M33" s="5"/>
      <c r="N33" s="7"/>
    </row>
    <row r="34" spans="1:14" x14ac:dyDescent="0.35">
      <c r="A34" s="8"/>
      <c r="B34" s="5"/>
      <c r="C34" s="5"/>
      <c r="D34" s="5">
        <v>0</v>
      </c>
      <c r="E34" s="5"/>
      <c r="F34" s="5"/>
      <c r="G34" s="5"/>
      <c r="H34" s="5"/>
      <c r="I34" s="5"/>
      <c r="J34" s="5"/>
      <c r="K34" s="5"/>
      <c r="L34" s="5"/>
      <c r="M34" s="5"/>
      <c r="N34" s="7"/>
    </row>
    <row r="35" spans="1:14" ht="15" thickBot="1" x14ac:dyDescent="0.4">
      <c r="A35" s="23" t="s">
        <v>103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5"/>
    </row>
    <row r="36" spans="1:14" ht="15.5" thickTop="1" thickBot="1" x14ac:dyDescent="0.4"/>
    <row r="37" spans="1:14" ht="15" thickTop="1" x14ac:dyDescent="0.35">
      <c r="A37" s="38" t="s">
        <v>26</v>
      </c>
      <c r="B37" s="2"/>
      <c r="C37" s="2"/>
      <c r="D37" s="2"/>
      <c r="E37" s="2"/>
      <c r="F37" s="2"/>
      <c r="G37" s="2"/>
      <c r="H37" s="2"/>
      <c r="I37" s="2"/>
      <c r="J37" s="3"/>
    </row>
    <row r="38" spans="1:14" x14ac:dyDescent="0.35">
      <c r="A38" s="8" t="s">
        <v>104</v>
      </c>
      <c r="B38" s="5"/>
      <c r="C38" s="5" t="s">
        <v>78</v>
      </c>
      <c r="D38" s="5">
        <f>G8/SUM($G$8:$G$10)</f>
        <v>0.4651162790697686</v>
      </c>
      <c r="E38" s="5" t="s">
        <v>79</v>
      </c>
      <c r="F38" s="5">
        <f t="array" ref="F38">MMULT(TRANSPOSE(A3:A5),D38:D40)</f>
        <v>4.9999999999999926E-2</v>
      </c>
      <c r="G38" s="5"/>
      <c r="H38" s="5"/>
      <c r="I38" s="5"/>
      <c r="J38" s="7"/>
    </row>
    <row r="39" spans="1:14" x14ac:dyDescent="0.35">
      <c r="A39" s="8"/>
      <c r="B39" s="5"/>
      <c r="C39" s="5"/>
      <c r="D39" s="5">
        <f>G9/SUM($G$8:$G$10)</f>
        <v>0.18604651162790714</v>
      </c>
      <c r="E39" s="5" t="s">
        <v>81</v>
      </c>
      <c r="F39" s="5">
        <f t="array" ref="F39">MMULT(TRANSPOSE(D38:D40),MMULT(D3:F5,D38:D40))</f>
        <v>3.0697674418604506E-2</v>
      </c>
      <c r="G39" s="5"/>
      <c r="H39" s="5"/>
      <c r="I39" s="5"/>
      <c r="J39" s="7"/>
    </row>
    <row r="40" spans="1:14" x14ac:dyDescent="0.35">
      <c r="A40" s="8"/>
      <c r="B40" s="5"/>
      <c r="C40" s="5"/>
      <c r="D40" s="5">
        <f>G10/SUM($G$8:$G$10)</f>
        <v>0.34883720930232437</v>
      </c>
      <c r="E40" s="5" t="s">
        <v>82</v>
      </c>
      <c r="F40" s="5">
        <f>SQRT(F39)</f>
        <v>0.17520751815662622</v>
      </c>
      <c r="G40" s="5"/>
      <c r="H40" s="5"/>
      <c r="I40" s="5"/>
      <c r="J40" s="7"/>
    </row>
    <row r="41" spans="1:14" x14ac:dyDescent="0.35">
      <c r="A41" s="8"/>
      <c r="B41" s="5"/>
      <c r="C41" s="5"/>
      <c r="D41" s="5"/>
      <c r="E41" s="5" t="s">
        <v>105</v>
      </c>
      <c r="F41" s="36">
        <f>(F38-C4)/F40</f>
        <v>0.1846549823709546</v>
      </c>
      <c r="G41" s="5" t="s">
        <v>116</v>
      </c>
      <c r="H41" s="5"/>
      <c r="I41" s="5"/>
      <c r="J41" s="7"/>
    </row>
    <row r="42" spans="1:14" x14ac:dyDescent="0.35">
      <c r="A42" s="8"/>
      <c r="B42" s="5"/>
      <c r="C42" s="5"/>
      <c r="D42" s="5"/>
      <c r="E42" s="5"/>
      <c r="F42" s="5"/>
      <c r="G42" s="5"/>
      <c r="H42" s="5"/>
      <c r="I42" s="5"/>
      <c r="J42" s="7"/>
    </row>
    <row r="43" spans="1:14" x14ac:dyDescent="0.35">
      <c r="A43" s="8" t="s">
        <v>106</v>
      </c>
      <c r="B43" s="5"/>
      <c r="C43" s="5"/>
      <c r="D43" s="5"/>
      <c r="E43" s="5"/>
      <c r="F43" s="5"/>
      <c r="G43" s="5"/>
      <c r="H43" s="5"/>
      <c r="I43" s="5"/>
      <c r="J43" s="7"/>
    </row>
    <row r="44" spans="1:14" x14ac:dyDescent="0.35">
      <c r="A44" s="8" t="s">
        <v>107</v>
      </c>
      <c r="B44" s="5"/>
      <c r="C44" s="5"/>
      <c r="D44" s="5"/>
      <c r="E44" s="5"/>
      <c r="F44" s="5"/>
      <c r="G44" s="5"/>
      <c r="H44" s="5"/>
      <c r="I44" s="5"/>
      <c r="J44" s="7"/>
    </row>
    <row r="45" spans="1:14" ht="15" thickBot="1" x14ac:dyDescent="0.4">
      <c r="A45" s="23" t="s">
        <v>114</v>
      </c>
      <c r="B45" s="24"/>
      <c r="C45" s="24"/>
      <c r="D45" s="24"/>
      <c r="E45" s="24"/>
      <c r="F45" s="24"/>
      <c r="G45" s="24"/>
      <c r="H45" s="24"/>
      <c r="I45" s="24"/>
      <c r="J45" s="25"/>
    </row>
    <row r="46" spans="1:14" ht="15" thickTop="1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A5" workbookViewId="0">
      <selection activeCell="B26" sqref="B26"/>
    </sheetView>
  </sheetViews>
  <sheetFormatPr defaultRowHeight="14.5" x14ac:dyDescent="0.35"/>
  <cols>
    <col min="1" max="1" width="31.453125" customWidth="1"/>
    <col min="2" max="2" width="10.81640625" bestFit="1" customWidth="1"/>
    <col min="3" max="3" width="17" customWidth="1"/>
    <col min="4" max="4" width="16.6328125" customWidth="1"/>
  </cols>
  <sheetData>
    <row r="1" spans="1:10" ht="15" thickTop="1" x14ac:dyDescent="0.35">
      <c r="A1" s="1" t="s">
        <v>27</v>
      </c>
      <c r="B1" s="2"/>
      <c r="C1" s="2"/>
      <c r="D1" s="2"/>
      <c r="E1" s="2"/>
      <c r="F1" s="3"/>
    </row>
    <row r="2" spans="1:10" x14ac:dyDescent="0.35">
      <c r="A2" s="4" t="s">
        <v>48</v>
      </c>
      <c r="B2" s="5"/>
      <c r="C2" s="5"/>
      <c r="D2" s="5"/>
      <c r="E2" s="6" t="s">
        <v>28</v>
      </c>
      <c r="F2" s="7"/>
    </row>
    <row r="3" spans="1:10" x14ac:dyDescent="0.35">
      <c r="A3" s="8"/>
      <c r="B3" s="5"/>
      <c r="C3" s="5">
        <v>0.12</v>
      </c>
      <c r="D3" s="5"/>
      <c r="E3" s="5"/>
      <c r="F3" s="7"/>
    </row>
    <row r="4" spans="1:10" x14ac:dyDescent="0.35">
      <c r="A4" s="8"/>
      <c r="B4" s="5">
        <v>0.08</v>
      </c>
      <c r="C4" s="5">
        <v>0.1</v>
      </c>
      <c r="D4" s="5"/>
      <c r="E4" s="5"/>
      <c r="F4" s="7">
        <v>0.6</v>
      </c>
    </row>
    <row r="5" spans="1:10" x14ac:dyDescent="0.35">
      <c r="A5" s="8">
        <v>0.05</v>
      </c>
      <c r="B5" s="5">
        <v>0.03</v>
      </c>
      <c r="C5" s="5">
        <v>0</v>
      </c>
      <c r="D5" s="5"/>
      <c r="E5" s="5">
        <v>0.7</v>
      </c>
      <c r="F5" s="7">
        <v>0.5</v>
      </c>
    </row>
    <row r="6" spans="1:10" ht="15" thickBot="1" x14ac:dyDescent="0.4">
      <c r="A6" s="30">
        <v>0</v>
      </c>
      <c r="B6" s="31">
        <v>1</v>
      </c>
      <c r="C6" s="31">
        <v>2</v>
      </c>
      <c r="D6" s="32"/>
      <c r="E6" s="31" t="s">
        <v>29</v>
      </c>
      <c r="F6" s="33" t="s">
        <v>30</v>
      </c>
    </row>
    <row r="7" spans="1:10" ht="15.5" thickTop="1" thickBot="1" x14ac:dyDescent="0.4">
      <c r="A7" s="9"/>
      <c r="B7" s="9"/>
      <c r="C7" s="9"/>
      <c r="D7" s="9"/>
      <c r="E7" s="9"/>
      <c r="F7" s="9"/>
    </row>
    <row r="8" spans="1:10" ht="15" thickTop="1" x14ac:dyDescent="0.35">
      <c r="A8" s="10" t="s">
        <v>52</v>
      </c>
      <c r="B8" s="11"/>
      <c r="C8" s="11"/>
      <c r="D8" s="11"/>
      <c r="E8" s="11"/>
      <c r="F8" s="11"/>
      <c r="G8" s="2"/>
      <c r="H8" s="2"/>
      <c r="I8" s="2"/>
      <c r="J8" s="3"/>
    </row>
    <row r="9" spans="1:10" x14ac:dyDescent="0.35">
      <c r="A9" s="12" t="s">
        <v>31</v>
      </c>
      <c r="B9" s="9"/>
      <c r="C9" s="9" t="s">
        <v>32</v>
      </c>
      <c r="D9" s="9"/>
      <c r="E9" s="9"/>
      <c r="F9" s="9" t="s">
        <v>33</v>
      </c>
      <c r="G9" s="5"/>
      <c r="H9" s="5"/>
      <c r="I9" s="5" t="s">
        <v>41</v>
      </c>
      <c r="J9" s="7"/>
    </row>
    <row r="10" spans="1:10" x14ac:dyDescent="0.35">
      <c r="A10" s="13"/>
      <c r="B10" s="14"/>
      <c r="C10" s="14"/>
      <c r="D10" s="14"/>
      <c r="E10" s="14"/>
      <c r="F10" s="14"/>
      <c r="G10" s="15"/>
      <c r="H10" s="15">
        <f>1/(1+C3)</f>
        <v>0.89285714285714279</v>
      </c>
      <c r="I10" s="5">
        <v>1</v>
      </c>
      <c r="J10" s="61">
        <f>1/A12-1</f>
        <v>5.0000000000000044E-2</v>
      </c>
    </row>
    <row r="11" spans="1:10" x14ac:dyDescent="0.35">
      <c r="A11" s="13"/>
      <c r="B11" s="14"/>
      <c r="C11" s="14"/>
      <c r="D11" s="14">
        <f>1/(1+B4)</f>
        <v>0.92592592592592582</v>
      </c>
      <c r="E11" s="14"/>
      <c r="F11" s="14"/>
      <c r="G11" s="15">
        <f>(F4*H10+(1-F4)*H11)/(1+B4)</f>
        <v>0.83273208273208266</v>
      </c>
      <c r="H11" s="15">
        <f t="shared" ref="H11:H12" si="0">1/(1+C4)</f>
        <v>0.90909090909090906</v>
      </c>
      <c r="I11" s="5">
        <v>2</v>
      </c>
      <c r="J11" s="61">
        <f>C12^(-1/2)-1</f>
        <v>5.722395358707133E-2</v>
      </c>
    </row>
    <row r="12" spans="1:10" ht="15" thickBot="1" x14ac:dyDescent="0.4">
      <c r="A12" s="16">
        <f>1/(1+A5)</f>
        <v>0.95238095238095233</v>
      </c>
      <c r="B12" s="17"/>
      <c r="C12" s="18">
        <f>(E5*D11+(1-E5)*D12)/(1+A5)</f>
        <v>0.89467646101950293</v>
      </c>
      <c r="D12" s="17">
        <f>1/(1+B5)</f>
        <v>0.970873786407767</v>
      </c>
      <c r="E12" s="17"/>
      <c r="F12" s="19">
        <f>(E5*G11+(1-E5)*G12)/(1+A5)</f>
        <v>0.81993848175077944</v>
      </c>
      <c r="G12" s="20">
        <f>(F5*H11+(1-F5)*H12)/(1+B5)</f>
        <v>0.92674315975286847</v>
      </c>
      <c r="H12" s="20">
        <f t="shared" si="0"/>
        <v>1</v>
      </c>
      <c r="I12" s="24">
        <v>3</v>
      </c>
      <c r="J12" s="62">
        <f>F12^(-1/3)-1</f>
        <v>6.8414016443040016E-2</v>
      </c>
    </row>
    <row r="13" spans="1:10" ht="15.5" thickTop="1" thickBot="1" x14ac:dyDescent="0.4">
      <c r="A13" s="13"/>
      <c r="B13" s="14"/>
      <c r="C13" s="14"/>
      <c r="D13" s="14"/>
      <c r="E13" s="14"/>
      <c r="F13" s="27"/>
      <c r="G13" s="27"/>
      <c r="H13" s="27"/>
      <c r="I13" s="66"/>
      <c r="J13" s="67"/>
    </row>
    <row r="14" spans="1:10" ht="15" thickTop="1" x14ac:dyDescent="0.35">
      <c r="A14" s="68" t="s">
        <v>47</v>
      </c>
      <c r="B14" s="2"/>
      <c r="C14" s="2"/>
      <c r="D14" s="2"/>
      <c r="E14" s="2"/>
      <c r="F14" s="2"/>
      <c r="G14" s="2"/>
      <c r="H14" s="2"/>
      <c r="I14" s="2"/>
      <c r="J14" s="3"/>
    </row>
    <row r="15" spans="1:10" x14ac:dyDescent="0.35">
      <c r="A15" s="4" t="s">
        <v>35</v>
      </c>
      <c r="B15" s="5"/>
      <c r="C15" s="5"/>
      <c r="D15" s="5"/>
      <c r="E15" s="5"/>
      <c r="F15" s="5"/>
      <c r="G15" s="5"/>
      <c r="H15" s="5"/>
      <c r="I15" s="27"/>
      <c r="J15" s="7"/>
    </row>
    <row r="16" spans="1:10" x14ac:dyDescent="0.35">
      <c r="A16" s="4"/>
      <c r="B16" s="5"/>
      <c r="C16" s="5"/>
      <c r="D16" s="6" t="s">
        <v>36</v>
      </c>
      <c r="E16" s="5"/>
      <c r="F16" s="5"/>
      <c r="G16" s="5"/>
      <c r="H16" s="5"/>
      <c r="I16" s="28"/>
      <c r="J16" s="7"/>
    </row>
    <row r="17" spans="1:13" x14ac:dyDescent="0.35">
      <c r="A17" s="4" t="s">
        <v>42</v>
      </c>
      <c r="B17" s="5">
        <v>100</v>
      </c>
      <c r="C17" s="5"/>
      <c r="D17" s="35">
        <v>100</v>
      </c>
      <c r="E17" s="35">
        <f>D17*(1+$B$18)-$B$20</f>
        <v>68.279143536875523</v>
      </c>
      <c r="F17" s="35">
        <f t="shared" ref="F17:G17" si="1">E17*(1+$B$18)-$B$20</f>
        <v>34.972244250594827</v>
      </c>
      <c r="G17" s="35">
        <f t="shared" si="1"/>
        <v>9.2370555648813024E-14</v>
      </c>
      <c r="H17" s="5"/>
      <c r="I17" s="5"/>
      <c r="J17" s="7"/>
      <c r="M17" s="29"/>
    </row>
    <row r="18" spans="1:13" x14ac:dyDescent="0.35">
      <c r="A18" s="4" t="s">
        <v>43</v>
      </c>
      <c r="B18" s="63">
        <v>0.05</v>
      </c>
      <c r="C18" s="5"/>
      <c r="D18" s="21" t="s">
        <v>37</v>
      </c>
      <c r="E18" s="21" t="s">
        <v>38</v>
      </c>
      <c r="F18" s="21" t="s">
        <v>39</v>
      </c>
      <c r="G18" s="21" t="s">
        <v>53</v>
      </c>
      <c r="H18" s="5"/>
      <c r="I18" s="9" t="s">
        <v>18</v>
      </c>
      <c r="J18" s="7"/>
    </row>
    <row r="19" spans="1:13" x14ac:dyDescent="0.35">
      <c r="A19" s="4" t="s">
        <v>44</v>
      </c>
      <c r="B19" s="5">
        <v>3</v>
      </c>
      <c r="C19" s="5"/>
      <c r="D19" s="5" t="s">
        <v>45</v>
      </c>
      <c r="E19" s="5"/>
      <c r="F19" s="5"/>
      <c r="G19" s="5"/>
      <c r="H19" s="5"/>
      <c r="I19" s="5"/>
      <c r="J19" s="7"/>
    </row>
    <row r="20" spans="1:13" x14ac:dyDescent="0.35">
      <c r="A20" s="4" t="s">
        <v>40</v>
      </c>
      <c r="B20" s="64">
        <f>B17*(1+B18)^B19*B18/((1+B18)^B19-1)</f>
        <v>36.720856463124477</v>
      </c>
      <c r="C20" s="5"/>
      <c r="D20" s="5"/>
      <c r="E20" s="29">
        <f>D17-E17</f>
        <v>31.720856463124477</v>
      </c>
      <c r="F20" s="29">
        <f t="shared" ref="F20:G20" si="2">E17-F17</f>
        <v>33.306899286280697</v>
      </c>
      <c r="G20" s="29">
        <f t="shared" si="2"/>
        <v>34.972244250594734</v>
      </c>
      <c r="H20" s="5"/>
      <c r="I20" s="5"/>
      <c r="J20" s="7"/>
    </row>
    <row r="21" spans="1:13" x14ac:dyDescent="0.35">
      <c r="A21" s="4"/>
      <c r="B21" s="22"/>
      <c r="C21" s="5"/>
      <c r="D21" s="5"/>
      <c r="E21" s="29"/>
      <c r="F21" s="29"/>
      <c r="G21" s="5" t="s">
        <v>34</v>
      </c>
      <c r="H21" s="64">
        <f>B20*(A12+C12+F12)</f>
        <v>97.934373453590652</v>
      </c>
      <c r="I21" s="5"/>
      <c r="J21" s="7"/>
    </row>
    <row r="22" spans="1:13" x14ac:dyDescent="0.35">
      <c r="A22" s="4" t="s">
        <v>54</v>
      </c>
      <c r="B22" s="26">
        <v>6.1218775752555882E-2</v>
      </c>
      <c r="C22" s="5">
        <f>B20*(1/(1+B22)+1/(1+B22)^2+1/(1+B22)^3)-H21</f>
        <v>-1.2386671244257741E-7</v>
      </c>
      <c r="D22" s="5"/>
      <c r="E22" s="29"/>
      <c r="F22" s="29"/>
      <c r="G22" s="5"/>
      <c r="H22" s="22"/>
      <c r="I22" s="5"/>
      <c r="J22" s="7"/>
    </row>
    <row r="23" spans="1:13" ht="15" thickBot="1" x14ac:dyDescent="0.4">
      <c r="A23" s="23" t="s">
        <v>65</v>
      </c>
      <c r="B23" s="65">
        <f>1000000*(B17/H21)*(B20/100)</f>
        <v>374953.70795960457</v>
      </c>
      <c r="C23" s="24"/>
      <c r="D23" s="24"/>
      <c r="E23" s="24"/>
      <c r="F23" s="24"/>
      <c r="G23" s="24"/>
      <c r="H23" s="34"/>
      <c r="I23" s="24"/>
      <c r="J23" s="25"/>
    </row>
    <row r="24" spans="1:13" ht="15.5" thickTop="1" thickBot="1" x14ac:dyDescent="0.4"/>
    <row r="25" spans="1:13" ht="15" thickTop="1" x14ac:dyDescent="0.35">
      <c r="A25" s="72" t="s">
        <v>46</v>
      </c>
      <c r="B25" s="2"/>
      <c r="C25" s="2"/>
      <c r="D25" s="3"/>
    </row>
    <row r="26" spans="1:13" x14ac:dyDescent="0.35">
      <c r="A26" s="69" t="s">
        <v>55</v>
      </c>
      <c r="B26" s="64">
        <f>(H21-B20*A12-B20*C12)/C12</f>
        <v>33.653331241835616</v>
      </c>
      <c r="C26" s="5"/>
      <c r="D26" s="7"/>
    </row>
    <row r="27" spans="1:13" x14ac:dyDescent="0.35">
      <c r="A27" s="8"/>
      <c r="B27" s="5"/>
      <c r="C27" s="5"/>
      <c r="D27" s="7"/>
    </row>
    <row r="28" spans="1:13" x14ac:dyDescent="0.35">
      <c r="A28" s="8" t="s">
        <v>56</v>
      </c>
      <c r="B28" s="5"/>
      <c r="C28" s="5"/>
      <c r="D28" s="7"/>
    </row>
    <row r="29" spans="1:13" x14ac:dyDescent="0.35">
      <c r="A29" s="8"/>
      <c r="B29" s="5"/>
      <c r="C29" s="5"/>
      <c r="D29" s="7"/>
    </row>
    <row r="30" spans="1:13" x14ac:dyDescent="0.35">
      <c r="A30" s="8" t="s">
        <v>57</v>
      </c>
      <c r="B30" s="5"/>
      <c r="C30" s="5"/>
      <c r="D30" s="7">
        <v>0</v>
      </c>
    </row>
    <row r="31" spans="1:13" x14ac:dyDescent="0.35">
      <c r="A31" s="8"/>
      <c r="B31" s="5"/>
      <c r="C31" s="5">
        <f>$B$20/(1+C3)</f>
        <v>32.786478984932565</v>
      </c>
      <c r="D31" s="7">
        <v>0</v>
      </c>
    </row>
    <row r="32" spans="1:13" x14ac:dyDescent="0.35">
      <c r="A32" s="8"/>
      <c r="B32" s="5">
        <f>(1/(1+B4))*($B$20+F4*C31+(1-F4)*C32)</f>
        <v>64.57942830365505</v>
      </c>
      <c r="C32" s="5">
        <f t="shared" ref="C32:C33" si="3">$B$20/(1+C4)</f>
        <v>33.38259678465861</v>
      </c>
      <c r="D32" s="7">
        <v>0</v>
      </c>
    </row>
    <row r="33" spans="1:8" x14ac:dyDescent="0.35">
      <c r="A33" s="70">
        <f>(1/(1+A5))*($B$20+E5*B32+(1-E5)*B33)</f>
        <v>97.934373453590666</v>
      </c>
      <c r="B33" s="5">
        <f>(1/(1+B5))*($B$20+F5*C32+(1-F5)*C33)</f>
        <v>69.682119501957303</v>
      </c>
      <c r="C33" s="5">
        <f t="shared" si="3"/>
        <v>36.720856463124477</v>
      </c>
      <c r="D33" s="7">
        <v>0</v>
      </c>
    </row>
    <row r="34" spans="1:8" x14ac:dyDescent="0.35">
      <c r="A34" s="8">
        <v>0</v>
      </c>
      <c r="B34" s="5">
        <v>1</v>
      </c>
      <c r="C34" s="5">
        <v>2</v>
      </c>
      <c r="D34" s="7">
        <v>0</v>
      </c>
    </row>
    <row r="35" spans="1:8" x14ac:dyDescent="0.35">
      <c r="A35" s="8"/>
      <c r="B35" s="5"/>
      <c r="C35" s="5"/>
      <c r="D35" s="7"/>
    </row>
    <row r="36" spans="1:8" x14ac:dyDescent="0.35">
      <c r="A36" s="8" t="s">
        <v>58</v>
      </c>
      <c r="B36" s="5"/>
      <c r="C36" s="5"/>
      <c r="D36" s="7"/>
    </row>
    <row r="37" spans="1:8" x14ac:dyDescent="0.35">
      <c r="A37" s="8"/>
      <c r="B37" s="5"/>
      <c r="C37" s="5">
        <f>C31</f>
        <v>32.786478984932565</v>
      </c>
      <c r="D37" s="7"/>
    </row>
    <row r="38" spans="1:8" x14ac:dyDescent="0.35">
      <c r="A38" s="8"/>
      <c r="B38" s="5">
        <f>(F4*C37+(1-F4)*C38)</f>
        <v>33.024926104822981</v>
      </c>
      <c r="C38" s="5">
        <f>C32</f>
        <v>33.38259678465861</v>
      </c>
      <c r="D38" s="7"/>
    </row>
    <row r="39" spans="1:8" x14ac:dyDescent="0.35">
      <c r="A39" s="71">
        <f t="shared" ref="A39:B39" si="4">(E5*B38+(1-E5)*B39)</f>
        <v>33.632966260543547</v>
      </c>
      <c r="B39" s="5">
        <f t="shared" si="4"/>
        <v>35.05172662389154</v>
      </c>
      <c r="C39" s="5">
        <f>C33</f>
        <v>36.720856463124477</v>
      </c>
      <c r="D39" s="7"/>
    </row>
    <row r="40" spans="1:8" ht="15" thickBot="1" x14ac:dyDescent="0.4">
      <c r="A40" s="23" t="s">
        <v>59</v>
      </c>
      <c r="B40" s="24"/>
      <c r="C40" s="24"/>
      <c r="D40" s="25"/>
    </row>
    <row r="41" spans="1:8" ht="15.5" thickTop="1" thickBot="1" x14ac:dyDescent="0.4"/>
    <row r="42" spans="1:8" ht="15" thickTop="1" x14ac:dyDescent="0.35">
      <c r="A42" s="38" t="s">
        <v>49</v>
      </c>
      <c r="B42" s="2"/>
      <c r="C42" s="2"/>
      <c r="D42" s="2"/>
      <c r="E42" s="2"/>
      <c r="F42" s="2"/>
      <c r="G42" s="2"/>
      <c r="H42" s="3"/>
    </row>
    <row r="43" spans="1:8" x14ac:dyDescent="0.35">
      <c r="A43" s="8" t="s">
        <v>23</v>
      </c>
      <c r="B43" s="64">
        <v>-18.360434810523749</v>
      </c>
      <c r="C43" s="5"/>
      <c r="D43" s="5"/>
      <c r="E43" s="5"/>
      <c r="F43" s="5"/>
      <c r="G43" s="5"/>
      <c r="H43" s="7"/>
    </row>
    <row r="44" spans="1:8" x14ac:dyDescent="0.35">
      <c r="A44" s="8" t="s">
        <v>24</v>
      </c>
      <c r="B44" s="64">
        <v>19.319846463066838</v>
      </c>
      <c r="C44" s="5"/>
      <c r="D44" s="5"/>
      <c r="E44" s="5"/>
      <c r="F44" s="5"/>
      <c r="G44" s="5"/>
      <c r="H44" s="7"/>
    </row>
    <row r="45" spans="1:8" x14ac:dyDescent="0.35">
      <c r="A45" s="8"/>
      <c r="B45" s="5"/>
      <c r="C45" s="5"/>
      <c r="D45" s="5"/>
      <c r="E45" s="5"/>
      <c r="F45" s="5"/>
      <c r="G45" s="5"/>
      <c r="H45" s="7"/>
    </row>
    <row r="46" spans="1:8" x14ac:dyDescent="0.35">
      <c r="A46" s="8" t="s">
        <v>60</v>
      </c>
      <c r="B46" s="5"/>
      <c r="C46" s="5"/>
      <c r="D46" s="5"/>
      <c r="E46" s="5"/>
      <c r="F46" s="5"/>
      <c r="G46" s="5"/>
      <c r="H46" s="7"/>
    </row>
    <row r="47" spans="1:8" x14ac:dyDescent="0.35">
      <c r="A47" s="8" t="s">
        <v>18</v>
      </c>
      <c r="B47" s="5">
        <f>$B$20+$B$43+$B$44*(B48-1)</f>
        <v>18.360421652600728</v>
      </c>
      <c r="C47" s="5">
        <f>$B$20+$B$43+$B$44*(C48-1)</f>
        <v>37.680268115667566</v>
      </c>
      <c r="D47" s="5">
        <f>$B$20+$B$43+$B$44*(D48-1)</f>
        <v>57.000114578734404</v>
      </c>
      <c r="E47" s="5"/>
      <c r="F47" s="5"/>
      <c r="G47" s="5"/>
      <c r="H47" s="7"/>
    </row>
    <row r="48" spans="1:8" x14ac:dyDescent="0.35">
      <c r="A48" s="8">
        <v>0</v>
      </c>
      <c r="B48" s="5">
        <v>1</v>
      </c>
      <c r="C48" s="5">
        <v>2</v>
      </c>
      <c r="D48" s="5">
        <v>3</v>
      </c>
      <c r="E48" s="5"/>
      <c r="F48" s="5"/>
      <c r="G48" s="5"/>
      <c r="H48" s="7"/>
    </row>
    <row r="49" spans="1:8" x14ac:dyDescent="0.35">
      <c r="A49" s="8"/>
      <c r="B49" s="5" t="s">
        <v>63</v>
      </c>
      <c r="C49" s="5" t="s">
        <v>64</v>
      </c>
      <c r="D49" s="5" t="s">
        <v>66</v>
      </c>
      <c r="E49" s="5"/>
      <c r="F49" s="5"/>
      <c r="G49" s="5"/>
      <c r="H49" s="7"/>
    </row>
    <row r="50" spans="1:8" x14ac:dyDescent="0.35">
      <c r="A50" s="8" t="s">
        <v>61</v>
      </c>
      <c r="B50" s="5">
        <f>B47*A12+C47*C12+D47*F12</f>
        <v>97.934352194919171</v>
      </c>
      <c r="C50" s="29">
        <f>H21</f>
        <v>97.934373453590652</v>
      </c>
      <c r="D50" s="5">
        <f>ABS((B50-C50)/B50)</f>
        <v>2.1707062950331431E-7</v>
      </c>
      <c r="E50" s="5"/>
      <c r="F50" s="5"/>
      <c r="G50" s="5"/>
      <c r="H50" s="7"/>
    </row>
    <row r="51" spans="1:8" x14ac:dyDescent="0.35">
      <c r="A51" s="8" t="s">
        <v>62</v>
      </c>
      <c r="B51" s="5">
        <f>10000*(100/B50)*B47</f>
        <v>187476.82749826025</v>
      </c>
      <c r="C51" s="5">
        <f>0.5*B23</f>
        <v>187476.85397980228</v>
      </c>
      <c r="D51" s="5">
        <f>ABS((B51-C51)/B51)</f>
        <v>1.4125234777639759E-7</v>
      </c>
      <c r="E51" s="5"/>
      <c r="F51" s="5"/>
      <c r="G51" s="5"/>
      <c r="H51" s="7"/>
    </row>
    <row r="52" spans="1:8" x14ac:dyDescent="0.35">
      <c r="A52" s="8"/>
      <c r="B52" s="5"/>
      <c r="C52" s="5" t="s">
        <v>67</v>
      </c>
      <c r="D52" s="5">
        <f>MAX(D50:D51)</f>
        <v>2.1707062950331431E-7</v>
      </c>
      <c r="E52" s="5" t="s">
        <v>72</v>
      </c>
      <c r="F52" s="5"/>
      <c r="G52" s="5"/>
      <c r="H52" s="7"/>
    </row>
    <row r="53" spans="1:8" x14ac:dyDescent="0.35">
      <c r="A53" s="8" t="s">
        <v>54</v>
      </c>
      <c r="B53" s="26">
        <v>6.3651398025508357E-2</v>
      </c>
      <c r="C53" s="5">
        <f>B47/(1+B53)+C47/((1+B53)^2)+D47/((1+B53)^3)-B50</f>
        <v>-1.8478033325664001E-8</v>
      </c>
      <c r="D53" s="5"/>
      <c r="E53" s="5"/>
      <c r="F53" s="5"/>
      <c r="G53" s="5"/>
      <c r="H53" s="7"/>
    </row>
    <row r="54" spans="1:8" x14ac:dyDescent="0.35">
      <c r="A54" s="8"/>
      <c r="B54" s="5"/>
      <c r="C54" s="5"/>
      <c r="D54" s="5"/>
      <c r="E54" s="5"/>
      <c r="F54" s="5"/>
      <c r="G54" s="5"/>
      <c r="H54" s="7"/>
    </row>
    <row r="55" spans="1:8" x14ac:dyDescent="0.35">
      <c r="A55" s="8" t="s">
        <v>68</v>
      </c>
      <c r="B55" s="29">
        <f>B47/$B$20</f>
        <v>0.49999982083856032</v>
      </c>
      <c r="C55" s="29">
        <f t="shared" ref="C55:D55" si="5">C47/$B$20</f>
        <v>1.0261271589214305</v>
      </c>
      <c r="D55" s="29">
        <f t="shared" si="5"/>
        <v>1.5522544970043006</v>
      </c>
      <c r="E55" s="5"/>
      <c r="F55" s="5"/>
      <c r="G55" s="5"/>
      <c r="H55" s="7"/>
    </row>
    <row r="56" spans="1:8" x14ac:dyDescent="0.35">
      <c r="A56" s="8"/>
      <c r="B56" s="5">
        <v>1</v>
      </c>
      <c r="C56" s="5">
        <v>2</v>
      </c>
      <c r="D56" s="5">
        <v>3</v>
      </c>
      <c r="E56" s="5"/>
      <c r="F56" s="5"/>
      <c r="G56" s="5"/>
      <c r="H56" s="7"/>
    </row>
    <row r="57" spans="1:8" x14ac:dyDescent="0.35">
      <c r="A57" s="8" t="s">
        <v>69</v>
      </c>
      <c r="B57" s="5"/>
      <c r="C57" s="5"/>
      <c r="D57" s="5"/>
      <c r="E57" s="5"/>
      <c r="F57" s="5"/>
      <c r="G57" s="5"/>
      <c r="H57" s="7"/>
    </row>
    <row r="58" spans="1:8" x14ac:dyDescent="0.35">
      <c r="A58" s="8" t="s">
        <v>71</v>
      </c>
      <c r="B58" s="5"/>
      <c r="C58" s="5"/>
      <c r="D58" s="5"/>
      <c r="E58" s="5"/>
      <c r="F58" s="5"/>
      <c r="G58" s="5"/>
      <c r="H58" s="7"/>
    </row>
    <row r="59" spans="1:8" ht="15" thickBot="1" x14ac:dyDescent="0.4">
      <c r="A59" s="23" t="s">
        <v>70</v>
      </c>
      <c r="B59" s="24"/>
      <c r="C59" s="24"/>
      <c r="D59" s="24"/>
      <c r="E59" s="24"/>
      <c r="F59" s="24"/>
      <c r="G59" s="24"/>
      <c r="H59" s="25"/>
    </row>
    <row r="60" spans="1:8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Opgave 1</vt:lpstr>
      <vt:lpstr>Opgave 2</vt:lpstr>
      <vt:lpstr>Opgave 3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Rolf Poulsen</cp:lastModifiedBy>
  <dcterms:created xsi:type="dcterms:W3CDTF">2021-09-29T10:48:55Z</dcterms:created>
  <dcterms:modified xsi:type="dcterms:W3CDTF">2022-07-11T15:53:25Z</dcterms:modified>
</cp:coreProperties>
</file>