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qw767\Dropbox\Teaching\Fin1\Fin1 2023\Eksamen 2023\"/>
    </mc:Choice>
  </mc:AlternateContent>
  <bookViews>
    <workbookView xWindow="0" yWindow="0" windowWidth="19200" windowHeight="6600" activeTab="1"/>
  </bookViews>
  <sheets>
    <sheet name="opgave 1" sheetId="1" r:id="rId1"/>
    <sheet name="opgave 2" sheetId="2" r:id="rId2"/>
  </sheets>
  <externalReferences>
    <externalReference r:id="rId3"/>
  </externalReferences>
  <definedNames>
    <definedName name="d_">'opgave 1'!$F$6</definedName>
    <definedName name="D_1">'opgave 2'!$D$5:$F$6</definedName>
    <definedName name="E_m">'[1]opgave 2'!$D$5</definedName>
    <definedName name="E_r">'[1]opgave 2'!$D$2:$D$5</definedName>
    <definedName name="mu_0">'opgave 2'!$B$25</definedName>
    <definedName name="ones">'[1]opgave 2'!$M$2:$M$5</definedName>
    <definedName name="pi_1">'opgave 2'!$H$5:$H$6</definedName>
    <definedName name="r_f">'[1]opgave 2'!$B$6</definedName>
    <definedName name="Sigma">'[1]opgave 2'!$I$2:$L$5</definedName>
    <definedName name="sigma_m">'[1]opgave 2'!$E$5</definedName>
    <definedName name="solver_adj" localSheetId="1" hidden="1">'opgave 2'!$B$25</definedName>
    <definedName name="solver_cvg" localSheetId="1" hidden="1">"""0,0001"""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'opgave 2'!$B$27</definedName>
    <definedName name="solver_lhs2" localSheetId="1" hidden="1">'opgave 2'!$B$28</definedName>
    <definedName name="solver_lhs3" localSheetId="1" hidden="1">'opgave 2'!$B$29</definedName>
    <definedName name="solver_mip" localSheetId="1" hidden="1">2147483647</definedName>
    <definedName name="solver_mni" localSheetId="1" hidden="1">30</definedName>
    <definedName name="solver_mrt" localSheetId="1" hidden="1">"""0,075"""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'opgave 2'!$B$25</definedName>
    <definedName name="solver_pre" localSheetId="1" hidden="1">"""0,000001"""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1</definedName>
    <definedName name="solver_typ" localSheetId="1" hidden="1">1</definedName>
    <definedName name="solver_val" localSheetId="1" hidden="1">0</definedName>
    <definedName name="solver_ver" localSheetId="1" hidden="1">3</definedName>
    <definedName name="u_">'opgave 1'!$F$4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2" l="1" a="1"/>
  <c r="M11" i="2" s="1"/>
  <c r="C34" i="2"/>
  <c r="C33" i="2"/>
  <c r="B82" i="2"/>
  <c r="F25" i="2"/>
  <c r="E25" i="2"/>
  <c r="D25" i="2"/>
  <c r="K17" i="1"/>
  <c r="K14" i="1"/>
  <c r="J5" i="1"/>
  <c r="E31" i="1"/>
  <c r="I18" i="1"/>
  <c r="J11" i="1"/>
  <c r="J9" i="1"/>
  <c r="J7" i="1"/>
  <c r="H10" i="1"/>
  <c r="M12" i="2" l="1"/>
  <c r="B90" i="2"/>
  <c r="B83" i="2" l="1"/>
  <c r="B91" i="2" s="1"/>
  <c r="C72" i="2"/>
  <c r="B74" i="2" s="1"/>
  <c r="B75" i="2" s="1"/>
  <c r="C71" i="2"/>
  <c r="B78" i="2"/>
  <c r="C70" i="2"/>
  <c r="B72" i="2"/>
  <c r="B70" i="2"/>
  <c r="B71" i="2"/>
  <c r="B58" i="2"/>
  <c r="B56" i="2"/>
  <c r="A52" i="2"/>
  <c r="C49" i="2"/>
  <c r="C48" i="2"/>
  <c r="G43" i="2"/>
  <c r="G42" i="2"/>
  <c r="G41" i="2"/>
  <c r="D46" i="2"/>
  <c r="C46" i="2"/>
  <c r="D45" i="2"/>
  <c r="C45" i="2"/>
  <c r="F43" i="2"/>
  <c r="F42" i="2"/>
  <c r="F41" i="2"/>
  <c r="E43" i="2"/>
  <c r="E42" i="2"/>
  <c r="E41" i="2"/>
  <c r="D44" i="2"/>
  <c r="C44" i="2"/>
  <c r="D43" i="2"/>
  <c r="D42" i="2"/>
  <c r="D41" i="2"/>
  <c r="C43" i="2"/>
  <c r="C42" i="2"/>
  <c r="C41" i="2"/>
  <c r="B84" i="2" l="1"/>
  <c r="B85" i="2" s="1"/>
  <c r="B87" i="2"/>
  <c r="B73" i="2"/>
  <c r="B27" i="2" l="1" a="1"/>
  <c r="B27" i="2" s="1"/>
  <c r="B18" i="2" a="1"/>
  <c r="B18" i="2" s="1"/>
  <c r="B14" i="2" a="1"/>
  <c r="B15" i="2" s="1"/>
  <c r="D27" i="1"/>
  <c r="D25" i="1"/>
  <c r="D23" i="1"/>
  <c r="B28" i="2" l="1"/>
  <c r="B29" i="2"/>
  <c r="B19" i="2"/>
  <c r="B14" i="2"/>
  <c r="B16" i="2"/>
  <c r="F12" i="1" l="1"/>
  <c r="C20" i="1" s="1"/>
  <c r="F10" i="1"/>
  <c r="E11" i="1"/>
  <c r="D21" i="1"/>
  <c r="D19" i="1"/>
  <c r="D17" i="1"/>
  <c r="G7" i="1"/>
  <c r="G6" i="1"/>
  <c r="G5" i="1"/>
  <c r="G3" i="1"/>
  <c r="F6" i="1"/>
  <c r="F4" i="1"/>
  <c r="C39" i="1" l="1"/>
  <c r="C24" i="1"/>
  <c r="C26" i="1"/>
  <c r="C33" i="1" s="1"/>
  <c r="C41" i="1"/>
  <c r="C18" i="1"/>
  <c r="G19" i="1" l="1"/>
  <c r="G18" i="1"/>
  <c r="B40" i="1"/>
  <c r="B43" i="1" s="1"/>
  <c r="C31" i="1"/>
  <c r="B25" i="1"/>
  <c r="B19" i="1"/>
  <c r="B32" i="1" l="1"/>
  <c r="D49" i="1"/>
  <c r="D47" i="1"/>
  <c r="C48" i="1" s="1"/>
  <c r="D45" i="1"/>
  <c r="C46" i="1" s="1"/>
  <c r="B47" i="1" s="1"/>
  <c r="G20" i="1"/>
  <c r="B51" i="1" l="1"/>
  <c r="B53" i="1" l="1"/>
  <c r="B52" i="1"/>
</calcChain>
</file>

<file path=xl/sharedStrings.xml><?xml version="1.0" encoding="utf-8"?>
<sst xmlns="http://schemas.openxmlformats.org/spreadsheetml/2006/main" count="73" uniqueCount="63">
  <si>
    <t>u/d</t>
  </si>
  <si>
    <t>u&gt;R&gt;d&gt;0 i alle undermodeller =&gt; arbitragefrihed og komplethed</t>
  </si>
  <si>
    <t>put</t>
  </si>
  <si>
    <t>q træ</t>
  </si>
  <si>
    <t>fut(0,2)</t>
  </si>
  <si>
    <t>FutCall</t>
  </si>
  <si>
    <t>Fwd(0,2)</t>
  </si>
  <si>
    <t>S_0/P(0,2)</t>
  </si>
  <si>
    <t>P(0,2)</t>
  </si>
  <si>
    <t>Fwd(0,2)=S_0/P(0,2)</t>
  </si>
  <si>
    <t>fwd kontrakt træ</t>
  </si>
  <si>
    <t>a, antal fwd kontrakter</t>
  </si>
  <si>
    <t>b, penge i banken</t>
  </si>
  <si>
    <t>tjeksum</t>
  </si>
  <si>
    <t>D</t>
  </si>
  <si>
    <t>pi</t>
  </si>
  <si>
    <t>Vi kan selvfølgelig lede efter en løsning manuelt eller med solver men da vi i næste spørgsmål får at vide der eksisterer risikofrit aktiv. Kan vi jo bare tilføje en aktiv der betaler 1 og koster 1</t>
  </si>
  <si>
    <t>psi=</t>
  </si>
  <si>
    <t>Altså har vi vist der eksisterer tilstandsprisvektor og markedet er arbitragefrit. Det er ikke komplet da antal tilstande er større end antal aktiver</t>
  </si>
  <si>
    <t>mu_0</t>
  </si>
  <si>
    <t>mu_0_min</t>
  </si>
  <si>
    <t>mu_0_max</t>
  </si>
  <si>
    <t>vi bruger solver og finder den største og mindste værdi af mu_0 så psi er &gt;&gt;0</t>
  </si>
  <si>
    <t>Forventet afkast</t>
  </si>
  <si>
    <t>M</t>
  </si>
  <si>
    <t>S</t>
  </si>
  <si>
    <t>P</t>
  </si>
  <si>
    <t>mu</t>
  </si>
  <si>
    <t>(r-mu)^2</t>
  </si>
  <si>
    <t>var</t>
  </si>
  <si>
    <t>std</t>
  </si>
  <si>
    <t>cov</t>
  </si>
  <si>
    <t>(r-mu)(r-mu)</t>
  </si>
  <si>
    <t>beta</t>
  </si>
  <si>
    <t>mu_0 ifgl CAPM mu_0=(E[r]-beta*E[r_m])/(1-beta)</t>
  </si>
  <si>
    <t xml:space="preserve">4) Sættes mu_0=0.01 fås at det forventede afkast iflg CAPM er </t>
  </si>
  <si>
    <t>E[r] ifgl CAPM</t>
  </si>
  <si>
    <t xml:space="preserve">Da det faktiske afkast er 0.115 er S et godt køb. </t>
  </si>
  <si>
    <t>vi laver en portefølje r_p= w_s r_s + w_m r_m +(1-w_s-w_m) mu_0</t>
  </si>
  <si>
    <t>beta-neutral w_m=-beta_s*w_s</t>
  </si>
  <si>
    <t xml:space="preserve">positiv forventet afkast betyder w_s&gt;0 da alpha_s&gt;0 </t>
  </si>
  <si>
    <t>alpha_s</t>
  </si>
  <si>
    <t>afkast er givet ved r_p= w_s*alpha_s + w_s*epsilon_s</t>
  </si>
  <si>
    <t>std[r_p]</t>
  </si>
  <si>
    <t>w_s*std[e_p]</t>
  </si>
  <si>
    <t>lad os udregne std[e_p</t>
  </si>
  <si>
    <t>e_p</t>
  </si>
  <si>
    <t>mu_p(tjeksum)</t>
  </si>
  <si>
    <t>var()</t>
  </si>
  <si>
    <t>alternativt sigma_ep=sqrt(var(r_s)-beta^2*var(r_m))</t>
  </si>
  <si>
    <t>0.1=std{r_p])=w_s *Std[e_p] =&gt; w_s=0.1/std[e_p]</t>
  </si>
  <si>
    <t>w_s</t>
  </si>
  <si>
    <t>w_m</t>
  </si>
  <si>
    <t>1-w_s-w_m</t>
  </si>
  <si>
    <t>sum</t>
  </si>
  <si>
    <t>tjeksum std</t>
  </si>
  <si>
    <t>a</t>
  </si>
  <si>
    <t>b</t>
  </si>
  <si>
    <t>tjæksum</t>
  </si>
  <si>
    <t>forventet afkast rate</t>
  </si>
  <si>
    <t>E[r_P]</t>
  </si>
  <si>
    <t>&gt;0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</si>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</sst>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%201%20August%202023%20Ree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gave 1"/>
      <sheetName val="opgave 2"/>
      <sheetName val="opgave 3"/>
    </sheetNames>
    <sheetDataSet>
      <sheetData sheetId="0"/>
      <sheetData sheetId="1">
        <row r="2">
          <cell r="D2">
            <v>0.14500000000000002</v>
          </cell>
          <cell r="I2">
            <v>4.0000000000000008E-2</v>
          </cell>
          <cell r="J2">
            <v>1.9800000000000002E-2</v>
          </cell>
          <cell r="K2">
            <v>2.2275000000000003E-2</v>
          </cell>
          <cell r="L2">
            <v>2.4750000000000001E-2</v>
          </cell>
          <cell r="M2">
            <v>1</v>
          </cell>
        </row>
        <row r="3">
          <cell r="D3">
            <v>7.0000000000000007E-2</v>
          </cell>
          <cell r="I3">
            <v>1.9800000000000002E-2</v>
          </cell>
          <cell r="J3">
            <v>0.16000000000000003</v>
          </cell>
          <cell r="K3">
            <v>1.6200000000000003E-2</v>
          </cell>
          <cell r="L3">
            <v>1.7999999999999999E-2</v>
          </cell>
          <cell r="M3">
            <v>1</v>
          </cell>
        </row>
        <row r="4">
          <cell r="D4">
            <v>7.5000000000000011E-2</v>
          </cell>
          <cell r="I4">
            <v>2.2275000000000003E-2</v>
          </cell>
          <cell r="J4">
            <v>1.6200000000000003E-2</v>
          </cell>
          <cell r="K4">
            <v>4.0000000000000008E-2</v>
          </cell>
          <cell r="L4">
            <v>2.0250000000000001E-2</v>
          </cell>
          <cell r="M4">
            <v>1</v>
          </cell>
        </row>
        <row r="5">
          <cell r="D5">
            <v>0.08</v>
          </cell>
          <cell r="E5">
            <v>0.15</v>
          </cell>
          <cell r="I5">
            <v>2.4750000000000001E-2</v>
          </cell>
          <cell r="J5">
            <v>1.7999999999999999E-2</v>
          </cell>
          <cell r="K5">
            <v>2.0250000000000001E-2</v>
          </cell>
          <cell r="L5">
            <v>2.2499999999999999E-2</v>
          </cell>
          <cell r="M5">
            <v>1</v>
          </cell>
        </row>
        <row r="6">
          <cell r="B6">
            <v>0.03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workbookViewId="0">
      <selection activeCell="I28" sqref="I28"/>
    </sheetView>
  </sheetViews>
  <sheetFormatPr defaultRowHeight="15" x14ac:dyDescent="0.25"/>
  <sheetData>
    <row r="2" spans="1:11" x14ac:dyDescent="0.25">
      <c r="A2">
        <v>1</v>
      </c>
      <c r="F2" t="s">
        <v>0</v>
      </c>
      <c r="G2" t="s">
        <v>0</v>
      </c>
    </row>
    <row r="3" spans="1:11" x14ac:dyDescent="0.25">
      <c r="D3">
        <v>116.64</v>
      </c>
      <c r="G3">
        <f>D3/C4</f>
        <v>1.08</v>
      </c>
    </row>
    <row r="4" spans="1:11" x14ac:dyDescent="0.25">
      <c r="C4">
        <v>108</v>
      </c>
      <c r="F4">
        <f>C4/B5</f>
        <v>1.08</v>
      </c>
    </row>
    <row r="5" spans="1:11" x14ac:dyDescent="0.25">
      <c r="B5">
        <v>100</v>
      </c>
      <c r="D5">
        <v>103.68</v>
      </c>
      <c r="G5">
        <f>D5/C4</f>
        <v>0.96000000000000008</v>
      </c>
      <c r="J5">
        <f>1.32*0.213/1.055</f>
        <v>0.26650236966824647</v>
      </c>
    </row>
    <row r="6" spans="1:11" x14ac:dyDescent="0.25">
      <c r="C6">
        <v>96</v>
      </c>
      <c r="F6">
        <f>C6/B5</f>
        <v>0.96</v>
      </c>
      <c r="G6">
        <f>D5/C6</f>
        <v>1.08</v>
      </c>
    </row>
    <row r="7" spans="1:11" x14ac:dyDescent="0.25">
      <c r="D7">
        <v>92.16</v>
      </c>
      <c r="G7">
        <f>D7/C6</f>
        <v>0.96</v>
      </c>
      <c r="J7">
        <f>1.32*0.75/1.03</f>
        <v>0.96116504854368934</v>
      </c>
    </row>
    <row r="8" spans="1:11" x14ac:dyDescent="0.25">
      <c r="E8" t="s">
        <v>3</v>
      </c>
    </row>
    <row r="9" spans="1:11" x14ac:dyDescent="0.25">
      <c r="D9">
        <v>7.0000000000000007E-2</v>
      </c>
      <c r="J9">
        <f>-0.42*100 +44.61</f>
        <v>2.6099999999999994</v>
      </c>
    </row>
    <row r="10" spans="1:11" x14ac:dyDescent="0.25">
      <c r="C10">
        <v>5.5E-2</v>
      </c>
      <c r="F10">
        <f>(C10+1-d_)/(u_-d_)</f>
        <v>0.79166666666666574</v>
      </c>
      <c r="H10">
        <f>(0.055+1-d_)/(u_-d_)</f>
        <v>0.79166666666666574</v>
      </c>
    </row>
    <row r="11" spans="1:11" x14ac:dyDescent="0.25">
      <c r="B11">
        <v>0.04</v>
      </c>
      <c r="D11">
        <v>0.05</v>
      </c>
      <c r="E11">
        <f>(1+B11-d_)/(u_-d_)</f>
        <v>0.66666666666666663</v>
      </c>
      <c r="J11">
        <f>0.583*6.24/1.04</f>
        <v>3.4979999999999998</v>
      </c>
    </row>
    <row r="12" spans="1:11" x14ac:dyDescent="0.25">
      <c r="C12">
        <v>0.03</v>
      </c>
      <c r="F12">
        <f>(C12+1-d_)/(u_-d_)</f>
        <v>0.58333333333333337</v>
      </c>
    </row>
    <row r="13" spans="1:11" x14ac:dyDescent="0.25">
      <c r="D13">
        <v>0.01</v>
      </c>
    </row>
    <row r="14" spans="1:11" x14ac:dyDescent="0.25">
      <c r="K14">
        <f>8.7345*2/3/1.04</f>
        <v>5.5990384615384619</v>
      </c>
    </row>
    <row r="15" spans="1:11" x14ac:dyDescent="0.25">
      <c r="B15" t="s">
        <v>1</v>
      </c>
    </row>
    <row r="16" spans="1:11" x14ac:dyDescent="0.25">
      <c r="A16">
        <v>2</v>
      </c>
    </row>
    <row r="17" spans="1:11" x14ac:dyDescent="0.25">
      <c r="D17">
        <f>MAX(105-D3,0)</f>
        <v>0</v>
      </c>
      <c r="K17">
        <f>1.32*0.0833/1.055</f>
        <v>0.10422369668246446</v>
      </c>
    </row>
    <row r="18" spans="1:11" x14ac:dyDescent="0.25">
      <c r="C18">
        <f>(F10*D17+(1-F10)*D19)/(1+C10)</f>
        <v>0.26066350710900454</v>
      </c>
      <c r="F18" t="s">
        <v>56</v>
      </c>
      <c r="G18">
        <f>(C18-C20)/(C4-C6)</f>
        <v>-0.47342367214221048</v>
      </c>
      <c r="I18">
        <f>1.32*0.583/1.01</f>
        <v>0.76194059405940595</v>
      </c>
    </row>
    <row r="19" spans="1:11" x14ac:dyDescent="0.25">
      <c r="A19" t="s">
        <v>2</v>
      </c>
      <c r="B19">
        <f>(E11*C18+(1-E11)*C20)/(1+B11)</f>
        <v>2.0714982650748524</v>
      </c>
      <c r="D19">
        <f>MAX(105-D5,0)</f>
        <v>1.3199999999999932</v>
      </c>
      <c r="F19" t="s">
        <v>57</v>
      </c>
      <c r="G19">
        <f>(C18-G18*C4)/(1+B11)</f>
        <v>49.4138654792959</v>
      </c>
    </row>
    <row r="20" spans="1:11" x14ac:dyDescent="0.25">
      <c r="C20">
        <f>(F12*D19+(1-F12)*D21)/(1+C12)</f>
        <v>5.9417475728155305</v>
      </c>
      <c r="F20" t="s">
        <v>58</v>
      </c>
      <c r="G20">
        <f>B5*G18+G19</f>
        <v>2.071498265074851</v>
      </c>
    </row>
    <row r="21" spans="1:11" x14ac:dyDescent="0.25">
      <c r="D21">
        <f>MAX(105-D7,0)</f>
        <v>12.840000000000003</v>
      </c>
    </row>
    <row r="23" spans="1:11" x14ac:dyDescent="0.25">
      <c r="A23">
        <v>3</v>
      </c>
      <c r="D23">
        <f>D3</f>
        <v>116.64</v>
      </c>
    </row>
    <row r="24" spans="1:11" x14ac:dyDescent="0.25">
      <c r="C24">
        <f>D23*F10+D25*(1-F10)</f>
        <v>113.93999999999998</v>
      </c>
    </row>
    <row r="25" spans="1:11" x14ac:dyDescent="0.25">
      <c r="A25" t="s">
        <v>4</v>
      </c>
      <c r="B25">
        <f>C24*E11+C26*(1-E11)</f>
        <v>108.91999999999999</v>
      </c>
      <c r="D25">
        <f>D5</f>
        <v>103.68</v>
      </c>
    </row>
    <row r="26" spans="1:11" x14ac:dyDescent="0.25">
      <c r="C26">
        <f>D25*F12+D27*(1-F12)</f>
        <v>98.88000000000001</v>
      </c>
    </row>
    <row r="27" spans="1:11" x14ac:dyDescent="0.25">
      <c r="D27">
        <f>D7</f>
        <v>92.16</v>
      </c>
    </row>
    <row r="30" spans="1:11" x14ac:dyDescent="0.25">
      <c r="A30">
        <v>5</v>
      </c>
    </row>
    <row r="31" spans="1:11" x14ac:dyDescent="0.25">
      <c r="C31">
        <f>MAX(C24-105,0)</f>
        <v>8.9399999999999835</v>
      </c>
      <c r="E31">
        <f>5.78*0.417/1.04</f>
        <v>2.3175576923076924</v>
      </c>
    </row>
    <row r="32" spans="1:11" x14ac:dyDescent="0.25">
      <c r="A32" t="s">
        <v>5</v>
      </c>
      <c r="B32">
        <f>(C31*E11+C33*(1-E11))/(1+B11)</f>
        <v>5.7307692307692193</v>
      </c>
    </row>
    <row r="33" spans="1:4" x14ac:dyDescent="0.25">
      <c r="C33">
        <f>MAX(C26-105,0)</f>
        <v>0</v>
      </c>
    </row>
    <row r="35" spans="1:4" x14ac:dyDescent="0.25">
      <c r="A35">
        <v>6</v>
      </c>
    </row>
    <row r="37" spans="1:4" x14ac:dyDescent="0.25">
      <c r="A37" t="s">
        <v>6</v>
      </c>
      <c r="B37" t="s">
        <v>7</v>
      </c>
    </row>
    <row r="38" spans="1:4" x14ac:dyDescent="0.25">
      <c r="D38">
        <v>1</v>
      </c>
    </row>
    <row r="39" spans="1:4" x14ac:dyDescent="0.25">
      <c r="C39">
        <f>(D38*F10+(1-F10)*D40)/(1+C10)</f>
        <v>0.94786729857819907</v>
      </c>
    </row>
    <row r="40" spans="1:4" x14ac:dyDescent="0.25">
      <c r="A40" t="s">
        <v>8</v>
      </c>
      <c r="B40">
        <f>(C39*E11+(1-E11)*C41)/(1+B11)</f>
        <v>0.91878473832184782</v>
      </c>
      <c r="D40">
        <v>1</v>
      </c>
    </row>
    <row r="41" spans="1:4" x14ac:dyDescent="0.25">
      <c r="C41">
        <f>(D40*F12+(1-F12)*D42)/(1+C12)</f>
        <v>0.970873786407767</v>
      </c>
    </row>
    <row r="42" spans="1:4" x14ac:dyDescent="0.25">
      <c r="D42">
        <v>1</v>
      </c>
    </row>
    <row r="43" spans="1:4" x14ac:dyDescent="0.25">
      <c r="A43" t="s">
        <v>9</v>
      </c>
      <c r="B43">
        <f>100/B40</f>
        <v>108.83942215088283</v>
      </c>
    </row>
    <row r="45" spans="1:4" x14ac:dyDescent="0.25">
      <c r="D45">
        <f>(D3-$B$43)</f>
        <v>7.8005778491171753</v>
      </c>
    </row>
    <row r="46" spans="1:4" x14ac:dyDescent="0.25">
      <c r="A46" t="s">
        <v>10</v>
      </c>
      <c r="C46">
        <f>(F10*D45+(1-F10)*D47)/(1+C10)</f>
        <v>4.8346709470304878</v>
      </c>
    </row>
    <row r="47" spans="1:4" x14ac:dyDescent="0.25">
      <c r="B47">
        <f>(E11*C46+(1-E11)*C48)/(1+B11)</f>
        <v>-5.978123978750843E-15</v>
      </c>
      <c r="D47">
        <f>(D5-$B$43)</f>
        <v>-5.1594221508828184</v>
      </c>
    </row>
    <row r="48" spans="1:4" x14ac:dyDescent="0.25">
      <c r="C48">
        <f>(F12*D47+(1-F12)*D49)/(1+C12)</f>
        <v>-9.6693418940609934</v>
      </c>
    </row>
    <row r="49" spans="1:4" x14ac:dyDescent="0.25">
      <c r="D49">
        <f>(D7-$B$43)</f>
        <v>-16.679422150882829</v>
      </c>
    </row>
    <row r="51" spans="1:4" x14ac:dyDescent="0.25">
      <c r="A51" t="s">
        <v>11</v>
      </c>
      <c r="B51">
        <f>(C31-C33)/(C46-C48)</f>
        <v>0.61638114209827299</v>
      </c>
    </row>
    <row r="52" spans="1:4" x14ac:dyDescent="0.25">
      <c r="A52" t="s">
        <v>12</v>
      </c>
      <c r="B52">
        <f>(C31-B51*C46)/(1+B11)</f>
        <v>5.7307692307692228</v>
      </c>
    </row>
    <row r="53" spans="1:4" x14ac:dyDescent="0.25">
      <c r="A53" t="s">
        <v>13</v>
      </c>
      <c r="B53">
        <f>B51*B47+B52</f>
        <v>5.7307692307692193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1"/>
  <sheetViews>
    <sheetView tabSelected="1" topLeftCell="A67" workbookViewId="0">
      <selection activeCell="C11" sqref="C11"/>
    </sheetView>
  </sheetViews>
  <sheetFormatPr defaultRowHeight="15" x14ac:dyDescent="0.25"/>
  <cols>
    <col min="7" max="7" width="12" bestFit="1" customWidth="1"/>
  </cols>
  <sheetData>
    <row r="4" spans="1:13" x14ac:dyDescent="0.25">
      <c r="A4">
        <v>1.1000000000000001</v>
      </c>
    </row>
    <row r="5" spans="1:13" x14ac:dyDescent="0.25">
      <c r="C5" t="s">
        <v>14</v>
      </c>
      <c r="D5">
        <v>85</v>
      </c>
      <c r="E5">
        <v>105</v>
      </c>
      <c r="F5">
        <v>130</v>
      </c>
      <c r="G5" t="s">
        <v>15</v>
      </c>
      <c r="H5">
        <v>100</v>
      </c>
    </row>
    <row r="6" spans="1:13" x14ac:dyDescent="0.25">
      <c r="D6">
        <v>115</v>
      </c>
      <c r="E6">
        <v>90</v>
      </c>
      <c r="F6">
        <v>125</v>
      </c>
      <c r="H6">
        <v>100</v>
      </c>
    </row>
    <row r="8" spans="1:13" x14ac:dyDescent="0.25">
      <c r="A8" t="s">
        <v>16</v>
      </c>
    </row>
    <row r="10" spans="1:13" x14ac:dyDescent="0.25">
      <c r="C10" t="s">
        <v>14</v>
      </c>
      <c r="D10">
        <v>85</v>
      </c>
      <c r="E10">
        <v>105</v>
      </c>
      <c r="F10">
        <v>130</v>
      </c>
      <c r="G10" t="s">
        <v>15</v>
      </c>
      <c r="H10">
        <v>100</v>
      </c>
    </row>
    <row r="11" spans="1:13" x14ac:dyDescent="0.25">
      <c r="D11">
        <v>115</v>
      </c>
      <c r="E11">
        <v>90</v>
      </c>
      <c r="F11">
        <v>125</v>
      </c>
      <c r="H11">
        <v>100</v>
      </c>
      <c r="K11">
        <v>0.20063500000000001</v>
      </c>
      <c r="M11">
        <f t="array" ref="M11:M12">MMULT(D_1,K11:K13)</f>
        <v>100.00002000000001</v>
      </c>
    </row>
    <row r="12" spans="1:13" x14ac:dyDescent="0.25">
      <c r="D12">
        <v>1</v>
      </c>
      <c r="E12">
        <v>1</v>
      </c>
      <c r="F12">
        <v>1</v>
      </c>
      <c r="H12">
        <v>1</v>
      </c>
      <c r="K12">
        <v>0.40127099999999999</v>
      </c>
      <c r="M12">
        <v>98.430290000000014</v>
      </c>
    </row>
    <row r="13" spans="1:13" x14ac:dyDescent="0.25">
      <c r="K13">
        <v>0.31394300000000003</v>
      </c>
    </row>
    <row r="14" spans="1:13" x14ac:dyDescent="0.25">
      <c r="A14" t="s">
        <v>17</v>
      </c>
      <c r="B14">
        <f t="array" ref="B14:B16">MMULT(MINVERSE(D10:F12),H10:H12)</f>
        <v>0.320754716981132</v>
      </c>
    </row>
    <row r="15" spans="1:13" x14ac:dyDescent="0.25">
      <c r="B15">
        <v>0.6226415094339619</v>
      </c>
    </row>
    <row r="16" spans="1:13" x14ac:dyDescent="0.25">
      <c r="B16">
        <v>5.660377358490587E-2</v>
      </c>
    </row>
    <row r="18" spans="1:8" x14ac:dyDescent="0.25">
      <c r="A18" t="s">
        <v>13</v>
      </c>
      <c r="B18">
        <f t="array" ref="B18:B19">MMULT(D_1,B14:B16)</f>
        <v>99.999999999999972</v>
      </c>
    </row>
    <row r="19" spans="1:8" x14ac:dyDescent="0.25">
      <c r="B19">
        <v>99.999999999999986</v>
      </c>
    </row>
    <row r="21" spans="1:8" x14ac:dyDescent="0.25">
      <c r="A21" t="s">
        <v>18</v>
      </c>
    </row>
    <row r="23" spans="1:8" x14ac:dyDescent="0.25">
      <c r="A23">
        <v>2</v>
      </c>
      <c r="C23" t="s">
        <v>14</v>
      </c>
      <c r="D23">
        <v>85</v>
      </c>
      <c r="E23">
        <v>105</v>
      </c>
      <c r="F23">
        <v>130</v>
      </c>
      <c r="G23" t="s">
        <v>15</v>
      </c>
      <c r="H23">
        <v>100</v>
      </c>
    </row>
    <row r="24" spans="1:8" x14ac:dyDescent="0.25">
      <c r="D24">
        <v>115</v>
      </c>
      <c r="E24">
        <v>90</v>
      </c>
      <c r="F24">
        <v>130</v>
      </c>
      <c r="H24">
        <v>100</v>
      </c>
    </row>
    <row r="25" spans="1:8" x14ac:dyDescent="0.25">
      <c r="A25" t="s">
        <v>19</v>
      </c>
      <c r="B25">
        <v>-0.01</v>
      </c>
      <c r="D25">
        <f>1+mu_0</f>
        <v>0.99</v>
      </c>
      <c r="E25">
        <f>1+mu_0</f>
        <v>0.99</v>
      </c>
      <c r="F25">
        <f>1+mu_0</f>
        <v>0.99</v>
      </c>
      <c r="H25">
        <v>1</v>
      </c>
    </row>
    <row r="27" spans="1:8" x14ac:dyDescent="0.25">
      <c r="A27" t="s">
        <v>17</v>
      </c>
      <c r="B27">
        <f t="array" ref="B27:B29">MMULT(MINVERSE(D23:F25),H23:H25)</f>
        <v>0.3296119085592768</v>
      </c>
    </row>
    <row r="28" spans="1:8" x14ac:dyDescent="0.25">
      <c r="B28">
        <v>0.65922381711855405</v>
      </c>
    </row>
    <row r="29" spans="1:8" x14ac:dyDescent="0.25">
      <c r="B29">
        <v>2.126528442317932E-2</v>
      </c>
    </row>
    <row r="31" spans="1:8" x14ac:dyDescent="0.25">
      <c r="A31" t="s">
        <v>22</v>
      </c>
    </row>
    <row r="32" spans="1:8" x14ac:dyDescent="0.25">
      <c r="C32" t="s">
        <v>62</v>
      </c>
    </row>
    <row r="33" spans="1:7" x14ac:dyDescent="0.25">
      <c r="A33" t="s">
        <v>20</v>
      </c>
      <c r="B33">
        <v>-1.6666666692605001E-2</v>
      </c>
      <c r="C33">
        <f>1+B33</f>
        <v>0.98333333330739503</v>
      </c>
    </row>
    <row r="34" spans="1:7" x14ac:dyDescent="0.25">
      <c r="A34" t="s">
        <v>21</v>
      </c>
      <c r="B34">
        <v>0.23571428591339968</v>
      </c>
      <c r="C34">
        <f>1+B34</f>
        <v>1.2357142859133996</v>
      </c>
    </row>
    <row r="36" spans="1:7" x14ac:dyDescent="0.25">
      <c r="A36">
        <v>3</v>
      </c>
    </row>
    <row r="38" spans="1:7" x14ac:dyDescent="0.25">
      <c r="A38" t="s">
        <v>23</v>
      </c>
    </row>
    <row r="40" spans="1:7" x14ac:dyDescent="0.25">
      <c r="B40" t="s">
        <v>26</v>
      </c>
      <c r="C40" t="s">
        <v>25</v>
      </c>
      <c r="D40" t="s">
        <v>24</v>
      </c>
      <c r="E40" t="s">
        <v>28</v>
      </c>
      <c r="F40" t="s">
        <v>28</v>
      </c>
      <c r="G40" t="s">
        <v>32</v>
      </c>
    </row>
    <row r="41" spans="1:7" x14ac:dyDescent="0.25">
      <c r="B41">
        <v>0.3</v>
      </c>
      <c r="C41">
        <f>85/100-1</f>
        <v>-0.15000000000000002</v>
      </c>
      <c r="D41">
        <f>115/100-1</f>
        <v>0.14999999999999991</v>
      </c>
      <c r="E41">
        <f t="shared" ref="E41:F43" si="0">(C41-C$44)^2</f>
        <v>7.022500000000001E-2</v>
      </c>
      <c r="F41">
        <f t="shared" si="0"/>
        <v>3.0814879110195774E-33</v>
      </c>
      <c r="G41">
        <f>(C41-$C$44)*(D41-$D$44)</f>
        <v>1.4710455076283325E-17</v>
      </c>
    </row>
    <row r="42" spans="1:7" x14ac:dyDescent="0.25">
      <c r="B42">
        <v>0.2</v>
      </c>
      <c r="C42">
        <f>105/100-1</f>
        <v>5.0000000000000044E-2</v>
      </c>
      <c r="D42">
        <f>90/100-1</f>
        <v>-9.9999999999999978E-2</v>
      </c>
      <c r="E42">
        <f t="shared" si="0"/>
        <v>4.224999999999997E-3</v>
      </c>
      <c r="F42">
        <f t="shared" si="0"/>
        <v>6.2499999999999972E-2</v>
      </c>
      <c r="G42">
        <f>(C42-$C$44)*(D42-$D$44)</f>
        <v>1.624999999999999E-2</v>
      </c>
    </row>
    <row r="43" spans="1:7" x14ac:dyDescent="0.25">
      <c r="B43">
        <v>0.5</v>
      </c>
      <c r="C43">
        <f>130/100-1</f>
        <v>0.30000000000000004</v>
      </c>
      <c r="D43">
        <f>125/100-1</f>
        <v>0.25</v>
      </c>
      <c r="E43">
        <f t="shared" si="0"/>
        <v>3.4225000000000012E-2</v>
      </c>
      <c r="F43">
        <f t="shared" si="0"/>
        <v>1.0000000000000007E-2</v>
      </c>
      <c r="G43">
        <f>(C43-$C$44)*(D43-$D$44)</f>
        <v>1.8500000000000009E-2</v>
      </c>
    </row>
    <row r="44" spans="1:7" x14ac:dyDescent="0.25">
      <c r="A44" t="s">
        <v>27</v>
      </c>
      <c r="C44">
        <f>SUMPRODUCT($B$41:$B$43,C41:C43)</f>
        <v>0.11500000000000002</v>
      </c>
      <c r="D44">
        <f>SUMPRODUCT($B$41:$B$43,D41:D43)</f>
        <v>0.14999999999999997</v>
      </c>
    </row>
    <row r="45" spans="1:7" x14ac:dyDescent="0.25">
      <c r="A45" t="s">
        <v>29</v>
      </c>
      <c r="C45">
        <f>SUMPRODUCT($B$41:$B$43,E41:E43)</f>
        <v>3.9025000000000004E-2</v>
      </c>
      <c r="D45">
        <f>SUMPRODUCT($B$41:$B$43,F41:F43)</f>
        <v>1.7499999999999998E-2</v>
      </c>
    </row>
    <row r="46" spans="1:7" x14ac:dyDescent="0.25">
      <c r="A46" t="s">
        <v>30</v>
      </c>
      <c r="C46">
        <f>SQRT(C45)</f>
        <v>0.19754746265138412</v>
      </c>
      <c r="D46">
        <f>SQRT(D45)</f>
        <v>0.13228756555322951</v>
      </c>
    </row>
    <row r="48" spans="1:7" x14ac:dyDescent="0.25">
      <c r="A48" t="s">
        <v>31</v>
      </c>
      <c r="C48">
        <f>SUMPRODUCT(B41:B43,G41:G43)</f>
        <v>1.2500000000000008E-2</v>
      </c>
    </row>
    <row r="49" spans="1:3" x14ac:dyDescent="0.25">
      <c r="A49" t="s">
        <v>33</v>
      </c>
      <c r="C49">
        <f>C48/D45</f>
        <v>0.71428571428571475</v>
      </c>
    </row>
    <row r="51" spans="1:3" x14ac:dyDescent="0.25">
      <c r="A51" t="s">
        <v>34</v>
      </c>
    </row>
    <row r="52" spans="1:3" x14ac:dyDescent="0.25">
      <c r="A52">
        <f>(C44-C49*D44)/(1-C49)</f>
        <v>2.7499999999999938E-2</v>
      </c>
    </row>
    <row r="54" spans="1:3" x14ac:dyDescent="0.25">
      <c r="A54" t="s">
        <v>35</v>
      </c>
    </row>
    <row r="56" spans="1:3" x14ac:dyDescent="0.25">
      <c r="A56" t="s">
        <v>36</v>
      </c>
      <c r="B56">
        <f>0.01+C49*(D44-0.01)</f>
        <v>0.11000000000000003</v>
      </c>
    </row>
    <row r="57" spans="1:3" x14ac:dyDescent="0.25">
      <c r="A57" t="s">
        <v>37</v>
      </c>
    </row>
    <row r="58" spans="1:3" x14ac:dyDescent="0.25">
      <c r="A58" t="s">
        <v>41</v>
      </c>
      <c r="B58">
        <f>C44-B56</f>
        <v>4.9999999999999906E-3</v>
      </c>
    </row>
    <row r="59" spans="1:3" x14ac:dyDescent="0.25">
      <c r="A59" t="s">
        <v>38</v>
      </c>
    </row>
    <row r="61" spans="1:3" x14ac:dyDescent="0.25">
      <c r="A61" t="s">
        <v>39</v>
      </c>
    </row>
    <row r="62" spans="1:3" x14ac:dyDescent="0.25">
      <c r="A62" t="s">
        <v>40</v>
      </c>
    </row>
    <row r="64" spans="1:3" x14ac:dyDescent="0.25">
      <c r="A64" t="s">
        <v>42</v>
      </c>
    </row>
    <row r="65" spans="1:3" x14ac:dyDescent="0.25">
      <c r="A65" t="s">
        <v>43</v>
      </c>
      <c r="B65" t="s">
        <v>44</v>
      </c>
    </row>
    <row r="67" spans="1:3" x14ac:dyDescent="0.25">
      <c r="A67" t="s">
        <v>45</v>
      </c>
    </row>
    <row r="69" spans="1:3" x14ac:dyDescent="0.25">
      <c r="B69" t="s">
        <v>46</v>
      </c>
    </row>
    <row r="70" spans="1:3" x14ac:dyDescent="0.25">
      <c r="B70">
        <f>C41-$B$58-0.01-$C$49*(D41-0.01)</f>
        <v>-0.26500000000000001</v>
      </c>
      <c r="C70">
        <f>B70^2</f>
        <v>7.022500000000001E-2</v>
      </c>
    </row>
    <row r="71" spans="1:3" x14ac:dyDescent="0.25">
      <c r="B71">
        <f>C42-$B$58-0.01-$C$49*(D42-0.01)</f>
        <v>0.11357142857142866</v>
      </c>
      <c r="C71">
        <f>B71^2</f>
        <v>1.2898469387755121E-2</v>
      </c>
    </row>
    <row r="72" spans="1:3" x14ac:dyDescent="0.25">
      <c r="B72">
        <f>C43-$B$58-0.01-$C$49*(D43-0.01)</f>
        <v>0.11357142857142849</v>
      </c>
      <c r="C72">
        <f>B72^2</f>
        <v>1.2898469387755084E-2</v>
      </c>
    </row>
    <row r="73" spans="1:3" x14ac:dyDescent="0.25">
      <c r="A73" t="s">
        <v>47</v>
      </c>
      <c r="B73">
        <f>SUMPRODUCT(B41:B43,B70:B72)</f>
        <v>-2.7755575615628914E-17</v>
      </c>
    </row>
    <row r="74" spans="1:3" x14ac:dyDescent="0.25">
      <c r="A74" t="s">
        <v>48</v>
      </c>
      <c r="B74">
        <f>SUMPRODUCT(C70:C72,B41:B43)</f>
        <v>3.0096428571428573E-2</v>
      </c>
    </row>
    <row r="75" spans="1:3" x14ac:dyDescent="0.25">
      <c r="A75" t="s">
        <v>30</v>
      </c>
      <c r="B75">
        <f>SQRT(B74)</f>
        <v>0.17348322273761393</v>
      </c>
    </row>
    <row r="77" spans="1:3" x14ac:dyDescent="0.25">
      <c r="A77" t="s">
        <v>49</v>
      </c>
    </row>
    <row r="78" spans="1:3" x14ac:dyDescent="0.25">
      <c r="B78">
        <f>SQRT(C45-C49^2*D45)</f>
        <v>0.17348322273761393</v>
      </c>
    </row>
    <row r="80" spans="1:3" x14ac:dyDescent="0.25">
      <c r="A80" t="s">
        <v>50</v>
      </c>
    </row>
    <row r="82" spans="1:3" x14ac:dyDescent="0.25">
      <c r="A82" t="s">
        <v>51</v>
      </c>
      <c r="B82">
        <f>0.1/B78</f>
        <v>0.57642461571771575</v>
      </c>
    </row>
    <row r="83" spans="1:3" x14ac:dyDescent="0.25">
      <c r="A83" t="s">
        <v>52</v>
      </c>
      <c r="B83">
        <f>-B82*C49</f>
        <v>-0.41173186836979725</v>
      </c>
    </row>
    <row r="84" spans="1:3" x14ac:dyDescent="0.25">
      <c r="A84" t="s">
        <v>53</v>
      </c>
      <c r="B84">
        <f>1-B82-B83</f>
        <v>0.8353072526520815</v>
      </c>
    </row>
    <row r="85" spans="1:3" x14ac:dyDescent="0.25">
      <c r="A85" t="s">
        <v>54</v>
      </c>
      <c r="B85">
        <f>SUM(B82:B84)</f>
        <v>1</v>
      </c>
    </row>
    <row r="87" spans="1:3" x14ac:dyDescent="0.25">
      <c r="A87" t="s">
        <v>55</v>
      </c>
      <c r="B87">
        <f>SQRT(B82^2*C45+B83^2*D45+2*B82*B83*C48)</f>
        <v>0.1</v>
      </c>
    </row>
    <row r="89" spans="1:3" x14ac:dyDescent="0.25">
      <c r="A89" t="s">
        <v>59</v>
      </c>
    </row>
    <row r="90" spans="1:3" x14ac:dyDescent="0.25">
      <c r="A90" t="s">
        <v>60</v>
      </c>
      <c r="B90">
        <f>0.01+B82*B58</f>
        <v>1.2882123078588574E-2</v>
      </c>
      <c r="C90" t="s">
        <v>61</v>
      </c>
    </row>
    <row r="91" spans="1:3" x14ac:dyDescent="0.25">
      <c r="A91" t="s">
        <v>58</v>
      </c>
      <c r="B91">
        <f>B82*C44+B83*D44+(1-B82-B83)*0.01</f>
        <v>1.288212307858856E-2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opgave 1</vt:lpstr>
      <vt:lpstr>opgave 2</vt:lpstr>
      <vt:lpstr>d_</vt:lpstr>
      <vt:lpstr>D_1</vt:lpstr>
      <vt:lpstr>mu_0</vt:lpstr>
      <vt:lpstr>pi_1</vt:lpstr>
      <vt:lpstr>u_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Glavind Skovmand</dc:creator>
  <cp:lastModifiedBy>David Glavind Skovmand</cp:lastModifiedBy>
  <dcterms:created xsi:type="dcterms:W3CDTF">2023-06-12T13:42:29Z</dcterms:created>
  <dcterms:modified xsi:type="dcterms:W3CDTF">2023-08-11T09:49:25Z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2023-06-12T13:42:31Z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63766c07-b4db-42e4-b87a-1a5d6bbd293a</vt:lpwstr>
  </property>
  <property fmtid="{D5CDD505-2E9C-101B-9397-08002B2CF9AE}" pid="8" name="MSIP_Label_6a2630e2-1ac5-455e-8217-0156b1936a76_ContentBits">
    <vt:lpwstr>0</vt:lpwstr>
  </property>
</Properties>
</file>