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MatFin1\"/>
    </mc:Choice>
  </mc:AlternateContent>
  <bookViews>
    <workbookView xWindow="480" yWindow="200" windowWidth="21060" windowHeight="8090" activeTab="2"/>
  </bookViews>
  <sheets>
    <sheet name="Opgave 1" sheetId="1" r:id="rId1"/>
    <sheet name="Opgave 2" sheetId="2" r:id="rId2"/>
    <sheet name="Opgave 3" sheetId="5" r:id="rId3"/>
  </sheets>
  <definedNames>
    <definedName name="solver_adj" localSheetId="2" hidden="1">'Opgave 3'!$B$34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'Opgave 3'!$B$35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100</definedName>
    <definedName name="solver_ver" localSheetId="2" hidden="1">3</definedName>
  </definedNames>
  <calcPr calcId="162913"/>
</workbook>
</file>

<file path=xl/calcChain.xml><?xml version="1.0" encoding="utf-8"?>
<calcChain xmlns="http://schemas.openxmlformats.org/spreadsheetml/2006/main">
  <c r="E17" i="1" l="1"/>
  <c r="B24" i="1" l="1"/>
  <c r="B15" i="1"/>
  <c r="B9" i="1"/>
  <c r="B60" i="5" l="1"/>
  <c r="E36" i="5" l="1"/>
  <c r="E37" i="5"/>
  <c r="B29" i="5"/>
  <c r="F5" i="5"/>
  <c r="G5" i="5"/>
  <c r="H5" i="5"/>
  <c r="A12" i="5"/>
  <c r="F11" i="5" s="1"/>
  <c r="B16" i="5"/>
  <c r="B17" i="5"/>
  <c r="C21" i="5"/>
  <c r="C22" i="5"/>
  <c r="C23" i="5"/>
  <c r="I37" i="5" l="1"/>
  <c r="B59" i="5"/>
  <c r="F15" i="5"/>
  <c r="J37" i="5"/>
  <c r="I29" i="5"/>
  <c r="G29" i="5"/>
  <c r="G27" i="5" s="1"/>
  <c r="C60" i="5" s="1"/>
  <c r="H37" i="5"/>
  <c r="H34" i="5" s="1"/>
  <c r="H29" i="5"/>
  <c r="G26" i="5"/>
  <c r="G28" i="5" s="1"/>
  <c r="B23" i="5"/>
  <c r="A17" i="5"/>
  <c r="B22" i="5"/>
  <c r="B17" i="2"/>
  <c r="A17" i="2"/>
  <c r="B16" i="2"/>
  <c r="A16" i="2"/>
  <c r="C11" i="2"/>
  <c r="B12" i="2" s="1"/>
  <c r="D17" i="2" s="1"/>
  <c r="H10" i="1"/>
  <c r="H9" i="1"/>
  <c r="G10" i="1"/>
  <c r="B32" i="1"/>
  <c r="B31" i="1"/>
  <c r="B30" i="1"/>
  <c r="B22" i="1"/>
  <c r="B23" i="1"/>
  <c r="C24" i="1"/>
  <c r="B25" i="1"/>
  <c r="B16" i="1"/>
  <c r="B17" i="1"/>
  <c r="P7" i="1"/>
  <c r="P6" i="1"/>
  <c r="P5" i="1"/>
  <c r="P4" i="1"/>
  <c r="O5" i="1"/>
  <c r="O6" i="1"/>
  <c r="K5" i="1"/>
  <c r="C32" i="1" s="1"/>
  <c r="K3" i="1"/>
  <c r="C30" i="1" s="1"/>
  <c r="J5" i="1"/>
  <c r="J4" i="1"/>
  <c r="D9" i="1"/>
  <c r="B10" i="1"/>
  <c r="D10" i="1" s="1"/>
  <c r="C15" i="1" l="1"/>
  <c r="C22" i="1"/>
  <c r="O13" i="1"/>
  <c r="K11" i="1"/>
  <c r="L11" i="1" s="1"/>
  <c r="D17" i="1" s="1"/>
  <c r="H35" i="5"/>
  <c r="I35" i="5" s="1"/>
  <c r="J35" i="5" s="1"/>
  <c r="H26" i="5"/>
  <c r="H28" i="5" s="1"/>
  <c r="H27" i="5"/>
  <c r="I34" i="5"/>
  <c r="I36" i="5" s="1"/>
  <c r="H36" i="5"/>
  <c r="I26" i="5"/>
  <c r="I28" i="5" s="1"/>
  <c r="F16" i="5"/>
  <c r="F12" i="5"/>
  <c r="A23" i="5"/>
  <c r="O11" i="1"/>
  <c r="P9" i="1" s="1"/>
  <c r="D22" i="1" s="1"/>
  <c r="K10" i="1"/>
  <c r="P11" i="1"/>
  <c r="D24" i="1" s="1"/>
  <c r="B11" i="2"/>
  <c r="A12" i="2" s="1"/>
  <c r="P13" i="1"/>
  <c r="D25" i="1" s="1"/>
  <c r="K4" i="1"/>
  <c r="C17" i="1"/>
  <c r="C25" i="1"/>
  <c r="C23" i="1"/>
  <c r="E10" i="1"/>
  <c r="I27" i="5" l="1"/>
  <c r="D60" i="5"/>
  <c r="C16" i="1"/>
  <c r="C31" i="1"/>
  <c r="E32" i="1" s="1"/>
  <c r="E11" i="1"/>
  <c r="P10" i="1"/>
  <c r="D23" i="1" s="1"/>
  <c r="E26" i="1" s="1"/>
  <c r="J34" i="5"/>
  <c r="J36" i="5" s="1"/>
  <c r="B31" i="5"/>
  <c r="F13" i="5"/>
  <c r="F17" i="5"/>
  <c r="L9" i="1"/>
  <c r="D16" i="2"/>
  <c r="F16" i="2" s="1" a="1"/>
  <c r="E25" i="1"/>
  <c r="D65" i="5" l="1"/>
  <c r="C66" i="5" s="1"/>
  <c r="D66" i="5"/>
  <c r="D64" i="5"/>
  <c r="B35" i="5"/>
  <c r="L10" i="1"/>
  <c r="D16" i="1" s="1"/>
  <c r="D15" i="1"/>
  <c r="F16" i="2"/>
  <c r="F17" i="2"/>
  <c r="C65" i="5" l="1"/>
  <c r="B66" i="5" s="1"/>
  <c r="E18" i="1"/>
  <c r="D19" i="2"/>
</calcChain>
</file>

<file path=xl/sharedStrings.xml><?xml version="1.0" encoding="utf-8"?>
<sst xmlns="http://schemas.openxmlformats.org/spreadsheetml/2006/main" count="131" uniqueCount="113">
  <si>
    <t>delta</t>
  </si>
  <si>
    <t>p</t>
  </si>
  <si>
    <t>1-periode-aktieinvestering</t>
  </si>
  <si>
    <t>V(T)</t>
  </si>
  <si>
    <t>r</t>
  </si>
  <si>
    <t>T</t>
  </si>
  <si>
    <t xml:space="preserve"> </t>
  </si>
  <si>
    <t>P (gitter)</t>
  </si>
  <si>
    <t>2-periode-aktieinvestering, dividender i bankbogen</t>
  </si>
  <si>
    <t>V(0)</t>
  </si>
  <si>
    <t>V(2)</t>
  </si>
  <si>
    <t>2-periode-aktieinvestering, dividender geninvesteret i aktien</t>
  </si>
  <si>
    <t>"Aktieprisafkast"</t>
  </si>
  <si>
    <t>q</t>
  </si>
  <si>
    <t>Q(gitter)</t>
  </si>
  <si>
    <t>&lt;-P</t>
  </si>
  <si>
    <t>&lt;-Q</t>
  </si>
  <si>
    <t>1a</t>
  </si>
  <si>
    <t>1b</t>
  </si>
  <si>
    <t>1c</t>
  </si>
  <si>
    <t>1d</t>
  </si>
  <si>
    <t>Opgave 1</t>
  </si>
  <si>
    <t>X</t>
  </si>
  <si>
    <t>1e</t>
  </si>
  <si>
    <t>&lt;-P (not exactly = to answer from 1b)</t>
  </si>
  <si>
    <t>Dette tjekkes</t>
  </si>
  <si>
    <t xml:space="preserve">numerisk i de </t>
  </si>
  <si>
    <t>grønne celler.</t>
  </si>
  <si>
    <t>I teorien:</t>
  </si>
  <si>
    <t>Opgave 2</t>
  </si>
  <si>
    <t>2a</t>
  </si>
  <si>
    <t>Lang 100 NKO, lang 0.75 strike-100 calls, kort 0.75 strike-120.calls</t>
  </si>
  <si>
    <t>2b</t>
  </si>
  <si>
    <t>Entydige, positive betimgede q-ssh blev fundet ifm. opgave 1 -- ergo er modellen komplet og arbitrage-fri</t>
  </si>
  <si>
    <t>Pay-off</t>
  </si>
  <si>
    <t>2c</t>
  </si>
  <si>
    <t>a</t>
  </si>
  <si>
    <t>b</t>
  </si>
  <si>
    <t>&lt;- # stk. aktier</t>
  </si>
  <si>
    <t>Sanity chek på porteføljeværdi:</t>
  </si>
  <si>
    <t>&lt;- dette er lig med den funde pris i 2b</t>
  </si>
  <si>
    <t>2d</t>
  </si>
  <si>
    <t>men vi kan ikke afgøre det uden en (yderligere) model(lering).</t>
  </si>
  <si>
    <t>* "May pay" agviver den maksimale afkastrate, der kan forekomme</t>
  </si>
  <si>
    <t>&lt;- # kr./£ i banken</t>
  </si>
  <si>
    <t xml:space="preserve">Jeg fortolker bankes udsagn ("invest £100") sådan, at de prøver at sælge (1 stk. af) Y-kontrakten for 100. </t>
  </si>
  <si>
    <t>Da investeringsproduktet kan skabes/replikeres i markedet for 96.4, er det derfor *ikke* en go' forrenting</t>
  </si>
  <si>
    <t>at benytte bankens "tilbud"; det kræver i hvert fald i godt "out of the box"-argument.</t>
  </si>
  <si>
    <t>En årsag til den implictte "værdiforringelse" i Y-kontrakten er, at den (modsat aktien) mangler dividendebetalinger.</t>
  </si>
  <si>
    <t>Bemærk: Det kunne godt være en go' forretning (ændres fx renten til 2%, er Y-kontrakten er 100.7 værd),</t>
  </si>
  <si>
    <t xml:space="preserve"> * De 15%, der omtales, er afkast over 2 år, ikke årligt</t>
  </si>
  <si>
    <t>* Det at få 100 tilbage om 2 år er ikke 100 værd i dag</t>
  </si>
  <si>
    <t xml:space="preserve">* Der'  ikke "fuld deltagelse" i atiemarkedet; får man 15% her, </t>
  </si>
  <si>
    <t>ville man ha' fået min. 20% v/ ren aktieinvestering</t>
  </si>
  <si>
    <t>Vildledende elementer/:</t>
  </si>
  <si>
    <t>"emptor caveat"</t>
  </si>
  <si>
    <t>Tid 0-replikationsligninger</t>
  </si>
  <si>
    <r>
      <t xml:space="preserve">V(2) &lt;- </t>
    </r>
    <r>
      <rPr>
        <b/>
        <sz val="11"/>
        <color theme="1"/>
        <rFont val="Calibri"/>
        <family val="2"/>
        <scheme val="minor"/>
      </rPr>
      <t>stiafhængig</t>
    </r>
  </si>
  <si>
    <t xml:space="preserve">&lt;-Lavere end (forventede) totalafkast </t>
  </si>
  <si>
    <t xml:space="preserve"> - glemmer dividender.</t>
  </si>
  <si>
    <t>Kurs(0;r_ny)</t>
  </si>
  <si>
    <t>R_ny</t>
  </si>
  <si>
    <t>Kurs(0)</t>
  </si>
  <si>
    <t>delta(t)</t>
  </si>
  <si>
    <t>i(t)</t>
  </si>
  <si>
    <t>R</t>
  </si>
  <si>
    <t>H(t)</t>
  </si>
  <si>
    <t>H</t>
  </si>
  <si>
    <t>y(t)</t>
  </si>
  <si>
    <t>Tau</t>
  </si>
  <si>
    <t>P(2,3)</t>
  </si>
  <si>
    <t>P(1,3)</t>
  </si>
  <si>
    <t>P(0,3)</t>
  </si>
  <si>
    <t>Fwd</t>
  </si>
  <si>
    <t>P(2,2)</t>
  </si>
  <si>
    <t>P(1,2)</t>
  </si>
  <si>
    <t>P(0,2)</t>
  </si>
  <si>
    <t>NK-renter</t>
  </si>
  <si>
    <t>P(0,1)</t>
  </si>
  <si>
    <t>(Det er den anden vej, vi ikke kan slutte.)</t>
  </si>
  <si>
    <t>Ej konstant, derfor ikke martingal.</t>
  </si>
  <si>
    <t>E(rho(2))</t>
  </si>
  <si>
    <t>E(rho(1))</t>
  </si>
  <si>
    <t>E(rho(0))</t>
  </si>
  <si>
    <t>3b</t>
  </si>
  <si>
    <t>3a</t>
  </si>
  <si>
    <t>q's</t>
  </si>
  <si>
    <t>rho's</t>
  </si>
  <si>
    <t>3c</t>
  </si>
  <si>
    <t>3d</t>
  </si>
  <si>
    <t>3e</t>
  </si>
  <si>
    <t xml:space="preserve">Lad V(t) betegne obligationens pris. </t>
  </si>
  <si>
    <t>Ved at bruge lokalkaraterisationen pris(t) = (1+r(t))^-1 * E_t^Q(pris(t+1)+ dividende(t+1)),</t>
  </si>
  <si>
    <t>og huske at "dividende" for en obligation er ydelsen = rente + afdrag, så fås med saks fra gl. besvarelse</t>
  </si>
  <si>
    <t>Det flydende serielån handler til par, altså kurs=resterende hovedstol, altså 100 på tid 0. Teoretisk bevis</t>
  </si>
  <si>
    <t>fra (adskillige) gamle eksamensopgaver kan genbruges ordret; det spiller ingen rolle, at det nu er et serielån.</t>
  </si>
  <si>
    <t>3f</t>
  </si>
  <si>
    <t>Afdrag</t>
  </si>
  <si>
    <t>Hovedstol</t>
  </si>
  <si>
    <t>Loft</t>
  </si>
  <si>
    <t>Værdi</t>
  </si>
  <si>
    <t xml:space="preserve">Vi bruger at </t>
  </si>
  <si>
    <t>V(t) = (afdrag_{t+1} + rente_{t+1} + E_t^Q(V(t+1)))/(1+rho(t))</t>
  </si>
  <si>
    <t>hvor</t>
  </si>
  <si>
    <t>afdraget er fast</t>
  </si>
  <si>
    <t>rente_{t+1}=min(Loft,rho(t))*H(t) er kendt på tid t</t>
  </si>
  <si>
    <t>V(t)'er er værdier i knuder; V(3) = 0</t>
  </si>
  <si>
    <t>På denne måde kan prisen beregnes i et gitter (ikke træ).</t>
  </si>
  <si>
    <t>(Sanity check: Sæt loftet meget højt (&gt;=5%)) og se at kursen</t>
  </si>
  <si>
    <t>bli'r 100.)</t>
  </si>
  <si>
    <t>Opgave 3</t>
  </si>
  <si>
    <t>Q(træ)</t>
  </si>
  <si>
    <t>P(træ)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</si>
</sst>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0" fillId="0" borderId="0" xfId="0" applyBorder="1"/>
    <xf numFmtId="0" fontId="1" fillId="2" borderId="0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7" xfId="0" applyFont="1" applyFill="1" applyBorder="1"/>
    <xf numFmtId="0" fontId="0" fillId="0" borderId="8" xfId="0" applyBorder="1"/>
    <xf numFmtId="0" fontId="0" fillId="3" borderId="0" xfId="0" applyFill="1" applyBorder="1"/>
    <xf numFmtId="0" fontId="0" fillId="3" borderId="5" xfId="0" applyFill="1" applyBorder="1"/>
    <xf numFmtId="0" fontId="1" fillId="2" borderId="6" xfId="0" applyFont="1" applyFill="1" applyBorder="1"/>
    <xf numFmtId="0" fontId="0" fillId="0" borderId="4" xfId="0" applyFont="1" applyFill="1" applyBorder="1"/>
    <xf numFmtId="0" fontId="2" fillId="0" borderId="4" xfId="1" applyFill="1" applyBorder="1"/>
    <xf numFmtId="0" fontId="2" fillId="0" borderId="0" xfId="1" applyFill="1" applyBorder="1"/>
    <xf numFmtId="0" fontId="2" fillId="0" borderId="6" xfId="1" applyFill="1" applyBorder="1"/>
    <xf numFmtId="0" fontId="2" fillId="0" borderId="7" xfId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ill="1"/>
    <xf numFmtId="0" fontId="1" fillId="2" borderId="4" xfId="0" applyFont="1" applyFill="1" applyBorder="1"/>
    <xf numFmtId="0" fontId="2" fillId="0" borderId="0" xfId="0" applyFont="1" applyBorder="1"/>
    <xf numFmtId="0" fontId="4" fillId="2" borderId="5" xfId="0" applyFont="1" applyFill="1" applyBorder="1"/>
    <xf numFmtId="0" fontId="4" fillId="2" borderId="4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2" fillId="0" borderId="0" xfId="0" applyFont="1" applyFill="1" applyBorder="1"/>
    <xf numFmtId="0" fontId="1" fillId="2" borderId="5" xfId="0" applyFont="1" applyFill="1" applyBorder="1"/>
    <xf numFmtId="0" fontId="2" fillId="0" borderId="5" xfId="0" applyFont="1" applyFill="1" applyBorder="1"/>
    <xf numFmtId="0" fontId="4" fillId="2" borderId="6" xfId="0" applyFont="1" applyFill="1" applyBorder="1"/>
    <xf numFmtId="0" fontId="1" fillId="2" borderId="7" xfId="0" applyFont="1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5" fillId="0" borderId="4" xfId="0" applyFont="1" applyFill="1" applyBorder="1"/>
    <xf numFmtId="0" fontId="0" fillId="0" borderId="0" xfId="0" applyFont="1" applyFill="1" applyBorder="1"/>
    <xf numFmtId="0" fontId="5" fillId="0" borderId="0" xfId="0" applyFont="1" applyFill="1" applyBorder="1"/>
    <xf numFmtId="0" fontId="0" fillId="0" borderId="0" xfId="0" applyFont="1" applyBorder="1"/>
    <xf numFmtId="0" fontId="6" fillId="0" borderId="0" xfId="0" applyFont="1" applyFill="1" applyBorder="1"/>
    <xf numFmtId="0" fontId="0" fillId="0" borderId="4" xfId="0" applyFont="1" applyBorder="1"/>
    <xf numFmtId="0" fontId="0" fillId="0" borderId="6" xfId="0" applyFont="1" applyFill="1" applyBorder="1"/>
    <xf numFmtId="0" fontId="1" fillId="0" borderId="7" xfId="0" applyFont="1" applyFill="1" applyBorder="1"/>
    <xf numFmtId="0" fontId="0" fillId="0" borderId="7" xfId="0" applyFont="1" applyFill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601972</xdr:colOff>
      <xdr:row>17</xdr:row>
      <xdr:rowOff>38109</xdr:rowOff>
    </xdr:from>
    <xdr:to>
      <xdr:col>13</xdr:col>
      <xdr:colOff>537954</xdr:colOff>
      <xdr:row>28</xdr:row>
      <xdr:rowOff>167640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6189717" y="3426724"/>
          <a:ext cx="2171691" cy="23743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121920</xdr:rowOff>
    </xdr:from>
    <xdr:to>
      <xdr:col>8</xdr:col>
      <xdr:colOff>281940</xdr:colOff>
      <xdr:row>55</xdr:row>
      <xdr:rowOff>102686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13420"/>
          <a:ext cx="4975860" cy="2175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A17" workbookViewId="0">
      <selection activeCell="C29" sqref="C29"/>
    </sheetView>
  </sheetViews>
  <sheetFormatPr defaultRowHeight="14.5" x14ac:dyDescent="0.35"/>
  <sheetData>
    <row r="1" spans="1:16" ht="30.65" customHeight="1" x14ac:dyDescent="0.7">
      <c r="A1" s="2" t="s">
        <v>21</v>
      </c>
    </row>
    <row r="2" spans="1:16" x14ac:dyDescent="0.35">
      <c r="A2" t="s">
        <v>22</v>
      </c>
      <c r="D2" t="s">
        <v>0</v>
      </c>
      <c r="G2" t="s">
        <v>1</v>
      </c>
      <c r="I2" t="s">
        <v>7</v>
      </c>
      <c r="L2" t="s">
        <v>4</v>
      </c>
      <c r="N2" t="s">
        <v>112</v>
      </c>
    </row>
    <row r="3" spans="1:16" x14ac:dyDescent="0.35">
      <c r="C3">
        <v>144</v>
      </c>
      <c r="F3">
        <v>0</v>
      </c>
      <c r="K3">
        <f>G5*H4</f>
        <v>0.30250000000000005</v>
      </c>
    </row>
    <row r="4" spans="1:16" x14ac:dyDescent="0.35">
      <c r="B4">
        <v>120</v>
      </c>
      <c r="C4">
        <v>108</v>
      </c>
      <c r="E4">
        <v>2</v>
      </c>
      <c r="F4">
        <v>0</v>
      </c>
      <c r="H4">
        <v>0.55000000000000004</v>
      </c>
      <c r="J4">
        <f>G5</f>
        <v>0.55000000000000004</v>
      </c>
      <c r="K4">
        <f>1-K3-K5</f>
        <v>0.49500000000000005</v>
      </c>
      <c r="M4">
        <v>0.05</v>
      </c>
      <c r="P4">
        <f>G5*H4</f>
        <v>0.30250000000000005</v>
      </c>
    </row>
    <row r="5" spans="1:16" x14ac:dyDescent="0.35">
      <c r="A5">
        <v>100</v>
      </c>
      <c r="B5">
        <v>90</v>
      </c>
      <c r="C5">
        <v>81</v>
      </c>
      <c r="D5">
        <v>0</v>
      </c>
      <c r="E5">
        <v>2</v>
      </c>
      <c r="F5">
        <v>0</v>
      </c>
      <c r="G5">
        <v>0.55000000000000004</v>
      </c>
      <c r="H5">
        <v>0.55000000000000004</v>
      </c>
      <c r="I5">
        <v>1</v>
      </c>
      <c r="J5">
        <f>1-G5</f>
        <v>0.44999999999999996</v>
      </c>
      <c r="K5">
        <f>(1-G5)*(1-H5)</f>
        <v>0.20249999999999996</v>
      </c>
      <c r="L5">
        <v>0.05</v>
      </c>
      <c r="M5">
        <v>0.05</v>
      </c>
      <c r="O5">
        <f>G5</f>
        <v>0.55000000000000004</v>
      </c>
      <c r="P5">
        <f>G5*(1-H4)</f>
        <v>0.2475</v>
      </c>
    </row>
    <row r="6" spans="1:16" ht="15" thickBot="1" x14ac:dyDescent="0.4">
      <c r="I6" t="s">
        <v>6</v>
      </c>
      <c r="N6">
        <v>1</v>
      </c>
      <c r="O6">
        <f>1-G5</f>
        <v>0.44999999999999996</v>
      </c>
      <c r="P6">
        <f>(1-G5)*H5</f>
        <v>0.2475</v>
      </c>
    </row>
    <row r="7" spans="1:16" x14ac:dyDescent="0.35">
      <c r="A7" s="5" t="s">
        <v>17</v>
      </c>
      <c r="B7" s="6"/>
      <c r="C7" s="6"/>
      <c r="D7" s="6"/>
      <c r="E7" s="6"/>
      <c r="F7" s="7"/>
      <c r="P7">
        <f>(1-G5)*(1-H5)</f>
        <v>0.20249999999999996</v>
      </c>
    </row>
    <row r="8" spans="1:16" x14ac:dyDescent="0.35">
      <c r="A8" s="8" t="s">
        <v>2</v>
      </c>
      <c r="B8" s="3"/>
      <c r="C8" s="3"/>
      <c r="D8" s="3" t="s">
        <v>5</v>
      </c>
      <c r="E8" s="3">
        <v>1</v>
      </c>
      <c r="F8" s="9"/>
      <c r="G8" t="s">
        <v>13</v>
      </c>
      <c r="J8" t="s">
        <v>14</v>
      </c>
      <c r="N8" t="s">
        <v>111</v>
      </c>
    </row>
    <row r="9" spans="1:16" x14ac:dyDescent="0.35">
      <c r="A9" s="8" t="s">
        <v>6</v>
      </c>
      <c r="B9" s="3">
        <f>(B4+E4)/(A10/A5)</f>
        <v>122</v>
      </c>
      <c r="C9" s="3"/>
      <c r="D9" s="3">
        <f>(B9/$A$10)</f>
        <v>1.22</v>
      </c>
      <c r="E9" s="3"/>
      <c r="F9" s="9"/>
      <c r="H9">
        <f t="shared" ref="H9:H10" si="0">(B4*(1+M4) - (C4+F4))/(C3+F3-(C4+F4))</f>
        <v>0.5</v>
      </c>
      <c r="L9">
        <f>K10*H9</f>
        <v>0.21666666666666667</v>
      </c>
      <c r="P9">
        <f>O11*H9</f>
        <v>0.21666666666666667</v>
      </c>
    </row>
    <row r="10" spans="1:16" x14ac:dyDescent="0.35">
      <c r="A10" s="8">
        <v>100</v>
      </c>
      <c r="B10" s="3">
        <f>B5+E5</f>
        <v>92</v>
      </c>
      <c r="C10" s="3"/>
      <c r="D10" s="3">
        <f>B10/$A$10</f>
        <v>0.92</v>
      </c>
      <c r="E10" s="4">
        <f>(D9*J4+D10*J5)^(1/E8)-1</f>
        <v>8.4999999999999964E-2</v>
      </c>
      <c r="F10" s="9" t="s">
        <v>15</v>
      </c>
      <c r="G10">
        <f>(A5*(1+L5) - (B5+E5))/(B4+E4-(B5+E5))</f>
        <v>0.43333333333333335</v>
      </c>
      <c r="H10">
        <f t="shared" si="0"/>
        <v>0.5</v>
      </c>
      <c r="K10">
        <f>G10</f>
        <v>0.43333333333333335</v>
      </c>
      <c r="L10">
        <f>1-L11-L9</f>
        <v>0.5</v>
      </c>
      <c r="P10">
        <f>O11*(1-H9)</f>
        <v>0.21666666666666667</v>
      </c>
    </row>
    <row r="11" spans="1:16" ht="15" thickBot="1" x14ac:dyDescent="0.4">
      <c r="A11" s="10" t="s">
        <v>9</v>
      </c>
      <c r="B11" s="11" t="s">
        <v>3</v>
      </c>
      <c r="C11" s="11"/>
      <c r="D11" s="11"/>
      <c r="E11" s="12">
        <f>(D9*K10+D10*K11)-1</f>
        <v>4.9999999999999822E-2</v>
      </c>
      <c r="F11" s="13" t="s">
        <v>16</v>
      </c>
      <c r="J11">
        <v>1</v>
      </c>
      <c r="K11">
        <f>1-G10</f>
        <v>0.56666666666666665</v>
      </c>
      <c r="L11">
        <f>K11*(1-H10)</f>
        <v>0.28333333333333333</v>
      </c>
      <c r="O11">
        <f>G10</f>
        <v>0.43333333333333335</v>
      </c>
      <c r="P11">
        <f>O13*H10</f>
        <v>0.28333333333333333</v>
      </c>
    </row>
    <row r="12" spans="1:16" ht="15" thickBot="1" x14ac:dyDescent="0.4">
      <c r="E12" s="1"/>
    </row>
    <row r="13" spans="1:16" x14ac:dyDescent="0.35">
      <c r="A13" s="5" t="s">
        <v>18</v>
      </c>
      <c r="B13" s="6"/>
      <c r="C13" s="6"/>
      <c r="D13" s="6"/>
      <c r="E13" s="6"/>
      <c r="F13" s="7"/>
      <c r="N13">
        <v>1</v>
      </c>
      <c r="O13">
        <f>1-G10</f>
        <v>0.56666666666666665</v>
      </c>
      <c r="P13">
        <f>O13*(1-H10)</f>
        <v>0.28333333333333333</v>
      </c>
    </row>
    <row r="14" spans="1:16" x14ac:dyDescent="0.35">
      <c r="A14" s="8" t="s">
        <v>8</v>
      </c>
      <c r="B14" s="3"/>
      <c r="C14" s="3"/>
      <c r="D14" s="3"/>
      <c r="E14" s="3"/>
      <c r="F14" s="9"/>
    </row>
    <row r="15" spans="1:16" x14ac:dyDescent="0.35">
      <c r="A15" s="8"/>
      <c r="B15" s="3">
        <f>C3+(1+$L$5)*$E$5</f>
        <v>146.1</v>
      </c>
      <c r="C15" s="3">
        <f>(B15/$A$17)*K3</f>
        <v>0.44195250000000003</v>
      </c>
      <c r="D15" s="3">
        <f>(B15/$A$17)*L9</f>
        <v>0.31655</v>
      </c>
      <c r="E15" s="3"/>
      <c r="F15" s="9"/>
    </row>
    <row r="16" spans="1:16" ht="15" thickBot="1" x14ac:dyDescent="0.4">
      <c r="A16" s="8"/>
      <c r="B16" s="3">
        <f>C4+(1+$L$5)*$E$5</f>
        <v>110.1</v>
      </c>
      <c r="C16" s="3">
        <f>(B16/$A$17)*K4</f>
        <v>0.54499500000000001</v>
      </c>
      <c r="D16" s="3">
        <f>(B16/$A$17)*L10</f>
        <v>0.55049999999999999</v>
      </c>
      <c r="E16" s="3"/>
      <c r="F16" s="9"/>
    </row>
    <row r="17" spans="1:16" x14ac:dyDescent="0.35">
      <c r="A17" s="8">
        <v>100</v>
      </c>
      <c r="B17" s="3">
        <f>C5+(1+$L$5)*$E$5</f>
        <v>83.1</v>
      </c>
      <c r="C17" s="3">
        <f>(B17/$A$17)*K5</f>
        <v>0.16827749999999997</v>
      </c>
      <c r="D17" s="3">
        <f>(B17/$A$17)*L11</f>
        <v>0.23544999999999999</v>
      </c>
      <c r="E17" s="4">
        <f>(SUM(C15:C17)^(1/2)-1)</f>
        <v>7.4813937386373874E-2</v>
      </c>
      <c r="F17" s="9" t="s">
        <v>15</v>
      </c>
      <c r="J17" s="5" t="s">
        <v>23</v>
      </c>
      <c r="K17" s="6" t="s">
        <v>28</v>
      </c>
      <c r="L17" s="6"/>
      <c r="M17" s="6"/>
      <c r="N17" s="6"/>
      <c r="O17" s="6"/>
      <c r="P17" s="7"/>
    </row>
    <row r="18" spans="1:16" ht="15" thickBot="1" x14ac:dyDescent="0.4">
      <c r="A18" s="10" t="s">
        <v>9</v>
      </c>
      <c r="B18" s="11" t="s">
        <v>10</v>
      </c>
      <c r="C18" s="11"/>
      <c r="D18" s="11" t="s">
        <v>6</v>
      </c>
      <c r="E18" s="12">
        <f>SUM(D15:D17)^0.5-1</f>
        <v>5.0000000000000044E-2</v>
      </c>
      <c r="F18" s="13" t="s">
        <v>16</v>
      </c>
      <c r="J18" s="8"/>
      <c r="K18" s="3"/>
      <c r="L18" s="3"/>
      <c r="M18" s="3"/>
      <c r="N18" s="3"/>
      <c r="O18" s="3"/>
      <c r="P18" s="9"/>
    </row>
    <row r="19" spans="1:16" ht="15" thickBot="1" x14ac:dyDescent="0.4">
      <c r="E19" s="1"/>
      <c r="J19" s="8"/>
      <c r="K19" s="3"/>
      <c r="L19" s="3"/>
      <c r="M19" s="3"/>
      <c r="N19" s="3"/>
      <c r="O19" s="14" t="s">
        <v>25</v>
      </c>
      <c r="P19" s="15"/>
    </row>
    <row r="20" spans="1:16" x14ac:dyDescent="0.35">
      <c r="A20" s="5" t="s">
        <v>19</v>
      </c>
      <c r="B20" s="6"/>
      <c r="C20" s="6"/>
      <c r="D20" s="6"/>
      <c r="E20" s="6"/>
      <c r="F20" s="6"/>
      <c r="G20" s="6"/>
      <c r="H20" s="6"/>
      <c r="I20" s="6"/>
      <c r="J20" s="8"/>
      <c r="K20" s="3"/>
      <c r="L20" s="3"/>
      <c r="M20" s="3"/>
      <c r="N20" s="3"/>
      <c r="O20" s="14" t="s">
        <v>26</v>
      </c>
      <c r="P20" s="15"/>
    </row>
    <row r="21" spans="1:16" x14ac:dyDescent="0.35">
      <c r="A21" s="8" t="s">
        <v>11</v>
      </c>
      <c r="B21" s="3"/>
      <c r="C21" s="3"/>
      <c r="D21" s="3"/>
      <c r="E21" s="3"/>
      <c r="F21" s="3"/>
      <c r="G21" s="3"/>
      <c r="H21" s="3"/>
      <c r="I21" s="3"/>
      <c r="J21" s="8"/>
      <c r="K21" s="3"/>
      <c r="L21" s="3"/>
      <c r="M21" s="3"/>
      <c r="N21" s="3"/>
      <c r="O21" s="14" t="s">
        <v>27</v>
      </c>
      <c r="P21" s="15"/>
    </row>
    <row r="22" spans="1:16" x14ac:dyDescent="0.35">
      <c r="A22" s="8"/>
      <c r="B22" s="3">
        <f>(1+E4/B4)*C3</f>
        <v>146.39999999999998</v>
      </c>
      <c r="C22" s="3">
        <f>(B22/$A$25)*P4</f>
        <v>0.44285999999999998</v>
      </c>
      <c r="D22" s="3">
        <f>B22*P9/$A$25</f>
        <v>0.31719999999999993</v>
      </c>
      <c r="E22" s="3"/>
      <c r="F22" s="3"/>
      <c r="G22" s="3"/>
      <c r="H22" s="3"/>
      <c r="I22" s="3"/>
      <c r="J22" s="8"/>
      <c r="K22" s="3"/>
      <c r="L22" s="3"/>
      <c r="M22" s="3"/>
      <c r="N22" s="3"/>
      <c r="O22" s="3"/>
      <c r="P22" s="9"/>
    </row>
    <row r="23" spans="1:16" x14ac:dyDescent="0.35">
      <c r="A23" s="8"/>
      <c r="B23" s="3">
        <f>(1+E4/120)*C4</f>
        <v>109.8</v>
      </c>
      <c r="C23" s="3">
        <f>(B23/$A$25)*P5</f>
        <v>0.27175499999999997</v>
      </c>
      <c r="D23" s="3">
        <f>B23*P10/$A$25</f>
        <v>0.2379</v>
      </c>
      <c r="E23" s="3"/>
      <c r="F23" s="3"/>
      <c r="G23" s="3"/>
      <c r="H23" s="3"/>
      <c r="I23" s="3"/>
      <c r="J23" s="8"/>
      <c r="K23" s="3"/>
      <c r="L23" s="3"/>
      <c r="M23" s="3"/>
      <c r="N23" s="3"/>
      <c r="O23" s="3"/>
      <c r="P23" s="9"/>
    </row>
    <row r="24" spans="1:16" x14ac:dyDescent="0.35">
      <c r="A24" s="8"/>
      <c r="B24" s="3">
        <f>(1+E5/B5)*C4</f>
        <v>110.39999999999999</v>
      </c>
      <c r="C24" s="3">
        <f>(B24/$A$25)*P6</f>
        <v>0.27323999999999998</v>
      </c>
      <c r="D24" s="3">
        <f>B24*P11/$A$25</f>
        <v>0.31279999999999997</v>
      </c>
      <c r="E24" s="3"/>
      <c r="F24" s="3"/>
      <c r="G24" s="3"/>
      <c r="H24" s="3"/>
      <c r="I24" s="3"/>
      <c r="J24" s="8"/>
      <c r="K24" s="3"/>
      <c r="L24" s="3"/>
      <c r="M24" s="3"/>
      <c r="N24" s="3"/>
      <c r="O24" s="3"/>
      <c r="P24" s="9"/>
    </row>
    <row r="25" spans="1:16" x14ac:dyDescent="0.35">
      <c r="A25" s="8">
        <v>100</v>
      </c>
      <c r="B25" s="3">
        <f>(1+E5/B5)*C5</f>
        <v>82.8</v>
      </c>
      <c r="C25" s="3">
        <f>(B25/$A$25)*P7</f>
        <v>0.16766999999999996</v>
      </c>
      <c r="D25" s="3">
        <f>B25*P13/$A$25</f>
        <v>0.23459999999999998</v>
      </c>
      <c r="E25" s="4">
        <f>(SUM(C22:C25)^(1/2)-1)</f>
        <v>7.4953487365848837E-2</v>
      </c>
      <c r="F25" s="3" t="s">
        <v>24</v>
      </c>
      <c r="G25" s="3"/>
      <c r="H25" s="3"/>
      <c r="I25" s="3"/>
      <c r="J25" s="8"/>
      <c r="K25" s="3"/>
      <c r="L25" s="3"/>
      <c r="M25" s="3"/>
      <c r="N25" s="3"/>
      <c r="O25" s="3"/>
      <c r="P25" s="9"/>
    </row>
    <row r="26" spans="1:16" ht="15" thickBot="1" x14ac:dyDescent="0.4">
      <c r="A26" s="10" t="s">
        <v>9</v>
      </c>
      <c r="B26" s="11" t="s">
        <v>57</v>
      </c>
      <c r="C26" s="11"/>
      <c r="D26" s="11"/>
      <c r="E26" s="12">
        <f>SUM(D22:D25)^0.5-1</f>
        <v>4.9999999999999822E-2</v>
      </c>
      <c r="F26" s="11" t="s">
        <v>16</v>
      </c>
      <c r="G26" s="11"/>
      <c r="H26" s="11"/>
      <c r="I26" s="11"/>
      <c r="J26" s="8"/>
      <c r="K26" s="3"/>
      <c r="L26" s="3"/>
      <c r="M26" s="3"/>
      <c r="N26" s="3"/>
      <c r="O26" s="3"/>
      <c r="P26" s="9"/>
    </row>
    <row r="27" spans="1:16" ht="15" thickBot="1" x14ac:dyDescent="0.4">
      <c r="E27" s="1"/>
      <c r="J27" s="8"/>
      <c r="K27" s="3"/>
      <c r="L27" s="3"/>
      <c r="M27" s="3"/>
      <c r="N27" s="3"/>
      <c r="O27" s="3"/>
      <c r="P27" s="9"/>
    </row>
    <row r="28" spans="1:16" x14ac:dyDescent="0.35">
      <c r="A28" s="5" t="s">
        <v>20</v>
      </c>
      <c r="B28" s="6"/>
      <c r="C28" s="6"/>
      <c r="D28" s="6"/>
      <c r="E28" s="6"/>
      <c r="F28" s="6"/>
      <c r="G28" s="6"/>
      <c r="H28" s="6"/>
      <c r="I28" s="6"/>
      <c r="J28" s="8"/>
      <c r="K28" s="3"/>
      <c r="L28" s="3"/>
      <c r="M28" s="3"/>
      <c r="N28" s="3"/>
      <c r="O28" s="3"/>
      <c r="P28" s="9"/>
    </row>
    <row r="29" spans="1:16" ht="15" thickBot="1" x14ac:dyDescent="0.4">
      <c r="A29" s="8" t="s">
        <v>12</v>
      </c>
      <c r="B29" s="3"/>
      <c r="C29" s="3"/>
      <c r="D29" s="3"/>
      <c r="E29" s="3"/>
      <c r="F29" s="3"/>
      <c r="G29" s="3"/>
      <c r="H29" s="3"/>
      <c r="I29" s="3"/>
      <c r="J29" s="10"/>
      <c r="K29" s="11"/>
      <c r="L29" s="11"/>
      <c r="M29" s="11"/>
      <c r="N29" s="11"/>
      <c r="O29" s="11"/>
      <c r="P29" s="13"/>
    </row>
    <row r="30" spans="1:16" x14ac:dyDescent="0.35">
      <c r="A30" s="8"/>
      <c r="B30" s="3">
        <f>C3</f>
        <v>144</v>
      </c>
      <c r="C30" s="3">
        <f>K3*B30/$A$32</f>
        <v>0.4356000000000001</v>
      </c>
      <c r="D30" s="3"/>
      <c r="E30" s="3"/>
      <c r="F30" s="3"/>
      <c r="G30" s="3"/>
      <c r="H30" s="3"/>
      <c r="I30" s="9"/>
    </row>
    <row r="31" spans="1:16" x14ac:dyDescent="0.35">
      <c r="A31" s="8"/>
      <c r="B31" s="3">
        <f t="shared" ref="B31:B32" si="1">C4</f>
        <v>108</v>
      </c>
      <c r="C31" s="3">
        <f>K4*B31/$A$32</f>
        <v>0.53460000000000008</v>
      </c>
      <c r="D31" s="3"/>
      <c r="E31" s="3"/>
      <c r="F31" s="3"/>
      <c r="G31" s="3"/>
      <c r="H31" s="3"/>
      <c r="I31" s="9"/>
    </row>
    <row r="32" spans="1:16" x14ac:dyDescent="0.35">
      <c r="A32" s="8">
        <v>100</v>
      </c>
      <c r="B32" s="3">
        <f t="shared" si="1"/>
        <v>81</v>
      </c>
      <c r="C32" s="3">
        <f>K5*B32/$A$32</f>
        <v>0.16402499999999998</v>
      </c>
      <c r="D32" s="3"/>
      <c r="E32" s="4">
        <f>SUM(C30:C32)^0.5-1</f>
        <v>6.5000000000000169E-2</v>
      </c>
      <c r="F32" s="3" t="s">
        <v>58</v>
      </c>
      <c r="G32" s="3"/>
      <c r="H32" s="3"/>
      <c r="I32" s="9"/>
    </row>
    <row r="33" spans="1:9" ht="15" thickBot="1" x14ac:dyDescent="0.4">
      <c r="A33" s="10"/>
      <c r="B33" s="11"/>
      <c r="C33" s="11"/>
      <c r="D33" s="11"/>
      <c r="E33" s="11"/>
      <c r="F33" s="11"/>
      <c r="G33" s="11" t="s">
        <v>59</v>
      </c>
      <c r="H33" s="11"/>
      <c r="I33" s="1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1" workbookViewId="0">
      <selection activeCell="F24" sqref="F24"/>
    </sheetView>
  </sheetViews>
  <sheetFormatPr defaultRowHeight="14.5" x14ac:dyDescent="0.35"/>
  <sheetData>
    <row r="1" spans="1:10" ht="35.4" customHeight="1" x14ac:dyDescent="0.7">
      <c r="A1" s="49" t="s">
        <v>29</v>
      </c>
    </row>
    <row r="2" spans="1:10" ht="15" thickBot="1" x14ac:dyDescent="0.4"/>
    <row r="3" spans="1:10" x14ac:dyDescent="0.35">
      <c r="A3" s="5" t="s">
        <v>30</v>
      </c>
      <c r="B3" s="6"/>
      <c r="C3" s="6"/>
      <c r="D3" s="6"/>
      <c r="E3" s="6"/>
      <c r="F3" s="6"/>
      <c r="G3" s="7"/>
    </row>
    <row r="4" spans="1:10" ht="15" thickBot="1" x14ac:dyDescent="0.4">
      <c r="A4" s="20" t="s">
        <v>31</v>
      </c>
      <c r="B4" s="22"/>
      <c r="C4" s="22"/>
      <c r="D4" s="22"/>
      <c r="E4" s="22"/>
      <c r="F4" s="22"/>
      <c r="G4" s="23"/>
    </row>
    <row r="5" spans="1:10" ht="15" thickBot="1" x14ac:dyDescent="0.4"/>
    <row r="6" spans="1:10" x14ac:dyDescent="0.35">
      <c r="A6" s="5" t="s">
        <v>32</v>
      </c>
      <c r="B6" s="6"/>
      <c r="C6" s="6"/>
      <c r="D6" s="6"/>
      <c r="E6" s="6"/>
      <c r="F6" s="6"/>
      <c r="G6" s="6"/>
      <c r="H6" s="6"/>
      <c r="I6" s="6"/>
      <c r="J6" s="7"/>
    </row>
    <row r="7" spans="1:10" x14ac:dyDescent="0.35">
      <c r="A7" s="8" t="s">
        <v>33</v>
      </c>
      <c r="B7" s="3"/>
      <c r="C7" s="3"/>
      <c r="D7" s="3"/>
      <c r="E7" s="3"/>
      <c r="F7" s="3"/>
      <c r="G7" s="3"/>
      <c r="H7" s="3"/>
      <c r="I7" s="3"/>
      <c r="J7" s="9"/>
    </row>
    <row r="8" spans="1:10" x14ac:dyDescent="0.35">
      <c r="A8" s="8"/>
      <c r="B8" s="3"/>
      <c r="C8" s="3"/>
      <c r="D8" s="3"/>
      <c r="E8" s="3"/>
      <c r="F8" s="3"/>
      <c r="G8" s="3"/>
      <c r="H8" s="3"/>
      <c r="I8" s="3"/>
      <c r="J8" s="9"/>
    </row>
    <row r="9" spans="1:10" x14ac:dyDescent="0.35">
      <c r="A9" s="8"/>
      <c r="B9" s="3"/>
      <c r="C9" s="3" t="s">
        <v>34</v>
      </c>
      <c r="D9" s="3"/>
      <c r="E9" s="3"/>
      <c r="F9" s="3"/>
      <c r="G9" s="3"/>
      <c r="H9" s="3"/>
      <c r="I9" s="3"/>
      <c r="J9" s="9"/>
    </row>
    <row r="10" spans="1:10" x14ac:dyDescent="0.35">
      <c r="A10" s="8"/>
      <c r="B10" s="3"/>
      <c r="C10" s="3">
        <v>115</v>
      </c>
      <c r="D10" s="3"/>
      <c r="E10" s="3"/>
      <c r="F10" s="3"/>
      <c r="G10" s="3"/>
      <c r="H10" s="3"/>
      <c r="I10" s="3"/>
      <c r="J10" s="9"/>
    </row>
    <row r="11" spans="1:10" x14ac:dyDescent="0.35">
      <c r="A11" s="8"/>
      <c r="B11" s="3">
        <f>(C10*'Opgave 1'!H9+'Opgave 2'!C11*(1-'Opgave 1'!H9))/(1+'Opgave 1'!M4)</f>
        <v>105.23809523809523</v>
      </c>
      <c r="C11" s="3">
        <f>25+0.75*'Opgave 1'!C4</f>
        <v>106</v>
      </c>
      <c r="D11" s="3"/>
      <c r="E11" s="3"/>
      <c r="F11" s="3"/>
      <c r="G11" s="3"/>
      <c r="H11" s="3"/>
      <c r="I11" s="3"/>
      <c r="J11" s="9"/>
    </row>
    <row r="12" spans="1:10" ht="15" thickBot="1" x14ac:dyDescent="0.4">
      <c r="A12" s="16">
        <f>(B11*'Opgave 1'!G10+'Opgave 2'!B12*(1-'Opgave 1'!G10))/(1+'Opgave 1'!L5)</f>
        <v>96.371882086167787</v>
      </c>
      <c r="B12" s="11">
        <f>(C11*'Opgave 1'!H10+'Opgave 2'!C12*(1-'Opgave 1'!H10))/(1+'Opgave 1'!M5)</f>
        <v>98.095238095238088</v>
      </c>
      <c r="C12" s="11">
        <v>100</v>
      </c>
      <c r="D12" s="11"/>
      <c r="E12" s="11"/>
      <c r="F12" s="11"/>
      <c r="G12" s="11"/>
      <c r="H12" s="11"/>
      <c r="I12" s="11"/>
      <c r="J12" s="13"/>
    </row>
    <row r="13" spans="1:10" ht="15" thickBot="1" x14ac:dyDescent="0.4"/>
    <row r="14" spans="1:10" x14ac:dyDescent="0.35">
      <c r="A14" s="5" t="s">
        <v>35</v>
      </c>
      <c r="B14" s="6"/>
      <c r="C14" s="6"/>
      <c r="D14" s="6"/>
      <c r="E14" s="6"/>
      <c r="F14" s="6"/>
      <c r="G14" s="6"/>
      <c r="H14" s="7"/>
    </row>
    <row r="15" spans="1:10" x14ac:dyDescent="0.35">
      <c r="A15" s="8" t="s">
        <v>56</v>
      </c>
      <c r="B15" s="3"/>
      <c r="C15" s="3"/>
      <c r="D15" s="3"/>
      <c r="E15" s="3"/>
      <c r="F15" s="3"/>
      <c r="G15" s="3"/>
      <c r="H15" s="9"/>
    </row>
    <row r="16" spans="1:10" x14ac:dyDescent="0.35">
      <c r="A16" s="8">
        <f>'Opgave 1'!B4+'Opgave 1'!E4</f>
        <v>122</v>
      </c>
      <c r="B16" s="3">
        <f>(1+'Opgave 1'!L5)</f>
        <v>1.05</v>
      </c>
      <c r="C16" s="3" t="s">
        <v>36</v>
      </c>
      <c r="D16" s="3">
        <f>B11</f>
        <v>105.23809523809523</v>
      </c>
      <c r="E16" s="3"/>
      <c r="F16" s="4">
        <f t="array" ref="F16:F17">MMULT(MINVERSE(A16:B17),D16:D17)</f>
        <v>0.23809523809523814</v>
      </c>
      <c r="G16" s="3" t="s">
        <v>38</v>
      </c>
      <c r="H16" s="9"/>
    </row>
    <row r="17" spans="1:11" x14ac:dyDescent="0.35">
      <c r="A17" s="8">
        <f>'Opgave 1'!B5+'Opgave 1'!E5</f>
        <v>92</v>
      </c>
      <c r="B17" s="3">
        <f>1+'Opgave 1'!L5</f>
        <v>1.05</v>
      </c>
      <c r="C17" s="3" t="s">
        <v>37</v>
      </c>
      <c r="D17" s="3">
        <f>B12</f>
        <v>98.095238095238088</v>
      </c>
      <c r="E17" s="3"/>
      <c r="F17" s="4">
        <v>72.562358276644034</v>
      </c>
      <c r="G17" s="3" t="s">
        <v>44</v>
      </c>
      <c r="H17" s="9"/>
    </row>
    <row r="18" spans="1:11" x14ac:dyDescent="0.35">
      <c r="A18" s="8"/>
      <c r="B18" s="3"/>
      <c r="C18" s="3"/>
      <c r="D18" s="3"/>
      <c r="E18" s="3"/>
      <c r="F18" s="3"/>
      <c r="G18" s="3"/>
      <c r="H18" s="9"/>
    </row>
    <row r="19" spans="1:11" ht="15" thickBot="1" x14ac:dyDescent="0.4">
      <c r="A19" s="10" t="s">
        <v>39</v>
      </c>
      <c r="B19" s="11"/>
      <c r="C19" s="11"/>
      <c r="D19" s="11">
        <f>F16*'Opgave 1'!A5+'Opgave 2'!F17</f>
        <v>96.371882086167844</v>
      </c>
      <c r="E19" s="11" t="s">
        <v>40</v>
      </c>
      <c r="F19" s="11"/>
      <c r="G19" s="11"/>
      <c r="H19" s="13"/>
    </row>
    <row r="20" spans="1:11" ht="15" thickBot="1" x14ac:dyDescent="0.4"/>
    <row r="21" spans="1:11" x14ac:dyDescent="0.35">
      <c r="A21" s="5" t="s">
        <v>41</v>
      </c>
      <c r="B21" s="6"/>
      <c r="C21" s="6"/>
      <c r="D21" s="6"/>
      <c r="E21" s="6"/>
      <c r="F21" s="6"/>
      <c r="G21" s="6"/>
      <c r="H21" s="6"/>
      <c r="I21" s="6"/>
      <c r="J21" s="6"/>
      <c r="K21" s="7"/>
    </row>
    <row r="22" spans="1:11" x14ac:dyDescent="0.35">
      <c r="A22" s="17" t="s">
        <v>45</v>
      </c>
      <c r="B22" s="3"/>
      <c r="C22" s="3"/>
      <c r="D22" s="3"/>
      <c r="E22" s="3"/>
      <c r="F22" s="3"/>
      <c r="G22" s="3"/>
      <c r="H22" s="3"/>
      <c r="I22" s="3"/>
      <c r="J22" s="3"/>
      <c r="K22" s="9"/>
    </row>
    <row r="23" spans="1:11" x14ac:dyDescent="0.35">
      <c r="A23" s="18" t="s">
        <v>46</v>
      </c>
      <c r="B23" s="19"/>
      <c r="C23" s="19"/>
      <c r="D23" s="19"/>
      <c r="E23" s="19"/>
      <c r="F23" s="19"/>
      <c r="G23" s="19"/>
      <c r="H23" s="19"/>
      <c r="I23" s="19"/>
      <c r="J23" s="19"/>
      <c r="K23" s="9"/>
    </row>
    <row r="24" spans="1:11" x14ac:dyDescent="0.35">
      <c r="A24" s="18" t="s">
        <v>47</v>
      </c>
      <c r="B24" s="19"/>
      <c r="C24" s="19"/>
      <c r="D24" s="19"/>
      <c r="E24" s="19"/>
      <c r="F24" s="19"/>
      <c r="G24" s="19"/>
      <c r="H24" s="19"/>
      <c r="I24" s="19"/>
      <c r="J24" s="19"/>
      <c r="K24" s="9"/>
    </row>
    <row r="25" spans="1:11" x14ac:dyDescent="0.35">
      <c r="A25" s="18" t="s">
        <v>48</v>
      </c>
      <c r="B25" s="19"/>
      <c r="C25" s="19"/>
      <c r="D25" s="19"/>
      <c r="E25" s="19"/>
      <c r="F25" s="19"/>
      <c r="G25" s="19"/>
      <c r="H25" s="19"/>
      <c r="I25" s="19"/>
      <c r="J25" s="19"/>
      <c r="K25" s="9"/>
    </row>
    <row r="26" spans="1:11" x14ac:dyDescent="0.35">
      <c r="A26" s="18" t="s">
        <v>49</v>
      </c>
      <c r="B26" s="19"/>
      <c r="C26" s="19"/>
      <c r="D26" s="19"/>
      <c r="E26" s="19"/>
      <c r="F26" s="19"/>
      <c r="G26" s="19"/>
      <c r="H26" s="19"/>
      <c r="I26" s="19"/>
      <c r="J26" s="19"/>
      <c r="K26" s="9"/>
    </row>
    <row r="27" spans="1:11" x14ac:dyDescent="0.35">
      <c r="A27" s="18" t="s">
        <v>42</v>
      </c>
      <c r="B27" s="19"/>
      <c r="C27" s="19"/>
      <c r="D27" s="19"/>
      <c r="E27" s="19"/>
      <c r="F27" s="19"/>
      <c r="G27" s="19"/>
      <c r="H27" s="19"/>
      <c r="I27" s="19"/>
      <c r="J27" s="19"/>
      <c r="K27" s="9"/>
    </row>
    <row r="28" spans="1:1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9"/>
    </row>
    <row r="29" spans="1:11" x14ac:dyDescent="0.35">
      <c r="A29" s="18" t="s">
        <v>54</v>
      </c>
      <c r="B29" s="19"/>
      <c r="C29" s="19"/>
      <c r="D29" s="19" t="s">
        <v>50</v>
      </c>
      <c r="E29" s="19"/>
      <c r="F29" s="19"/>
      <c r="G29" s="19"/>
      <c r="H29" s="19"/>
      <c r="I29" s="19"/>
      <c r="J29" s="19"/>
      <c r="K29" s="9"/>
    </row>
    <row r="30" spans="1:11" x14ac:dyDescent="0.35">
      <c r="A30" s="18" t="s">
        <v>55</v>
      </c>
      <c r="B30" s="19"/>
      <c r="C30" s="19"/>
      <c r="D30" s="19" t="s">
        <v>51</v>
      </c>
      <c r="E30" s="19"/>
      <c r="F30" s="19"/>
      <c r="G30" s="19"/>
      <c r="H30" s="19"/>
      <c r="I30" s="19"/>
      <c r="J30" s="19"/>
      <c r="K30" s="9"/>
    </row>
    <row r="31" spans="1:11" x14ac:dyDescent="0.35">
      <c r="A31" s="18"/>
      <c r="B31" s="19"/>
      <c r="C31" s="19"/>
      <c r="D31" s="19" t="s">
        <v>43</v>
      </c>
      <c r="E31" s="19"/>
      <c r="F31" s="19"/>
      <c r="G31" s="19"/>
      <c r="H31" s="19"/>
      <c r="I31" s="19"/>
      <c r="J31" s="19"/>
      <c r="K31" s="9"/>
    </row>
    <row r="32" spans="1:11" x14ac:dyDescent="0.35">
      <c r="A32" s="18"/>
      <c r="B32" s="19"/>
      <c r="C32" s="19"/>
      <c r="D32" s="19" t="s">
        <v>52</v>
      </c>
      <c r="E32" s="19"/>
      <c r="F32" s="19"/>
      <c r="G32" s="19"/>
      <c r="H32" s="19"/>
      <c r="I32" s="19"/>
      <c r="J32" s="19"/>
      <c r="K32" s="9"/>
    </row>
    <row r="33" spans="1:11" ht="15" thickBot="1" x14ac:dyDescent="0.4">
      <c r="A33" s="20"/>
      <c r="B33" s="21"/>
      <c r="C33" s="21"/>
      <c r="D33" s="21" t="s">
        <v>53</v>
      </c>
      <c r="E33" s="21"/>
      <c r="F33" s="21"/>
      <c r="G33" s="21"/>
      <c r="H33" s="21"/>
      <c r="I33" s="21"/>
      <c r="J33" s="22"/>
      <c r="K33" s="13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49" workbookViewId="0">
      <selection activeCell="B61" sqref="B61"/>
    </sheetView>
  </sheetViews>
  <sheetFormatPr defaultRowHeight="14.5" x14ac:dyDescent="0.35"/>
  <cols>
    <col min="1" max="1" width="10.81640625" customWidth="1"/>
    <col min="5" max="5" width="4.36328125" customWidth="1"/>
    <col min="11" max="11" width="5.81640625" customWidth="1"/>
  </cols>
  <sheetData>
    <row r="1" spans="1:9" ht="34.75" customHeight="1" x14ac:dyDescent="0.7">
      <c r="A1" s="49" t="s">
        <v>110</v>
      </c>
    </row>
    <row r="2" spans="1:9" ht="15" thickBot="1" x14ac:dyDescent="0.4">
      <c r="A2" t="s">
        <v>87</v>
      </c>
    </row>
    <row r="3" spans="1:9" x14ac:dyDescent="0.35">
      <c r="C3">
        <v>0.05</v>
      </c>
      <c r="F3" s="5" t="s">
        <v>85</v>
      </c>
      <c r="G3" s="6"/>
      <c r="H3" s="6"/>
      <c r="I3" s="7"/>
    </row>
    <row r="4" spans="1:9" x14ac:dyDescent="0.35">
      <c r="B4">
        <v>0.04</v>
      </c>
      <c r="C4">
        <v>3.5000000000000003E-2</v>
      </c>
      <c r="F4" s="8" t="s">
        <v>83</v>
      </c>
      <c r="G4" s="3" t="s">
        <v>82</v>
      </c>
      <c r="H4" s="3" t="s">
        <v>81</v>
      </c>
      <c r="I4" s="9"/>
    </row>
    <row r="5" spans="1:9" x14ac:dyDescent="0.35">
      <c r="A5">
        <v>0.03</v>
      </c>
      <c r="B5">
        <v>2.5000000000000001E-2</v>
      </c>
      <c r="C5">
        <v>0.02</v>
      </c>
      <c r="F5" s="25">
        <f>A5</f>
        <v>0.03</v>
      </c>
      <c r="G5" s="4">
        <f>A8*B4+(1-A8)*B5</f>
        <v>3.2500000000000001E-2</v>
      </c>
      <c r="H5" s="4">
        <f>A8*B7*C3+A8*(1-B7)*C4+(1-A8)*B8*C4+(1-A8)*(1-B8)*C5</f>
        <v>3.8000000000000006E-2</v>
      </c>
      <c r="I5" s="9"/>
    </row>
    <row r="6" spans="1:9" x14ac:dyDescent="0.35">
      <c r="A6" t="s">
        <v>86</v>
      </c>
      <c r="F6" s="8" t="s">
        <v>80</v>
      </c>
      <c r="G6" s="3"/>
      <c r="H6" s="3"/>
      <c r="I6" s="9"/>
    </row>
    <row r="7" spans="1:9" ht="15" thickBot="1" x14ac:dyDescent="0.4">
      <c r="B7">
        <v>0.65</v>
      </c>
      <c r="F7" s="10" t="s">
        <v>79</v>
      </c>
      <c r="G7" s="11"/>
      <c r="H7" s="11"/>
      <c r="I7" s="13"/>
    </row>
    <row r="8" spans="1:9" x14ac:dyDescent="0.35">
      <c r="A8">
        <v>0.5</v>
      </c>
      <c r="B8">
        <v>0.75</v>
      </c>
    </row>
    <row r="9" spans="1:9" ht="15" thickBot="1" x14ac:dyDescent="0.4"/>
    <row r="10" spans="1:9" x14ac:dyDescent="0.35">
      <c r="A10" s="5" t="s">
        <v>84</v>
      </c>
      <c r="B10" s="6"/>
      <c r="C10" s="6"/>
      <c r="D10" s="6"/>
      <c r="E10" s="6"/>
      <c r="F10" s="7"/>
    </row>
    <row r="11" spans="1:9" x14ac:dyDescent="0.35">
      <c r="A11" s="8" t="s">
        <v>78</v>
      </c>
      <c r="B11" s="3"/>
      <c r="C11" s="3"/>
      <c r="D11" s="26" t="s">
        <v>77</v>
      </c>
      <c r="E11" s="3">
        <v>1</v>
      </c>
      <c r="F11" s="27">
        <f>A12^(-1/E11)-1</f>
        <v>3.0000000000000027E-2</v>
      </c>
    </row>
    <row r="12" spans="1:9" x14ac:dyDescent="0.35">
      <c r="A12" s="28">
        <f>1/(1+A5)</f>
        <v>0.970873786407767</v>
      </c>
      <c r="B12" s="3"/>
      <c r="C12" s="3"/>
      <c r="D12" s="3"/>
      <c r="E12" s="3">
        <v>2</v>
      </c>
      <c r="F12" s="27">
        <f>A17^(-1/E12)-1</f>
        <v>3.1222035353467126E-2</v>
      </c>
    </row>
    <row r="13" spans="1:9" x14ac:dyDescent="0.35">
      <c r="A13" s="8"/>
      <c r="B13" s="3"/>
      <c r="C13" s="3"/>
      <c r="D13" s="3"/>
      <c r="E13" s="3">
        <v>3</v>
      </c>
      <c r="F13" s="27">
        <f>A23^(-1/E13)-1</f>
        <v>3.3430606647148142E-2</v>
      </c>
    </row>
    <row r="14" spans="1:9" x14ac:dyDescent="0.35">
      <c r="A14" s="8" t="s">
        <v>76</v>
      </c>
      <c r="B14" s="3" t="s">
        <v>75</v>
      </c>
      <c r="C14" s="3" t="s">
        <v>74</v>
      </c>
      <c r="D14" s="3"/>
      <c r="E14" s="29"/>
      <c r="F14" s="30"/>
      <c r="G14" s="24"/>
    </row>
    <row r="15" spans="1:9" x14ac:dyDescent="0.35">
      <c r="A15" s="8"/>
      <c r="B15" s="3"/>
      <c r="C15" s="3">
        <v>1</v>
      </c>
      <c r="D15" s="3" t="s">
        <v>73</v>
      </c>
      <c r="E15" s="31">
        <v>1</v>
      </c>
      <c r="F15" s="32">
        <f>1/A12-1</f>
        <v>3.0000000000000027E-2</v>
      </c>
    </row>
    <row r="16" spans="1:9" x14ac:dyDescent="0.35">
      <c r="A16" s="8"/>
      <c r="B16" s="3">
        <f>(B7*C15+(1-B7)*C16)/(1+B4)</f>
        <v>0.96153846153846145</v>
      </c>
      <c r="C16" s="3">
        <v>1</v>
      </c>
      <c r="D16" s="3"/>
      <c r="E16" s="29">
        <v>2</v>
      </c>
      <c r="F16" s="32">
        <f>A12/A17-1</f>
        <v>3.2445520581113829E-2</v>
      </c>
    </row>
    <row r="17" spans="1:10" x14ac:dyDescent="0.35">
      <c r="A17" s="28">
        <f>(A8*B16+(1-A8)*B17)/(1+A5)</f>
        <v>0.94036321244467114</v>
      </c>
      <c r="B17" s="3">
        <f>(B8*C16+(1-B8)*C17)/(1+B5)</f>
        <v>0.97560975609756106</v>
      </c>
      <c r="C17" s="3">
        <v>1</v>
      </c>
      <c r="D17" s="3"/>
      <c r="E17" s="29">
        <v>3</v>
      </c>
      <c r="F17" s="32">
        <f>A17/A23-1</f>
        <v>3.7861949676070816E-2</v>
      </c>
    </row>
    <row r="18" spans="1:10" x14ac:dyDescent="0.35">
      <c r="A18" s="8"/>
      <c r="B18" s="3"/>
      <c r="C18" s="3"/>
      <c r="D18" s="3"/>
      <c r="E18" s="29"/>
      <c r="F18" s="30"/>
      <c r="G18" s="24"/>
    </row>
    <row r="19" spans="1:10" x14ac:dyDescent="0.35">
      <c r="A19" s="8" t="s">
        <v>72</v>
      </c>
      <c r="B19" s="3" t="s">
        <v>71</v>
      </c>
      <c r="C19" s="3" t="s">
        <v>70</v>
      </c>
      <c r="D19" s="3"/>
      <c r="E19" s="29"/>
      <c r="F19" s="33"/>
      <c r="G19" s="24"/>
    </row>
    <row r="20" spans="1:10" x14ac:dyDescent="0.35">
      <c r="A20" s="8"/>
      <c r="B20" s="3"/>
      <c r="C20" s="3"/>
      <c r="D20" s="3"/>
      <c r="E20" s="29"/>
      <c r="F20" s="30"/>
      <c r="G20" s="24"/>
    </row>
    <row r="21" spans="1:10" x14ac:dyDescent="0.35">
      <c r="A21" s="8"/>
      <c r="B21" s="3"/>
      <c r="C21" s="3">
        <f>1/(1+C3)</f>
        <v>0.95238095238095233</v>
      </c>
      <c r="D21" s="3"/>
      <c r="E21" s="29"/>
      <c r="F21" s="30"/>
      <c r="G21" s="24"/>
    </row>
    <row r="22" spans="1:10" x14ac:dyDescent="0.35">
      <c r="A22" s="8"/>
      <c r="B22" s="3">
        <f>(B7*C21+(1-B7)*C22)/(1+B4)</f>
        <v>0.92039602909168117</v>
      </c>
      <c r="C22" s="3">
        <f>1/(1+C4)</f>
        <v>0.96618357487922713</v>
      </c>
      <c r="D22" s="3"/>
      <c r="E22" s="3"/>
      <c r="F22" s="9"/>
    </row>
    <row r="23" spans="1:10" ht="15" thickBot="1" x14ac:dyDescent="0.4">
      <c r="A23" s="34">
        <f>(A8*B22+(1-A8)*B23)/(1+A5)</f>
        <v>0.90605808676016097</v>
      </c>
      <c r="B23" s="11">
        <f>(B8*C22+(1-B8)*C23)/(1+B5)</f>
        <v>0.94608362963425052</v>
      </c>
      <c r="C23" s="11">
        <f>1/(1+C5)</f>
        <v>0.98039215686274506</v>
      </c>
      <c r="D23" s="11"/>
      <c r="E23" s="11"/>
      <c r="F23" s="13"/>
    </row>
    <row r="24" spans="1:10" ht="15" thickBot="1" x14ac:dyDescent="0.4"/>
    <row r="25" spans="1:10" x14ac:dyDescent="0.35">
      <c r="A25" s="5" t="s">
        <v>88</v>
      </c>
      <c r="B25" s="6"/>
      <c r="C25" s="6"/>
      <c r="D25" s="6"/>
      <c r="E25" s="6"/>
      <c r="F25" s="6">
        <v>0</v>
      </c>
      <c r="G25" s="6">
        <v>1</v>
      </c>
      <c r="H25" s="6">
        <v>2</v>
      </c>
      <c r="I25" s="7">
        <v>3</v>
      </c>
    </row>
    <row r="26" spans="1:10" x14ac:dyDescent="0.35">
      <c r="A26" s="8" t="s">
        <v>69</v>
      </c>
      <c r="B26" s="3">
        <v>3</v>
      </c>
      <c r="C26" s="3"/>
      <c r="D26" s="3"/>
      <c r="E26" s="3" t="s">
        <v>68</v>
      </c>
      <c r="F26" s="3"/>
      <c r="G26" s="3">
        <f>G29+F27*$B$28</f>
        <v>36.333333333333336</v>
      </c>
      <c r="H26" s="3">
        <f t="shared" ref="H26:I26" si="0">H29+G27*$B$28</f>
        <v>35.333333333333336</v>
      </c>
      <c r="I26" s="9">
        <f t="shared" si="0"/>
        <v>34.333333333333336</v>
      </c>
    </row>
    <row r="27" spans="1:10" x14ac:dyDescent="0.35">
      <c r="A27" s="8" t="s">
        <v>67</v>
      </c>
      <c r="B27" s="3">
        <v>100</v>
      </c>
      <c r="C27" s="3"/>
      <c r="D27" s="3"/>
      <c r="E27" s="3" t="s">
        <v>66</v>
      </c>
      <c r="F27" s="3">
        <v>100</v>
      </c>
      <c r="G27" s="3">
        <f>F27-G29</f>
        <v>66.666666666666657</v>
      </c>
      <c r="H27" s="3">
        <f t="shared" ref="H27:I27" si="1">G27-H29</f>
        <v>33.333333333333321</v>
      </c>
      <c r="I27" s="9">
        <f t="shared" si="1"/>
        <v>0</v>
      </c>
    </row>
    <row r="28" spans="1:10" x14ac:dyDescent="0.35">
      <c r="A28" s="8" t="s">
        <v>65</v>
      </c>
      <c r="B28" s="3">
        <v>0.03</v>
      </c>
      <c r="C28" s="3"/>
      <c r="D28" s="3"/>
      <c r="E28" s="3" t="s">
        <v>64</v>
      </c>
      <c r="F28" s="3"/>
      <c r="G28" s="3">
        <f>G26-G29</f>
        <v>3</v>
      </c>
      <c r="H28" s="3">
        <f t="shared" ref="H28:I28" si="2">H26-H29</f>
        <v>2</v>
      </c>
      <c r="I28" s="9">
        <f t="shared" si="2"/>
        <v>1</v>
      </c>
    </row>
    <row r="29" spans="1:10" x14ac:dyDescent="0.35">
      <c r="A29" s="8" t="s">
        <v>63</v>
      </c>
      <c r="B29" s="3">
        <f>B27/3</f>
        <v>33.333333333333336</v>
      </c>
      <c r="C29" s="3"/>
      <c r="D29" s="3"/>
      <c r="E29" s="3" t="s">
        <v>63</v>
      </c>
      <c r="F29" s="3"/>
      <c r="G29" s="3">
        <f>$B$29</f>
        <v>33.333333333333336</v>
      </c>
      <c r="H29" s="3">
        <f t="shared" ref="H29:I29" si="3">$B$29</f>
        <v>33.333333333333336</v>
      </c>
      <c r="I29" s="9">
        <f t="shared" si="3"/>
        <v>33.333333333333336</v>
      </c>
      <c r="J29" t="s">
        <v>6</v>
      </c>
    </row>
    <row r="30" spans="1:10" x14ac:dyDescent="0.35">
      <c r="A30" s="8"/>
      <c r="B30" s="3"/>
      <c r="C30" s="3"/>
      <c r="D30" s="3"/>
      <c r="E30" s="3"/>
      <c r="F30" s="3"/>
      <c r="G30" s="3"/>
      <c r="H30" s="3"/>
      <c r="I30" s="9"/>
    </row>
    <row r="31" spans="1:10" ht="15" thickBot="1" x14ac:dyDescent="0.4">
      <c r="A31" s="10" t="s">
        <v>62</v>
      </c>
      <c r="B31" s="35">
        <f>A12*G26+A17*H26+I26*A23</f>
        <v>99.609242057959449</v>
      </c>
      <c r="C31" s="11"/>
      <c r="D31" s="11"/>
      <c r="E31" s="11"/>
      <c r="F31" s="11"/>
      <c r="G31" s="11"/>
      <c r="H31" s="11"/>
      <c r="I31" s="13"/>
    </row>
    <row r="32" spans="1:10" ht="15" thickBot="1" x14ac:dyDescent="0.4"/>
    <row r="33" spans="1:14" x14ac:dyDescent="0.35">
      <c r="A33" s="5" t="s">
        <v>89</v>
      </c>
      <c r="B33" s="6"/>
      <c r="C33" s="6"/>
      <c r="D33" s="6"/>
      <c r="E33" s="6"/>
      <c r="F33" s="6"/>
      <c r="G33" s="6">
        <v>0</v>
      </c>
      <c r="H33" s="6">
        <v>1</v>
      </c>
      <c r="I33" s="6">
        <v>2</v>
      </c>
      <c r="J33" s="7">
        <v>3</v>
      </c>
    </row>
    <row r="34" spans="1:14" x14ac:dyDescent="0.35">
      <c r="A34" s="8" t="s">
        <v>61</v>
      </c>
      <c r="B34" s="4">
        <v>3.2056835138034291E-2</v>
      </c>
      <c r="C34" s="3"/>
      <c r="D34" s="3" t="s">
        <v>69</v>
      </c>
      <c r="E34" s="3">
        <v>3</v>
      </c>
      <c r="F34" s="3" t="s">
        <v>68</v>
      </c>
      <c r="G34" s="3"/>
      <c r="H34" s="3">
        <f>H37+G35*$E$36</f>
        <v>36.539016847136764</v>
      </c>
      <c r="I34" s="3">
        <f t="shared" ref="I34:J34" si="4">I37+H35*$E$36</f>
        <v>35.470455675868955</v>
      </c>
      <c r="J34" s="9">
        <f t="shared" si="4"/>
        <v>34.401894504601145</v>
      </c>
    </row>
    <row r="35" spans="1:14" x14ac:dyDescent="0.35">
      <c r="A35" s="8" t="s">
        <v>60</v>
      </c>
      <c r="B35" s="3">
        <f>A12*H34+A17*I34+A23*J34</f>
        <v>99.999999999997129</v>
      </c>
      <c r="C35" s="3"/>
      <c r="D35" s="3" t="s">
        <v>67</v>
      </c>
      <c r="E35" s="3">
        <v>100</v>
      </c>
      <c r="F35" s="3" t="s">
        <v>66</v>
      </c>
      <c r="G35" s="3">
        <v>100</v>
      </c>
      <c r="H35" s="3">
        <f>G35-H37</f>
        <v>66.666666666666657</v>
      </c>
      <c r="I35" s="3">
        <f t="shared" ref="I35:J35" si="5">H35-I37</f>
        <v>33.333333333333321</v>
      </c>
      <c r="J35" s="9">
        <f t="shared" si="5"/>
        <v>0</v>
      </c>
    </row>
    <row r="36" spans="1:14" x14ac:dyDescent="0.35">
      <c r="A36" s="8"/>
      <c r="B36" s="3"/>
      <c r="C36" s="3"/>
      <c r="D36" s="3" t="s">
        <v>65</v>
      </c>
      <c r="E36" s="3">
        <f>B34</f>
        <v>3.2056835138034291E-2</v>
      </c>
      <c r="F36" s="3" t="s">
        <v>64</v>
      </c>
      <c r="G36" s="3"/>
      <c r="H36" s="3">
        <f>H34-H37</f>
        <v>3.2056835138034288</v>
      </c>
      <c r="I36" s="3">
        <f t="shared" ref="I36:J36" si="6">I34-I37</f>
        <v>2.1371223425356192</v>
      </c>
      <c r="J36" s="9">
        <f t="shared" si="6"/>
        <v>1.0685611712678096</v>
      </c>
    </row>
    <row r="37" spans="1:14" ht="15" thickBot="1" x14ac:dyDescent="0.4">
      <c r="A37" s="36"/>
      <c r="B37" s="22"/>
      <c r="C37" s="11"/>
      <c r="D37" s="11" t="s">
        <v>63</v>
      </c>
      <c r="E37" s="11">
        <f>E35/3</f>
        <v>33.333333333333336</v>
      </c>
      <c r="F37" s="11" t="s">
        <v>63</v>
      </c>
      <c r="G37" s="11"/>
      <c r="H37" s="11">
        <f>$B$29</f>
        <v>33.333333333333336</v>
      </c>
      <c r="I37" s="11">
        <f t="shared" ref="I37:J37" si="7">$B$29</f>
        <v>33.333333333333336</v>
      </c>
      <c r="J37" s="13">
        <f t="shared" si="7"/>
        <v>33.333333333333336</v>
      </c>
    </row>
    <row r="38" spans="1:14" ht="15" thickBot="1" x14ac:dyDescent="0.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 x14ac:dyDescent="0.35">
      <c r="A39" s="5" t="s">
        <v>90</v>
      </c>
      <c r="B39" s="37"/>
      <c r="C39" s="37"/>
      <c r="D39" s="37"/>
      <c r="E39" s="37"/>
      <c r="F39" s="37"/>
      <c r="G39" s="37"/>
      <c r="H39" s="37"/>
      <c r="I39" s="37"/>
      <c r="J39" s="37"/>
      <c r="K39" s="38"/>
      <c r="L39" s="24"/>
      <c r="M39" s="24"/>
      <c r="N39" s="24"/>
    </row>
    <row r="40" spans="1:14" x14ac:dyDescent="0.35">
      <c r="A40" s="39" t="s">
        <v>94</v>
      </c>
      <c r="B40" s="29"/>
      <c r="C40" s="29"/>
      <c r="D40" s="29"/>
      <c r="E40" s="29"/>
      <c r="F40" s="29"/>
      <c r="G40" s="29"/>
      <c r="H40" s="29"/>
      <c r="I40" s="29"/>
      <c r="J40" s="29"/>
      <c r="K40" s="30"/>
      <c r="L40" s="24"/>
      <c r="M40" s="24"/>
      <c r="N40" s="24"/>
    </row>
    <row r="41" spans="1:14" x14ac:dyDescent="0.35">
      <c r="A41" s="39" t="s">
        <v>95</v>
      </c>
      <c r="B41" s="29"/>
      <c r="C41" s="29"/>
      <c r="D41" s="29"/>
      <c r="E41" s="29"/>
      <c r="F41" s="29"/>
      <c r="G41" s="29"/>
      <c r="H41" s="29"/>
      <c r="I41" s="29"/>
      <c r="J41" s="29"/>
      <c r="K41" s="30"/>
      <c r="L41" s="24"/>
      <c r="M41" s="24"/>
      <c r="N41" s="24"/>
    </row>
    <row r="42" spans="1:14" x14ac:dyDescent="0.35">
      <c r="A42" s="40" t="s">
        <v>91</v>
      </c>
      <c r="B42" s="41"/>
      <c r="C42" s="42" t="s">
        <v>92</v>
      </c>
      <c r="D42" s="41"/>
      <c r="E42" s="41"/>
      <c r="F42" s="41"/>
      <c r="G42" s="41"/>
      <c r="H42" s="43"/>
      <c r="I42" s="43"/>
      <c r="J42" s="43"/>
      <c r="K42" s="30"/>
      <c r="L42" s="24"/>
      <c r="M42" s="24"/>
      <c r="N42" s="24"/>
    </row>
    <row r="43" spans="1:14" x14ac:dyDescent="0.35">
      <c r="A43" s="40" t="s">
        <v>93</v>
      </c>
      <c r="B43" s="41"/>
      <c r="C43" s="41"/>
      <c r="D43" s="41"/>
      <c r="E43" s="41"/>
      <c r="F43" s="41"/>
      <c r="G43" s="41"/>
      <c r="H43" s="43"/>
      <c r="I43" s="43"/>
      <c r="J43" s="43"/>
      <c r="K43" s="30"/>
      <c r="L43" s="24"/>
      <c r="M43" s="24"/>
      <c r="N43" s="24"/>
    </row>
    <row r="44" spans="1:14" x14ac:dyDescent="0.35">
      <c r="A44" s="17"/>
      <c r="B44" s="41"/>
      <c r="C44" s="41"/>
      <c r="D44" s="41"/>
      <c r="E44" s="41"/>
      <c r="F44" s="41"/>
      <c r="G44" s="41"/>
      <c r="H44" s="43"/>
      <c r="I44" s="43"/>
      <c r="J44" s="43"/>
      <c r="K44" s="30"/>
      <c r="L44" s="24"/>
      <c r="M44" s="24"/>
      <c r="N44" s="24"/>
    </row>
    <row r="45" spans="1:14" x14ac:dyDescent="0.35">
      <c r="A45" s="17"/>
      <c r="B45" s="41"/>
      <c r="C45" s="41"/>
      <c r="D45" s="44"/>
      <c r="E45" s="41"/>
      <c r="F45" s="41"/>
      <c r="G45" s="41"/>
      <c r="H45" s="43"/>
      <c r="I45" s="43"/>
      <c r="J45" s="43"/>
      <c r="K45" s="30"/>
      <c r="L45" s="24"/>
      <c r="M45" s="24"/>
      <c r="N45" s="24"/>
    </row>
    <row r="46" spans="1:14" x14ac:dyDescent="0.35">
      <c r="A46" s="17"/>
      <c r="B46" s="41"/>
      <c r="C46" s="41"/>
      <c r="D46" s="41"/>
      <c r="E46" s="41"/>
      <c r="F46" s="41"/>
      <c r="G46" s="41"/>
      <c r="H46" s="43"/>
      <c r="I46" s="43"/>
      <c r="J46" s="43"/>
      <c r="K46" s="30"/>
      <c r="L46" s="24"/>
      <c r="M46" s="24"/>
      <c r="N46" s="24"/>
    </row>
    <row r="47" spans="1:14" x14ac:dyDescent="0.35">
      <c r="A47" s="17"/>
      <c r="B47" s="41"/>
      <c r="C47" s="41"/>
      <c r="D47" s="41"/>
      <c r="E47" s="41"/>
      <c r="F47" s="41"/>
      <c r="G47" s="41"/>
      <c r="H47" s="43"/>
      <c r="I47" s="43"/>
      <c r="J47" s="43"/>
      <c r="K47" s="30"/>
      <c r="L47" s="24"/>
      <c r="M47" s="24"/>
      <c r="N47" s="24"/>
    </row>
    <row r="48" spans="1:14" x14ac:dyDescent="0.35">
      <c r="A48" s="17"/>
      <c r="B48" s="41"/>
      <c r="C48" s="41"/>
      <c r="D48" s="41"/>
      <c r="E48" s="41"/>
      <c r="F48" s="41"/>
      <c r="G48" s="41"/>
      <c r="H48" s="43"/>
      <c r="I48" s="43"/>
      <c r="J48" s="43"/>
      <c r="K48" s="30"/>
      <c r="L48" s="24"/>
      <c r="M48" s="24"/>
      <c r="N48" s="24"/>
    </row>
    <row r="49" spans="1:14" x14ac:dyDescent="0.35">
      <c r="A49" s="45"/>
      <c r="B49" s="43"/>
      <c r="C49" s="43"/>
      <c r="D49" s="43"/>
      <c r="E49" s="43"/>
      <c r="F49" s="43"/>
      <c r="G49" s="43"/>
      <c r="H49" s="43"/>
      <c r="I49" s="43"/>
      <c r="J49" s="43"/>
      <c r="K49" s="30"/>
      <c r="L49" s="24"/>
      <c r="M49" s="24"/>
      <c r="N49" s="24"/>
    </row>
    <row r="50" spans="1:14" x14ac:dyDescent="0.35">
      <c r="A50" s="45"/>
      <c r="B50" s="43"/>
      <c r="C50" s="43"/>
      <c r="D50" s="43"/>
      <c r="E50" s="43"/>
      <c r="F50" s="43"/>
      <c r="G50" s="43"/>
      <c r="H50" s="43"/>
      <c r="I50" s="43"/>
      <c r="J50" s="43"/>
      <c r="K50" s="30"/>
      <c r="L50" s="24"/>
      <c r="M50" s="24"/>
      <c r="N50" s="24"/>
    </row>
    <row r="51" spans="1:14" x14ac:dyDescent="0.35">
      <c r="A51" s="45"/>
      <c r="B51" s="43"/>
      <c r="C51" s="43"/>
      <c r="D51" s="43"/>
      <c r="E51" s="43"/>
      <c r="F51" s="43"/>
      <c r="G51" s="43"/>
      <c r="H51" s="43"/>
      <c r="I51" s="43"/>
      <c r="J51" s="43"/>
      <c r="K51" s="30"/>
      <c r="L51" s="24"/>
      <c r="M51" s="24"/>
      <c r="N51" s="24"/>
    </row>
    <row r="52" spans="1:14" x14ac:dyDescent="0.35">
      <c r="A52" s="45"/>
      <c r="B52" s="43"/>
      <c r="C52" s="43"/>
      <c r="D52" s="43"/>
      <c r="E52" s="43"/>
      <c r="F52" s="43"/>
      <c r="G52" s="43"/>
      <c r="H52" s="43"/>
      <c r="I52" s="43"/>
      <c r="J52" s="43"/>
      <c r="K52" s="30"/>
      <c r="L52" s="24"/>
      <c r="M52" s="24"/>
      <c r="N52" s="24"/>
    </row>
    <row r="53" spans="1:14" x14ac:dyDescent="0.35">
      <c r="A53" s="45"/>
      <c r="B53" s="43"/>
      <c r="C53" s="43"/>
      <c r="D53" s="43"/>
      <c r="E53" s="43"/>
      <c r="F53" s="43"/>
      <c r="G53" s="43"/>
      <c r="H53" s="43"/>
      <c r="I53" s="43"/>
      <c r="J53" s="43"/>
      <c r="K53" s="30"/>
      <c r="L53" s="24"/>
      <c r="M53" s="24"/>
      <c r="N53" s="24"/>
    </row>
    <row r="54" spans="1:14" x14ac:dyDescent="0.35">
      <c r="A54" s="45"/>
      <c r="B54" s="43"/>
      <c r="C54" s="43"/>
      <c r="D54" s="43"/>
      <c r="E54" s="43"/>
      <c r="F54" s="43"/>
      <c r="G54" s="43"/>
      <c r="H54" s="43"/>
      <c r="I54" s="43"/>
      <c r="J54" s="43"/>
      <c r="K54" s="30"/>
      <c r="L54" s="24"/>
      <c r="M54" s="24"/>
      <c r="N54" s="24"/>
    </row>
    <row r="55" spans="1:14" x14ac:dyDescent="0.35">
      <c r="A55" s="45"/>
      <c r="B55" s="43"/>
      <c r="C55" s="43"/>
      <c r="D55" s="43"/>
      <c r="E55" s="43"/>
      <c r="F55" s="43"/>
      <c r="G55" s="43"/>
      <c r="H55" s="43"/>
      <c r="I55" s="43"/>
      <c r="J55" s="43"/>
      <c r="K55" s="30"/>
      <c r="L55" s="24"/>
      <c r="M55" s="24"/>
      <c r="N55" s="24"/>
    </row>
    <row r="56" spans="1:14" ht="15" thickBot="1" x14ac:dyDescent="0.4">
      <c r="A56" s="46"/>
      <c r="B56" s="47"/>
      <c r="C56" s="48"/>
      <c r="D56" s="48"/>
      <c r="E56" s="48"/>
      <c r="F56" s="48"/>
      <c r="G56" s="48"/>
      <c r="H56" s="48"/>
      <c r="I56" s="48"/>
      <c r="J56" s="48"/>
      <c r="K56" s="23"/>
      <c r="L56" s="24"/>
      <c r="M56" s="24"/>
      <c r="N56" s="24"/>
    </row>
    <row r="57" spans="1:14" ht="15" thickBot="1" x14ac:dyDescent="0.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x14ac:dyDescent="0.35">
      <c r="A58" s="5" t="s">
        <v>96</v>
      </c>
      <c r="B58" s="6"/>
      <c r="C58" s="37"/>
      <c r="D58" s="37"/>
      <c r="E58" s="37"/>
      <c r="F58" s="37"/>
      <c r="G58" s="37"/>
      <c r="H58" s="37"/>
      <c r="I58" s="37"/>
      <c r="J58" s="37"/>
      <c r="K58" s="38"/>
      <c r="L58" s="24"/>
      <c r="M58" s="24"/>
      <c r="N58" s="24"/>
    </row>
    <row r="59" spans="1:14" x14ac:dyDescent="0.35">
      <c r="A59" s="8" t="s">
        <v>97</v>
      </c>
      <c r="B59" s="3">
        <f>B29</f>
        <v>33.333333333333336</v>
      </c>
      <c r="C59" s="3"/>
      <c r="D59" s="3"/>
      <c r="E59" s="3"/>
      <c r="F59" s="3" t="s">
        <v>101</v>
      </c>
      <c r="G59" s="3"/>
      <c r="H59" s="3"/>
      <c r="I59" s="3"/>
      <c r="J59" s="3"/>
      <c r="K59" s="9"/>
    </row>
    <row r="60" spans="1:14" x14ac:dyDescent="0.35">
      <c r="A60" s="8" t="s">
        <v>98</v>
      </c>
      <c r="B60" s="3">
        <f>F27</f>
        <v>100</v>
      </c>
      <c r="C60" s="3">
        <f t="shared" ref="C60:D60" si="8">G27</f>
        <v>66.666666666666657</v>
      </c>
      <c r="D60" s="3">
        <f t="shared" si="8"/>
        <v>33.333333333333321</v>
      </c>
      <c r="E60" s="3"/>
      <c r="F60" s="3" t="s">
        <v>102</v>
      </c>
      <c r="G60" s="3"/>
      <c r="H60" s="3"/>
      <c r="I60" s="3"/>
      <c r="J60" s="3"/>
      <c r="K60" s="9"/>
    </row>
    <row r="61" spans="1:14" x14ac:dyDescent="0.35">
      <c r="A61" s="8" t="s">
        <v>99</v>
      </c>
      <c r="B61" s="3">
        <v>3.5000000000000003E-2</v>
      </c>
      <c r="C61" s="3"/>
      <c r="D61" s="3"/>
      <c r="E61" s="3"/>
      <c r="F61" s="3" t="s">
        <v>103</v>
      </c>
      <c r="G61" s="3" t="s">
        <v>104</v>
      </c>
      <c r="H61" s="3"/>
      <c r="I61" s="3"/>
      <c r="J61" s="3"/>
      <c r="K61" s="9"/>
    </row>
    <row r="62" spans="1:14" x14ac:dyDescent="0.35">
      <c r="A62" s="8"/>
      <c r="B62" s="3"/>
      <c r="C62" s="3"/>
      <c r="D62" s="3"/>
      <c r="E62" s="3"/>
      <c r="F62" s="3"/>
      <c r="G62" s="3" t="s">
        <v>105</v>
      </c>
      <c r="H62" s="3"/>
      <c r="I62" s="3"/>
      <c r="J62" s="3"/>
      <c r="K62" s="9"/>
    </row>
    <row r="63" spans="1:14" x14ac:dyDescent="0.35">
      <c r="A63" s="8" t="s">
        <v>100</v>
      </c>
      <c r="B63" s="3"/>
      <c r="C63" s="3"/>
      <c r="D63" s="3"/>
      <c r="E63" s="3"/>
      <c r="F63" s="3"/>
      <c r="G63" s="3" t="s">
        <v>106</v>
      </c>
      <c r="H63" s="3"/>
      <c r="I63" s="3"/>
      <c r="J63" s="3"/>
      <c r="K63" s="9"/>
    </row>
    <row r="64" spans="1:14" x14ac:dyDescent="0.35">
      <c r="A64" s="8"/>
      <c r="B64" s="3"/>
      <c r="C64" s="3"/>
      <c r="D64" s="3">
        <f>($B$59+D$60*MIN($B$61,C3))/(1+C3)</f>
        <v>32.857142857142854</v>
      </c>
      <c r="E64" s="3"/>
      <c r="F64" s="3" t="s">
        <v>107</v>
      </c>
      <c r="G64" s="3"/>
      <c r="H64" s="3"/>
      <c r="I64" s="3"/>
      <c r="J64" s="3"/>
      <c r="K64" s="9"/>
    </row>
    <row r="65" spans="1:11" x14ac:dyDescent="0.35">
      <c r="A65" s="8"/>
      <c r="B65" s="3"/>
      <c r="C65" s="3">
        <f>($B$59+C$60*MIN($B$61,B4)+B7*D64+(1-B7)*D65)/(1+B4)</f>
        <v>66.048534798534803</v>
      </c>
      <c r="D65" s="3">
        <f t="shared" ref="D65:D66" si="9">($B$59+D$60*MIN($B$61,C4))/(1+C4)</f>
        <v>33.333333333333336</v>
      </c>
      <c r="E65" s="3"/>
      <c r="F65" s="3"/>
      <c r="G65" s="3"/>
      <c r="H65" s="3"/>
      <c r="I65" s="3"/>
      <c r="J65" s="3"/>
      <c r="K65" s="9"/>
    </row>
    <row r="66" spans="1:11" x14ac:dyDescent="0.35">
      <c r="A66" s="8"/>
      <c r="B66" s="4">
        <f>($B$59+B$60*MIN($B$61,A5)+A8*C65+(1-A8)*C66)/(1+A5)</f>
        <v>99.69993598634376</v>
      </c>
      <c r="C66" s="3">
        <f>($B$59+C$60*MIN($B$61,B5)+B8*D65+(1-B8)*D66)/(1+B5)</f>
        <v>66.666666666666671</v>
      </c>
      <c r="D66" s="3">
        <f t="shared" si="9"/>
        <v>33.333333333333336</v>
      </c>
      <c r="E66" s="3"/>
      <c r="F66" s="3" t="s">
        <v>108</v>
      </c>
      <c r="G66" s="3"/>
      <c r="H66" s="3"/>
      <c r="I66" s="3"/>
      <c r="J66" s="3"/>
      <c r="K66" s="9"/>
    </row>
    <row r="67" spans="1:11" ht="15" thickBot="1" x14ac:dyDescent="0.4">
      <c r="A67" s="10"/>
      <c r="B67" s="11">
        <v>0</v>
      </c>
      <c r="C67" s="11">
        <v>1</v>
      </c>
      <c r="D67" s="11">
        <v>2</v>
      </c>
      <c r="E67" s="11" t="s">
        <v>6</v>
      </c>
      <c r="F67" s="11" t="s">
        <v>109</v>
      </c>
      <c r="G67" s="11"/>
      <c r="H67" s="11"/>
      <c r="I67" s="11"/>
      <c r="J67" s="11"/>
      <c r="K67" s="13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2</vt:lpstr>
      <vt:lpstr>Opgave 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cp:lastPrinted>2017-01-11T12:26:12Z</cp:lastPrinted>
  <dcterms:created xsi:type="dcterms:W3CDTF">2016-12-07T01:46:34Z</dcterms:created>
  <dcterms:modified xsi:type="dcterms:W3CDTF">2022-09-24T13:19:52Z</dcterms:modified>
</cp:coreProperties>
</file>