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Mat Fin på CBS 2019\Eksamensopgaver til Noterne\Eksamensopgaver til Noterne\MatFin1\"/>
    </mc:Choice>
  </mc:AlternateContent>
  <bookViews>
    <workbookView xWindow="380" yWindow="260" windowWidth="11660" windowHeight="5440" activeTab="1"/>
  </bookViews>
  <sheets>
    <sheet name="Opgave 1" sheetId="1" r:id="rId1"/>
    <sheet name="Opgave 2" sheetId="2" r:id="rId2"/>
    <sheet name="Arb'frit forwardprisinterval" sheetId="4" r:id="rId3"/>
    <sheet name="Opgave 3" sheetId="3" r:id="rId4"/>
  </sheets>
  <definedNames>
    <definedName name="solver_adj" localSheetId="2" hidden="1">'Arb''frit forwardprisinterval'!$A$11:$B$11</definedName>
    <definedName name="solver_adj" localSheetId="1" hidden="1">'Opgave 2'!$B$16:$C$16</definedName>
    <definedName name="solver_cvg" localSheetId="2" hidden="1">"""0,0001"""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'Arb''frit forwardprisinterval'!$A$14:$A$19</definedName>
    <definedName name="solver_lhs1" localSheetId="1" hidden="1">'Opgave 2'!$B$17:$G$17</definedName>
    <definedName name="solver_lhs2" localSheetId="1" hidden="1">'Opgave 2'!$B$17:$G$17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"""0,075"""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1</definedName>
    <definedName name="solver_num" localSheetId="1" hidden="1">1</definedName>
    <definedName name="solver_nwt" localSheetId="2" hidden="1">1</definedName>
    <definedName name="solver_nwt" localSheetId="1" hidden="1">1</definedName>
    <definedName name="solver_opt" localSheetId="2" hidden="1">'Arb''frit forwardprisinterval'!$D$11</definedName>
    <definedName name="solver_opt" localSheetId="1" hidden="1">'Opgave 2'!$B$19</definedName>
    <definedName name="solver_pre" localSheetId="2" hidden="1">"""0,000001"""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1</definedName>
    <definedName name="solver_rel1" localSheetId="1" hidden="1">3</definedName>
    <definedName name="solver_rel2" localSheetId="1" hidden="1">3</definedName>
    <definedName name="solver_rhs1" localSheetId="2" hidden="1">'Arb''frit forwardprisinterval'!$B$14:$B$19</definedName>
    <definedName name="solver_rhs1" localSheetId="1" hidden="1">'Opgave 2'!$B$15:$G$15</definedName>
    <definedName name="solver_rhs2" localSheetId="1" hidden="1">'Opgave 2'!$B$15:$G$15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1</definedName>
    <definedName name="solver_tol" localSheetId="1" hidden="1">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A22" i="4" l="1"/>
  <c r="A21" i="4"/>
  <c r="G15" i="4"/>
  <c r="G14" i="4"/>
  <c r="A14" i="4" a="1"/>
  <c r="A15" i="4" s="1"/>
  <c r="B14" i="4" a="1"/>
  <c r="B15" i="4" s="1"/>
  <c r="D11" i="4" a="1"/>
  <c r="D11" i="4" s="1"/>
  <c r="G8" i="4"/>
  <c r="F8" i="4"/>
  <c r="E8" i="4"/>
  <c r="D8" i="4"/>
  <c r="C8" i="4"/>
  <c r="B8" i="4"/>
  <c r="A19" i="4" l="1"/>
  <c r="A18" i="4"/>
  <c r="A17" i="4"/>
  <c r="A14" i="4"/>
  <c r="A16" i="4"/>
  <c r="B14" i="4"/>
  <c r="B16" i="4"/>
  <c r="B19" i="4"/>
  <c r="B18" i="4"/>
  <c r="B17" i="4"/>
  <c r="G28" i="1"/>
  <c r="F28" i="1"/>
  <c r="G26" i="1"/>
  <c r="F26" i="1"/>
  <c r="G25" i="1"/>
  <c r="G24" i="1"/>
  <c r="F24" i="1"/>
  <c r="B45" i="2" a="1"/>
  <c r="B45" i="2" s="1"/>
  <c r="B40" i="2" a="1"/>
  <c r="B40" i="2" s="1"/>
  <c r="G6" i="2"/>
  <c r="F6" i="2"/>
  <c r="E6" i="2"/>
  <c r="D6" i="2"/>
  <c r="C6" i="2"/>
  <c r="B6" i="2"/>
  <c r="B24" i="2" a="1"/>
  <c r="B24" i="2" s="1"/>
  <c r="B19" i="2" a="1"/>
  <c r="B19" i="2" s="1"/>
  <c r="G15" i="2"/>
  <c r="F15" i="2"/>
  <c r="E15" i="2"/>
  <c r="D15" i="2"/>
  <c r="C15" i="2"/>
  <c r="B15" i="2"/>
  <c r="G8" i="2"/>
  <c r="F8" i="2"/>
  <c r="E8" i="2"/>
  <c r="D8" i="2"/>
  <c r="C8" i="2"/>
  <c r="B8" i="2"/>
  <c r="B7" i="2"/>
  <c r="G4" i="2"/>
  <c r="G7" i="2" s="1"/>
  <c r="F4" i="2"/>
  <c r="F7" i="2" s="1"/>
  <c r="E4" i="2"/>
  <c r="E7" i="2" s="1"/>
  <c r="D4" i="2"/>
  <c r="D7" i="2" s="1"/>
  <c r="C4" i="2"/>
  <c r="B4" i="2"/>
  <c r="G12" i="1"/>
  <c r="C12" i="1"/>
  <c r="D19" i="1" s="1"/>
  <c r="E4" i="1"/>
  <c r="E3" i="1"/>
  <c r="B8" i="1"/>
  <c r="C7" i="1" s="1"/>
  <c r="C23" i="1" s="1"/>
  <c r="H25" i="1" s="1"/>
  <c r="B9" i="1"/>
  <c r="C8" i="1" s="1"/>
  <c r="C15" i="1" l="1"/>
  <c r="B22" i="2" a="1"/>
  <c r="D22" i="2" s="1"/>
  <c r="F25" i="1"/>
  <c r="F23" i="1"/>
  <c r="E5" i="1"/>
  <c r="G23" i="1"/>
  <c r="F27" i="1"/>
  <c r="E11" i="2"/>
  <c r="B38" i="2" a="1"/>
  <c r="D38" i="2" s="1"/>
  <c r="C7" i="2"/>
  <c r="B17" i="2" a="1"/>
  <c r="B17" i="2" s="1"/>
  <c r="B43" i="2" a="1"/>
  <c r="B43" i="2" s="1"/>
  <c r="G15" i="1"/>
  <c r="C14" i="1"/>
  <c r="G14" i="1"/>
  <c r="C24" i="1"/>
  <c r="C9" i="1"/>
  <c r="G27" i="1" s="1"/>
  <c r="C17" i="2" l="1"/>
  <c r="G17" i="2"/>
  <c r="B22" i="2"/>
  <c r="G22" i="2"/>
  <c r="F22" i="2"/>
  <c r="F15" i="1"/>
  <c r="F43" i="2"/>
  <c r="C43" i="2"/>
  <c r="G38" i="2"/>
  <c r="B15" i="1"/>
  <c r="F38" i="2"/>
  <c r="C22" i="2"/>
  <c r="E43" i="2"/>
  <c r="F17" i="2"/>
  <c r="E22" i="2"/>
  <c r="D17" i="2"/>
  <c r="B24" i="1"/>
  <c r="H23" i="1" s="1"/>
  <c r="H26" i="1"/>
  <c r="H27" i="1"/>
  <c r="E17" i="2"/>
  <c r="B38" i="2"/>
  <c r="I25" i="1" a="1"/>
  <c r="C38" i="2"/>
  <c r="G43" i="2"/>
  <c r="E38" i="2"/>
  <c r="B12" i="2"/>
  <c r="E12" i="2"/>
  <c r="B11" i="2"/>
  <c r="D43" i="2"/>
  <c r="C16" i="1"/>
  <c r="B16" i="1" s="1"/>
  <c r="A16" i="1" s="1"/>
  <c r="C25" i="1"/>
  <c r="G16" i="1"/>
  <c r="F16" i="1" s="1"/>
  <c r="E16" i="1" s="1"/>
  <c r="H28" i="1" l="1"/>
  <c r="I27" i="1" s="1" a="1"/>
  <c r="I25" i="1"/>
  <c r="I26" i="1"/>
  <c r="B25" i="1"/>
  <c r="H24" i="1" s="1"/>
  <c r="I23" i="1" s="1" a="1"/>
  <c r="B19" i="1"/>
  <c r="I27" i="1" l="1"/>
  <c r="I28" i="1"/>
  <c r="I23" i="1"/>
  <c r="I24" i="1"/>
  <c r="C35" i="1"/>
  <c r="L26" i="1"/>
  <c r="C34" i="1"/>
  <c r="A25" i="1"/>
  <c r="B35" i="1" l="1"/>
  <c r="A36" i="1"/>
  <c r="L24" i="1"/>
  <c r="C38" i="1"/>
  <c r="C37" i="1"/>
  <c r="B37" i="1"/>
  <c r="L28" i="1"/>
  <c r="H33" i="1" l="1"/>
</calcChain>
</file>

<file path=xl/sharedStrings.xml><?xml version="1.0" encoding="utf-8"?>
<sst xmlns="http://schemas.openxmlformats.org/spreadsheetml/2006/main" count="129" uniqueCount="110">
  <si>
    <t>alpha</t>
  </si>
  <si>
    <t>sigma</t>
  </si>
  <si>
    <t>u</t>
  </si>
  <si>
    <t>R</t>
  </si>
  <si>
    <t>d</t>
  </si>
  <si>
    <t>q</t>
  </si>
  <si>
    <t>Call</t>
  </si>
  <si>
    <t>K</t>
  </si>
  <si>
    <t>Put</t>
  </si>
  <si>
    <t xml:space="preserve">K </t>
  </si>
  <si>
    <t>Tjek: Put-call-paritet</t>
  </si>
  <si>
    <t>Vs.</t>
  </si>
  <si>
    <t>Hs.</t>
  </si>
  <si>
    <t>&lt;- exp(alpha+sigma)</t>
  </si>
  <si>
    <t>&lt;- exp(alpha-sigma)</t>
  </si>
  <si>
    <t>Angvine gitter passer med</t>
  </si>
  <si>
    <t>1a</t>
  </si>
  <si>
    <t>&lt;- q=(R-d)/(u-d); ligge mellem 0 og 1 så arb'fri</t>
  </si>
  <si>
    <t>(og disse modeller ved vi er komplette)</t>
  </si>
  <si>
    <t>1b</t>
  </si>
  <si>
    <t>1c</t>
  </si>
  <si>
    <t>Logstock</t>
  </si>
  <si>
    <t>Rep'pf</t>
  </si>
  <si>
    <t>Tid 0-&gt;1</t>
  </si>
  <si>
    <t>Tid 1, op-&gt; 2</t>
  </si>
  <si>
    <t>Tid 1, ned-&gt;2</t>
  </si>
  <si>
    <t>1d</t>
  </si>
  <si>
    <t>S(1)</t>
  </si>
  <si>
    <t>\delta(1)</t>
  </si>
  <si>
    <t>afkasrate</t>
  </si>
  <si>
    <t>risikofrit</t>
  </si>
  <si>
    <t>S(1)+delta(1)</t>
  </si>
  <si>
    <t>E^P(afkastrate)</t>
  </si>
  <si>
    <t>spredning(afkasrate)</t>
  </si>
  <si>
    <t>dividenderate</t>
  </si>
  <si>
    <t>E(div'rate)</t>
  </si>
  <si>
    <t>corr(div'rate, afkastrate)</t>
  </si>
  <si>
    <t>x</t>
  </si>
  <si>
    <t>pris</t>
  </si>
  <si>
    <t>theta_øvre</t>
  </si>
  <si>
    <t>theta_øvre*D</t>
  </si>
  <si>
    <t>theta_nedre</t>
  </si>
  <si>
    <t>theta_nedre*D</t>
  </si>
  <si>
    <t>forward-payoff</t>
  </si>
  <si>
    <t>Fwd(0,1)</t>
  </si>
  <si>
    <t>theta_øvre*D^ny</t>
  </si>
  <si>
    <t>&lt;- stk. aktier</t>
  </si>
  <si>
    <t>&lt;- i banken</t>
  </si>
  <si>
    <t>Pristjek</t>
  </si>
  <si>
    <t xml:space="preserve"> </t>
  </si>
  <si>
    <t>Omkostningstræ</t>
  </si>
  <si>
    <t>Sats</t>
  </si>
  <si>
    <t>E^Q giver et indtryk af omkostningerne ift. prisen (her er de ca. dommbelt så store!),</t>
  </si>
  <si>
    <t>men vores almindelige begrundelse/fortolkning, at den (diskonterede) E^Q-værdi</t>
  </si>
  <si>
    <t>angiver, præscis hvad det vil koste at replikere betalingsstrømmen, den er mere tvivlsom;</t>
  </si>
  <si>
    <t xml:space="preserve">hvis man skal replikere betalingerne i omkostningstræet, så vil det afføde yderligere </t>
  </si>
  <si>
    <t>omkostninger.</t>
  </si>
  <si>
    <t>E^Q(diskonterede omkostninger)</t>
  </si>
  <si>
    <t>3a</t>
  </si>
  <si>
    <t>Så længe låntager ikke konverterer, så betaler han rente og afdrag som på et almidenligt lån,</t>
  </si>
  <si>
    <t xml:space="preserve">hvilket netop svarer til en kort position in en obligation; man har solgt obligationen mod at </t>
  </si>
  <si>
    <t>få nogle penge i hånden på tid 0.</t>
  </si>
  <si>
    <t xml:space="preserve">Når/hvis der konvereteres, så betaler låntager den restetrende hovedstol, men har så ikke </t>
  </si>
  <si>
    <t>nogen fremtidige forpligtelser. Det kan vi se som at man køber en inkonverterbar obligation</t>
  </si>
  <si>
    <t>for pris= den resterende hovedstol, altså at man indfrier en call-option med strike = resterende hovedstol,</t>
  </si>
  <si>
    <t>hvorefter betalinegrne i fremtiden fra den lange og den korte position netter ud.</t>
  </si>
  <si>
    <t>3b</t>
  </si>
  <si>
    <t xml:space="preserve">"Hold call til udløb"-argeumenter kræver (ud over positiv rente) at strike er fast og at det underliggende </t>
  </si>
  <si>
    <t xml:space="preserve">ikke udbetaler dividender. Ingen af delene holder her. </t>
  </si>
  <si>
    <t>Løbende ydelser (renter og afdrag) på lånet sopiller rollen som dividender. Eksistensen af dividender gør</t>
  </si>
  <si>
    <t>det mindre attraktivt at holde call-optionen i live; man mister dividedendebetalinger ved at indfri senere.</t>
  </si>
  <si>
    <t>Et mere naturligt referencepunkt (end 0) er markedsrenten ift. lånets kuponrente.</t>
  </si>
  <si>
    <t>En yderligere komplikation er den varierende strike, som man kan se som at man har et antal optioner,</t>
  </si>
  <si>
    <t xml:space="preserve">der aftager ligesom den resterende hovedstol; det vil også tale for førtidig indfrielse. </t>
  </si>
  <si>
    <t>(Trivielt eksempel: Ved udløb er hele lånet betalt af, så der er der i hvert fald ikke noget ved at indfri.)</t>
  </si>
  <si>
    <t>Da dividenden er stokastisk, så kan forward-kontrakten ikke replikeres med aktie og bankbog alene;</t>
  </si>
  <si>
    <t>der er derfor ikke en entydig arbitage-fri forwardpris. Spg. 1d viser mere stringent, at det at kunne</t>
  </si>
  <si>
    <t>replikere forward-kontrakten er det samme som at kunne replikere dividendebetalingerne -- og det kan</t>
  </si>
  <si>
    <t>Vi har generelt at Fwd(0,T) = FV (spot - PV(dividender)); FV~future value værdier, PV~present value.</t>
  </si>
  <si>
    <t>Hvis dividenden var determinitisk ville det her betyde Fwd(0,1) = 1.01*100 - dividende,</t>
  </si>
  <si>
    <t>så hvis vi bytter den stokastiske dividende ud med den middelværdi, så får vi ca. da 98.</t>
  </si>
  <si>
    <t>Aktivet, der betaler \delta(1) har derfor en entydig arbitragefri pris; de 2.97 ovenfor.</t>
  </si>
  <si>
    <t>2a</t>
  </si>
  <si>
    <t>2b</t>
  </si>
  <si>
    <t>2c</t>
  </si>
  <si>
    <t>2d</t>
  </si>
  <si>
    <t>Arbitragefrie forwardpriser</t>
  </si>
  <si>
    <t>theta</t>
  </si>
  <si>
    <t>D^T theta</t>
  </si>
  <si>
    <t>Risikofrit</t>
  </si>
  <si>
    <t>pi(0)</t>
  </si>
  <si>
    <t>theta*pi</t>
  </si>
  <si>
    <t>Nedre</t>
  </si>
  <si>
    <t>Øvre</t>
  </si>
  <si>
    <t>Arbitragefrit forwardprisinterval</t>
  </si>
  <si>
    <t>Ergo: ja, det er en plausibel pris. (Anden fane finder et præcist interval -- hvori 98 ligger.)</t>
  </si>
  <si>
    <t>Vi finder den øvre arbitragefri grænse ved at  løse</t>
  </si>
  <si>
    <t>minimer_{over theta} theta^T  pi under bibetingelsen D^Ttheta &gt;= x</t>
  </si>
  <si>
    <t>Det er udtrykt i formlerne i cellerne til venstre, idet bibetingelserne</t>
  </si>
  <si>
    <t>af pladshensyn er skervet på tranponeret form: theta D^T &gt;= x,</t>
  </si>
  <si>
    <t>hvor vi nu fortolker theta som en rækkevektor.</t>
  </si>
  <si>
    <t>Vi løser (det lineære programmrings (optimerings) problem med Excels</t>
  </si>
  <si>
    <t>Solver (klik Data, klik Solver). For mig ser det ud som på billedet nedenfor</t>
  </si>
  <si>
    <t>&lt;- theta pi, prisen på theta-pf., målcellen</t>
  </si>
  <si>
    <t>Opgave 2, set-up</t>
  </si>
  <si>
    <t>vi jf. spg. 2b ikke.</t>
  </si>
  <si>
    <r>
      <t xml:space="preserve">Bemærk at betaligen \delta(1) replikeres </t>
    </r>
    <r>
      <rPr>
        <b/>
        <sz val="11"/>
        <color theme="1"/>
        <rFont val="Calibri"/>
        <family val="2"/>
        <scheme val="minor"/>
      </rPr>
      <t>perfekt</t>
    </r>
    <r>
      <rPr>
        <sz val="11"/>
        <color theme="1"/>
        <rFont val="Calibri"/>
        <family val="2"/>
        <scheme val="minor"/>
      </rPr>
      <t xml:space="preserve"> med +1 stk. aktie, -1 stk. forward-kontrakt og - Fwd(0,1)/101</t>
    </r>
  </si>
  <si>
    <t xml:space="preserve"> stk.af det risikofrie aktiv. (Dette gælder altid; afhænger ikke af den specifikke form af \delta(1)-variablen.)</t>
  </si>
  <si>
    <t>&lt;- minimer under bibet. D^T theta_nedre  &lt;= x -&gt; nedre grænse</t>
  </si>
  <si>
    <t>Kommentarer til opgaven fra forelæsninger 24/10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</si>
</sst>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65" fontId="1" fillId="2" borderId="0" xfId="0" applyNumberFormat="1" applyFont="1" applyFill="1" applyBorder="1"/>
    <xf numFmtId="165" fontId="1" fillId="2" borderId="7" xfId="0" applyNumberFormat="1" applyFont="1" applyFill="1" applyBorder="1"/>
    <xf numFmtId="165" fontId="1" fillId="2" borderId="5" xfId="0" applyNumberFormat="1" applyFont="1" applyFill="1" applyBorder="1"/>
    <xf numFmtId="165" fontId="1" fillId="2" borderId="8" xfId="0" applyNumberFormat="1" applyFont="1" applyFill="1" applyBorder="1"/>
    <xf numFmtId="0" fontId="1" fillId="3" borderId="1" xfId="0" applyFont="1" applyFill="1" applyBorder="1"/>
    <xf numFmtId="16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F07173E6-E5E6-44B3-AE1A-822F9047F6CE" TargetMode="External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221874</xdr:colOff>
      <xdr:row>21</xdr:row>
      <xdr:rowOff>107950</xdr:rowOff>
    </xdr:from>
    <xdr:to>
      <xdr:col>14</xdr:col>
      <xdr:colOff>357716</xdr:colOff>
      <xdr:row>40</xdr:row>
      <xdr:rowOff>176790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3074" y="3803650"/>
          <a:ext cx="3793442" cy="3618490"/>
        </a:xfrm>
        <a:prstGeom prst="rect">
          <a:avLst/>
        </a:prstGeom>
      </xdr:spPr>
    </xdr:pic>
    <xdr:clientData/>
  </xdr:twoCellAnchor>
  <xdr:twoCellAnchor editAs="oneCell">
    <xdr:from>
      <xdr:col>0</xdr:col>
      <xdr:colOff>1042327</xdr:colOff>
      <xdr:row>53</xdr:row>
      <xdr:rowOff>95250</xdr:rowOff>
    </xdr:from>
    <xdr:to>
      <xdr:col>4</xdr:col>
      <xdr:colOff>265399</xdr:colOff>
      <xdr:row>69</xdr:row>
      <xdr:rowOff>40298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327" y="9969500"/>
          <a:ext cx="3845872" cy="2891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603250</xdr:colOff>
      <xdr:row>0</xdr:row>
      <xdr:rowOff>152404</xdr:rowOff>
    </xdr:from>
    <xdr:to>
      <xdr:col>14</xdr:col>
      <xdr:colOff>527049</xdr:colOff>
      <xdr:row>22</xdr:row>
      <xdr:rowOff>63502</xdr:rowOff>
    </xdr:to>
    <xdr:pic>
      <xdr:nvPicPr>
        <xdr:cNvPr id="3" name="F07173E6-E5E6-44B3-AE1A-822F9047F6CE" descr="image1.jpe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94351" y="647703"/>
          <a:ext cx="3962398" cy="297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32" zoomScale="196" zoomScaleNormal="196" workbookViewId="0">
      <selection activeCell="E3" sqref="E3"/>
    </sheetView>
  </sheetViews>
  <sheetFormatPr defaultRowHeight="14.5" x14ac:dyDescent="0.35"/>
  <cols>
    <col min="5" max="5" width="12.90625" customWidth="1"/>
  </cols>
  <sheetData>
    <row r="1" spans="1:7" x14ac:dyDescent="0.35">
      <c r="A1" t="s">
        <v>16</v>
      </c>
    </row>
    <row r="2" spans="1:7" x14ac:dyDescent="0.35">
      <c r="D2" t="s">
        <v>3</v>
      </c>
      <c r="E2">
        <v>1.03</v>
      </c>
      <c r="F2" t="s">
        <v>15</v>
      </c>
    </row>
    <row r="3" spans="1:7" x14ac:dyDescent="0.35">
      <c r="A3" t="s">
        <v>0</v>
      </c>
      <c r="B3">
        <v>0.05</v>
      </c>
      <c r="D3" t="s">
        <v>2</v>
      </c>
      <c r="E3" s="1">
        <f>EXP(B3+B4)</f>
        <v>1.3099644507332473</v>
      </c>
      <c r="F3" t="s">
        <v>13</v>
      </c>
    </row>
    <row r="4" spans="1:7" x14ac:dyDescent="0.35">
      <c r="A4" t="s">
        <v>1</v>
      </c>
      <c r="B4">
        <v>0.22</v>
      </c>
      <c r="D4" t="s">
        <v>4</v>
      </c>
      <c r="E4" s="1">
        <f>EXP(B3-B4)</f>
        <v>0.8436648165963837</v>
      </c>
      <c r="F4" t="s">
        <v>14</v>
      </c>
    </row>
    <row r="5" spans="1:7" x14ac:dyDescent="0.35">
      <c r="D5" t="s">
        <v>5</v>
      </c>
      <c r="E5" s="1">
        <f>(E2-E4)/(E3-E4)</f>
        <v>0.39960396655367114</v>
      </c>
      <c r="F5" t="s">
        <v>17</v>
      </c>
    </row>
    <row r="6" spans="1:7" x14ac:dyDescent="0.35">
      <c r="F6" t="s">
        <v>18</v>
      </c>
    </row>
    <row r="7" spans="1:7" x14ac:dyDescent="0.35">
      <c r="A7" s="2"/>
      <c r="B7" s="2"/>
      <c r="C7" s="2">
        <f>B8*EXP($B$3+$B$4)</f>
        <v>68.640274487394336</v>
      </c>
    </row>
    <row r="8" spans="1:7" x14ac:dyDescent="0.35">
      <c r="A8" s="2"/>
      <c r="B8" s="2">
        <f>A9*EXP($B$3+$B$4)</f>
        <v>52.39857802932989</v>
      </c>
      <c r="C8" s="2">
        <f>B9*EXP($B$3+$B$4)</f>
        <v>44.206836723025901</v>
      </c>
    </row>
    <row r="9" spans="1:7" x14ac:dyDescent="0.35">
      <c r="A9" s="2">
        <v>40</v>
      </c>
      <c r="B9" s="2">
        <f>A9*EXP($B$3-$B$4)</f>
        <v>33.746592663855346</v>
      </c>
      <c r="C9" s="2">
        <f>B9*EXP($B$3-$B$4)</f>
        <v>28.470812910504389</v>
      </c>
    </row>
    <row r="11" spans="1:7" x14ac:dyDescent="0.35">
      <c r="A11" t="s">
        <v>19</v>
      </c>
    </row>
    <row r="12" spans="1:7" x14ac:dyDescent="0.35">
      <c r="A12" t="s">
        <v>6</v>
      </c>
      <c r="B12" t="s">
        <v>7</v>
      </c>
      <c r="C12">
        <f>A9</f>
        <v>40</v>
      </c>
      <c r="E12" t="s">
        <v>8</v>
      </c>
      <c r="F12" t="s">
        <v>9</v>
      </c>
      <c r="G12">
        <f>A9</f>
        <v>40</v>
      </c>
    </row>
    <row r="14" spans="1:7" x14ac:dyDescent="0.35">
      <c r="A14" s="1"/>
      <c r="B14" s="1"/>
      <c r="C14" s="1">
        <f>MAX(C7-$C$12,0)</f>
        <v>28.640274487394336</v>
      </c>
      <c r="E14" s="1"/>
      <c r="F14" s="1"/>
      <c r="G14" s="1">
        <f>MAX($G$12-C7,0)</f>
        <v>0</v>
      </c>
    </row>
    <row r="15" spans="1:7" x14ac:dyDescent="0.35">
      <c r="A15" s="1"/>
      <c r="B15" s="1">
        <f>($E$5*C14+(1-$E$5)*C15)/$E$2</f>
        <v>13.563626573019215</v>
      </c>
      <c r="C15" s="1">
        <f>MAX(C8-$C$12,0)</f>
        <v>4.2068367230259014</v>
      </c>
      <c r="E15" s="1"/>
      <c r="F15" s="1">
        <f>($E$5*G14+(1-I5)*G15)/$E$2</f>
        <v>0</v>
      </c>
      <c r="G15" s="1">
        <f>MAX($G$12-C8,0)</f>
        <v>0</v>
      </c>
    </row>
    <row r="16" spans="1:7" x14ac:dyDescent="0.35">
      <c r="A16" s="1">
        <f>($E$5*B15+(1-$E$5)*B16)/$E$2</f>
        <v>6.2135811979645084</v>
      </c>
      <c r="B16" s="1">
        <f>($E$5*C15+(1-$E$6)*C16)/$E$2</f>
        <v>1.6321054768590268</v>
      </c>
      <c r="C16" s="1">
        <f>MAX(C9-$C$12,0)</f>
        <v>0</v>
      </c>
      <c r="E16" s="1">
        <f>($E$5*F15+(1-$E$5)*F16)/$E$2</f>
        <v>3.9174175633146815</v>
      </c>
      <c r="F16" s="1">
        <f>($E$5*G15+(1-$E$5)*G16)/$E$2</f>
        <v>6.720464269314359</v>
      </c>
      <c r="G16" s="1">
        <f>MAX($G$12-C9,0)</f>
        <v>11.529187089495611</v>
      </c>
    </row>
    <row r="18" spans="1:12" x14ac:dyDescent="0.35">
      <c r="A18" t="s">
        <v>10</v>
      </c>
    </row>
    <row r="19" spans="1:12" x14ac:dyDescent="0.35">
      <c r="A19" t="s">
        <v>11</v>
      </c>
      <c r="B19">
        <f>A16-E16</f>
        <v>2.2961636346498269</v>
      </c>
      <c r="C19" t="s">
        <v>12</v>
      </c>
      <c r="D19">
        <f>A9-C12*E2^-2</f>
        <v>2.2961636346498295</v>
      </c>
    </row>
    <row r="21" spans="1:12" x14ac:dyDescent="0.35">
      <c r="A21" t="s">
        <v>20</v>
      </c>
    </row>
    <row r="22" spans="1:12" x14ac:dyDescent="0.35">
      <c r="A22" t="s">
        <v>21</v>
      </c>
      <c r="E22" t="s">
        <v>22</v>
      </c>
    </row>
    <row r="23" spans="1:12" x14ac:dyDescent="0.35">
      <c r="C23">
        <f>LN(C7/$A$9)</f>
        <v>0.53999999999999992</v>
      </c>
      <c r="E23" t="s">
        <v>23</v>
      </c>
      <c r="F23" s="2">
        <f>B8</f>
        <v>52.39857802932989</v>
      </c>
      <c r="G23" s="2">
        <f>B9</f>
        <v>33.746592663855346</v>
      </c>
      <c r="H23">
        <f>B24</f>
        <v>0.26779198571224777</v>
      </c>
      <c r="I23">
        <f t="array" ref="I23:I24">MMULT(TRANSPOSE(MINVERSE(F23:G24)),H23:H24)</f>
        <v>2.2902895195819221E-2</v>
      </c>
      <c r="J23" t="s">
        <v>46</v>
      </c>
      <c r="L23" t="s">
        <v>48</v>
      </c>
    </row>
    <row r="24" spans="1:12" x14ac:dyDescent="0.35">
      <c r="B24">
        <f>($E$5*C23+(1-$E$5)*C24)/$E$2</f>
        <v>0.26779198571224777</v>
      </c>
      <c r="C24">
        <f>LN(C8/$A$9)</f>
        <v>9.9999999999999881E-2</v>
      </c>
      <c r="F24">
        <f>E2</f>
        <v>1.03</v>
      </c>
      <c r="G24">
        <f>E2</f>
        <v>1.03</v>
      </c>
      <c r="H24">
        <f>B25</f>
        <v>-0.1593924803071696</v>
      </c>
      <c r="I24">
        <v>-0.90513316048878667</v>
      </c>
      <c r="J24" t="s">
        <v>47</v>
      </c>
      <c r="L24">
        <f>I23*A9+I24</f>
        <v>1.0982647343982244E-2</v>
      </c>
    </row>
    <row r="25" spans="1:12" x14ac:dyDescent="0.35">
      <c r="A25">
        <f>($E$5*B24+(1-$E$5)*B25)/$E$2</f>
        <v>1.0982647343982068E-2</v>
      </c>
      <c r="B25">
        <f>($E$5*C24+(1-$E$5)*C25)/$E$2</f>
        <v>-0.1593924803071696</v>
      </c>
      <c r="C25">
        <f>LN(C9/$A$9)</f>
        <v>-0.33999999999999991</v>
      </c>
      <c r="E25" t="s">
        <v>24</v>
      </c>
      <c r="F25" s="2">
        <f>C7</f>
        <v>68.640274487394336</v>
      </c>
      <c r="G25" s="2">
        <f>C8</f>
        <v>44.206836723025901</v>
      </c>
      <c r="H25">
        <f>C23</f>
        <v>0.53999999999999992</v>
      </c>
      <c r="I25">
        <f t="array" ref="I25:I26">MMULT(MINVERSE(TRANSPOSE(F25:G26)),H25:H26)</f>
        <v>1.8008108570037453E-2</v>
      </c>
      <c r="J25" t="s">
        <v>46</v>
      </c>
    </row>
    <row r="26" spans="1:12" x14ac:dyDescent="0.35">
      <c r="F26">
        <f>E2</f>
        <v>1.03</v>
      </c>
      <c r="G26">
        <f>E2</f>
        <v>1.03</v>
      </c>
      <c r="H26">
        <f>C24</f>
        <v>9.9999999999999881E-2</v>
      </c>
      <c r="I26">
        <v>-0.67580729635550418</v>
      </c>
      <c r="J26" t="s">
        <v>47</v>
      </c>
      <c r="L26">
        <f>I25*B8+I26</f>
        <v>0.2677919857122476</v>
      </c>
    </row>
    <row r="27" spans="1:12" x14ac:dyDescent="0.35">
      <c r="E27" t="s">
        <v>25</v>
      </c>
      <c r="F27" s="2">
        <f>C8</f>
        <v>44.206836723025901</v>
      </c>
      <c r="G27" s="2">
        <f>C9</f>
        <v>28.470812910504389</v>
      </c>
      <c r="H27">
        <f>C24</f>
        <v>9.9999999999999881E-2</v>
      </c>
      <c r="I27">
        <f t="array" ref="I27:I28">MMULT(MINVERSE(TRANSPOSE(F27:G28)),H27:H28)</f>
        <v>2.7961320168433001E-2</v>
      </c>
      <c r="J27" t="s">
        <v>46</v>
      </c>
    </row>
    <row r="28" spans="1:12" x14ac:dyDescent="0.35">
      <c r="F28">
        <f>E2</f>
        <v>1.03</v>
      </c>
      <c r="G28">
        <f>E2</f>
        <v>1.03</v>
      </c>
      <c r="H28">
        <f>C25</f>
        <v>-0.33999999999999991</v>
      </c>
      <c r="I28">
        <v>-1.1029917623749212</v>
      </c>
      <c r="J28" t="s">
        <v>47</v>
      </c>
      <c r="L28">
        <f>I27*B9+I28</f>
        <v>-0.15939248030716957</v>
      </c>
    </row>
    <row r="29" spans="1:12" x14ac:dyDescent="0.35">
      <c r="A29" t="s">
        <v>26</v>
      </c>
    </row>
    <row r="30" spans="1:12" x14ac:dyDescent="0.35">
      <c r="A30" t="s">
        <v>50</v>
      </c>
      <c r="C30" t="s">
        <v>51</v>
      </c>
      <c r="D30">
        <v>0.01</v>
      </c>
    </row>
    <row r="32" spans="1:12" x14ac:dyDescent="0.35">
      <c r="A32">
        <v>0</v>
      </c>
      <c r="B32">
        <v>1</v>
      </c>
      <c r="C32">
        <v>2</v>
      </c>
    </row>
    <row r="33" spans="1:8" x14ac:dyDescent="0.35">
      <c r="E33" t="s">
        <v>57</v>
      </c>
      <c r="H33">
        <f>A36+(B35*E5+(1-E5)*B37)/E2+(E5^2*C34+E5*(1-E5)*(C35+C37)+(1-E5)^2*C38)/E2^2</f>
        <v>2.0312420408630624E-2</v>
      </c>
    </row>
    <row r="34" spans="1:8" x14ac:dyDescent="0.35">
      <c r="C34">
        <f>I25*D30*C7</f>
        <v>1.2360815152461692E-2</v>
      </c>
    </row>
    <row r="35" spans="1:8" x14ac:dyDescent="0.35">
      <c r="B35">
        <f>D30*ABS(I23-I25)*B8</f>
        <v>2.5647985894794636E-3</v>
      </c>
      <c r="C35">
        <f>I25*D30*C8</f>
        <v>7.9608151524616921E-3</v>
      </c>
      <c r="E35" t="s">
        <v>52</v>
      </c>
    </row>
    <row r="36" spans="1:8" x14ac:dyDescent="0.35">
      <c r="A36">
        <f>D30*A9*I23</f>
        <v>9.1611580783276889E-3</v>
      </c>
      <c r="E36" t="s">
        <v>53</v>
      </c>
    </row>
    <row r="37" spans="1:8" x14ac:dyDescent="0.35">
      <c r="B37">
        <f>D30*ABS(I27-I23)*B9</f>
        <v>1.7070460707147087E-3</v>
      </c>
      <c r="C37">
        <f>I27*D30*C8</f>
        <v>1.2360815152461686E-2</v>
      </c>
      <c r="E37" t="s">
        <v>54</v>
      </c>
    </row>
    <row r="38" spans="1:8" x14ac:dyDescent="0.35">
      <c r="C38">
        <f>I27*D30*C9</f>
        <v>7.9608151524616904E-3</v>
      </c>
      <c r="D38" t="s">
        <v>49</v>
      </c>
      <c r="E38" t="s">
        <v>55</v>
      </c>
    </row>
    <row r="39" spans="1:8" x14ac:dyDescent="0.35">
      <c r="E3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2" workbookViewId="0">
      <selection activeCell="B16" sqref="B16:C16"/>
    </sheetView>
  </sheetViews>
  <sheetFormatPr defaultRowHeight="14.5" x14ac:dyDescent="0.35"/>
  <cols>
    <col min="1" max="1" width="20.08984375" customWidth="1"/>
    <col min="2" max="2" width="14.54296875" customWidth="1"/>
    <col min="4" max="4" width="22.81640625" customWidth="1"/>
    <col min="15" max="15" width="9.7265625" customWidth="1"/>
  </cols>
  <sheetData>
    <row r="1" spans="1:15" x14ac:dyDescent="0.35">
      <c r="A1" t="s">
        <v>104</v>
      </c>
    </row>
    <row r="2" spans="1:15" x14ac:dyDescent="0.35">
      <c r="A2" t="s">
        <v>27</v>
      </c>
      <c r="B2">
        <v>140</v>
      </c>
      <c r="C2">
        <v>120</v>
      </c>
      <c r="D2">
        <v>100</v>
      </c>
      <c r="E2">
        <v>100</v>
      </c>
      <c r="F2">
        <v>90</v>
      </c>
      <c r="G2">
        <v>80</v>
      </c>
      <c r="I2">
        <v>100</v>
      </c>
    </row>
    <row r="3" spans="1:15" x14ac:dyDescent="0.35">
      <c r="A3" t="s">
        <v>28</v>
      </c>
      <c r="B3">
        <v>4</v>
      </c>
      <c r="C3">
        <v>3</v>
      </c>
      <c r="D3">
        <v>4</v>
      </c>
      <c r="E3">
        <v>3</v>
      </c>
      <c r="F3">
        <v>1</v>
      </c>
      <c r="G3">
        <v>2</v>
      </c>
    </row>
    <row r="4" spans="1:15" x14ac:dyDescent="0.35">
      <c r="A4" t="s">
        <v>31</v>
      </c>
      <c r="B4">
        <f t="shared" ref="B4:G4" si="0">B3+B2</f>
        <v>144</v>
      </c>
      <c r="C4">
        <f t="shared" si="0"/>
        <v>123</v>
      </c>
      <c r="D4">
        <f t="shared" si="0"/>
        <v>104</v>
      </c>
      <c r="E4">
        <f t="shared" si="0"/>
        <v>103</v>
      </c>
      <c r="F4">
        <f t="shared" si="0"/>
        <v>91</v>
      </c>
      <c r="G4">
        <f t="shared" si="0"/>
        <v>82</v>
      </c>
      <c r="I4">
        <v>100</v>
      </c>
    </row>
    <row r="5" spans="1:15" x14ac:dyDescent="0.35">
      <c r="A5" t="s">
        <v>30</v>
      </c>
      <c r="B5">
        <v>101</v>
      </c>
      <c r="C5">
        <v>101</v>
      </c>
      <c r="D5">
        <v>101</v>
      </c>
      <c r="E5">
        <v>101</v>
      </c>
      <c r="F5">
        <v>101</v>
      </c>
      <c r="G5">
        <v>101</v>
      </c>
      <c r="I5">
        <v>100</v>
      </c>
    </row>
    <row r="6" spans="1:15" x14ac:dyDescent="0.35">
      <c r="A6" t="s">
        <v>43</v>
      </c>
      <c r="B6">
        <f t="shared" ref="B6:G6" si="1">B2-$K$6</f>
        <v>42</v>
      </c>
      <c r="C6">
        <f t="shared" si="1"/>
        <v>22</v>
      </c>
      <c r="D6">
        <f t="shared" si="1"/>
        <v>2</v>
      </c>
      <c r="E6">
        <f t="shared" si="1"/>
        <v>2</v>
      </c>
      <c r="F6">
        <f t="shared" si="1"/>
        <v>-8</v>
      </c>
      <c r="G6">
        <f t="shared" si="1"/>
        <v>-18</v>
      </c>
      <c r="I6">
        <v>0</v>
      </c>
      <c r="J6" t="s">
        <v>44</v>
      </c>
      <c r="K6">
        <v>98</v>
      </c>
    </row>
    <row r="7" spans="1:15" x14ac:dyDescent="0.35">
      <c r="A7" t="s">
        <v>29</v>
      </c>
      <c r="B7">
        <f t="shared" ref="B7:G7" si="2">B4/$I$2 -1</f>
        <v>0.43999999999999995</v>
      </c>
      <c r="C7">
        <f t="shared" si="2"/>
        <v>0.22999999999999998</v>
      </c>
      <c r="D7">
        <f t="shared" si="2"/>
        <v>4.0000000000000036E-2</v>
      </c>
      <c r="E7">
        <f t="shared" si="2"/>
        <v>3.0000000000000027E-2</v>
      </c>
      <c r="F7">
        <f t="shared" si="2"/>
        <v>-8.9999999999999969E-2</v>
      </c>
      <c r="G7">
        <f t="shared" si="2"/>
        <v>-0.18000000000000005</v>
      </c>
    </row>
    <row r="8" spans="1:15" x14ac:dyDescent="0.35">
      <c r="A8" t="s">
        <v>34</v>
      </c>
      <c r="B8">
        <f t="shared" ref="B8:G8" si="3">B3/$I$4</f>
        <v>0.04</v>
      </c>
      <c r="C8">
        <f t="shared" si="3"/>
        <v>0.03</v>
      </c>
      <c r="D8">
        <f t="shared" si="3"/>
        <v>0.04</v>
      </c>
      <c r="E8">
        <f t="shared" si="3"/>
        <v>0.03</v>
      </c>
      <c r="F8">
        <f t="shared" si="3"/>
        <v>0.01</v>
      </c>
      <c r="G8">
        <f t="shared" si="3"/>
        <v>0.02</v>
      </c>
    </row>
    <row r="9" spans="1:15" ht="15" thickBot="1" x14ac:dyDescent="0.4"/>
    <row r="10" spans="1:15" ht="15" thickTop="1" x14ac:dyDescent="0.35">
      <c r="A10" s="18" t="s">
        <v>82</v>
      </c>
      <c r="B10" s="5"/>
      <c r="C10" s="5"/>
      <c r="D10" s="5"/>
      <c r="E10" s="6"/>
    </row>
    <row r="11" spans="1:15" x14ac:dyDescent="0.35">
      <c r="A11" s="7" t="s">
        <v>32</v>
      </c>
      <c r="B11" s="14">
        <f>AVERAGE(B7:G7)</f>
        <v>7.8333333333333324E-2</v>
      </c>
      <c r="C11" s="8"/>
      <c r="D11" s="8" t="s">
        <v>35</v>
      </c>
      <c r="E11" s="16">
        <f>AVERAGE(B8:G8)</f>
        <v>2.8333333333333335E-2</v>
      </c>
    </row>
    <row r="12" spans="1:15" ht="15" thickBot="1" x14ac:dyDescent="0.4">
      <c r="A12" s="10" t="s">
        <v>33</v>
      </c>
      <c r="B12" s="15">
        <f>_xlfn.STDEV.P(B7:G7)</f>
        <v>0.20521668764720105</v>
      </c>
      <c r="C12" s="11"/>
      <c r="D12" s="11" t="s">
        <v>36</v>
      </c>
      <c r="E12" s="17">
        <f>CORREL(B7:G7,B8:G8)</f>
        <v>0.69886895153931206</v>
      </c>
    </row>
    <row r="13" spans="1:15" ht="15.5" thickTop="1" thickBot="1" x14ac:dyDescent="0.4"/>
    <row r="14" spans="1:15" ht="15" thickTop="1" x14ac:dyDescent="0.35">
      <c r="A14" s="4" t="s">
        <v>83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35">
      <c r="A15" s="7" t="s">
        <v>37</v>
      </c>
      <c r="B15" s="8">
        <f t="shared" ref="B15:G15" si="4">B3</f>
        <v>4</v>
      </c>
      <c r="C15" s="8">
        <f t="shared" si="4"/>
        <v>3</v>
      </c>
      <c r="D15" s="8">
        <f t="shared" si="4"/>
        <v>4</v>
      </c>
      <c r="E15" s="8">
        <f t="shared" si="4"/>
        <v>3</v>
      </c>
      <c r="F15" s="8">
        <f t="shared" si="4"/>
        <v>1</v>
      </c>
      <c r="G15" s="8">
        <f t="shared" si="4"/>
        <v>2</v>
      </c>
      <c r="H15" s="8"/>
      <c r="I15" s="8" t="s">
        <v>96</v>
      </c>
      <c r="J15" s="8"/>
      <c r="K15" s="8"/>
      <c r="L15" s="8"/>
      <c r="M15" s="8"/>
      <c r="N15" s="8"/>
      <c r="O15" s="9"/>
    </row>
    <row r="16" spans="1:15" x14ac:dyDescent="0.35">
      <c r="A16" s="7" t="s">
        <v>39</v>
      </c>
      <c r="B16" s="8">
        <v>9.0909090909090898E-2</v>
      </c>
      <c r="C16" s="8">
        <v>-5.4005400540053962E-2</v>
      </c>
      <c r="D16" s="8" t="s">
        <v>49</v>
      </c>
      <c r="E16" s="8"/>
      <c r="F16" s="8"/>
      <c r="G16" s="8"/>
      <c r="H16" s="8"/>
      <c r="I16" s="8" t="s">
        <v>97</v>
      </c>
      <c r="J16" s="8"/>
      <c r="K16" s="8"/>
      <c r="L16" s="8"/>
      <c r="M16" s="8"/>
      <c r="N16" s="8"/>
      <c r="O16" s="9"/>
    </row>
    <row r="17" spans="1:15" x14ac:dyDescent="0.35">
      <c r="A17" s="7" t="s">
        <v>40</v>
      </c>
      <c r="B17" s="8">
        <f t="array" ref="B17:G17">MMULT(B16:C16,B4:G5)</f>
        <v>7.6363636363636394</v>
      </c>
      <c r="C17" s="8">
        <v>5.7272727272727293</v>
      </c>
      <c r="D17" s="8">
        <v>4.0000000000000027</v>
      </c>
      <c r="E17" s="8">
        <v>3.9090909090909127</v>
      </c>
      <c r="F17" s="8">
        <v>2.818181818181821</v>
      </c>
      <c r="G17" s="8">
        <v>2.0000000000000027</v>
      </c>
      <c r="H17" s="8"/>
      <c r="I17" s="8" t="s">
        <v>98</v>
      </c>
      <c r="J17" s="8"/>
      <c r="K17" s="8"/>
      <c r="L17" s="8"/>
      <c r="M17" s="8"/>
      <c r="N17" s="8"/>
      <c r="O17" s="9"/>
    </row>
    <row r="18" spans="1:15" x14ac:dyDescent="0.35">
      <c r="A18" s="7"/>
      <c r="B18" s="8"/>
      <c r="C18" s="8"/>
      <c r="D18" s="8"/>
      <c r="E18" s="8"/>
      <c r="F18" s="8"/>
      <c r="G18" s="8"/>
      <c r="H18" s="8"/>
      <c r="I18" s="8" t="s">
        <v>99</v>
      </c>
      <c r="J18" s="8"/>
      <c r="K18" s="8"/>
      <c r="L18" s="8"/>
      <c r="M18" s="8"/>
      <c r="N18" s="8"/>
      <c r="O18" s="9"/>
    </row>
    <row r="19" spans="1:15" x14ac:dyDescent="0.35">
      <c r="A19" s="7" t="s">
        <v>38</v>
      </c>
      <c r="B19" s="14">
        <f t="array" ref="B19">MMULT(B16:C16,I4:I5)</f>
        <v>3.6903690369036939</v>
      </c>
      <c r="C19" s="8" t="s">
        <v>103</v>
      </c>
      <c r="D19" s="8"/>
      <c r="E19" s="8"/>
      <c r="F19" s="8"/>
      <c r="G19" s="8"/>
      <c r="H19" s="8"/>
      <c r="I19" s="8" t="s">
        <v>100</v>
      </c>
      <c r="J19" s="8"/>
      <c r="K19" s="8"/>
      <c r="L19" s="8"/>
      <c r="M19" s="8"/>
      <c r="N19" s="8"/>
      <c r="O19" s="9"/>
    </row>
    <row r="20" spans="1:15" x14ac:dyDescent="0.35">
      <c r="A20" s="7"/>
      <c r="B20" s="8"/>
      <c r="C20" s="8"/>
      <c r="D20" s="8"/>
      <c r="E20" s="8"/>
      <c r="F20" s="8"/>
      <c r="G20" s="8"/>
      <c r="H20" s="8"/>
      <c r="I20" s="13" t="s">
        <v>101</v>
      </c>
      <c r="J20" s="8"/>
      <c r="K20" s="8"/>
      <c r="L20" s="8"/>
      <c r="M20" s="8"/>
      <c r="N20" s="8"/>
      <c r="O20" s="9"/>
    </row>
    <row r="21" spans="1:15" x14ac:dyDescent="0.35">
      <c r="A21" s="7" t="s">
        <v>41</v>
      </c>
      <c r="B21" s="8">
        <v>5.6603773584905669E-2</v>
      </c>
      <c r="C21" s="8">
        <v>-4.1098449467588269E-2</v>
      </c>
      <c r="D21" s="8"/>
      <c r="E21" s="8"/>
      <c r="F21" s="8"/>
      <c r="G21" s="8"/>
      <c r="H21" s="8"/>
      <c r="I21" s="13" t="s">
        <v>102</v>
      </c>
      <c r="J21" s="8"/>
      <c r="K21" s="8"/>
      <c r="L21" s="8"/>
      <c r="M21" s="8"/>
      <c r="N21" s="8"/>
      <c r="O21" s="9"/>
    </row>
    <row r="22" spans="1:15" x14ac:dyDescent="0.35">
      <c r="A22" s="7" t="s">
        <v>42</v>
      </c>
      <c r="B22" s="8">
        <f t="array" ref="B22:G22">MMULT(B21:C21,B4:G5)</f>
        <v>4.0000000000000018</v>
      </c>
      <c r="C22" s="8">
        <v>2.8113207547169825</v>
      </c>
      <c r="D22" s="8">
        <v>1.7358490566037741</v>
      </c>
      <c r="E22" s="8">
        <v>1.6792452830188687</v>
      </c>
      <c r="F22" s="8">
        <v>1.0000000000000009</v>
      </c>
      <c r="G22" s="8">
        <v>0.49056603773584939</v>
      </c>
      <c r="H22" s="8"/>
      <c r="I22" s="8"/>
      <c r="J22" s="8"/>
      <c r="K22" s="8"/>
      <c r="L22" s="8"/>
      <c r="M22" s="8"/>
      <c r="N22" s="8"/>
      <c r="O22" s="9"/>
    </row>
    <row r="23" spans="1:15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 ht="15" thickBot="1" x14ac:dyDescent="0.4">
      <c r="A24" s="10" t="s">
        <v>38</v>
      </c>
      <c r="B24" s="15">
        <f t="array" ref="B24">MMULT(B21:C21,I4:I5)</f>
        <v>1.5505324117317398</v>
      </c>
      <c r="C24" s="11" t="s">
        <v>108</v>
      </c>
      <c r="D24" s="11"/>
      <c r="E24" s="11"/>
      <c r="F24" s="11"/>
      <c r="G24" s="11"/>
      <c r="H24" s="11"/>
      <c r="I24" s="8"/>
      <c r="J24" s="8"/>
      <c r="K24" s="8"/>
      <c r="L24" s="8"/>
      <c r="M24" s="8"/>
      <c r="N24" s="8"/>
      <c r="O24" s="9"/>
    </row>
    <row r="25" spans="1:15" ht="15.5" thickTop="1" thickBot="1" x14ac:dyDescent="0.4">
      <c r="I25" s="7"/>
      <c r="J25" s="8"/>
      <c r="K25" s="8"/>
      <c r="L25" s="8"/>
      <c r="M25" s="8"/>
      <c r="N25" s="8"/>
      <c r="O25" s="9"/>
    </row>
    <row r="26" spans="1:15" ht="15" thickTop="1" x14ac:dyDescent="0.35">
      <c r="A26" s="18" t="s">
        <v>84</v>
      </c>
      <c r="B26" s="5"/>
      <c r="C26" s="5"/>
      <c r="D26" s="5"/>
      <c r="E26" s="5"/>
      <c r="F26" s="5"/>
      <c r="G26" s="6"/>
      <c r="I26" s="7"/>
      <c r="J26" s="8"/>
      <c r="K26" s="8"/>
      <c r="L26" s="8"/>
      <c r="M26" s="8"/>
      <c r="N26" s="8"/>
      <c r="O26" s="9"/>
    </row>
    <row r="27" spans="1:15" x14ac:dyDescent="0.35">
      <c r="A27" s="7" t="s">
        <v>75</v>
      </c>
      <c r="B27" s="8"/>
      <c r="C27" s="8"/>
      <c r="D27" s="8"/>
      <c r="E27" s="8"/>
      <c r="F27" s="8"/>
      <c r="G27" s="9"/>
      <c r="I27" s="7"/>
      <c r="J27" s="8"/>
      <c r="K27" s="8"/>
      <c r="L27" s="8"/>
      <c r="M27" s="8"/>
      <c r="N27" s="8"/>
      <c r="O27" s="9"/>
    </row>
    <row r="28" spans="1:15" x14ac:dyDescent="0.35">
      <c r="A28" s="7" t="s">
        <v>76</v>
      </c>
      <c r="B28" s="8"/>
      <c r="C28" s="8"/>
      <c r="D28" s="8"/>
      <c r="E28" s="8"/>
      <c r="F28" s="8"/>
      <c r="G28" s="9"/>
      <c r="I28" s="7"/>
      <c r="J28" s="8"/>
      <c r="K28" s="8"/>
      <c r="L28" s="8"/>
      <c r="M28" s="8"/>
      <c r="N28" s="8"/>
      <c r="O28" s="9"/>
    </row>
    <row r="29" spans="1:15" x14ac:dyDescent="0.35">
      <c r="A29" s="7" t="s">
        <v>77</v>
      </c>
      <c r="B29" s="8"/>
      <c r="C29" s="8"/>
      <c r="D29" s="8"/>
      <c r="E29" s="8"/>
      <c r="F29" s="8"/>
      <c r="G29" s="9"/>
      <c r="I29" s="7"/>
      <c r="J29" s="8"/>
      <c r="K29" s="8"/>
      <c r="L29" s="8"/>
      <c r="M29" s="8"/>
      <c r="N29" s="8"/>
      <c r="O29" s="9"/>
    </row>
    <row r="30" spans="1:15" x14ac:dyDescent="0.35">
      <c r="A30" s="7" t="s">
        <v>105</v>
      </c>
      <c r="B30" s="8" t="s">
        <v>49</v>
      </c>
      <c r="C30" s="8"/>
      <c r="D30" s="8" t="s">
        <v>49</v>
      </c>
      <c r="E30" s="8" t="s">
        <v>49</v>
      </c>
      <c r="F30" s="8"/>
      <c r="G30" s="9"/>
      <c r="I30" s="7"/>
      <c r="J30" s="8"/>
      <c r="K30" s="8"/>
      <c r="L30" s="8"/>
      <c r="M30" s="8"/>
      <c r="N30" s="8"/>
      <c r="O30" s="9"/>
    </row>
    <row r="31" spans="1:15" x14ac:dyDescent="0.35">
      <c r="A31" s="7" t="s">
        <v>78</v>
      </c>
      <c r="B31" s="8"/>
      <c r="C31" s="8"/>
      <c r="D31" s="8"/>
      <c r="E31" s="8"/>
      <c r="F31" s="8"/>
      <c r="G31" s="9"/>
      <c r="I31" s="7"/>
      <c r="J31" s="8"/>
      <c r="K31" s="8"/>
      <c r="L31" s="8"/>
      <c r="M31" s="8"/>
      <c r="N31" s="8"/>
      <c r="O31" s="9"/>
    </row>
    <row r="32" spans="1:15" x14ac:dyDescent="0.35">
      <c r="A32" s="7" t="s">
        <v>79</v>
      </c>
      <c r="B32" s="8"/>
      <c r="C32" s="8"/>
      <c r="D32" s="8"/>
      <c r="E32" s="8"/>
      <c r="F32" s="8"/>
      <c r="G32" s="9"/>
      <c r="I32" s="7"/>
      <c r="J32" s="8"/>
      <c r="K32" s="8"/>
      <c r="L32" s="8"/>
      <c r="M32" s="8"/>
      <c r="N32" s="8"/>
      <c r="O32" s="9"/>
    </row>
    <row r="33" spans="1:15" x14ac:dyDescent="0.35">
      <c r="A33" s="7" t="s">
        <v>80</v>
      </c>
      <c r="B33" s="8"/>
      <c r="C33" s="8"/>
      <c r="D33" s="8"/>
      <c r="E33" s="8"/>
      <c r="F33" s="8"/>
      <c r="G33" s="9"/>
      <c r="I33" s="7"/>
      <c r="J33" s="8"/>
      <c r="K33" s="8"/>
      <c r="L33" s="8"/>
      <c r="M33" s="8"/>
      <c r="N33" s="8"/>
      <c r="O33" s="9"/>
    </row>
    <row r="34" spans="1:15" ht="15" thickBot="1" x14ac:dyDescent="0.4">
      <c r="A34" s="10" t="s">
        <v>95</v>
      </c>
      <c r="B34" s="11"/>
      <c r="C34" s="11"/>
      <c r="D34" s="11"/>
      <c r="E34" s="11"/>
      <c r="F34" s="11"/>
      <c r="G34" s="12"/>
      <c r="I34" s="7"/>
      <c r="J34" s="8"/>
      <c r="K34" s="8"/>
      <c r="L34" s="8"/>
      <c r="M34" s="8"/>
      <c r="N34" s="8"/>
      <c r="O34" s="9"/>
    </row>
    <row r="35" spans="1:15" ht="15.5" thickTop="1" thickBot="1" x14ac:dyDescent="0.4">
      <c r="I35" s="7"/>
      <c r="J35" s="8"/>
      <c r="K35" s="8"/>
      <c r="L35" s="8"/>
      <c r="M35" s="8"/>
      <c r="N35" s="8"/>
      <c r="O35" s="9"/>
    </row>
    <row r="36" spans="1:15" ht="15" thickTop="1" x14ac:dyDescent="0.35">
      <c r="A36" s="18" t="s">
        <v>85</v>
      </c>
      <c r="B36" s="5"/>
      <c r="C36" s="5"/>
      <c r="D36" s="5"/>
      <c r="E36" s="5"/>
      <c r="F36" s="5"/>
      <c r="G36" s="6"/>
      <c r="I36" s="7"/>
      <c r="J36" s="8"/>
      <c r="K36" s="8"/>
      <c r="L36" s="8"/>
      <c r="M36" s="8"/>
      <c r="N36" s="8"/>
      <c r="O36" s="9"/>
    </row>
    <row r="37" spans="1:15" x14ac:dyDescent="0.35">
      <c r="A37" s="7" t="s">
        <v>39</v>
      </c>
      <c r="B37" s="8">
        <v>0.99999999999999378</v>
      </c>
      <c r="C37" s="8">
        <v>-0.97029702970296405</v>
      </c>
      <c r="D37" s="8">
        <v>-0.99999999999999334</v>
      </c>
      <c r="E37" s="8"/>
      <c r="F37" s="8"/>
      <c r="G37" s="9"/>
      <c r="I37" s="7"/>
      <c r="J37" s="8"/>
      <c r="K37" s="8"/>
      <c r="L37" s="8"/>
      <c r="M37" s="8"/>
      <c r="N37" s="8"/>
      <c r="O37" s="9"/>
    </row>
    <row r="38" spans="1:15" x14ac:dyDescent="0.35">
      <c r="A38" s="7" t="s">
        <v>45</v>
      </c>
      <c r="B38" s="8">
        <f t="array" ref="B38:G38">MMULT(B37:D37,B4:G6)</f>
        <v>3.9999999999999929</v>
      </c>
      <c r="C38" s="8">
        <v>3.0000000000000036</v>
      </c>
      <c r="D38" s="8">
        <v>3.9999999999999849</v>
      </c>
      <c r="E38" s="8">
        <v>2.9999999999999991</v>
      </c>
      <c r="F38" s="8">
        <v>1.0000000000000036</v>
      </c>
      <c r="G38" s="9">
        <v>1.9999999999999929</v>
      </c>
      <c r="I38" s="7"/>
      <c r="J38" s="8"/>
      <c r="K38" s="8"/>
      <c r="L38" s="8"/>
      <c r="M38" s="8"/>
      <c r="N38" s="8"/>
      <c r="O38" s="9"/>
    </row>
    <row r="39" spans="1:15" x14ac:dyDescent="0.35">
      <c r="A39" s="7"/>
      <c r="B39" s="8"/>
      <c r="C39" s="8"/>
      <c r="D39" s="8"/>
      <c r="E39" s="8"/>
      <c r="F39" s="8"/>
      <c r="G39" s="9"/>
      <c r="I39" s="7"/>
      <c r="J39" s="8"/>
      <c r="K39" s="8"/>
      <c r="L39" s="8"/>
      <c r="M39" s="8"/>
      <c r="N39" s="8"/>
      <c r="O39" s="9"/>
    </row>
    <row r="40" spans="1:15" x14ac:dyDescent="0.35">
      <c r="A40" s="7" t="s">
        <v>38</v>
      </c>
      <c r="B40" s="14">
        <f t="array" ref="B40">MMULT(B37:D37,I4:I6)</f>
        <v>2.9702970297029765</v>
      </c>
      <c r="C40" s="8"/>
      <c r="D40" s="8"/>
      <c r="E40" s="8"/>
      <c r="F40" s="8"/>
      <c r="G40" s="9"/>
      <c r="I40" s="7"/>
      <c r="J40" s="8"/>
      <c r="K40" s="8"/>
      <c r="L40" s="8"/>
      <c r="M40" s="8"/>
      <c r="N40" s="8"/>
      <c r="O40" s="9"/>
    </row>
    <row r="41" spans="1:15" x14ac:dyDescent="0.35">
      <c r="A41" s="7" t="s">
        <v>49</v>
      </c>
      <c r="B41" s="8"/>
      <c r="C41" s="8"/>
      <c r="D41" s="8"/>
      <c r="E41" s="8"/>
      <c r="F41" s="8"/>
      <c r="G41" s="9"/>
      <c r="I41" s="7"/>
      <c r="J41" s="8"/>
      <c r="K41" s="8"/>
      <c r="L41" s="8"/>
      <c r="M41" s="8"/>
      <c r="N41" s="8"/>
      <c r="O41" s="9"/>
    </row>
    <row r="42" spans="1:15" ht="15" thickBot="1" x14ac:dyDescent="0.4">
      <c r="A42" s="7"/>
      <c r="B42" s="8">
        <v>0.99999999999999378</v>
      </c>
      <c r="C42" s="8">
        <v>-0.97029702970296405</v>
      </c>
      <c r="D42" s="8">
        <v>-0.99999999999999334</v>
      </c>
      <c r="E42" s="8"/>
      <c r="F42" s="8"/>
      <c r="G42" s="9"/>
      <c r="I42" s="10"/>
      <c r="J42" s="11"/>
      <c r="K42" s="11"/>
      <c r="L42" s="11"/>
      <c r="M42" s="11"/>
      <c r="N42" s="11"/>
      <c r="O42" s="12"/>
    </row>
    <row r="43" spans="1:15" ht="15" thickTop="1" x14ac:dyDescent="0.35">
      <c r="A43" s="7" t="s">
        <v>41</v>
      </c>
      <c r="B43" s="8">
        <f t="array" ref="B43:G43">MMULT(B42:D42,B4:G6)</f>
        <v>3.9999999999999929</v>
      </c>
      <c r="C43" s="8">
        <v>3.0000000000000036</v>
      </c>
      <c r="D43" s="8">
        <v>3.9999999999999849</v>
      </c>
      <c r="E43" s="8">
        <v>2.9999999999999991</v>
      </c>
      <c r="F43" s="8">
        <v>1.0000000000000036</v>
      </c>
      <c r="G43" s="9">
        <v>1.9999999999999929</v>
      </c>
    </row>
    <row r="44" spans="1:15" x14ac:dyDescent="0.35">
      <c r="A44" s="7" t="s">
        <v>42</v>
      </c>
      <c r="B44" s="8"/>
      <c r="C44" s="8"/>
      <c r="D44" s="8"/>
      <c r="E44" s="8"/>
      <c r="F44" s="8"/>
      <c r="G44" s="9"/>
    </row>
    <row r="45" spans="1:15" x14ac:dyDescent="0.35">
      <c r="A45" s="7" t="s">
        <v>38</v>
      </c>
      <c r="B45" s="19">
        <f t="array" ref="B45">MMULT(B42:D42,I4:I6)</f>
        <v>2.9702970297029765</v>
      </c>
      <c r="C45" s="8"/>
      <c r="D45" s="8"/>
      <c r="E45" s="8"/>
      <c r="F45" s="8"/>
      <c r="G45" s="9"/>
    </row>
    <row r="46" spans="1:15" x14ac:dyDescent="0.35">
      <c r="A46" s="7" t="s">
        <v>49</v>
      </c>
      <c r="B46" s="8"/>
      <c r="C46" s="8"/>
      <c r="D46" s="8"/>
      <c r="E46" s="8"/>
      <c r="F46" s="8"/>
      <c r="G46" s="9"/>
    </row>
    <row r="47" spans="1:15" x14ac:dyDescent="0.35">
      <c r="A47" s="7"/>
      <c r="B47" s="8"/>
      <c r="C47" s="8"/>
      <c r="D47" s="8"/>
      <c r="E47" s="8"/>
      <c r="F47" s="8"/>
      <c r="G47" s="9"/>
    </row>
    <row r="48" spans="1:15" x14ac:dyDescent="0.35">
      <c r="A48" s="7" t="s">
        <v>106</v>
      </c>
      <c r="B48" s="8"/>
      <c r="C48" s="8"/>
      <c r="D48" s="8"/>
      <c r="E48" s="8"/>
      <c r="F48" s="8"/>
      <c r="G48" s="9"/>
    </row>
    <row r="49" spans="1:7" x14ac:dyDescent="0.35">
      <c r="A49" s="7" t="s">
        <v>107</v>
      </c>
      <c r="B49" s="8"/>
      <c r="C49" s="8"/>
      <c r="D49" s="8"/>
      <c r="E49" s="8"/>
      <c r="F49" s="8"/>
      <c r="G49" s="9"/>
    </row>
    <row r="50" spans="1:7" ht="15" thickBot="1" x14ac:dyDescent="0.4">
      <c r="A50" s="10" t="s">
        <v>81</v>
      </c>
      <c r="B50" s="11"/>
      <c r="C50" s="11"/>
      <c r="D50" s="11"/>
      <c r="E50" s="11"/>
      <c r="F50" s="11"/>
      <c r="G50" s="12"/>
    </row>
    <row r="51" spans="1:7" ht="15" thickTop="1" x14ac:dyDescent="0.35"/>
    <row r="52" spans="1:7" x14ac:dyDescent="0.35">
      <c r="A52" t="s">
        <v>109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22" sqref="E22"/>
    </sheetView>
  </sheetViews>
  <sheetFormatPr defaultRowHeight="14.5" x14ac:dyDescent="0.35"/>
  <sheetData>
    <row r="1" spans="1:9" x14ac:dyDescent="0.35">
      <c r="A1" t="s">
        <v>94</v>
      </c>
    </row>
    <row r="3" spans="1:9" x14ac:dyDescent="0.35">
      <c r="I3" t="s">
        <v>90</v>
      </c>
    </row>
    <row r="4" spans="1:9" x14ac:dyDescent="0.35">
      <c r="A4" t="s">
        <v>28</v>
      </c>
      <c r="B4">
        <v>4</v>
      </c>
      <c r="C4">
        <v>3</v>
      </c>
      <c r="D4">
        <v>4</v>
      </c>
      <c r="E4">
        <v>3</v>
      </c>
      <c r="F4">
        <v>1</v>
      </c>
      <c r="G4">
        <v>2</v>
      </c>
    </row>
    <row r="5" spans="1:9" x14ac:dyDescent="0.35">
      <c r="A5" t="s">
        <v>31</v>
      </c>
      <c r="B5">
        <v>144</v>
      </c>
      <c r="C5">
        <v>123</v>
      </c>
      <c r="D5">
        <v>104</v>
      </c>
      <c r="E5">
        <v>103</v>
      </c>
      <c r="F5">
        <v>91</v>
      </c>
      <c r="G5">
        <v>82</v>
      </c>
      <c r="I5">
        <v>100</v>
      </c>
    </row>
    <row r="6" spans="1:9" x14ac:dyDescent="0.35">
      <c r="A6" t="s">
        <v>89</v>
      </c>
      <c r="B6">
        <v>101</v>
      </c>
      <c r="C6">
        <v>101</v>
      </c>
      <c r="D6">
        <v>101</v>
      </c>
      <c r="E6">
        <v>101</v>
      </c>
      <c r="F6">
        <v>101</v>
      </c>
      <c r="G6">
        <v>101</v>
      </c>
      <c r="I6">
        <v>100</v>
      </c>
    </row>
    <row r="8" spans="1:9" x14ac:dyDescent="0.35">
      <c r="A8" t="s">
        <v>27</v>
      </c>
      <c r="B8">
        <f>B5-B4</f>
        <v>140</v>
      </c>
      <c r="C8">
        <f t="shared" ref="C8:G8" si="0">C5-C4</f>
        <v>120</v>
      </c>
      <c r="D8">
        <f t="shared" si="0"/>
        <v>100</v>
      </c>
      <c r="E8">
        <f t="shared" si="0"/>
        <v>100</v>
      </c>
      <c r="F8">
        <f t="shared" si="0"/>
        <v>90</v>
      </c>
      <c r="G8">
        <f t="shared" si="0"/>
        <v>80</v>
      </c>
    </row>
    <row r="10" spans="1:9" x14ac:dyDescent="0.35">
      <c r="A10" t="s">
        <v>87</v>
      </c>
      <c r="D10" t="s">
        <v>91</v>
      </c>
    </row>
    <row r="11" spans="1:9" x14ac:dyDescent="0.35">
      <c r="A11">
        <v>0.90909090909091006</v>
      </c>
      <c r="B11">
        <v>5.4005400540053185E-2</v>
      </c>
      <c r="D11">
        <f t="array" ref="D11">MMULT(A11:B11,I5:I6)</f>
        <v>96.309630963096325</v>
      </c>
    </row>
    <row r="13" spans="1:9" x14ac:dyDescent="0.35">
      <c r="A13" t="s">
        <v>88</v>
      </c>
      <c r="E13" t="s">
        <v>86</v>
      </c>
    </row>
    <row r="14" spans="1:9" x14ac:dyDescent="0.35">
      <c r="A14">
        <f t="array" ref="A14:A19">TRANSPOSE(MMULT(A11:B11,B5:G6))</f>
        <v>136.36363636363643</v>
      </c>
      <c r="B14">
        <f t="array" ref="B14:B19">TRANSPOSE(B8:G8)</f>
        <v>140</v>
      </c>
      <c r="E14" t="s">
        <v>92</v>
      </c>
      <c r="F14">
        <v>96.309630963096325</v>
      </c>
      <c r="G14" s="3">
        <f>F14*1.01</f>
        <v>97.272727272727295</v>
      </c>
    </row>
    <row r="15" spans="1:9" x14ac:dyDescent="0.35">
      <c r="A15">
        <v>117.27272727272731</v>
      </c>
      <c r="B15">
        <v>120</v>
      </c>
      <c r="E15" t="s">
        <v>93</v>
      </c>
      <c r="F15">
        <v>98.449467588268263</v>
      </c>
      <c r="G15" s="3">
        <f>F15*1.01</f>
        <v>99.433962264150949</v>
      </c>
    </row>
    <row r="16" spans="1:9" x14ac:dyDescent="0.35">
      <c r="A16">
        <v>100.00000000000001</v>
      </c>
      <c r="B16">
        <v>100</v>
      </c>
    </row>
    <row r="17" spans="1:2" x14ac:dyDescent="0.35">
      <c r="A17">
        <v>99.090909090909108</v>
      </c>
      <c r="B17">
        <v>100</v>
      </c>
    </row>
    <row r="18" spans="1:2" x14ac:dyDescent="0.35">
      <c r="A18">
        <v>88.181818181818187</v>
      </c>
      <c r="B18">
        <v>90</v>
      </c>
    </row>
    <row r="19" spans="1:2" x14ac:dyDescent="0.35">
      <c r="A19">
        <v>79.999999999999986</v>
      </c>
      <c r="B19">
        <v>80</v>
      </c>
    </row>
    <row r="21" spans="1:2" x14ac:dyDescent="0.35">
      <c r="A21">
        <f>180/(180+428.3)</f>
        <v>0.2959066250205491</v>
      </c>
    </row>
    <row r="22" spans="1:2" x14ac:dyDescent="0.35">
      <c r="A22">
        <f>263.4/(263.4+178.4)</f>
        <v>0.59619737437754639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K15" sqref="K15"/>
    </sheetView>
  </sheetViews>
  <sheetFormatPr defaultRowHeight="14.5" x14ac:dyDescent="0.35"/>
  <sheetData>
    <row r="1" spans="1:1" x14ac:dyDescent="0.35">
      <c r="A1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1" spans="1:1" x14ac:dyDescent="0.35">
      <c r="A11" t="s">
        <v>66</v>
      </c>
    </row>
    <row r="13" spans="1:1" x14ac:dyDescent="0.35">
      <c r="A13" t="s">
        <v>67</v>
      </c>
    </row>
    <row r="14" spans="1:1" x14ac:dyDescent="0.35">
      <c r="A14" t="s">
        <v>68</v>
      </c>
    </row>
    <row r="15" spans="1:1" x14ac:dyDescent="0.35">
      <c r="A15" t="s">
        <v>69</v>
      </c>
    </row>
    <row r="16" spans="1:1" x14ac:dyDescent="0.35">
      <c r="A16" t="s">
        <v>70</v>
      </c>
    </row>
    <row r="17" spans="1:1" x14ac:dyDescent="0.35">
      <c r="A17" t="s">
        <v>71</v>
      </c>
    </row>
    <row r="18" spans="1:1" x14ac:dyDescent="0.35">
      <c r="A18" t="s">
        <v>72</v>
      </c>
    </row>
    <row r="19" spans="1:1" x14ac:dyDescent="0.35">
      <c r="A19" t="s">
        <v>73</v>
      </c>
    </row>
    <row r="20" spans="1:1" x14ac:dyDescent="0.35">
      <c r="A20" t="s">
        <v>74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Opgave 1</vt:lpstr>
      <vt:lpstr>Opgave 2</vt:lpstr>
      <vt:lpstr>Arb'frit forwardprisinterval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2017-11-02T16:46:58Z</cp:lastPrinted>
  <dcterms:created xsi:type="dcterms:W3CDTF">2017-10-09T14:19:27Z</dcterms:created>
  <dcterms:modified xsi:type="dcterms:W3CDTF">2019-10-28T11:02:22Z</dcterms:modified>
</cp:coreProperties>
</file>