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qx738\Dropbox\Eksamensopgaver til Noterne\Eksamensopgaver til Noterne\MatFin1\"/>
    </mc:Choice>
  </mc:AlternateContent>
  <bookViews>
    <workbookView xWindow="375" yWindow="120" windowWidth="19140" windowHeight="7500"/>
  </bookViews>
  <sheets>
    <sheet name="Opgave 1" sheetId="2" r:id="rId1"/>
    <sheet name="Sheet2" sheetId="6" r:id="rId2"/>
    <sheet name="Sheet1" sheetId="5" r:id="rId3"/>
    <sheet name="Opgave 2" sheetId="3" r:id="rId4"/>
    <sheet name="Opgave 3" sheetId="4" r:id="rId5"/>
  </sheets>
  <definedNames>
    <definedName name="solver_adj" localSheetId="0" hidden="1">'Opgave 1'!$B$61:$B$62</definedName>
    <definedName name="solver_adj" localSheetId="3" hidden="1">'Opgave 2'!#REF!</definedName>
    <definedName name="solver_adj" localSheetId="4" hidden="1">'Opgave 3'!$C$19</definedName>
    <definedName name="solver_cvg" localSheetId="0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3" hidden="1">1</definedName>
    <definedName name="solver_drv" localSheetId="4" hidden="1">1</definedName>
    <definedName name="solver_eng" localSheetId="0" hidden="1">2</definedName>
    <definedName name="solver_eng" localSheetId="3" hidden="1">1</definedName>
    <definedName name="solver_eng" localSheetId="4" hidden="1">1</definedName>
    <definedName name="solver_est" localSheetId="0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3" hidden="1">2147483647</definedName>
    <definedName name="solver_itr" localSheetId="4" hidden="1">2147483647</definedName>
    <definedName name="solver_lhs1" localSheetId="0" hidden="1">'Opgave 1'!$G$56:$G$59</definedName>
    <definedName name="solver_mip" localSheetId="0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3" hidden="1">0.075</definedName>
    <definedName name="solver_mrt" localSheetId="4" hidden="1">0.075</definedName>
    <definedName name="solver_msl" localSheetId="0" hidden="1">2</definedName>
    <definedName name="solver_msl" localSheetId="3" hidden="1">2</definedName>
    <definedName name="solver_msl" localSheetId="4" hidden="1">2</definedName>
    <definedName name="solver_neg" localSheetId="0" hidden="1">2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3" hidden="1">2147483647</definedName>
    <definedName name="solver_nod" localSheetId="4" hidden="1">2147483647</definedName>
    <definedName name="solver_num" localSheetId="0" hidden="1">1</definedName>
    <definedName name="solver_num" localSheetId="3" hidden="1">0</definedName>
    <definedName name="solver_num" localSheetId="4" hidden="1">0</definedName>
    <definedName name="solver_nwt" localSheetId="0" hidden="1">1</definedName>
    <definedName name="solver_nwt" localSheetId="3" hidden="1">1</definedName>
    <definedName name="solver_nwt" localSheetId="4" hidden="1">1</definedName>
    <definedName name="solver_opt" localSheetId="0" hidden="1">'Opgave 1'!$E$61</definedName>
    <definedName name="solver_opt" localSheetId="3" hidden="1">'Opgave 2'!#REF!</definedName>
    <definedName name="solver_opt" localSheetId="4" hidden="1">'Opgave 3'!$E$24</definedName>
    <definedName name="solver_pre" localSheetId="0" hidden="1">0.000001</definedName>
    <definedName name="solver_pre" localSheetId="3" hidden="1">0.000001</definedName>
    <definedName name="solver_pre" localSheetId="4" hidden="1">0.000001</definedName>
    <definedName name="solver_rbv" localSheetId="0" hidden="1">1</definedName>
    <definedName name="solver_rbv" localSheetId="3" hidden="1">1</definedName>
    <definedName name="solver_rbv" localSheetId="4" hidden="1">1</definedName>
    <definedName name="solver_rel1" localSheetId="0" hidden="1">3</definedName>
    <definedName name="solver_rhs1" localSheetId="0" hidden="1">'Opgave 1'!$E$56:$E$59</definedName>
    <definedName name="solver_rlx" localSheetId="0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3" hidden="1">0</definedName>
    <definedName name="solver_rsd" localSheetId="4" hidden="1">0</definedName>
    <definedName name="solver_scl" localSheetId="0" hidden="1">1</definedName>
    <definedName name="solver_scl" localSheetId="3" hidden="1">1</definedName>
    <definedName name="solver_scl" localSheetId="4" hidden="1">1</definedName>
    <definedName name="solver_sho" localSheetId="0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3" hidden="1">2147483647</definedName>
    <definedName name="solver_tim" localSheetId="4" hidden="1">2147483647</definedName>
    <definedName name="solver_tol" localSheetId="0" hidden="1">1</definedName>
    <definedName name="solver_tol" localSheetId="3" hidden="1">0.01</definedName>
    <definedName name="solver_tol" localSheetId="4" hidden="1">1</definedName>
    <definedName name="solver_typ" localSheetId="0" hidden="1">2</definedName>
    <definedName name="solver_typ" localSheetId="3" hidden="1">3</definedName>
    <definedName name="solver_typ" localSheetId="4" hidden="1">1</definedName>
    <definedName name="solver_val" localSheetId="0" hidden="1">4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3" hidden="1">3</definedName>
    <definedName name="solver_ver" localSheetId="4" hidden="1">3</definedName>
  </definedNames>
  <calcPr calcId="162913"/>
</workbook>
</file>

<file path=xl/calcChain.xml><?xml version="1.0" encoding="utf-8"?>
<calcChain xmlns="http://schemas.openxmlformats.org/spreadsheetml/2006/main">
  <c r="E14" i="6" l="1"/>
  <c r="E8" i="6"/>
  <c r="E7" i="6"/>
  <c r="E6" i="6"/>
  <c r="E5" i="6"/>
  <c r="F12" i="6"/>
  <c r="E12" i="6"/>
  <c r="D12" i="6"/>
  <c r="D8" i="6"/>
  <c r="D7" i="6"/>
  <c r="D6" i="6"/>
  <c r="D5" i="6"/>
  <c r="C5" i="6"/>
  <c r="D7" i="5"/>
  <c r="D6" i="5"/>
  <c r="D5" i="5"/>
  <c r="D4" i="5"/>
  <c r="H52" i="2"/>
  <c r="G49" i="2" a="1"/>
  <c r="G50" i="2" s="1"/>
  <c r="F41" i="2"/>
  <c r="B41" i="2"/>
  <c r="B40" i="2"/>
  <c r="C39" i="2"/>
  <c r="D14" i="6" l="1"/>
  <c r="G49" i="2"/>
  <c r="B4" i="2"/>
  <c r="A41" i="2" l="1"/>
  <c r="F10" i="2"/>
  <c r="E61" i="2" a="1"/>
  <c r="E61" i="2" s="1"/>
  <c r="C23" i="4" l="1"/>
  <c r="C6" i="4"/>
  <c r="E22" i="3" l="1"/>
  <c r="C50" i="2" l="1"/>
  <c r="C49" i="2"/>
  <c r="F33" i="2"/>
  <c r="D33" i="2"/>
  <c r="B33" i="2"/>
  <c r="G24" i="2"/>
  <c r="F24" i="2"/>
  <c r="E24" i="2"/>
  <c r="D24" i="2"/>
  <c r="G17" i="2"/>
  <c r="E17" i="2"/>
  <c r="I4" i="2"/>
  <c r="B50" i="2" s="1"/>
  <c r="C3" i="4"/>
  <c r="I2" i="4"/>
  <c r="I1" i="4"/>
  <c r="B30" i="4" l="1"/>
  <c r="C4" i="2"/>
  <c r="C41" i="2" s="1"/>
  <c r="I3" i="2"/>
  <c r="C17" i="2" s="1"/>
  <c r="B29" i="4"/>
  <c r="A8" i="4"/>
  <c r="C21" i="3"/>
  <c r="C20" i="3"/>
  <c r="C19" i="3"/>
  <c r="B15" i="3"/>
  <c r="B14" i="3"/>
  <c r="A10" i="3"/>
  <c r="G41" i="2" l="1"/>
  <c r="I5" i="2"/>
  <c r="C18" i="2" s="1"/>
  <c r="B3" i="2"/>
  <c r="C3" i="2"/>
  <c r="B23" i="2" s="1"/>
  <c r="D4" i="2"/>
  <c r="D3" i="2"/>
  <c r="B12" i="2" s="1"/>
  <c r="A15" i="3"/>
  <c r="H11" i="3" s="1"/>
  <c r="F10" i="3"/>
  <c r="B21" i="3"/>
  <c r="F19" i="3" s="1"/>
  <c r="G19" i="3" s="1"/>
  <c r="B20" i="3"/>
  <c r="F18" i="3" s="1"/>
  <c r="G18" i="3" s="1"/>
  <c r="E70" i="2" l="1" a="1"/>
  <c r="E70" i="2" s="1"/>
  <c r="C2" i="2"/>
  <c r="B49" i="2"/>
  <c r="D1" i="2"/>
  <c r="E49" i="2"/>
  <c r="G39" i="2"/>
  <c r="D2" i="2"/>
  <c r="B11" i="2" s="1"/>
  <c r="B13" i="2"/>
  <c r="G40" i="2"/>
  <c r="C40" i="2"/>
  <c r="C20" i="4"/>
  <c r="C24" i="4" s="1"/>
  <c r="E24" i="4" s="1"/>
  <c r="F11" i="3"/>
  <c r="A21" i="3"/>
  <c r="B10" i="2" l="1"/>
  <c r="D23" i="2" a="1"/>
  <c r="E50" i="2"/>
  <c r="F40" i="2"/>
  <c r="E41" i="2" s="1"/>
  <c r="C21" i="4"/>
  <c r="F12" i="3"/>
  <c r="H12" i="3"/>
  <c r="J12" i="3"/>
  <c r="F11" i="2" l="1"/>
  <c r="E23" i="2"/>
  <c r="F23" i="2"/>
  <c r="G23" i="2"/>
  <c r="D23" i="2"/>
  <c r="B56" i="2" l="1" a="1"/>
  <c r="C28" i="2" a="1"/>
  <c r="C29" i="2" l="1"/>
  <c r="C28" i="2"/>
  <c r="B57" i="2"/>
  <c r="E57" i="2" s="1"/>
  <c r="B59" i="2"/>
  <c r="E59" i="2" s="1"/>
  <c r="B58" i="2"/>
  <c r="E58" i="2" s="1"/>
  <c r="C57" i="2"/>
  <c r="C58" i="2"/>
  <c r="C56" i="2"/>
  <c r="C59" i="2"/>
  <c r="B56" i="2"/>
  <c r="E56" i="2" s="1"/>
  <c r="F26" i="2" l="1" a="1"/>
  <c r="F27" i="2" s="1"/>
  <c r="B65" i="2" a="1"/>
  <c r="G56" i="2" a="1"/>
  <c r="F26" i="2" l="1"/>
  <c r="B65" i="2"/>
  <c r="B66" i="2"/>
  <c r="B67" i="2"/>
  <c r="B68" i="2"/>
  <c r="G57" i="2"/>
  <c r="G56" i="2"/>
  <c r="G58" i="2"/>
  <c r="G59" i="2"/>
</calcChain>
</file>

<file path=xl/comments1.xml><?xml version="1.0" encoding="utf-8"?>
<comments xmlns="http://schemas.openxmlformats.org/spreadsheetml/2006/main">
  <authors>
    <author>Rolf Poulsen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Fundamentale definitioner af afkasrate og (betinget) middelværdi og spredning.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Noterne afsnit 5.1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Noterne afsnit 4.1</t>
        </r>
      </text>
    </comment>
    <comment ref="A47" authorId="0" shapeId="0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Noterne afsnit 4.1 + den generelle teori i afsnit 4.2-4.5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Noterne afsnit 2.7</t>
        </r>
      </text>
    </comment>
  </commentList>
</comments>
</file>

<file path=xl/comments2.xml><?xml version="1.0" encoding="utf-8"?>
<comments xmlns="http://schemas.openxmlformats.org/spreadsheetml/2006/main">
  <authors>
    <author>Rolf Poulsen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Afsnit 7.2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Afsnit 7.4</t>
        </r>
      </text>
    </comment>
  </commentList>
</comments>
</file>

<file path=xl/comments3.xml><?xml version="1.0" encoding="utf-8"?>
<comments xmlns="http://schemas.openxmlformats.org/spreadsheetml/2006/main">
  <authors>
    <author>Rolf Poulsen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Example 1, side 11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Rolf Poulsen:</t>
        </r>
        <r>
          <rPr>
            <sz val="9"/>
            <color indexed="81"/>
            <rFont val="Tahoma"/>
            <family val="2"/>
          </rPr>
          <t xml:space="preserve">
Hanke, Poulsen, Wessensteiner (2018) https://papers.ssrn.com/sol3/papers.cfm?abstract_id=3113453 -- og slides fra forelæsninger</t>
        </r>
      </text>
    </comment>
  </commentList>
</comments>
</file>

<file path=xl/sharedStrings.xml><?xml version="1.0" encoding="utf-8"?>
<sst xmlns="http://schemas.openxmlformats.org/spreadsheetml/2006/main" count="168" uniqueCount="154">
  <si>
    <t xml:space="preserve"> </t>
  </si>
  <si>
    <t>P(0,1)</t>
  </si>
  <si>
    <t>P(0,2)</t>
  </si>
  <si>
    <t>P(0,3)</t>
  </si>
  <si>
    <t>q</t>
  </si>
  <si>
    <t>a</t>
  </si>
  <si>
    <t>b</t>
  </si>
  <si>
    <t>2a</t>
  </si>
  <si>
    <t>2c</t>
  </si>
  <si>
    <t>2d</t>
  </si>
  <si>
    <t>2b</t>
  </si>
  <si>
    <t>1a</t>
  </si>
  <si>
    <t>1b</t>
  </si>
  <si>
    <t>1c</t>
  </si>
  <si>
    <t>1d</t>
  </si>
  <si>
    <t>1e</t>
  </si>
  <si>
    <t>Tjek:</t>
  </si>
  <si>
    <t>Højreside</t>
  </si>
  <si>
    <t>3a</t>
  </si>
  <si>
    <t>rho</t>
  </si>
  <si>
    <t>swap(0,0,3)</t>
  </si>
  <si>
    <t>swap(0,0,1)</t>
  </si>
  <si>
    <t>swap(0,0,2)</t>
  </si>
  <si>
    <t>swap(0,1,2)</t>
  </si>
  <si>
    <t>swap(0,1,3)</t>
  </si>
  <si>
    <t>swap(0,2,3)</t>
  </si>
  <si>
    <t>Strike-rente</t>
  </si>
  <si>
    <t>Tid 1-swap-renter</t>
  </si>
  <si>
    <t>Tid 0-swaptionspris</t>
  </si>
  <si>
    <t>"op"</t>
  </si>
  <si>
    <t>"ned"</t>
  </si>
  <si>
    <t xml:space="preserve">Hvis swap-renten på tid T_I er &gt;= strike-renten, så kan vi tage en kort swap-position (eller: købe en reciever-swap). </t>
  </si>
  <si>
    <t>De fremtidige variable betalinger netter up, og på hver fremtidigt tidspunkt modtager vi forskellen mellem</t>
  </si>
  <si>
    <t>T_I-swap-renten og strike-renten - som er kendt på T_I. Værdien herfa får vi ved at  gange nko-priser på betalingerne</t>
  </si>
  <si>
    <t xml:space="preserve">og lægge det hele sammen. </t>
  </si>
  <si>
    <t xml:space="preserve">Samles de to (udtømmende) tilfælde, da præcis det angivne udtryk. </t>
  </si>
  <si>
    <t>Odds</t>
  </si>
  <si>
    <t>Remain</t>
  </si>
  <si>
    <t>Leave</t>
  </si>
  <si>
    <t>USDGBP</t>
  </si>
  <si>
    <t>u</t>
  </si>
  <si>
    <t>d</t>
  </si>
  <si>
    <t xml:space="preserve">Et (ikke-trivielt, dvs. spil ikke bare 0) risikofrit aktiv laves ved at spille 1/odds </t>
  </si>
  <si>
    <t xml:space="preserve">på alle udfald. Her koster det </t>
  </si>
  <si>
    <t>Dvs. for få 1 tilbage skal man spille</t>
  </si>
  <si>
    <t>lidt mere end 1. I end finansiel model ville vil sige at repræsenterede en rente på</t>
  </si>
  <si>
    <t>(altså negativ), og at enhver anden markedsrente ville give arbitrage.</t>
  </si>
  <si>
    <t>Her er det dog ikke sådan lige at tage korte positioner over for bookmakeren, så</t>
  </si>
  <si>
    <t>"teoretiske overskudsgrad"; tænk på at bookmakeren stater med at sætte fair</t>
  </si>
  <si>
    <t>odds, men så skalere dem lidt ned.</t>
  </si>
  <si>
    <t>3b</t>
  </si>
  <si>
    <t>Leave svækker pundet og styrker dollaren, remain omvendt. Ideen må derfor være,</t>
  </si>
  <si>
    <t>Lån i £</t>
  </si>
  <si>
    <t>Væd</t>
  </si>
  <si>
    <t>Pris for væddemål i £</t>
  </si>
  <si>
    <t>$ på Leave (= resten)</t>
  </si>
  <si>
    <t>de 0,83 øre (hvis nu indsatsen var i kr.) repræsenter bookmakerens "cut" eller</t>
  </si>
  <si>
    <t>Cut</t>
  </si>
  <si>
    <t>Når vi antager, vi kan låne, som vi lyster til rente 0, så er det en arbitrage.</t>
  </si>
  <si>
    <t>Betingelse B</t>
  </si>
  <si>
    <t>Betingelse A</t>
  </si>
  <si>
    <t>Propositionen siger, at der er arbitrage hvis blot en af betingelserne holder. Her holder de</t>
  </si>
  <si>
    <t xml:space="preserve">begge, så der er "så rigeligt" arbitrage. (Faktisk kan en arbitrage med samme betaling i </t>
  </si>
  <si>
    <t>((1-"cut"*odds_R) &gt; 1/u)</t>
  </si>
  <si>
    <t>((1-"cut"*odds_L) &gt; d)</t>
  </si>
  <si>
    <t>R</t>
  </si>
  <si>
    <t>sigma</t>
  </si>
  <si>
    <t>alpha</t>
  </si>
  <si>
    <t>Afkastrate</t>
  </si>
  <si>
    <t>Betinget P-forventet værdi</t>
  </si>
  <si>
    <t>Betinget P-spredning</t>
  </si>
  <si>
    <t xml:space="preserve">Vi ser på </t>
  </si>
  <si>
    <t>den røde</t>
  </si>
  <si>
    <t>1-periode-delmodel</t>
  </si>
  <si>
    <t>med</t>
  </si>
  <si>
    <t>u=</t>
  </si>
  <si>
    <t>R=</t>
  </si>
  <si>
    <t>Så da q = (R-d)/(u-d)=</t>
  </si>
  <si>
    <t>, der ligger i ]0;1[, er modellerne arbitragefri.</t>
  </si>
  <si>
    <t>Vi tjekker arbitragefrihed og komplethed ved at tjekke alle 1-periode-delmodeller</t>
  </si>
  <si>
    <t>Disse modeller har 2 tilstande og en betalingsmatrice (D) med rang 2, så de er komplette.</t>
  </si>
  <si>
    <t>Den røde model har 4 tilstande og kun 2 aktiver, så (ogderfor hele modellen) er inkomplet.</t>
  </si>
  <si>
    <t>For at tjekke arbitragefrihed skal undersøge, om \pi = D \psi har en positiv (&gt;&gt;0) løsning, hvor</t>
  </si>
  <si>
    <t>pi=</t>
  </si>
  <si>
    <t>D=</t>
  </si>
  <si>
    <t>psi[3]</t>
  </si>
  <si>
    <t>psi[4]</t>
  </si>
  <si>
    <t>Vi prøver</t>
  </si>
  <si>
    <t>og løser</t>
  </si>
  <si>
    <t>psi[1]</t>
  </si>
  <si>
    <t>psi[2]</t>
  </si>
  <si>
    <t>hvilket viser, den røde model (og dermed hele modellen) er arbitragefri.</t>
  </si>
  <si>
    <t>Da der ikke er dividender samt konstant rente er Fwd(0,T) = R^T S(0), dvs.</t>
  </si>
  <si>
    <t>Fwd(0,1) =</t>
  </si>
  <si>
    <t>Fwd(0,2) =</t>
  </si>
  <si>
    <t>Fwd(0,3) =</t>
  </si>
  <si>
    <t>Fwd(0,3) er entydigt bestemt blot ved fravær af arbitrage.</t>
  </si>
  <si>
    <t>Optionernes pris ved baglæns optrævling m/ pris(t) = (1/R)E_t^Q(pris(t+1))</t>
  </si>
  <si>
    <t>Call</t>
  </si>
  <si>
    <t>Put</t>
  </si>
  <si>
    <t>&lt;-tid</t>
  </si>
  <si>
    <t>Det er *ikke* noget tilfælde, call- og put-optionsprisen er den samme. Det gælder altid, når</t>
  </si>
  <si>
    <t>strike er lig forward-pris, jf. fx put/call-pariteten, som vi her kan skrive som</t>
  </si>
  <si>
    <t>Vi finder og løser tid 0-til-1-replikationsligningerne for call-optionen:</t>
  </si>
  <si>
    <t>D^T</t>
  </si>
  <si>
    <t>&lt;- stk aktier</t>
  </si>
  <si>
    <t>&lt;- i banken</t>
  </si>
  <si>
    <t>løses tilsvarende ligningssystemer i de to tid 1-til-2-delmodeller.</t>
  </si>
  <si>
    <t>1f</t>
  </si>
  <si>
    <t>Øvre grænse: Vi løser min_theta theta^T pi u.b. D^T theta &gt;= pay-off-vektor, hvor</t>
  </si>
  <si>
    <t>Pay-off</t>
  </si>
  <si>
    <t xml:space="preserve">Strike = </t>
  </si>
  <si>
    <t>D^T theta</t>
  </si>
  <si>
    <t>theta</t>
  </si>
  <si>
    <t>Kriterie</t>
  </si>
  <si>
    <t>&lt;- aktier</t>
  </si>
  <si>
    <t>&lt;- minimer m/ solver</t>
  </si>
  <si>
    <t>Nedre grænse: Vi løser max_theta^T pi u.b. D^T theta &lt;= pay-off</t>
  </si>
  <si>
    <t>Tilbage til den røde 1-periode-delmodel</t>
  </si>
  <si>
    <t xml:space="preserve">at vædde på Leave i dollar og på Remain i pund. </t>
  </si>
  <si>
    <t>£-gevinst hvis Remain</t>
  </si>
  <si>
    <t>£-gevinst hvis Leave</t>
  </si>
  <si>
    <t>Alternativt kan bare undersøge betingelse A og B fra Hanke, Weissensteiner, Poulsen (2018)-</t>
  </si>
  <si>
    <t xml:space="preserve">propositionen fra forelæsningen 18/9 </t>
  </si>
  <si>
    <t>(sidste sider i slidesene):</t>
  </si>
  <si>
    <t>I besvarelsen betyder "noterne"</t>
  </si>
  <si>
    <t>Lando &amp; Poulsen (2018), "Finance 1 and Beyond"</t>
  </si>
  <si>
    <t>Referencer gives typisk som "comments" ved spg.-nr.; eksaminander behøver ikke give den slags.</t>
  </si>
  <si>
    <t>Swaptionspayoff</t>
  </si>
  <si>
    <t>Man kan lede efter en arbitrage på denne måde:</t>
  </si>
  <si>
    <t>£ på Remain (ukendt/variabel i C19)</t>
  </si>
  <si>
    <t>&lt;- max-min via C19</t>
  </si>
  <si>
    <t>begge 24/6-tilstande konstrueres som analysen ovenfor viser.)</t>
  </si>
  <si>
    <t>Hvis swap-renten på tid T_I er &lt; strike-renten, så smider vi vores swaption væk og gør i øvrigt ingenting. Værdi = 0.</t>
  </si>
  <si>
    <t>Da der ikke er dividende, virker vores carry-argument selv når der ikke er Q-entydighed, dvs. også</t>
  </si>
  <si>
    <t>Man kan bruge Excels indbyggede fkt. her, da alle udfald er lige sandsynlige</t>
  </si>
  <si>
    <t>men det skal være STDEV.P, ikke STDEV.S.</t>
  </si>
  <si>
    <t>Alle 1-periode-delmodeller pånær den røde er standard 1-periode-binomialmodeller</t>
  </si>
  <si>
    <t>Man kan justere (selvfinansierende) dynamisk og opnå replikation af pay-off; der skal blot</t>
  </si>
  <si>
    <t>Tjek</t>
  </si>
  <si>
    <t>call - put = R^-T (S(0)*R^T - K), og 1. led i parentesen på højresiden er jo forwardprisen.</t>
  </si>
  <si>
    <t>MAX</t>
  </si>
  <si>
    <t>Afkastrate(i)</t>
  </si>
  <si>
    <t>Tilstand (i)</t>
  </si>
  <si>
    <t>E^P (Afkastrate) = SUM(P(i) Afkasrate(i))</t>
  </si>
  <si>
    <t>ENS?</t>
  </si>
  <si>
    <t>EXCEL; AVERAGE</t>
  </si>
  <si>
    <t>SQRT(VAR^P(Afkastrate)))</t>
  </si>
  <si>
    <t>P-ssh(i)*(Afkastrate(i) - E^P(AFKASTRATE)^2)</t>
  </si>
  <si>
    <t>P-ssh(i)</t>
  </si>
  <si>
    <t>P-ssh(i)*Afkastrate(i)</t>
  </si>
  <si>
    <t>EXCEL: STDEV.P</t>
  </si>
  <si>
    <t>JA</t>
  </si>
  <si>
    <t>MatFin1, november 2018, opagve 1a. Manuelle vs. Excel-beregninger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</si>
</sst>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1" fillId="2" borderId="0" xfId="0" applyFont="1" applyFill="1" applyBorder="1"/>
    <xf numFmtId="0" fontId="0" fillId="0" borderId="0" xfId="0" applyFill="1" applyBorder="1"/>
    <xf numFmtId="2" fontId="0" fillId="0" borderId="0" xfId="0" applyNumberFormat="1"/>
    <xf numFmtId="164" fontId="1" fillId="2" borderId="0" xfId="0" applyNumberFormat="1" applyFont="1" applyFill="1" applyBorder="1"/>
    <xf numFmtId="0" fontId="0" fillId="0" borderId="4" xfId="0" applyFill="1" applyBorder="1"/>
    <xf numFmtId="2" fontId="0" fillId="0" borderId="0" xfId="0" applyNumberFormat="1" applyBorder="1"/>
    <xf numFmtId="0" fontId="0" fillId="0" borderId="0" xfId="0" applyFill="1"/>
    <xf numFmtId="0" fontId="4" fillId="0" borderId="0" xfId="0" applyFont="1" applyFill="1"/>
    <xf numFmtId="0" fontId="3" fillId="0" borderId="0" xfId="0" applyFont="1" applyBorder="1"/>
    <xf numFmtId="0" fontId="3" fillId="0" borderId="4" xfId="0" applyFont="1" applyBorder="1"/>
    <xf numFmtId="0" fontId="3" fillId="3" borderId="1" xfId="0" applyFont="1" applyFill="1" applyBorder="1"/>
    <xf numFmtId="165" fontId="4" fillId="2" borderId="4" xfId="0" applyNumberFormat="1" applyFont="1" applyFill="1" applyBorder="1"/>
    <xf numFmtId="165" fontId="4" fillId="2" borderId="6" xfId="0" applyNumberFormat="1" applyFont="1" applyFill="1" applyBorder="1"/>
    <xf numFmtId="0" fontId="4" fillId="0" borderId="0" xfId="0" applyFont="1" applyFill="1" applyBorder="1"/>
    <xf numFmtId="0" fontId="4" fillId="0" borderId="2" xfId="0" applyFont="1" applyFill="1" applyBorder="1"/>
    <xf numFmtId="165" fontId="0" fillId="0" borderId="0" xfId="0" applyNumberFormat="1" applyBorder="1"/>
    <xf numFmtId="165" fontId="1" fillId="2" borderId="0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165" fontId="1" fillId="2" borderId="7" xfId="0" applyNumberFormat="1" applyFont="1" applyFill="1" applyBorder="1"/>
    <xf numFmtId="165" fontId="1" fillId="2" borderId="6" xfId="0" applyNumberFormat="1" applyFont="1" applyFill="1" applyBorder="1"/>
    <xf numFmtId="16" fontId="0" fillId="0" borderId="4" xfId="0" applyNumberFormat="1" applyBorder="1"/>
    <xf numFmtId="0" fontId="0" fillId="2" borderId="0" xfId="0" applyFill="1" applyBorder="1"/>
    <xf numFmtId="0" fontId="2" fillId="2" borderId="0" xfId="0" applyFont="1" applyFill="1" applyBorder="1"/>
    <xf numFmtId="165" fontId="0" fillId="0" borderId="0" xfId="0" applyNumberFormat="1"/>
    <xf numFmtId="0" fontId="0" fillId="4" borderId="2" xfId="0" applyFill="1" applyBorder="1"/>
    <xf numFmtId="0" fontId="0" fillId="0" borderId="0" xfId="0" applyFont="1" applyFill="1" applyBorder="1"/>
    <xf numFmtId="0" fontId="0" fillId="0" borderId="7" xfId="0" applyFont="1" applyFill="1" applyBorder="1"/>
    <xf numFmtId="2" fontId="1" fillId="2" borderId="0" xfId="0" applyNumberFormat="1" applyFont="1" applyFill="1" applyBorder="1"/>
    <xf numFmtId="0" fontId="0" fillId="0" borderId="0" xfId="0" applyFont="1" applyBorder="1"/>
    <xf numFmtId="0" fontId="0" fillId="0" borderId="7" xfId="0" applyFont="1" applyBorder="1"/>
    <xf numFmtId="0" fontId="5" fillId="0" borderId="4" xfId="0" applyFont="1" applyBorder="1"/>
    <xf numFmtId="0" fontId="6" fillId="0" borderId="0" xfId="0" applyFont="1" applyFill="1" applyBorder="1"/>
    <xf numFmtId="0" fontId="5" fillId="0" borderId="0" xfId="0" applyFont="1" applyFill="1" applyBorder="1"/>
    <xf numFmtId="0" fontId="5" fillId="0" borderId="0" xfId="0" quotePrefix="1" applyFont="1" applyFill="1" applyBorder="1" applyAlignment="1">
      <alignment horizontal="right"/>
    </xf>
    <xf numFmtId="0" fontId="5" fillId="0" borderId="6" xfId="0" applyFont="1" applyBorder="1"/>
    <xf numFmtId="0" fontId="6" fillId="0" borderId="7" xfId="0" applyFont="1" applyFill="1" applyBorder="1"/>
    <xf numFmtId="0" fontId="0" fillId="0" borderId="5" xfId="0" applyFont="1" applyBorder="1"/>
    <xf numFmtId="165" fontId="0" fillId="0" borderId="0" xfId="0" applyNumberFormat="1" applyFont="1" applyBorder="1"/>
    <xf numFmtId="165" fontId="0" fillId="0" borderId="7" xfId="0" applyNumberFormat="1" applyFont="1" applyBorder="1"/>
    <xf numFmtId="165" fontId="0" fillId="0" borderId="8" xfId="0" applyNumberFormat="1" applyFont="1" applyBorder="1"/>
    <xf numFmtId="2" fontId="0" fillId="4" borderId="0" xfId="0" applyNumberFormat="1" applyFill="1" applyBorder="1"/>
    <xf numFmtId="10" fontId="0" fillId="0" borderId="4" xfId="0" applyNumberFormat="1" applyFill="1" applyBorder="1"/>
    <xf numFmtId="0" fontId="7" fillId="0" borderId="0" xfId="1" applyBorder="1"/>
    <xf numFmtId="0" fontId="7" fillId="0" borderId="0" xfId="1"/>
    <xf numFmtId="165" fontId="0" fillId="0" borderId="0" xfId="0" applyNumberFormat="1" applyFill="1" applyBorder="1"/>
    <xf numFmtId="0" fontId="0" fillId="0" borderId="7" xfId="0" applyFill="1" applyBorder="1"/>
    <xf numFmtId="0" fontId="1" fillId="0" borderId="4" xfId="0" applyFont="1" applyBorder="1"/>
    <xf numFmtId="0" fontId="1" fillId="0" borderId="0" xfId="0" applyFont="1" applyBorder="1"/>
    <xf numFmtId="0" fontId="0" fillId="2" borderId="0" xfId="0" applyFill="1"/>
    <xf numFmtId="0" fontId="0" fillId="5" borderId="0" xfId="0" applyFill="1"/>
    <xf numFmtId="0" fontId="0" fillId="0" borderId="1" xfId="0" applyBorder="1"/>
    <xf numFmtId="0" fontId="0" fillId="5" borderId="3" xfId="0" applyFill="1" applyBorder="1"/>
    <xf numFmtId="0" fontId="0" fillId="5" borderId="8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ropbox.com/s/i0aglfrk9767w0j/MotherFile_RunMe.pdf?dl=0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dropbox.com/s/lz7vbruc1fajjwc/Slides_180918.pdf?dl=0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2"/>
  <sheetViews>
    <sheetView tabSelected="1" topLeftCell="A36" zoomScale="183" zoomScaleNormal="183" workbookViewId="0">
      <selection activeCell="B40" sqref="B40"/>
    </sheetView>
  </sheetViews>
  <sheetFormatPr defaultRowHeight="15" x14ac:dyDescent="0.25"/>
  <cols>
    <col min="1" max="1" width="9.85546875" customWidth="1"/>
    <col min="3" max="3" width="9.42578125" customWidth="1"/>
    <col min="5" max="5" width="13.28515625" customWidth="1"/>
    <col min="6" max="6" width="10.28515625" customWidth="1"/>
    <col min="7" max="7" width="8.140625" customWidth="1"/>
    <col min="8" max="8" width="14.5703125" customWidth="1"/>
    <col min="9" max="9" width="11.85546875" bestFit="1" customWidth="1"/>
  </cols>
  <sheetData>
    <row r="1" spans="1:9" x14ac:dyDescent="0.25">
      <c r="A1" s="15"/>
      <c r="B1" s="15"/>
      <c r="C1" s="12"/>
      <c r="D1" s="51">
        <f>C2*$I$3</f>
        <v>245.11549674821217</v>
      </c>
      <c r="E1" s="12"/>
    </row>
    <row r="2" spans="1:9" x14ac:dyDescent="0.25">
      <c r="A2" s="15"/>
      <c r="B2" s="15"/>
      <c r="C2" s="15">
        <f>B3*$I$3</f>
        <v>181.7944049052185</v>
      </c>
      <c r="D2" s="51">
        <f>C3*$I$3</f>
        <v>148.67006394848298</v>
      </c>
      <c r="E2" s="12"/>
      <c r="H2" t="s">
        <v>65</v>
      </c>
      <c r="I2">
        <v>1.03</v>
      </c>
    </row>
    <row r="3" spans="1:9" x14ac:dyDescent="0.25">
      <c r="A3" s="15"/>
      <c r="B3" s="15">
        <f>A4*$I$3</f>
        <v>134.83115548908512</v>
      </c>
      <c r="C3" s="51">
        <f>B4*$I$3</f>
        <v>110.26388033922778</v>
      </c>
      <c r="D3" s="51">
        <f>C4*$I$3</f>
        <v>90.17295196619277</v>
      </c>
      <c r="E3" s="12"/>
      <c r="F3" t="s">
        <v>66</v>
      </c>
      <c r="G3">
        <v>0.25</v>
      </c>
      <c r="H3" t="s">
        <v>40</v>
      </c>
      <c r="I3" s="34">
        <f>EXP(G3+G4)</f>
        <v>1.3483115548908513</v>
      </c>
    </row>
    <row r="4" spans="1:9" x14ac:dyDescent="0.25">
      <c r="A4" s="15">
        <v>100</v>
      </c>
      <c r="B4" s="15">
        <f>A4*$I$4</f>
        <v>81.779229688611451</v>
      </c>
      <c r="C4" s="15">
        <f>B4*$I$4</f>
        <v>66.878424084626687</v>
      </c>
      <c r="D4" s="51">
        <f>C4*$I$4</f>
        <v>54.692660044290498</v>
      </c>
      <c r="E4" s="12"/>
      <c r="F4" t="s">
        <v>67</v>
      </c>
      <c r="G4">
        <v>4.8853109591392579E-2</v>
      </c>
      <c r="H4" t="s">
        <v>41</v>
      </c>
      <c r="I4" s="34">
        <f>EXP(G4-G3)</f>
        <v>0.81779229688611454</v>
      </c>
    </row>
    <row r="5" spans="1:9" x14ac:dyDescent="0.25">
      <c r="A5" s="4"/>
      <c r="B5" s="4"/>
      <c r="H5" t="s">
        <v>4</v>
      </c>
      <c r="I5">
        <f>(I2-I4)/(I3-I4)</f>
        <v>0.39999999983410739</v>
      </c>
    </row>
    <row r="6" spans="1:9" x14ac:dyDescent="0.25">
      <c r="A6" s="4" t="s">
        <v>125</v>
      </c>
      <c r="B6" s="4"/>
      <c r="D6" s="54" t="s">
        <v>126</v>
      </c>
    </row>
    <row r="7" spans="1:9" x14ac:dyDescent="0.25">
      <c r="A7" s="4" t="s">
        <v>127</v>
      </c>
      <c r="B7" s="4"/>
      <c r="D7" s="54"/>
    </row>
    <row r="8" spans="1:9" ht="15.75" thickBot="1" x14ac:dyDescent="0.3">
      <c r="A8" s="4"/>
      <c r="B8" s="4"/>
    </row>
    <row r="9" spans="1:9" ht="15.75" thickTop="1" x14ac:dyDescent="0.25">
      <c r="A9" s="9" t="s">
        <v>11</v>
      </c>
      <c r="B9" s="1" t="s">
        <v>71</v>
      </c>
      <c r="C9" s="35" t="s">
        <v>72</v>
      </c>
      <c r="D9" s="1" t="s">
        <v>73</v>
      </c>
      <c r="E9" s="1"/>
      <c r="F9" s="1"/>
      <c r="G9" s="1"/>
      <c r="H9" s="2"/>
    </row>
    <row r="10" spans="1:9" x14ac:dyDescent="0.25">
      <c r="A10" s="3" t="s">
        <v>68</v>
      </c>
      <c r="B10" s="4">
        <f>(D1-$C$3)/$C$3</f>
        <v>1.2229899400793101</v>
      </c>
      <c r="C10" s="4" t="s">
        <v>69</v>
      </c>
      <c r="D10" s="4"/>
      <c r="E10" s="4"/>
      <c r="F10" s="25">
        <f>AVERAGE(B10:B13)</f>
        <v>0.22127747329863012</v>
      </c>
      <c r="G10" s="4"/>
      <c r="H10" s="5"/>
    </row>
    <row r="11" spans="1:9" x14ac:dyDescent="0.25">
      <c r="A11" s="3"/>
      <c r="B11" s="4">
        <f>(D2-$C$3)/$C$3</f>
        <v>0.34831155489085125</v>
      </c>
      <c r="C11" s="4" t="s">
        <v>70</v>
      </c>
      <c r="D11" s="4"/>
      <c r="E11" s="4"/>
      <c r="F11" s="26">
        <f>_xlfn.STDEV.P(B10:B13)</f>
        <v>0.65352311918407169</v>
      </c>
      <c r="G11" s="4"/>
      <c r="H11" s="5"/>
    </row>
    <row r="12" spans="1:9" x14ac:dyDescent="0.25">
      <c r="A12" s="3"/>
      <c r="B12" s="4">
        <f>(D3-$C$3)/$C$3</f>
        <v>-0.18220770311388551</v>
      </c>
      <c r="C12" s="11" t="s">
        <v>135</v>
      </c>
      <c r="D12" s="4"/>
      <c r="E12" s="4"/>
      <c r="F12" s="4"/>
      <c r="G12" s="4"/>
      <c r="H12" s="5"/>
    </row>
    <row r="13" spans="1:9" ht="15.75" thickBot="1" x14ac:dyDescent="0.3">
      <c r="A13" s="6"/>
      <c r="B13" s="7">
        <f>(D4-$C$3)/$C$3</f>
        <v>-0.5039838986617553</v>
      </c>
      <c r="C13" s="7" t="s">
        <v>136</v>
      </c>
      <c r="D13" s="7"/>
      <c r="E13" s="7"/>
      <c r="F13" s="7"/>
      <c r="G13" s="7"/>
      <c r="H13" s="8"/>
    </row>
    <row r="14" spans="1:9" ht="16.5" thickTop="1" thickBot="1" x14ac:dyDescent="0.3"/>
    <row r="15" spans="1:9" ht="15.75" thickTop="1" x14ac:dyDescent="0.25">
      <c r="A15" s="9" t="s">
        <v>12</v>
      </c>
      <c r="B15" s="1" t="s">
        <v>79</v>
      </c>
      <c r="C15" s="1"/>
      <c r="D15" s="1"/>
      <c r="E15" s="1"/>
      <c r="F15" s="1"/>
      <c r="G15" s="1"/>
      <c r="H15" s="2"/>
    </row>
    <row r="16" spans="1:9" x14ac:dyDescent="0.25">
      <c r="A16" s="3" t="s">
        <v>137</v>
      </c>
      <c r="B16" s="4"/>
      <c r="C16" s="4"/>
      <c r="D16" s="4"/>
      <c r="E16" s="4"/>
      <c r="F16" s="4"/>
      <c r="G16" s="4"/>
      <c r="H16" s="5"/>
    </row>
    <row r="17" spans="1:8" x14ac:dyDescent="0.25">
      <c r="A17" s="3" t="s">
        <v>74</v>
      </c>
      <c r="B17" s="4" t="s">
        <v>75</v>
      </c>
      <c r="C17" s="25">
        <f>I3</f>
        <v>1.3483115548908513</v>
      </c>
      <c r="D17" s="4" t="s">
        <v>76</v>
      </c>
      <c r="E17" s="4">
        <f>I2</f>
        <v>1.03</v>
      </c>
      <c r="F17" s="4" t="s">
        <v>41</v>
      </c>
      <c r="G17" s="25">
        <f>I4</f>
        <v>0.81779229688611454</v>
      </c>
      <c r="H17" s="5"/>
    </row>
    <row r="18" spans="1:8" x14ac:dyDescent="0.25">
      <c r="A18" s="3" t="s">
        <v>77</v>
      </c>
      <c r="B18" s="4"/>
      <c r="C18" s="10">
        <f>I5</f>
        <v>0.39999999983410739</v>
      </c>
      <c r="D18" s="4" t="s">
        <v>78</v>
      </c>
      <c r="E18" s="4"/>
      <c r="F18" s="4"/>
      <c r="G18" s="4"/>
      <c r="H18" s="5"/>
    </row>
    <row r="19" spans="1:8" x14ac:dyDescent="0.25">
      <c r="A19" s="3" t="s">
        <v>80</v>
      </c>
      <c r="B19" s="4"/>
      <c r="C19" s="4"/>
      <c r="D19" s="4"/>
      <c r="E19" s="4"/>
      <c r="F19" s="4"/>
      <c r="G19" s="4"/>
      <c r="H19" s="5"/>
    </row>
    <row r="20" spans="1:8" x14ac:dyDescent="0.25">
      <c r="A20" s="3"/>
      <c r="B20" s="4"/>
      <c r="C20" s="4"/>
      <c r="D20" s="4"/>
      <c r="E20" s="4"/>
      <c r="F20" s="4"/>
      <c r="G20" s="4"/>
      <c r="H20" s="5"/>
    </row>
    <row r="21" spans="1:8" x14ac:dyDescent="0.25">
      <c r="A21" s="3" t="s">
        <v>81</v>
      </c>
      <c r="B21" s="4"/>
      <c r="C21" s="4"/>
      <c r="D21" s="4"/>
      <c r="E21" s="4"/>
      <c r="F21" s="4"/>
      <c r="G21" s="4"/>
      <c r="H21" s="5"/>
    </row>
    <row r="22" spans="1:8" x14ac:dyDescent="0.25">
      <c r="A22" s="3" t="s">
        <v>82</v>
      </c>
      <c r="B22" s="4"/>
      <c r="C22" s="4"/>
      <c r="D22" s="4"/>
      <c r="E22" s="4"/>
      <c r="F22" s="4"/>
      <c r="G22" s="4"/>
      <c r="H22" s="5"/>
    </row>
    <row r="23" spans="1:8" x14ac:dyDescent="0.25">
      <c r="A23" s="3" t="s">
        <v>83</v>
      </c>
      <c r="B23" s="15">
        <f>C3</f>
        <v>110.26388033922778</v>
      </c>
      <c r="C23" s="4" t="s">
        <v>84</v>
      </c>
      <c r="D23" s="4">
        <f t="array" ref="D23:G23">TRANSPOSE(D1:D4)</f>
        <v>245.11549674821217</v>
      </c>
      <c r="E23" s="4">
        <v>148.67006394848298</v>
      </c>
      <c r="F23" s="4">
        <v>90.17295196619277</v>
      </c>
      <c r="G23" s="4">
        <v>54.692660044290498</v>
      </c>
      <c r="H23" s="5"/>
    </row>
    <row r="24" spans="1:8" x14ac:dyDescent="0.25">
      <c r="A24" s="3"/>
      <c r="B24" s="4">
        <v>1</v>
      </c>
      <c r="C24" s="4"/>
      <c r="D24" s="4">
        <f>$I$2</f>
        <v>1.03</v>
      </c>
      <c r="E24" s="4">
        <f>$I$2</f>
        <v>1.03</v>
      </c>
      <c r="F24" s="4">
        <f>$I$2</f>
        <v>1.03</v>
      </c>
      <c r="G24" s="4">
        <f>$I$2</f>
        <v>1.03</v>
      </c>
      <c r="H24" s="5"/>
    </row>
    <row r="25" spans="1:8" x14ac:dyDescent="0.25">
      <c r="A25" s="3"/>
      <c r="B25" s="4"/>
      <c r="C25" s="4"/>
      <c r="D25" s="4"/>
      <c r="E25" s="4"/>
      <c r="F25" s="4"/>
      <c r="G25" s="4"/>
      <c r="H25" s="5"/>
    </row>
    <row r="26" spans="1:8" x14ac:dyDescent="0.25">
      <c r="A26" s="3" t="s">
        <v>87</v>
      </c>
      <c r="B26" s="4" t="s">
        <v>89</v>
      </c>
      <c r="C26" s="4">
        <v>0.1</v>
      </c>
      <c r="D26" s="4"/>
      <c r="E26" s="4" t="s">
        <v>16</v>
      </c>
      <c r="F26" s="4">
        <f t="array" ref="F26:F27">MMULT(D23:G24,C26:C29)</f>
        <v>110.2638803392278</v>
      </c>
      <c r="G26" s="4"/>
      <c r="H26" s="5"/>
    </row>
    <row r="27" spans="1:8" x14ac:dyDescent="0.25">
      <c r="A27" s="3"/>
      <c r="B27" s="4" t="s">
        <v>90</v>
      </c>
      <c r="C27" s="4">
        <v>0.2</v>
      </c>
      <c r="D27" s="4"/>
      <c r="E27" s="4"/>
      <c r="F27" s="4">
        <v>1</v>
      </c>
      <c r="G27" s="4"/>
      <c r="H27" s="5"/>
    </row>
    <row r="28" spans="1:8" x14ac:dyDescent="0.25">
      <c r="A28" s="3" t="s">
        <v>88</v>
      </c>
      <c r="B28" s="4" t="s">
        <v>85</v>
      </c>
      <c r="C28" s="4">
        <f t="array" ref="C28:C29">MMULT(MINVERSE(F23:G24),B23:B24-MMULT(D23:E24,C26:C27))</f>
        <v>0.54470932721254317</v>
      </c>
      <c r="D28" s="4"/>
      <c r="E28" s="4"/>
      <c r="F28" s="4"/>
      <c r="G28" s="4"/>
      <c r="H28" s="5"/>
    </row>
    <row r="29" spans="1:8" x14ac:dyDescent="0.25">
      <c r="A29" s="3"/>
      <c r="B29" s="4" t="s">
        <v>86</v>
      </c>
      <c r="C29" s="4">
        <v>0.12616445919522379</v>
      </c>
      <c r="D29" s="4"/>
      <c r="E29" s="4"/>
      <c r="F29" s="4"/>
      <c r="G29" s="4"/>
      <c r="H29" s="5"/>
    </row>
    <row r="30" spans="1:8" ht="15.75" thickBot="1" x14ac:dyDescent="0.3">
      <c r="A30" s="6" t="s">
        <v>91</v>
      </c>
      <c r="B30" s="7"/>
      <c r="C30" s="7"/>
      <c r="D30" s="7"/>
      <c r="E30" s="7"/>
      <c r="F30" s="7"/>
      <c r="G30" s="7"/>
      <c r="H30" s="8"/>
    </row>
    <row r="31" spans="1:8" ht="16.5" thickTop="1" thickBot="1" x14ac:dyDescent="0.3"/>
    <row r="32" spans="1:8" ht="15.75" thickTop="1" x14ac:dyDescent="0.25">
      <c r="A32" s="9" t="s">
        <v>13</v>
      </c>
      <c r="B32" s="1" t="s">
        <v>92</v>
      </c>
      <c r="C32" s="1"/>
      <c r="D32" s="1"/>
      <c r="E32" s="1"/>
      <c r="F32" s="1"/>
      <c r="G32" s="1"/>
      <c r="H32" s="2"/>
    </row>
    <row r="33" spans="1:8" x14ac:dyDescent="0.25">
      <c r="A33" s="28" t="s">
        <v>93</v>
      </c>
      <c r="B33" s="10">
        <f>A4*I2</f>
        <v>103</v>
      </c>
      <c r="C33" s="10" t="s">
        <v>94</v>
      </c>
      <c r="D33" s="10">
        <f>A4*I2^2</f>
        <v>106.08999999999999</v>
      </c>
      <c r="E33" s="10" t="s">
        <v>95</v>
      </c>
      <c r="F33" s="10">
        <f>A4*I2^3</f>
        <v>109.2727</v>
      </c>
      <c r="G33" s="4"/>
      <c r="H33" s="5"/>
    </row>
    <row r="34" spans="1:8" x14ac:dyDescent="0.25">
      <c r="A34" s="3" t="s">
        <v>134</v>
      </c>
      <c r="B34" s="4"/>
      <c r="C34" s="4"/>
      <c r="D34" s="4"/>
      <c r="E34" s="4"/>
      <c r="F34" s="4"/>
      <c r="G34" s="4"/>
      <c r="H34" s="5"/>
    </row>
    <row r="35" spans="1:8" ht="15.75" thickBot="1" x14ac:dyDescent="0.3">
      <c r="A35" s="6" t="s">
        <v>96</v>
      </c>
      <c r="B35" s="7"/>
      <c r="C35" s="7"/>
      <c r="D35" s="7"/>
      <c r="E35" s="7"/>
      <c r="F35" s="7"/>
      <c r="G35" s="7"/>
      <c r="H35" s="8"/>
    </row>
    <row r="36" spans="1:8" ht="16.5" thickTop="1" thickBot="1" x14ac:dyDescent="0.3"/>
    <row r="37" spans="1:8" ht="15.75" thickTop="1" x14ac:dyDescent="0.25">
      <c r="A37" s="9" t="s">
        <v>14</v>
      </c>
      <c r="B37" s="1" t="s">
        <v>97</v>
      </c>
      <c r="C37" s="1"/>
      <c r="D37" s="1"/>
      <c r="E37" s="1"/>
      <c r="F37" s="1"/>
      <c r="G37" s="1"/>
      <c r="H37" s="2"/>
    </row>
    <row r="38" spans="1:8" x14ac:dyDescent="0.25">
      <c r="A38" s="3" t="s">
        <v>98</v>
      </c>
      <c r="B38" s="4"/>
      <c r="C38" s="4"/>
      <c r="D38" s="4"/>
      <c r="E38" s="4" t="s">
        <v>99</v>
      </c>
      <c r="F38" s="4"/>
      <c r="G38" s="4"/>
      <c r="H38" s="5"/>
    </row>
    <row r="39" spans="1:8" x14ac:dyDescent="0.25">
      <c r="A39" s="3"/>
      <c r="B39" s="4"/>
      <c r="C39" s="15">
        <f>MAX(C2-$D$33,0)</f>
        <v>75.70440490521851</v>
      </c>
      <c r="D39" s="4"/>
      <c r="E39" s="4"/>
      <c r="F39" s="4"/>
      <c r="G39" s="4">
        <f>MAX($D$33-C2,0)</f>
        <v>0</v>
      </c>
      <c r="H39" s="5"/>
    </row>
    <row r="40" spans="1:8" x14ac:dyDescent="0.25">
      <c r="A40" s="3"/>
      <c r="B40" s="4">
        <f>($C$18*C39+(1-$C$18)*C40)/$I$2</f>
        <v>31.831155489085138</v>
      </c>
      <c r="C40" s="4">
        <f>MAX(C3-$D$33,0)</f>
        <v>4.173880339227793</v>
      </c>
      <c r="D40" s="4"/>
      <c r="E40" s="4"/>
      <c r="F40" s="4">
        <f>($C$18*G39+(1-$C$18)*G40)/$I$2</f>
        <v>0</v>
      </c>
      <c r="G40" s="4">
        <f>MAX($D$33-C3,0)</f>
        <v>0</v>
      </c>
      <c r="H40" s="5"/>
    </row>
    <row r="41" spans="1:8" x14ac:dyDescent="0.25">
      <c r="A41" s="10">
        <f t="shared" ref="A41" si="0">($C$18*B40+(1-$C$18)*B41)/$I$2</f>
        <v>13.305841584824483</v>
      </c>
      <c r="B41" s="4">
        <f>($C$18*C40+(1-$C$18)*C41)/$I$2</f>
        <v>1.6209244029113603</v>
      </c>
      <c r="C41" s="4">
        <f>MAX(C4-$D$33,0)</f>
        <v>0</v>
      </c>
      <c r="D41" s="4"/>
      <c r="E41" s="10">
        <f>($C$18*F40+(1-$C$18)*F41)/$I$2</f>
        <v>13.305841584824472</v>
      </c>
      <c r="F41" s="4">
        <f>($C$18*G40+(1-$C$18)*G41)/$I$2</f>
        <v>22.841694714299898</v>
      </c>
      <c r="G41" s="4">
        <f>MAX($D$33-C4,0)</f>
        <v>39.211575915373302</v>
      </c>
      <c r="H41" s="5"/>
    </row>
    <row r="42" spans="1:8" x14ac:dyDescent="0.25">
      <c r="A42" s="57">
        <v>0</v>
      </c>
      <c r="B42" s="58">
        <v>1</v>
      </c>
      <c r="C42" s="58">
        <v>2</v>
      </c>
      <c r="D42" s="4"/>
      <c r="E42" s="58">
        <v>0</v>
      </c>
      <c r="F42" s="58">
        <v>1</v>
      </c>
      <c r="G42" s="58">
        <v>2</v>
      </c>
      <c r="H42" s="5" t="s">
        <v>100</v>
      </c>
    </row>
    <row r="43" spans="1:8" x14ac:dyDescent="0.25">
      <c r="A43" s="3" t="s">
        <v>101</v>
      </c>
      <c r="B43" s="4"/>
      <c r="C43" s="4"/>
      <c r="D43" s="4"/>
      <c r="E43" s="4"/>
      <c r="F43" s="4"/>
      <c r="G43" s="4"/>
      <c r="H43" s="5"/>
    </row>
    <row r="44" spans="1:8" x14ac:dyDescent="0.25">
      <c r="A44" s="3" t="s">
        <v>102</v>
      </c>
      <c r="B44" s="4"/>
      <c r="C44" s="4"/>
      <c r="D44" s="4"/>
      <c r="E44" s="4"/>
      <c r="F44" s="4"/>
      <c r="G44" s="4"/>
      <c r="H44" s="5"/>
    </row>
    <row r="45" spans="1:8" ht="15.75" thickBot="1" x14ac:dyDescent="0.3">
      <c r="A45" s="6" t="s">
        <v>140</v>
      </c>
      <c r="B45" s="7"/>
      <c r="C45" s="7"/>
      <c r="D45" s="7"/>
      <c r="E45" s="7"/>
      <c r="F45" s="7"/>
      <c r="G45" s="7"/>
      <c r="H45" s="8"/>
    </row>
    <row r="46" spans="1:8" ht="16.5" thickTop="1" thickBot="1" x14ac:dyDescent="0.3"/>
    <row r="47" spans="1:8" ht="15.75" thickTop="1" x14ac:dyDescent="0.25">
      <c r="A47" s="9" t="s">
        <v>15</v>
      </c>
      <c r="B47" s="1" t="s">
        <v>103</v>
      </c>
      <c r="C47" s="1"/>
      <c r="D47" s="1"/>
      <c r="E47" s="1"/>
      <c r="F47" s="1"/>
      <c r="G47" s="1"/>
      <c r="H47" s="2"/>
    </row>
    <row r="48" spans="1:8" x14ac:dyDescent="0.25">
      <c r="A48" s="3"/>
      <c r="B48" s="4"/>
      <c r="C48" s="4"/>
      <c r="D48" s="4"/>
      <c r="E48" s="4"/>
      <c r="F48" s="4"/>
      <c r="G48" s="4"/>
      <c r="H48" s="5"/>
    </row>
    <row r="49" spans="1:8" x14ac:dyDescent="0.25">
      <c r="A49" s="3" t="s">
        <v>104</v>
      </c>
      <c r="B49" s="4">
        <f>B3</f>
        <v>134.83115548908512</v>
      </c>
      <c r="C49" s="4">
        <f>$I$2</f>
        <v>1.03</v>
      </c>
      <c r="D49" s="4" t="s">
        <v>17</v>
      </c>
      <c r="E49" s="4">
        <f>B40</f>
        <v>31.831155489085138</v>
      </c>
      <c r="F49" s="4" t="s">
        <v>5</v>
      </c>
      <c r="G49" s="10">
        <f t="array" ref="G49:G50">MMULT(MINVERSE(B49:C50),E49:E50)</f>
        <v>0.56944645515401904</v>
      </c>
      <c r="H49" s="5" t="s">
        <v>105</v>
      </c>
    </row>
    <row r="50" spans="1:8" x14ac:dyDescent="0.25">
      <c r="A50" s="3"/>
      <c r="B50" s="4">
        <f>B4</f>
        <v>81.779229688611451</v>
      </c>
      <c r="C50" s="4">
        <f>C49</f>
        <v>1.03</v>
      </c>
      <c r="D50" s="4"/>
      <c r="E50" s="4">
        <f>B41</f>
        <v>1.6209244029113603</v>
      </c>
      <c r="F50" s="4" t="s">
        <v>6</v>
      </c>
      <c r="G50" s="10">
        <v>-43.638803930577424</v>
      </c>
      <c r="H50" s="5" t="s">
        <v>106</v>
      </c>
    </row>
    <row r="51" spans="1:8" x14ac:dyDescent="0.25">
      <c r="A51" s="3" t="s">
        <v>138</v>
      </c>
      <c r="B51" s="4"/>
      <c r="C51" s="4"/>
      <c r="D51" s="4"/>
      <c r="E51" s="4"/>
      <c r="F51" s="4"/>
      <c r="G51" s="4"/>
      <c r="H51" s="5"/>
    </row>
    <row r="52" spans="1:8" ht="15.75" thickBot="1" x14ac:dyDescent="0.3">
      <c r="A52" s="6" t="s">
        <v>107</v>
      </c>
      <c r="B52" s="7"/>
      <c r="C52" s="7"/>
      <c r="D52" s="7"/>
      <c r="E52" s="7"/>
      <c r="F52" s="7"/>
      <c r="G52" s="7" t="s">
        <v>139</v>
      </c>
      <c r="H52" s="8">
        <f>G49*100+G50*1</f>
        <v>13.305841584824478</v>
      </c>
    </row>
    <row r="53" spans="1:8" ht="16.5" thickTop="1" thickBot="1" x14ac:dyDescent="0.3"/>
    <row r="54" spans="1:8" ht="15.75" thickTop="1" x14ac:dyDescent="0.25">
      <c r="A54" s="9" t="s">
        <v>108</v>
      </c>
      <c r="B54" s="1" t="s">
        <v>111</v>
      </c>
      <c r="C54" s="1">
        <v>120</v>
      </c>
      <c r="D54" s="1"/>
      <c r="E54" s="1" t="s">
        <v>118</v>
      </c>
      <c r="F54" s="1"/>
      <c r="G54" s="1"/>
      <c r="H54" s="2"/>
    </row>
    <row r="55" spans="1:8" x14ac:dyDescent="0.25">
      <c r="A55" s="3" t="s">
        <v>109</v>
      </c>
      <c r="B55" s="4"/>
      <c r="C55" s="4"/>
      <c r="D55" s="4"/>
      <c r="E55" s="4"/>
      <c r="F55" s="4"/>
      <c r="G55" s="4"/>
      <c r="H55" s="5"/>
    </row>
    <row r="56" spans="1:8" x14ac:dyDescent="0.25">
      <c r="A56" s="3" t="s">
        <v>104</v>
      </c>
      <c r="B56" s="4">
        <f t="array" ref="B56:C59">TRANSPOSE(D23:G24)</f>
        <v>245.11549674821217</v>
      </c>
      <c r="C56" s="4">
        <v>1.03</v>
      </c>
      <c r="D56" s="4" t="s">
        <v>110</v>
      </c>
      <c r="E56" s="4">
        <f>MAX(B56-$C$54,0)</f>
        <v>125.11549674821217</v>
      </c>
      <c r="F56" s="4" t="s">
        <v>112</v>
      </c>
      <c r="G56" s="4">
        <f t="array" ref="G56:G59">MMULT(B56:C59,B61:B62)</f>
        <v>125.11549674821217</v>
      </c>
      <c r="H56" s="5"/>
    </row>
    <row r="57" spans="1:8" x14ac:dyDescent="0.25">
      <c r="A57" s="3"/>
      <c r="B57" s="4">
        <v>148.67006394848298</v>
      </c>
      <c r="C57" s="4">
        <v>1.03</v>
      </c>
      <c r="D57" s="4"/>
      <c r="E57" s="4">
        <f>MAX(B57-$C$54,0)</f>
        <v>28.670063948482976</v>
      </c>
      <c r="F57" s="4"/>
      <c r="G57" s="4">
        <v>61.746951028055285</v>
      </c>
      <c r="H57" s="5"/>
    </row>
    <row r="58" spans="1:8" x14ac:dyDescent="0.25">
      <c r="A58" s="3"/>
      <c r="B58" s="4">
        <v>90.17295196619277</v>
      </c>
      <c r="C58" s="4">
        <v>1.03</v>
      </c>
      <c r="D58" s="4"/>
      <c r="E58" s="4">
        <f>MAX(B58-$C$54,0)</f>
        <v>0</v>
      </c>
      <c r="F58" s="4"/>
      <c r="G58" s="4">
        <v>23.31198518737834</v>
      </c>
      <c r="H58" s="5"/>
    </row>
    <row r="59" spans="1:8" x14ac:dyDescent="0.25">
      <c r="A59" s="3"/>
      <c r="B59" s="4">
        <v>54.692660044290498</v>
      </c>
      <c r="C59" s="4">
        <v>1.03</v>
      </c>
      <c r="D59" s="4"/>
      <c r="E59" s="4">
        <f>MAX(B59-$C$54,0)</f>
        <v>0</v>
      </c>
      <c r="F59" s="4"/>
      <c r="G59" s="4">
        <v>2.8421709430404007E-14</v>
      </c>
      <c r="H59" s="5"/>
    </row>
    <row r="60" spans="1:8" x14ac:dyDescent="0.25">
      <c r="A60" s="3"/>
      <c r="B60" s="4"/>
      <c r="C60" s="4"/>
      <c r="D60" s="4"/>
      <c r="E60" s="4"/>
      <c r="F60" s="4"/>
      <c r="G60" s="4"/>
      <c r="H60" s="5"/>
    </row>
    <row r="61" spans="1:8" x14ac:dyDescent="0.25">
      <c r="A61" s="3" t="s">
        <v>113</v>
      </c>
      <c r="B61" s="36">
        <v>0.65704039974337514</v>
      </c>
      <c r="C61" s="4" t="s">
        <v>115</v>
      </c>
      <c r="D61" s="36" t="s">
        <v>114</v>
      </c>
      <c r="E61" s="38">
        <f t="array" ref="E61">MMULT(TRANSPOSE(B61:B62),$B$23:$B$24)</f>
        <v>37.55919564783791</v>
      </c>
      <c r="F61" s="4" t="s">
        <v>116</v>
      </c>
      <c r="G61" s="4"/>
      <c r="H61" s="5"/>
    </row>
    <row r="62" spans="1:8" x14ac:dyDescent="0.25">
      <c r="A62" s="3"/>
      <c r="B62" s="36">
        <v>-34.888628367503998</v>
      </c>
      <c r="C62" s="4" t="s">
        <v>106</v>
      </c>
      <c r="D62" s="4"/>
      <c r="E62" s="4"/>
      <c r="F62" s="4"/>
      <c r="G62" s="4"/>
      <c r="H62" s="5"/>
    </row>
    <row r="63" spans="1:8" x14ac:dyDescent="0.25">
      <c r="A63" s="3"/>
      <c r="B63" s="4"/>
      <c r="C63" s="4"/>
      <c r="D63" s="4"/>
      <c r="E63" s="4"/>
      <c r="F63" s="4"/>
      <c r="G63" s="4"/>
      <c r="H63" s="5"/>
    </row>
    <row r="64" spans="1:8" x14ac:dyDescent="0.25">
      <c r="A64" s="3" t="s">
        <v>117</v>
      </c>
      <c r="B64" s="4"/>
      <c r="C64" s="4"/>
      <c r="D64" s="4"/>
      <c r="E64" s="4"/>
      <c r="F64" s="4"/>
      <c r="G64" s="4"/>
      <c r="H64" s="5"/>
    </row>
    <row r="65" spans="1:8" x14ac:dyDescent="0.25">
      <c r="A65" s="3" t="s">
        <v>112</v>
      </c>
      <c r="B65" s="4">
        <f t="array" ref="B65:B68">MMULT(B56:C59,B70:B71)</f>
        <v>75.939008212679795</v>
      </c>
      <c r="C65" s="4"/>
      <c r="D65" s="4"/>
      <c r="E65" s="4"/>
      <c r="F65" s="4"/>
      <c r="G65" s="4"/>
      <c r="H65" s="5"/>
    </row>
    <row r="66" spans="1:8" x14ac:dyDescent="0.25">
      <c r="A66" s="3"/>
      <c r="B66" s="4">
        <v>28.670063948483026</v>
      </c>
      <c r="C66" s="4"/>
      <c r="D66" s="4"/>
      <c r="E66" s="4"/>
      <c r="F66" s="4"/>
      <c r="G66" s="4"/>
      <c r="H66" s="5"/>
    </row>
    <row r="67" spans="1:8" x14ac:dyDescent="0.25">
      <c r="A67" s="3"/>
      <c r="B67" s="4">
        <v>4.9737991503207013E-14</v>
      </c>
      <c r="C67" s="4"/>
      <c r="D67" s="4"/>
      <c r="E67" s="4"/>
      <c r="F67" s="4"/>
      <c r="G67" s="4"/>
      <c r="H67" s="5"/>
    </row>
    <row r="68" spans="1:8" x14ac:dyDescent="0.25">
      <c r="A68" s="3"/>
      <c r="B68" s="4">
        <v>-17.389272800676711</v>
      </c>
      <c r="C68" s="4"/>
      <c r="D68" s="4"/>
      <c r="E68" s="4"/>
      <c r="F68" s="4"/>
      <c r="G68" s="4"/>
      <c r="H68" s="5"/>
    </row>
    <row r="69" spans="1:8" x14ac:dyDescent="0.25">
      <c r="A69" s="3"/>
      <c r="B69" s="4"/>
      <c r="C69" s="4"/>
      <c r="D69" s="4"/>
      <c r="E69" s="4"/>
      <c r="F69" s="4"/>
      <c r="G69" s="4"/>
      <c r="H69" s="5"/>
    </row>
    <row r="70" spans="1:8" x14ac:dyDescent="0.25">
      <c r="A70" s="3" t="s">
        <v>113</v>
      </c>
      <c r="B70" s="36">
        <v>0.49011075892366668</v>
      </c>
      <c r="C70" s="4" t="s">
        <v>115</v>
      </c>
      <c r="D70" s="4" t="s">
        <v>114</v>
      </c>
      <c r="E70" s="13">
        <f t="array" ref="E70">MMULT(TRANSPOSE(B70:B71),$B$23:$B$24)</f>
        <v>11.134005412269019</v>
      </c>
      <c r="F70" s="4"/>
      <c r="G70" s="4"/>
      <c r="H70" s="5"/>
    </row>
    <row r="71" spans="1:8" ht="15.75" thickBot="1" x14ac:dyDescent="0.3">
      <c r="A71" s="6"/>
      <c r="B71" s="37">
        <v>-42.90750866265828</v>
      </c>
      <c r="C71" s="7" t="s">
        <v>106</v>
      </c>
      <c r="D71" s="7"/>
      <c r="E71" s="7"/>
      <c r="F71" s="7"/>
      <c r="G71" s="7"/>
      <c r="H71" s="8"/>
    </row>
    <row r="72" spans="1:8" ht="15.75" thickTop="1" x14ac:dyDescent="0.25"/>
  </sheetData>
  <hyperlinks>
    <hyperlink ref="D6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7" sqref="C17"/>
    </sheetView>
  </sheetViews>
  <sheetFormatPr defaultRowHeight="15" x14ac:dyDescent="0.25"/>
  <cols>
    <col min="2" max="2" width="17.28515625" customWidth="1"/>
    <col min="4" max="4" width="36.28515625" customWidth="1"/>
    <col min="5" max="5" width="19.7109375" customWidth="1"/>
  </cols>
  <sheetData>
    <row r="1" spans="1:6" x14ac:dyDescent="0.25">
      <c r="A1" t="s">
        <v>153</v>
      </c>
    </row>
    <row r="4" spans="1:6" x14ac:dyDescent="0.25">
      <c r="A4" t="s">
        <v>143</v>
      </c>
      <c r="B4" t="s">
        <v>142</v>
      </c>
      <c r="C4" t="s">
        <v>149</v>
      </c>
      <c r="D4" t="s">
        <v>150</v>
      </c>
      <c r="E4" t="s">
        <v>148</v>
      </c>
    </row>
    <row r="5" spans="1:6" x14ac:dyDescent="0.25">
      <c r="A5">
        <v>1</v>
      </c>
      <c r="B5">
        <v>1.2229899400793101</v>
      </c>
      <c r="C5">
        <f>1/4</f>
        <v>0.25</v>
      </c>
      <c r="D5">
        <f>C5*B5</f>
        <v>0.30574748501982751</v>
      </c>
      <c r="E5">
        <f>C5*(B5-$D$12)^2</f>
        <v>0.25085696652595862</v>
      </c>
    </row>
    <row r="6" spans="1:6" x14ac:dyDescent="0.25">
      <c r="A6">
        <v>2</v>
      </c>
      <c r="B6">
        <v>0.34831155489085125</v>
      </c>
      <c r="C6">
        <v>0.25</v>
      </c>
      <c r="D6">
        <f t="shared" ref="D6:D8" si="0">C6*B6</f>
        <v>8.7077888722712812E-2</v>
      </c>
      <c r="E6">
        <f t="shared" ref="E6:E8" si="1">C6*(B6-$D$12)^2</f>
        <v>4.0344144714947738E-3</v>
      </c>
    </row>
    <row r="7" spans="1:6" x14ac:dyDescent="0.25">
      <c r="A7">
        <v>3</v>
      </c>
      <c r="B7">
        <v>-0.18220770311388551</v>
      </c>
      <c r="C7">
        <v>0.25</v>
      </c>
      <c r="D7">
        <f t="shared" si="0"/>
        <v>-4.5551925778471378E-2</v>
      </c>
      <c r="E7">
        <f t="shared" si="1"/>
        <v>4.0700071896159713E-2</v>
      </c>
    </row>
    <row r="8" spans="1:6" x14ac:dyDescent="0.25">
      <c r="A8">
        <v>4</v>
      </c>
      <c r="B8">
        <v>-0.5039838986617553</v>
      </c>
      <c r="C8">
        <v>0.25</v>
      </c>
      <c r="D8">
        <f t="shared" si="0"/>
        <v>-0.12599597466543883</v>
      </c>
      <c r="E8">
        <f t="shared" si="1"/>
        <v>0.13150101441446513</v>
      </c>
    </row>
    <row r="11" spans="1:6" x14ac:dyDescent="0.25">
      <c r="D11" t="s">
        <v>144</v>
      </c>
      <c r="E11" t="s">
        <v>146</v>
      </c>
      <c r="F11" t="s">
        <v>145</v>
      </c>
    </row>
    <row r="12" spans="1:6" x14ac:dyDescent="0.25">
      <c r="D12">
        <f>SUM(D5:D8)</f>
        <v>0.22127747329863012</v>
      </c>
      <c r="E12">
        <f>AVERAGE(B5:B8)</f>
        <v>0.22127747329863012</v>
      </c>
      <c r="F12" t="str">
        <f>IF(D12*E12,"JA","Nej")</f>
        <v>JA</v>
      </c>
    </row>
    <row r="13" spans="1:6" x14ac:dyDescent="0.25">
      <c r="D13" t="s">
        <v>147</v>
      </c>
      <c r="E13" t="s">
        <v>151</v>
      </c>
    </row>
    <row r="14" spans="1:6" x14ac:dyDescent="0.25">
      <c r="D14">
        <f>SQRT(SUM(E5:E8))</f>
        <v>0.65352311918407158</v>
      </c>
      <c r="E14">
        <f>_xlfn.STDEV.P(B5:B8)</f>
        <v>0.65352311918407169</v>
      </c>
      <c r="F1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E4" sqref="E4:E7"/>
    </sheetView>
  </sheetViews>
  <sheetFormatPr defaultRowHeight="15" x14ac:dyDescent="0.25"/>
  <sheetData>
    <row r="3" spans="1:4" x14ac:dyDescent="0.25">
      <c r="D3" t="s">
        <v>141</v>
      </c>
    </row>
    <row r="4" spans="1:4" ht="15.75" thickBot="1" x14ac:dyDescent="0.3">
      <c r="B4" s="59"/>
      <c r="C4" s="59">
        <v>182</v>
      </c>
      <c r="D4">
        <f>MAX(C4,B5,A7)</f>
        <v>182</v>
      </c>
    </row>
    <row r="5" spans="1:4" ht="16.5" thickTop="1" thickBot="1" x14ac:dyDescent="0.3">
      <c r="A5" s="61"/>
      <c r="B5" s="64">
        <v>135</v>
      </c>
      <c r="C5" s="59">
        <v>110</v>
      </c>
      <c r="D5">
        <f>MAX(C5,B5,A7)</f>
        <v>135</v>
      </c>
    </row>
    <row r="6" spans="1:4" ht="15.75" thickTop="1" x14ac:dyDescent="0.25">
      <c r="A6" s="61"/>
      <c r="B6" s="62"/>
      <c r="C6" s="60">
        <v>110</v>
      </c>
      <c r="D6">
        <f>MAX(C6,B7,A7)</f>
        <v>110</v>
      </c>
    </row>
    <row r="7" spans="1:4" ht="15.75" thickBot="1" x14ac:dyDescent="0.3">
      <c r="A7" s="6">
        <v>100</v>
      </c>
      <c r="B7" s="63">
        <v>82</v>
      </c>
      <c r="C7" s="60">
        <v>67</v>
      </c>
      <c r="D7">
        <f>MAX(A7:C7)</f>
        <v>100</v>
      </c>
    </row>
    <row r="8" spans="1: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opLeftCell="A5" zoomScale="93" zoomScaleNormal="93" workbookViewId="0">
      <selection activeCell="M24" sqref="M24"/>
    </sheetView>
  </sheetViews>
  <sheetFormatPr defaultRowHeight="15" x14ac:dyDescent="0.25"/>
  <cols>
    <col min="1" max="1" width="12.5703125" customWidth="1"/>
    <col min="2" max="2" width="8.85546875" bestFit="1" customWidth="1"/>
    <col min="3" max="3" width="11.140625" customWidth="1"/>
    <col min="4" max="4" width="7.5703125" customWidth="1"/>
    <col min="5" max="5" width="11.42578125" customWidth="1"/>
    <col min="7" max="7" width="12.7109375" customWidth="1"/>
    <col min="8" max="8" width="6.85546875" customWidth="1"/>
    <col min="9" max="9" width="11" customWidth="1"/>
    <col min="10" max="10" width="7.140625" customWidth="1"/>
  </cols>
  <sheetData>
    <row r="1" spans="1:10" x14ac:dyDescent="0.25">
      <c r="A1" t="s">
        <v>19</v>
      </c>
      <c r="C1">
        <v>0.05</v>
      </c>
    </row>
    <row r="2" spans="1:10" x14ac:dyDescent="0.25">
      <c r="B2">
        <v>0.03</v>
      </c>
      <c r="C2">
        <v>0.02</v>
      </c>
    </row>
    <row r="3" spans="1:10" x14ac:dyDescent="0.25">
      <c r="A3">
        <v>0.01</v>
      </c>
      <c r="B3">
        <v>-0.01</v>
      </c>
      <c r="C3">
        <v>0</v>
      </c>
    </row>
    <row r="5" spans="1:10" x14ac:dyDescent="0.25">
      <c r="A5" t="s">
        <v>4</v>
      </c>
      <c r="B5">
        <v>0.5</v>
      </c>
    </row>
    <row r="6" spans="1:10" x14ac:dyDescent="0.25">
      <c r="A6">
        <v>0.6</v>
      </c>
      <c r="B6">
        <v>0.7</v>
      </c>
    </row>
    <row r="7" spans="1:10" ht="15.75" thickBot="1" x14ac:dyDescent="0.3"/>
    <row r="8" spans="1:10" ht="15.75" thickTop="1" x14ac:dyDescent="0.25">
      <c r="A8" s="9" t="s">
        <v>7</v>
      </c>
      <c r="B8" s="1"/>
      <c r="C8" s="2"/>
      <c r="E8" s="20" t="s">
        <v>10</v>
      </c>
      <c r="F8" s="1"/>
      <c r="G8" s="1"/>
      <c r="H8" s="1"/>
      <c r="I8" s="1"/>
      <c r="J8" s="2"/>
    </row>
    <row r="9" spans="1:10" x14ac:dyDescent="0.25">
      <c r="A9" s="3" t="s">
        <v>1</v>
      </c>
      <c r="B9" s="4"/>
      <c r="C9" s="5"/>
      <c r="E9" s="19"/>
      <c r="F9" s="11"/>
      <c r="G9" s="4"/>
      <c r="H9" s="4"/>
      <c r="I9" s="4"/>
      <c r="J9" s="5"/>
    </row>
    <row r="10" spans="1:10" x14ac:dyDescent="0.25">
      <c r="A10" s="21">
        <f>1/(1+A3)</f>
        <v>0.99009900990099009</v>
      </c>
      <c r="B10" s="4"/>
      <c r="C10" s="5"/>
      <c r="E10" s="41" t="s">
        <v>21</v>
      </c>
      <c r="F10" s="26">
        <f>(1-A10)/(A10)</f>
        <v>1.0000000000000009E-2</v>
      </c>
      <c r="G10" s="39"/>
      <c r="H10" s="39"/>
      <c r="I10" s="39"/>
      <c r="J10" s="47"/>
    </row>
    <row r="11" spans="1:10" x14ac:dyDescent="0.25">
      <c r="A11" s="3"/>
      <c r="B11" s="4"/>
      <c r="C11" s="5"/>
      <c r="E11" s="41" t="s">
        <v>22</v>
      </c>
      <c r="F11" s="26">
        <f>(1-A15)/(A10+A15)</f>
        <v>1.1796909710223603E-2</v>
      </c>
      <c r="G11" s="39" t="s">
        <v>23</v>
      </c>
      <c r="H11" s="48">
        <f>(A10-A15)/(A15)</f>
        <v>1.3618290258449246E-2</v>
      </c>
      <c r="I11" s="39"/>
      <c r="J11" s="47"/>
    </row>
    <row r="12" spans="1:10" ht="15.75" thickBot="1" x14ac:dyDescent="0.3">
      <c r="A12" s="3" t="s">
        <v>2</v>
      </c>
      <c r="B12" s="4"/>
      <c r="C12" s="5"/>
      <c r="D12" s="16"/>
      <c r="E12" s="45" t="s">
        <v>20</v>
      </c>
      <c r="F12" s="29">
        <f>(1-A21)/(A10+A15+A21)</f>
        <v>1.6472718537350262E-2</v>
      </c>
      <c r="G12" s="40" t="s">
        <v>24</v>
      </c>
      <c r="H12" s="49">
        <f>(A10-A21)/(A15+A21)</f>
        <v>1.9795464121752506E-2</v>
      </c>
      <c r="I12" s="40" t="s">
        <v>25</v>
      </c>
      <c r="J12" s="50">
        <f>(A15-A21)/A21</f>
        <v>2.6134072695854264E-2</v>
      </c>
    </row>
    <row r="13" spans="1:10" ht="16.5" thickTop="1" thickBot="1" x14ac:dyDescent="0.3">
      <c r="A13" s="3"/>
      <c r="B13" s="4"/>
      <c r="C13" s="5">
        <v>1</v>
      </c>
      <c r="D13" s="17"/>
    </row>
    <row r="14" spans="1:10" ht="15.75" thickTop="1" x14ac:dyDescent="0.25">
      <c r="A14" s="3"/>
      <c r="B14" s="4">
        <f>(B5*C13+(1-B5)*C14)/(1+B2)</f>
        <v>0.970873786407767</v>
      </c>
      <c r="C14" s="5">
        <v>1</v>
      </c>
      <c r="D14" s="17"/>
      <c r="E14" s="20" t="s">
        <v>9</v>
      </c>
      <c r="F14" s="24"/>
      <c r="G14" s="1"/>
      <c r="H14" s="2"/>
    </row>
    <row r="15" spans="1:10" x14ac:dyDescent="0.25">
      <c r="A15" s="21">
        <f>(A6*B14+(1-A6)*B15)/(1+A3)</f>
        <v>0.97679670879709335</v>
      </c>
      <c r="B15" s="4">
        <f>(B6*C14+(1-B6)*C15)/(1+B3)</f>
        <v>1.0101010101010102</v>
      </c>
      <c r="C15" s="5">
        <v>1</v>
      </c>
      <c r="D15" s="17"/>
      <c r="E15" s="14" t="s">
        <v>26</v>
      </c>
      <c r="F15" s="11">
        <v>0.02</v>
      </c>
      <c r="G15" s="4"/>
      <c r="H15" s="5"/>
    </row>
    <row r="16" spans="1:10" x14ac:dyDescent="0.25">
      <c r="A16" s="3"/>
      <c r="B16" s="4"/>
      <c r="C16" s="5"/>
      <c r="D16" s="16"/>
      <c r="E16" s="14"/>
      <c r="F16" s="11"/>
      <c r="G16" s="4"/>
      <c r="H16" s="5"/>
    </row>
    <row r="17" spans="1:12" x14ac:dyDescent="0.25">
      <c r="A17" s="3" t="s">
        <v>3</v>
      </c>
      <c r="B17" s="4"/>
      <c r="C17" s="5"/>
      <c r="D17" s="16"/>
      <c r="E17" s="14" t="s">
        <v>27</v>
      </c>
      <c r="F17" s="11"/>
      <c r="G17" s="4" t="s">
        <v>128</v>
      </c>
      <c r="H17" s="5"/>
    </row>
    <row r="18" spans="1:12" x14ac:dyDescent="0.25">
      <c r="A18" s="3"/>
      <c r="B18" s="4"/>
      <c r="C18" s="5"/>
      <c r="D18" s="16"/>
      <c r="E18" s="14" t="s">
        <v>29</v>
      </c>
      <c r="F18" s="55">
        <f>(1-B20)/(B14+B20)</f>
        <v>3.235042735042739E-2</v>
      </c>
      <c r="G18" s="25">
        <f>MAX(F18-$F$15,0)*(B14+B20)</f>
        <v>2.35783633841887E-2</v>
      </c>
      <c r="H18" s="5"/>
    </row>
    <row r="19" spans="1:12" x14ac:dyDescent="0.25">
      <c r="A19" s="3"/>
      <c r="B19" s="4"/>
      <c r="C19" s="5">
        <f>1/(1+C1)</f>
        <v>0.95238095238095233</v>
      </c>
      <c r="D19" s="16"/>
      <c r="E19" s="14" t="s">
        <v>30</v>
      </c>
      <c r="F19" s="55">
        <f>(1-B21)/(B15+B21)</f>
        <v>1.8756169792695371E-3</v>
      </c>
      <c r="G19" s="4">
        <f>MAX(F19-$F$15,0)*(B15+B21)</f>
        <v>0</v>
      </c>
      <c r="H19" s="5"/>
      <c r="L19" t="s">
        <v>0</v>
      </c>
    </row>
    <row r="20" spans="1:12" x14ac:dyDescent="0.25">
      <c r="A20" s="3"/>
      <c r="B20" s="4">
        <f>(B5*C19+(1-B5)*C20)/(1+B2)</f>
        <v>0.93823937341927055</v>
      </c>
      <c r="C20" s="5">
        <f>1/(1+C2)</f>
        <v>0.98039215686274506</v>
      </c>
      <c r="E20" s="14"/>
      <c r="F20" s="11"/>
      <c r="G20" s="4"/>
      <c r="H20" s="5"/>
    </row>
    <row r="21" spans="1:12" ht="15.75" thickBot="1" x14ac:dyDescent="0.3">
      <c r="A21" s="22">
        <f>(A6*B20+(1-A6)*B21)/(1+A3)</f>
        <v>0.95191918365098038</v>
      </c>
      <c r="B21" s="7">
        <f>(B6*C20+(1-B6)*C21)/(1+B3)</f>
        <v>0.99623687858981969</v>
      </c>
      <c r="C21" s="8">
        <f>1/(1+C3)</f>
        <v>1</v>
      </c>
      <c r="E21" s="14" t="s">
        <v>28</v>
      </c>
      <c r="F21" s="11"/>
      <c r="G21" s="4"/>
      <c r="H21" s="5"/>
      <c r="L21" t="s">
        <v>0</v>
      </c>
    </row>
    <row r="22" spans="1:12" ht="16.5" thickTop="1" thickBot="1" x14ac:dyDescent="0.3">
      <c r="E22" s="30">
        <f>(A6*G18+(1-A6)*G19)/(1+A3)</f>
        <v>1.4006948545062594E-2</v>
      </c>
      <c r="F22" s="56"/>
      <c r="G22" s="7"/>
      <c r="H22" s="8"/>
    </row>
    <row r="23" spans="1:12" ht="16.5" thickTop="1" thickBot="1" x14ac:dyDescent="0.3">
      <c r="A23" s="18"/>
      <c r="B23" s="23"/>
      <c r="C23" s="4"/>
      <c r="D23" s="4"/>
      <c r="E23" s="4"/>
      <c r="F23" s="4"/>
      <c r="G23" s="4"/>
      <c r="H23" s="4"/>
    </row>
    <row r="24" spans="1:12" ht="15.75" thickTop="1" x14ac:dyDescent="0.25">
      <c r="A24" s="20" t="s">
        <v>8</v>
      </c>
      <c r="B24" s="24"/>
      <c r="C24" s="1"/>
      <c r="D24" s="1"/>
      <c r="E24" s="1"/>
      <c r="F24" s="1"/>
      <c r="G24" s="1"/>
      <c r="H24" s="1"/>
      <c r="I24" s="2"/>
    </row>
    <row r="25" spans="1:12" x14ac:dyDescent="0.25">
      <c r="A25" s="41" t="s">
        <v>31</v>
      </c>
      <c r="B25" s="42"/>
      <c r="C25" s="39"/>
      <c r="D25" s="39"/>
      <c r="E25" s="39"/>
      <c r="F25" s="39"/>
      <c r="G25" s="4"/>
      <c r="H25" s="4"/>
      <c r="I25" s="5"/>
    </row>
    <row r="26" spans="1:12" x14ac:dyDescent="0.25">
      <c r="A26" s="41" t="s">
        <v>32</v>
      </c>
      <c r="B26" s="42"/>
      <c r="C26" s="39"/>
      <c r="D26" s="39"/>
      <c r="E26" s="39"/>
      <c r="F26" s="39"/>
      <c r="G26" s="4"/>
      <c r="H26" s="4"/>
      <c r="I26" s="5"/>
    </row>
    <row r="27" spans="1:12" x14ac:dyDescent="0.25">
      <c r="A27" s="41" t="s">
        <v>33</v>
      </c>
      <c r="B27" s="43"/>
      <c r="C27" s="39"/>
      <c r="D27" s="39"/>
      <c r="E27" s="39"/>
      <c r="F27" s="39"/>
      <c r="G27" s="4"/>
      <c r="H27" s="4"/>
      <c r="I27" s="5"/>
    </row>
    <row r="28" spans="1:12" x14ac:dyDescent="0.25">
      <c r="A28" s="41" t="s">
        <v>34</v>
      </c>
      <c r="B28" s="44"/>
      <c r="C28" s="39"/>
      <c r="D28" s="39"/>
      <c r="E28" s="39"/>
      <c r="F28" s="39"/>
      <c r="G28" s="4"/>
      <c r="H28" s="4"/>
      <c r="I28" s="5"/>
    </row>
    <row r="29" spans="1:12" x14ac:dyDescent="0.25">
      <c r="A29" s="41" t="s">
        <v>133</v>
      </c>
      <c r="B29" s="42"/>
      <c r="C29" s="39"/>
      <c r="D29" s="39"/>
      <c r="E29" s="39"/>
      <c r="F29" s="39"/>
      <c r="G29" s="4"/>
      <c r="H29" s="4"/>
      <c r="I29" s="5"/>
    </row>
    <row r="30" spans="1:12" ht="15.75" thickBot="1" x14ac:dyDescent="0.3">
      <c r="A30" s="45" t="s">
        <v>35</v>
      </c>
      <c r="B30" s="46"/>
      <c r="C30" s="40"/>
      <c r="D30" s="40"/>
      <c r="E30" s="40"/>
      <c r="F30" s="40"/>
      <c r="G30" s="7"/>
      <c r="H30" s="7"/>
      <c r="I30" s="8"/>
    </row>
    <row r="31" spans="1:12" ht="15.75" thickTop="1" x14ac:dyDescent="0.25">
      <c r="A31" s="18"/>
      <c r="B31" s="23"/>
      <c r="C31" s="4"/>
      <c r="D31" s="4"/>
      <c r="E31" s="4"/>
      <c r="F31" s="4"/>
      <c r="G31" s="4"/>
      <c r="H31" s="4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topLeftCell="B19" zoomScale="156" zoomScaleNormal="156" workbookViewId="0">
      <selection activeCell="C19" sqref="C19"/>
    </sheetView>
  </sheetViews>
  <sheetFormatPr defaultRowHeight="15" x14ac:dyDescent="0.25"/>
  <cols>
    <col min="1" max="1" width="12.140625" customWidth="1"/>
    <col min="2" max="2" width="20.5703125" customWidth="1"/>
    <col min="7" max="7" width="9.5703125" customWidth="1"/>
    <col min="8" max="8" width="3.140625" customWidth="1"/>
  </cols>
  <sheetData>
    <row r="1" spans="1:9" x14ac:dyDescent="0.25">
      <c r="A1" t="s">
        <v>36</v>
      </c>
      <c r="B1" t="s">
        <v>37</v>
      </c>
      <c r="C1">
        <v>1.25</v>
      </c>
      <c r="E1" t="s">
        <v>39</v>
      </c>
      <c r="G1">
        <v>1.5</v>
      </c>
      <c r="H1" t="s">
        <v>40</v>
      </c>
      <c r="I1">
        <f>G1/F2</f>
        <v>1.0344827586206897</v>
      </c>
    </row>
    <row r="2" spans="1:9" x14ac:dyDescent="0.25">
      <c r="B2" t="s">
        <v>38</v>
      </c>
      <c r="C2">
        <v>4.8</v>
      </c>
      <c r="F2">
        <v>1.45</v>
      </c>
      <c r="G2">
        <v>1.35</v>
      </c>
      <c r="H2" t="s">
        <v>41</v>
      </c>
      <c r="I2">
        <f>G2/F2</f>
        <v>0.93103448275862077</v>
      </c>
    </row>
    <row r="3" spans="1:9" ht="15.75" thickBot="1" x14ac:dyDescent="0.3">
      <c r="B3" t="s">
        <v>57</v>
      </c>
      <c r="C3">
        <f>1/C1+1/C2-1</f>
        <v>8.3333333333333037E-3</v>
      </c>
    </row>
    <row r="4" spans="1:9" ht="15.75" thickTop="1" x14ac:dyDescent="0.25">
      <c r="A4" s="9" t="s">
        <v>18</v>
      </c>
      <c r="B4" s="1"/>
      <c r="C4" s="1"/>
      <c r="D4" s="1"/>
      <c r="E4" s="1"/>
      <c r="F4" s="1"/>
      <c r="G4" s="2"/>
      <c r="H4" s="3"/>
      <c r="I4" s="4"/>
    </row>
    <row r="5" spans="1:9" x14ac:dyDescent="0.25">
      <c r="A5" s="3" t="s">
        <v>42</v>
      </c>
      <c r="B5" s="4"/>
      <c r="C5" s="4"/>
      <c r="D5" s="4"/>
      <c r="E5" s="4"/>
      <c r="F5" s="4"/>
      <c r="G5" s="5"/>
      <c r="H5" s="3"/>
      <c r="I5" s="4"/>
    </row>
    <row r="6" spans="1:9" x14ac:dyDescent="0.25">
      <c r="A6" s="3" t="s">
        <v>43</v>
      </c>
      <c r="B6" s="4"/>
      <c r="C6" s="10">
        <f>1/C1+1/C2</f>
        <v>1.0083333333333333</v>
      </c>
      <c r="D6" s="4" t="s">
        <v>44</v>
      </c>
      <c r="E6" s="4"/>
      <c r="F6" s="4"/>
      <c r="G6" s="5"/>
      <c r="H6" s="3"/>
      <c r="I6" s="4"/>
    </row>
    <row r="7" spans="1:9" x14ac:dyDescent="0.25">
      <c r="A7" s="3" t="s">
        <v>45</v>
      </c>
      <c r="B7" s="4"/>
      <c r="C7" s="4"/>
      <c r="D7" s="4"/>
      <c r="E7" s="4"/>
      <c r="F7" s="4"/>
      <c r="G7" s="5"/>
      <c r="H7" s="3"/>
      <c r="I7" s="4"/>
    </row>
    <row r="8" spans="1:9" x14ac:dyDescent="0.25">
      <c r="A8" s="52">
        <f>1/C6-1</f>
        <v>-8.2644628099173278E-3</v>
      </c>
      <c r="B8" s="4" t="s">
        <v>46</v>
      </c>
      <c r="C8" s="4"/>
      <c r="D8" s="4"/>
      <c r="E8" s="4"/>
      <c r="F8" s="4"/>
      <c r="G8" s="5"/>
      <c r="H8" s="3"/>
      <c r="I8" s="4"/>
    </row>
    <row r="9" spans="1:9" x14ac:dyDescent="0.25">
      <c r="A9" s="3" t="s">
        <v>47</v>
      </c>
      <c r="B9" s="4"/>
      <c r="C9" s="4"/>
      <c r="D9" s="4"/>
      <c r="E9" s="4"/>
      <c r="F9" s="4"/>
      <c r="G9" s="5"/>
      <c r="H9" s="3"/>
      <c r="I9" s="4"/>
    </row>
    <row r="10" spans="1:9" x14ac:dyDescent="0.25">
      <c r="A10" s="3" t="s">
        <v>56</v>
      </c>
      <c r="B10" s="4"/>
      <c r="C10" s="4"/>
      <c r="D10" s="4"/>
      <c r="E10" s="4"/>
      <c r="F10" s="4"/>
      <c r="G10" s="5"/>
      <c r="H10" s="3"/>
      <c r="I10" s="4"/>
    </row>
    <row r="11" spans="1:9" x14ac:dyDescent="0.25">
      <c r="A11" s="3" t="s">
        <v>48</v>
      </c>
      <c r="B11" s="4"/>
      <c r="C11" s="4"/>
      <c r="D11" s="4"/>
      <c r="E11" s="4"/>
      <c r="F11" s="4"/>
      <c r="G11" s="5"/>
      <c r="H11" s="3"/>
      <c r="I11" s="4"/>
    </row>
    <row r="12" spans="1:9" ht="15.75" thickBot="1" x14ac:dyDescent="0.3">
      <c r="A12" s="6" t="s">
        <v>49</v>
      </c>
      <c r="B12" s="7"/>
      <c r="C12" s="7"/>
      <c r="D12" s="7"/>
      <c r="E12" s="7"/>
      <c r="F12" s="7"/>
      <c r="G12" s="8"/>
      <c r="H12" s="3"/>
      <c r="I12" s="4"/>
    </row>
    <row r="13" spans="1:9" ht="16.5" thickTop="1" thickBot="1" x14ac:dyDescent="0.3"/>
    <row r="14" spans="1:9" ht="15.75" thickTop="1" x14ac:dyDescent="0.25">
      <c r="A14" s="9" t="s">
        <v>50</v>
      </c>
      <c r="B14" s="1"/>
      <c r="C14" s="1"/>
      <c r="D14" s="1"/>
      <c r="E14" s="1"/>
      <c r="F14" s="1"/>
      <c r="G14" s="2"/>
    </row>
    <row r="15" spans="1:9" x14ac:dyDescent="0.25">
      <c r="A15" s="3" t="s">
        <v>51</v>
      </c>
      <c r="B15" s="4"/>
      <c r="C15" s="4"/>
      <c r="D15" s="4"/>
      <c r="E15" s="4"/>
      <c r="F15" s="4"/>
      <c r="G15" s="5"/>
    </row>
    <row r="16" spans="1:9" x14ac:dyDescent="0.25">
      <c r="A16" s="3" t="s">
        <v>119</v>
      </c>
      <c r="B16" s="4"/>
      <c r="C16" s="4"/>
      <c r="D16" s="4"/>
      <c r="E16" s="4"/>
      <c r="F16" s="4"/>
      <c r="G16" s="5"/>
    </row>
    <row r="17" spans="1:7" x14ac:dyDescent="0.25">
      <c r="A17" s="3" t="s">
        <v>129</v>
      </c>
      <c r="B17" s="4"/>
      <c r="C17" s="4"/>
      <c r="D17" s="4"/>
      <c r="E17" s="4"/>
      <c r="F17" s="4"/>
      <c r="G17" s="5"/>
    </row>
    <row r="18" spans="1:7" x14ac:dyDescent="0.25">
      <c r="A18" s="31">
        <v>43274</v>
      </c>
      <c r="B18" s="4" t="s">
        <v>52</v>
      </c>
      <c r="C18" s="4">
        <v>1</v>
      </c>
      <c r="D18" s="4"/>
      <c r="E18" s="4"/>
      <c r="F18" s="4"/>
      <c r="G18" s="5"/>
    </row>
    <row r="19" spans="1:7" x14ac:dyDescent="0.25">
      <c r="A19" s="3"/>
      <c r="B19" s="4" t="s">
        <v>53</v>
      </c>
      <c r="C19" s="4">
        <v>0.80485651855110629</v>
      </c>
      <c r="D19" s="4" t="s">
        <v>130</v>
      </c>
      <c r="E19" s="4"/>
      <c r="F19" s="4"/>
      <c r="G19" s="5"/>
    </row>
    <row r="20" spans="1:7" x14ac:dyDescent="0.25">
      <c r="A20" s="3"/>
      <c r="B20" s="4" t="s">
        <v>53</v>
      </c>
      <c r="C20" s="4">
        <f>(C18-C19)*F2</f>
        <v>0.28295804810089586</v>
      </c>
      <c r="D20" s="4" t="s">
        <v>55</v>
      </c>
      <c r="E20" s="4"/>
      <c r="F20" s="4"/>
      <c r="G20" s="5"/>
    </row>
    <row r="21" spans="1:7" x14ac:dyDescent="0.25">
      <c r="A21" s="3"/>
      <c r="B21" s="4" t="s">
        <v>54</v>
      </c>
      <c r="C21" s="4">
        <f>C19+C20/F2</f>
        <v>1</v>
      </c>
      <c r="D21" s="4"/>
      <c r="E21" s="4"/>
      <c r="F21" s="4"/>
      <c r="G21" s="5"/>
    </row>
    <row r="22" spans="1:7" x14ac:dyDescent="0.25">
      <c r="A22" s="3"/>
      <c r="B22" s="4"/>
      <c r="C22" s="4"/>
      <c r="D22" s="4"/>
      <c r="E22" s="4"/>
      <c r="F22" s="4"/>
      <c r="G22" s="5"/>
    </row>
    <row r="23" spans="1:7" x14ac:dyDescent="0.25">
      <c r="A23" s="31">
        <v>43275</v>
      </c>
      <c r="B23" s="4" t="s">
        <v>120</v>
      </c>
      <c r="C23" s="10">
        <f>C19*C1</f>
        <v>1.0060706481888828</v>
      </c>
      <c r="D23" s="4"/>
      <c r="E23" s="4"/>
      <c r="F23" s="4"/>
      <c r="G23" s="5"/>
    </row>
    <row r="24" spans="1:7" x14ac:dyDescent="0.25">
      <c r="A24" s="3"/>
      <c r="B24" s="4" t="s">
        <v>121</v>
      </c>
      <c r="C24" s="10">
        <f>C2*C20/G2</f>
        <v>1.0060730599142964</v>
      </c>
      <c r="D24" s="4" t="s">
        <v>0</v>
      </c>
      <c r="E24" s="4">
        <f>MIN(C23:C24)</f>
        <v>1.0060706481888828</v>
      </c>
      <c r="F24" s="4" t="s">
        <v>131</v>
      </c>
      <c r="G24" s="5"/>
    </row>
    <row r="25" spans="1:7" x14ac:dyDescent="0.25">
      <c r="A25" s="3" t="s">
        <v>58</v>
      </c>
      <c r="B25" s="4"/>
      <c r="C25" s="4"/>
      <c r="D25" s="4"/>
      <c r="E25" s="4"/>
      <c r="F25" s="4"/>
      <c r="G25" s="5"/>
    </row>
    <row r="26" spans="1:7" x14ac:dyDescent="0.25">
      <c r="A26" s="3"/>
      <c r="B26" s="4"/>
      <c r="C26" s="4"/>
      <c r="D26" s="4"/>
      <c r="E26" s="4"/>
      <c r="F26" s="4"/>
      <c r="G26" s="5"/>
    </row>
    <row r="27" spans="1:7" x14ac:dyDescent="0.25">
      <c r="A27" s="3" t="s">
        <v>122</v>
      </c>
      <c r="B27" s="4"/>
      <c r="C27" s="4"/>
      <c r="D27" s="4"/>
      <c r="E27" s="4"/>
      <c r="F27" s="4"/>
      <c r="G27" s="5"/>
    </row>
    <row r="28" spans="1:7" x14ac:dyDescent="0.25">
      <c r="A28" s="3" t="s">
        <v>123</v>
      </c>
      <c r="B28" s="4"/>
      <c r="C28" s="53" t="s">
        <v>124</v>
      </c>
      <c r="D28" s="4"/>
      <c r="E28" s="4"/>
      <c r="F28" s="4"/>
      <c r="G28" s="5"/>
    </row>
    <row r="29" spans="1:7" x14ac:dyDescent="0.25">
      <c r="A29" s="27" t="s">
        <v>60</v>
      </c>
      <c r="B29" s="32" t="str">
        <f>IF((1-C3*C2)-I2&gt;0,"HOLDER","HOLDER IKKE")</f>
        <v>HOLDER</v>
      </c>
      <c r="C29" s="33" t="s">
        <v>64</v>
      </c>
      <c r="D29" s="33"/>
      <c r="E29" s="33"/>
      <c r="F29" s="4"/>
      <c r="G29" s="5"/>
    </row>
    <row r="30" spans="1:7" x14ac:dyDescent="0.25">
      <c r="A30" s="27" t="s">
        <v>59</v>
      </c>
      <c r="B30" s="32" t="str">
        <f>IF(1-C3*C1-1/I1, "HOLDER","HOLDER IKKE")</f>
        <v>HOLDER</v>
      </c>
      <c r="C30" s="33" t="s">
        <v>63</v>
      </c>
      <c r="D30" s="33"/>
      <c r="E30" s="33"/>
      <c r="F30" s="4"/>
      <c r="G30" s="5"/>
    </row>
    <row r="31" spans="1:7" x14ac:dyDescent="0.25">
      <c r="A31" s="3" t="s">
        <v>61</v>
      </c>
      <c r="B31" s="4"/>
      <c r="C31" s="4"/>
      <c r="D31" s="4"/>
      <c r="E31" s="4"/>
      <c r="F31" s="4"/>
      <c r="G31" s="5"/>
    </row>
    <row r="32" spans="1:7" x14ac:dyDescent="0.25">
      <c r="A32" s="3" t="s">
        <v>62</v>
      </c>
      <c r="B32" s="4"/>
      <c r="C32" s="4"/>
      <c r="D32" s="4"/>
      <c r="E32" s="4"/>
      <c r="F32" s="4"/>
      <c r="G32" s="5"/>
    </row>
    <row r="33" spans="1:7" ht="15.75" thickBot="1" x14ac:dyDescent="0.3">
      <c r="A33" s="6" t="s">
        <v>132</v>
      </c>
      <c r="B33" s="7"/>
      <c r="C33" s="7"/>
      <c r="D33" s="7"/>
      <c r="E33" s="7"/>
      <c r="F33" s="7"/>
      <c r="G33" s="8"/>
    </row>
    <row r="34" spans="1:7" ht="15.75" thickTop="1" x14ac:dyDescent="0.25"/>
  </sheetData>
  <hyperlinks>
    <hyperlink ref="C28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Opgave 1</vt:lpstr>
      <vt:lpstr>Sheet2</vt:lpstr>
      <vt:lpstr>Sheet1</vt:lpstr>
      <vt:lpstr>Opgave 2</vt:lpstr>
      <vt:lpstr>Opgave 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cp:lastPrinted>2020-09-27T17:20:35Z</cp:lastPrinted>
  <dcterms:created xsi:type="dcterms:W3CDTF">2017-08-14T16:58:08Z</dcterms:created>
  <dcterms:modified xsi:type="dcterms:W3CDTF">2022-10-05T10:32:12Z</dcterms:modified>
</cp:coreProperties>
</file>