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0" yWindow="0" windowWidth="14380" windowHeight="6110" activeTab="1"/>
  </bookViews>
  <sheets>
    <sheet name="Opgave 1" sheetId="1" r:id="rId1"/>
    <sheet name="Opgave 2" sheetId="2" r:id="rId2"/>
    <sheet name="Opgave 3" sheetId="3" r:id="rId3"/>
  </sheets>
  <definedNames>
    <definedName name="solver_adj" localSheetId="0" hidden="1">'Opgave 1'!$B$47:$C$47</definedName>
    <definedName name="solver_adj" localSheetId="1" hidden="1">'Opgave 2'!$B$26</definedName>
    <definedName name="solver_adj" localSheetId="2" hidden="1">'Opgave 3'!$C$11</definedName>
    <definedName name="solver_cvg" localSheetId="0" hidden="1">"""""""""""""""0,0001"""""""""""""""</definedName>
    <definedName name="solver_cvg" localSheetId="1" hidden="1">"""""""0,0001"""""""</definedName>
    <definedName name="solver_cvg" localSheetId="2" hidden="1">"""0,0001"""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'Opgave 1'!$D$49:$D$53</definedName>
    <definedName name="solver_lhs1" localSheetId="2" hidden="1">'Opgave 3'!$C$14:$C$15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"""""""""""""""0,075"""""""""""""""</definedName>
    <definedName name="solver_mrt" localSheetId="1" hidden="1">"""""""0,075"""""""</definedName>
    <definedName name="solver_mrt" localSheetId="2" hidden="1">"""0,075"""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0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'Opgave 1'!$D$56</definedName>
    <definedName name="solver_opt" localSheetId="1" hidden="1">'Opgave 2'!$B$30</definedName>
    <definedName name="solver_opt" localSheetId="2" hidden="1">'Opgave 3'!$E$15</definedName>
    <definedName name="solver_pre" localSheetId="0" hidden="1">"""""""""""""""0,000001"""""""""""""""</definedName>
    <definedName name="solver_pre" localSheetId="1" hidden="1">"""""""0,000001"""""""</definedName>
    <definedName name="solver_pre" localSheetId="2" hidden="1">"""0,000001"""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2" hidden="1">3</definedName>
    <definedName name="solver_rhs1" localSheetId="0" hidden="1">'Opgave 1'!$E$49:$E$53</definedName>
    <definedName name="solver_rhs1" localSheetId="2" hidden="1">'Opgave 3'!$D$14:$D$15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1</definedName>
    <definedName name="solver_tol" localSheetId="1" hidden="1">1</definedName>
    <definedName name="solver_tol" localSheetId="2" hidden="1">1</definedName>
    <definedName name="solver_typ" localSheetId="0" hidden="1">1</definedName>
    <definedName name="solver_typ" localSheetId="1" hidden="1">3</definedName>
    <definedName name="solver_typ" localSheetId="2" hidden="1">1</definedName>
    <definedName name="solver_val" localSheetId="0" hidden="1">0</definedName>
    <definedName name="solver_val" localSheetId="1" hidden="1">100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2" l="1"/>
  <c r="D10" i="1" l="1"/>
  <c r="D31" i="1"/>
  <c r="C11" i="3" l="1"/>
  <c r="B34" i="2"/>
  <c r="A16" i="2" l="1"/>
  <c r="B16" i="2"/>
  <c r="B15" i="2"/>
  <c r="G48" i="2" l="1"/>
  <c r="K48" i="2" s="1"/>
  <c r="C10" i="3"/>
  <c r="C14" i="3" s="1"/>
  <c r="C3" i="3"/>
  <c r="I2" i="3"/>
  <c r="I1" i="3"/>
  <c r="B21" i="3" l="1"/>
  <c r="C15" i="3"/>
  <c r="E15" i="3" s="1"/>
  <c r="C12" i="3"/>
  <c r="B20" i="3"/>
  <c r="C22" i="2" l="1"/>
  <c r="C21" i="2"/>
  <c r="B22" i="2" s="1"/>
  <c r="C20" i="2"/>
  <c r="A11" i="2"/>
  <c r="F10" i="2" s="1"/>
  <c r="J47" i="2" l="1"/>
  <c r="E25" i="2"/>
  <c r="F25" i="2" s="1"/>
  <c r="F11" i="2"/>
  <c r="B21" i="2"/>
  <c r="A22" i="2" s="1"/>
  <c r="F12" i="2"/>
  <c r="B30" i="2"/>
  <c r="B33" i="2" s="1"/>
  <c r="D26" i="2"/>
  <c r="D27" i="2" s="1"/>
  <c r="D28" i="2" s="1"/>
  <c r="G25" i="2" l="1"/>
  <c r="F40" i="2"/>
  <c r="F41" i="2"/>
  <c r="F42" i="2"/>
  <c r="E41" i="2" l="1"/>
  <c r="E42" i="2"/>
  <c r="D42" i="2" l="1"/>
  <c r="F49" i="2" s="1"/>
  <c r="I49" i="2" s="1"/>
  <c r="D56" i="1" a="1"/>
  <c r="D56" i="1" s="1"/>
  <c r="C53" i="1"/>
  <c r="C52" i="1"/>
  <c r="C51" i="1"/>
  <c r="C50" i="1"/>
  <c r="C49" i="1"/>
  <c r="D17" i="1" l="1"/>
  <c r="C21" i="1"/>
  <c r="D21" i="1" s="1"/>
  <c r="C20" i="1"/>
  <c r="D20" i="1" s="1"/>
  <c r="C19" i="1"/>
  <c r="D19" i="1" s="1"/>
  <c r="C18" i="1"/>
  <c r="D18" i="1" s="1"/>
  <c r="C17" i="1"/>
  <c r="G13" i="1"/>
  <c r="G12" i="1"/>
  <c r="G11" i="1"/>
  <c r="G10" i="1"/>
  <c r="G9" i="1"/>
  <c r="G8" i="1"/>
  <c r="C13" i="1"/>
  <c r="D13" i="1" s="1"/>
  <c r="E13" i="1" s="1"/>
  <c r="B13" i="1"/>
  <c r="I3" i="1"/>
  <c r="I2" i="1"/>
  <c r="B11" i="1" s="1"/>
  <c r="I1" i="1"/>
  <c r="B12" i="1" l="1"/>
  <c r="C12" i="1" s="1"/>
  <c r="D12" i="1" s="1"/>
  <c r="E12" i="1" s="1"/>
  <c r="E17" i="1"/>
  <c r="I4" i="1"/>
  <c r="H10" i="1" s="1"/>
  <c r="C10" i="1"/>
  <c r="C11" i="1"/>
  <c r="D11" i="1" s="1"/>
  <c r="E11" i="1" s="1"/>
  <c r="E32" i="1" l="1"/>
  <c r="B53" i="1"/>
  <c r="E53" i="1"/>
  <c r="E31" i="1"/>
  <c r="D32" i="1" s="1"/>
  <c r="E52" i="1"/>
  <c r="B52" i="1"/>
  <c r="F17" i="1"/>
  <c r="F21" i="1"/>
  <c r="F20" i="1"/>
  <c r="F19" i="1"/>
  <c r="F18" i="1"/>
  <c r="H9" i="1"/>
  <c r="H8" i="1"/>
  <c r="H12" i="1"/>
  <c r="H11" i="1"/>
  <c r="D9" i="1"/>
  <c r="E10" i="1"/>
  <c r="E30" i="1" l="1"/>
  <c r="C32" i="1" s="1"/>
  <c r="E51" i="1"/>
  <c r="B51" i="1"/>
  <c r="G17" i="1"/>
  <c r="H13" i="1"/>
  <c r="A33" i="1"/>
  <c r="E9" i="1"/>
  <c r="E8" i="1"/>
  <c r="B49" i="1" l="1"/>
  <c r="E49" i="1"/>
  <c r="E28" i="1"/>
  <c r="E29" i="1"/>
  <c r="E50" i="1"/>
  <c r="B50" i="1"/>
  <c r="D49" i="1" a="1"/>
  <c r="D50" i="1" s="1"/>
  <c r="D30" i="1"/>
  <c r="C31" i="1" s="1"/>
  <c r="B32" i="1" s="1"/>
  <c r="D29" i="1" l="1"/>
  <c r="C30" i="1" s="1"/>
  <c r="B31" i="1" s="1"/>
  <c r="H28" i="1" s="1"/>
  <c r="D51" i="1"/>
  <c r="D49" i="1"/>
  <c r="D52" i="1"/>
  <c r="D53" i="1"/>
  <c r="A32" i="1" l="1"/>
  <c r="H29" i="1" s="1"/>
</calcChain>
</file>

<file path=xl/comments1.xml><?xml version="1.0" encoding="utf-8"?>
<comments xmlns="http://schemas.openxmlformats.org/spreadsheetml/2006/main">
  <authors>
    <author>Rolf Poulsen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Hanke, Poulsen, Wessensteiner (2018) https://papers.ssrn.com/sol3/papers.cfm?abstract_id=3113453 -- og slides fra forelæsninger</t>
        </r>
      </text>
    </comment>
  </commentList>
</comments>
</file>

<file path=xl/sharedStrings.xml><?xml version="1.0" encoding="utf-8"?>
<sst xmlns="http://schemas.openxmlformats.org/spreadsheetml/2006/main" count="135" uniqueCount="124">
  <si>
    <t>Modelparametre</t>
  </si>
  <si>
    <t>r</t>
  </si>
  <si>
    <t>p</t>
  </si>
  <si>
    <t>dt</t>
  </si>
  <si>
    <t>alpha</t>
  </si>
  <si>
    <t xml:space="preserve">sigma </t>
  </si>
  <si>
    <t>Beregnede størrelser</t>
  </si>
  <si>
    <t>R</t>
  </si>
  <si>
    <t>u</t>
  </si>
  <si>
    <t>d</t>
  </si>
  <si>
    <t>q</t>
  </si>
  <si>
    <t>#stier slutknude</t>
  </si>
  <si>
    <t>P(slutknude)</t>
  </si>
  <si>
    <t>Q(slutknude)</t>
  </si>
  <si>
    <t>1a</t>
  </si>
  <si>
    <t>P-ssh</t>
  </si>
  <si>
    <t>S</t>
  </si>
  <si>
    <t>(S1-S0)/S0</t>
  </si>
  <si>
    <t>E^P</t>
  </si>
  <si>
    <t>SQRT(Var^P)</t>
  </si>
  <si>
    <t>1b</t>
  </si>
  <si>
    <t>K</t>
  </si>
  <si>
    <t>#aktier</t>
  </si>
  <si>
    <t>i bank</t>
  </si>
  <si>
    <t>1c</t>
  </si>
  <si>
    <t xml:space="preserve">K </t>
  </si>
  <si>
    <t>Vi har</t>
  </si>
  <si>
    <t>K=110</t>
  </si>
  <si>
    <t>sigma =0.2</t>
  </si>
  <si>
    <t>sigma=0.3</t>
  </si>
  <si>
    <t>K=75</t>
  </si>
  <si>
    <t>D^T</t>
  </si>
  <si>
    <t>D^T theta</t>
  </si>
  <si>
    <t>theta^T</t>
  </si>
  <si>
    <t>x</t>
  </si>
  <si>
    <t>pi</t>
  </si>
  <si>
    <t>theta^T pi</t>
  </si>
  <si>
    <t>Øvre grænse</t>
  </si>
  <si>
    <t>pris</t>
  </si>
  <si>
    <t xml:space="preserve"> </t>
  </si>
  <si>
    <t>pf</t>
  </si>
  <si>
    <t>Nedre grænse</t>
  </si>
  <si>
    <t>P(0,1)</t>
  </si>
  <si>
    <t>NK-renter</t>
  </si>
  <si>
    <t>P(0,2)</t>
  </si>
  <si>
    <t>P(0,3)</t>
  </si>
  <si>
    <t>H</t>
  </si>
  <si>
    <t>tau</t>
  </si>
  <si>
    <t>y</t>
  </si>
  <si>
    <t>Kurs</t>
  </si>
  <si>
    <t>Vi bruger pi^A(t) = MIN (H(t), E_t^Q(pi^A(t+1) + ydelse)/(1+rho(t)))</t>
  </si>
  <si>
    <t>2e</t>
  </si>
  <si>
    <t>2b</t>
  </si>
  <si>
    <t>2c</t>
  </si>
  <si>
    <t>Da der kun er 1 peride til udløb, så er forward-pris=futurespris.</t>
  </si>
  <si>
    <t>(De er ellers genere ikke (helt) ens i modeller med stokastisk rente.)</t>
  </si>
  <si>
    <t>2d</t>
  </si>
  <si>
    <t>Den variablet forrentede gæld "handler til par", dvs. dens markedsværdi er også 50 mio.</t>
  </si>
  <si>
    <t>At dække med 2d-obligationer kræver hovedstol</t>
  </si>
  <si>
    <t>mio.</t>
  </si>
  <si>
    <t>at vi har fraskrevet og konverteringsretten, så vi kan ikke få gavn af mulige efterfølgende rentefald. Ved rentefald vil</t>
  </si>
  <si>
    <t>markedsværdien af vores gæld endda stige, hvilket nemt kan blive et problem for andelshaverne,</t>
  </si>
  <si>
    <t>også selvom de kan betale deres terminer; banken kan kærve ekstra sikkerhed, gælden skal betales ved handel.</t>
  </si>
  <si>
    <t>Odds</t>
  </si>
  <si>
    <t>Remain</t>
  </si>
  <si>
    <t>USDGBP</t>
  </si>
  <si>
    <t>Leave</t>
  </si>
  <si>
    <t>Cut</t>
  </si>
  <si>
    <t>3a</t>
  </si>
  <si>
    <t>Leave svækker pundet og styrker dollaren, remain omvendt. Ideen må derfor være,</t>
  </si>
  <si>
    <t xml:space="preserve">at vædde på Leave i dollar og på Remain i pund. </t>
  </si>
  <si>
    <t>Man kan lede efter en arbitrage på denne måde:</t>
  </si>
  <si>
    <t>Væd</t>
  </si>
  <si>
    <t>Når vi antager, vi kan låne, som vi lyster til rente 0, så er det en arbitrage.</t>
  </si>
  <si>
    <t>Betingelse A</t>
  </si>
  <si>
    <t>((1-"cut"*odds_L) &gt; d)</t>
  </si>
  <si>
    <t>Betingelse B</t>
  </si>
  <si>
    <t>((1-"cut"*odds_R) &gt; 1/u)</t>
  </si>
  <si>
    <t>Lån i $</t>
  </si>
  <si>
    <t>£ på Remain (=resten)</t>
  </si>
  <si>
    <t>1/odds_Leave $ på Leave</t>
  </si>
  <si>
    <t>$-gevinst hvis Remain</t>
  </si>
  <si>
    <t>$-gevinst hvis Leave</t>
  </si>
  <si>
    <t>Der er mange forskellige arbitrage-kontruktioner med $-lån. Man kan også bruge Solver til at</t>
  </si>
  <si>
    <t>Da betingelse A ikke holder, kan vi *ikke* lave en arbitrage ved at låne i £. (Noget man også kan vise</t>
  </si>
  <si>
    <t>ved at køre et max-min-problem på ovenstående justeret til £-lån.)</t>
  </si>
  <si>
    <t>Aktiekurs</t>
  </si>
  <si>
    <t>Fwd-pris (par-obl.)</t>
  </si>
  <si>
    <t>For c=3%</t>
  </si>
  <si>
    <t>Vil man dække med 2d-3%-kupon-obligationer får man en lavere hovedstol</t>
  </si>
  <si>
    <t>mio., men samme ydelse</t>
  </si>
  <si>
    <t>Pris for væddemål i $</t>
  </si>
  <si>
    <t>(Beregninger ved at ændre i celle B25 og D5 og så "paste as values")</t>
  </si>
  <si>
    <t>(Ændr celle B25 til 70 og "paste as vlaues" celle A29til C32)</t>
  </si>
  <si>
    <t>for out-of-the-money-tilfældet stiger prisen. Kan ske' da payoff ej konveks.</t>
  </si>
  <si>
    <t xml:space="preserve">(Hvis vi at meget ITM er øget vol skidt, da det bare gør det mere ss'ligt, </t>
  </si>
  <si>
    <t>at vi taber den ene krone, vi står til at få. Og vice versa.)</t>
  </si>
  <si>
    <t>1d</t>
  </si>
  <si>
    <t>Vi løser hhv min theta^T pi ub D^T theta &gt;= x og max theta^T pi ub D^T theta &lt;=x, hvor x er digital-optionens payoff.</t>
  </si>
  <si>
    <t>maksimalisere end største værdi i C14:15 ub. at begge værdier skal være &gt;= 1.</t>
  </si>
  <si>
    <t>Se slide 12-17 her.</t>
  </si>
  <si>
    <t>Se slides 8-10 her.</t>
  </si>
  <si>
    <t>(Igen køres noget "paste as values".)</t>
  </si>
  <si>
    <t>I in-the-money-tilfældet falder optionsprisen med stigende volatilitet,</t>
  </si>
  <si>
    <t>E^P er tæt på alpha+0.5*sigma^2 (0.09), SQRT(VAR^P) er tæt på sigma</t>
  </si>
  <si>
    <t>SQRT(VAR^P) er tæt på sigma</t>
  </si>
  <si>
    <t>(Ikke eksakt, men approksimativt -- og "små tidsskidt" og "simplet afkasrate ~ log-afkastrate" approksimation.</t>
  </si>
  <si>
    <t xml:space="preserve">Og at vi husker at afkasterrate er uafhængige og identisk fordelte. </t>
  </si>
  <si>
    <t>Se slide 6-16 herfra. )</t>
  </si>
  <si>
    <t>p'er</t>
  </si>
  <si>
    <t>renter</t>
  </si>
  <si>
    <t>2a</t>
  </si>
  <si>
    <t>c (kuponrente)</t>
  </si>
  <si>
    <t xml:space="preserve">At dække det med 2b-par-obligationer kræver det derfor hovedstol 50 mio. og vi få årlige ydelser på </t>
  </si>
  <si>
    <t xml:space="preserve">og gi'r (1. års) ydelse på </t>
  </si>
  <si>
    <t>Så det ikke-konverterbare lån ser lidt billigere ud; lavere 1.-årsydelse. Problemet/risikoen ved det er,</t>
  </si>
  <si>
    <t>Rep' pf, initialt</t>
  </si>
  <si>
    <t>Og det kan/skal man</t>
  </si>
  <si>
    <t>så justere løbende på</t>
  </si>
  <si>
    <t>tilsvarende og self-fin'</t>
  </si>
  <si>
    <t>måde.</t>
  </si>
  <si>
    <t>Fwd-pris (3%-obl.)</t>
  </si>
  <si>
    <t>&lt;- annitetsformelen</t>
  </si>
  <si>
    <t>&lt;- sum af disk' yedelser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</si>
</sst>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4" xfId="0" applyNumberFormat="1" applyBorder="1"/>
    <xf numFmtId="0" fontId="4" fillId="0" borderId="0" xfId="1" applyBorder="1"/>
    <xf numFmtId="0" fontId="0" fillId="2" borderId="4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/>
    <xf numFmtId="2" fontId="0" fillId="0" borderId="9" xfId="0" applyNumberFormat="1" applyFill="1" applyBorder="1"/>
    <xf numFmtId="0" fontId="1" fillId="3" borderId="1" xfId="0" applyFont="1" applyFill="1" applyBorder="1"/>
    <xf numFmtId="0" fontId="4" fillId="0" borderId="4" xfId="1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4" fillId="0" borderId="7" xfId="1" applyBorder="1"/>
    <xf numFmtId="0" fontId="2" fillId="0" borderId="0" xfId="0" applyFont="1" applyBorder="1"/>
    <xf numFmtId="0" fontId="3" fillId="2" borderId="5" xfId="0" applyFont="1" applyFill="1" applyBorder="1"/>
    <xf numFmtId="164" fontId="3" fillId="2" borderId="4" xfId="0" applyNumberFormat="1" applyFont="1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3" fillId="2" borderId="6" xfId="0" applyNumberFormat="1" applyFont="1" applyFill="1" applyBorder="1"/>
    <xf numFmtId="0" fontId="2" fillId="0" borderId="4" xfId="0" applyFont="1" applyBorder="1"/>
    <xf numFmtId="0" fontId="2" fillId="0" borderId="6" xfId="0" applyFont="1" applyBorder="1"/>
    <xf numFmtId="0" fontId="3" fillId="3" borderId="1" xfId="0" applyFont="1" applyFill="1" applyBorder="1"/>
    <xf numFmtId="0" fontId="2" fillId="0" borderId="4" xfId="0" applyFon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pejvcqmixikw179/Slides%20std%20binomialmodel%20mm.pdf?dl=0" TargetMode="External"/><Relationship Id="rId1" Type="http://schemas.openxmlformats.org/officeDocument/2006/relationships/hyperlink" Target="https://www.dropbox.com/s/n2tmc79r0ur8xcm/LP%20og%20ikke-arbitrage-intervaller.pdf?dl=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dropbox.com/s/tlxrfpy1u1oidqo/Basic%20Arbitrage%20Slides.pdf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G7" sqref="G7"/>
    </sheetView>
  </sheetViews>
  <sheetFormatPr defaultRowHeight="14.5" x14ac:dyDescent="0.35"/>
  <cols>
    <col min="1" max="1" width="7.1796875" customWidth="1"/>
    <col min="2" max="2" width="12.453125" customWidth="1"/>
    <col min="6" max="6" width="16.1796875" customWidth="1"/>
    <col min="7" max="7" width="10.81640625" customWidth="1"/>
    <col min="10" max="10" width="14.36328125" customWidth="1"/>
  </cols>
  <sheetData>
    <row r="1" spans="1:10" x14ac:dyDescent="0.35">
      <c r="A1" t="s">
        <v>0</v>
      </c>
      <c r="C1" t="s">
        <v>1</v>
      </c>
      <c r="D1">
        <v>0</v>
      </c>
      <c r="F1" t="s">
        <v>6</v>
      </c>
      <c r="H1" t="s">
        <v>7</v>
      </c>
      <c r="I1">
        <f>EXP(D1*D3)</f>
        <v>1</v>
      </c>
    </row>
    <row r="2" spans="1:10" x14ac:dyDescent="0.35">
      <c r="C2" t="s">
        <v>2</v>
      </c>
      <c r="D2">
        <v>0.5</v>
      </c>
      <c r="H2" t="s">
        <v>8</v>
      </c>
      <c r="I2">
        <f>EXP(D4*D3+D5*SQRT(D3))</f>
        <v>1.124681629943733</v>
      </c>
    </row>
    <row r="3" spans="1:10" x14ac:dyDescent="0.35">
      <c r="C3" t="s">
        <v>3</v>
      </c>
      <c r="D3">
        <v>0.25</v>
      </c>
      <c r="H3" t="s">
        <v>9</v>
      </c>
      <c r="I3">
        <f>EXP(D4*D3-D5*SQRT(D3))</f>
        <v>0.92081143785680453</v>
      </c>
    </row>
    <row r="4" spans="1:10" x14ac:dyDescent="0.35">
      <c r="C4" t="s">
        <v>4</v>
      </c>
      <c r="D4">
        <v>7.0000000000000007E-2</v>
      </c>
      <c r="H4" t="s">
        <v>10</v>
      </c>
      <c r="I4">
        <f>(I1-I3)/(I2-I3)</f>
        <v>0.38842638706805244</v>
      </c>
    </row>
    <row r="5" spans="1:10" x14ac:dyDescent="0.35">
      <c r="C5" t="s">
        <v>5</v>
      </c>
      <c r="D5">
        <v>0.2</v>
      </c>
    </row>
    <row r="7" spans="1:10" x14ac:dyDescent="0.35">
      <c r="A7" t="s">
        <v>86</v>
      </c>
      <c r="F7" t="s">
        <v>11</v>
      </c>
      <c r="G7" t="s">
        <v>12</v>
      </c>
      <c r="H7" t="s">
        <v>13</v>
      </c>
    </row>
    <row r="8" spans="1:10" x14ac:dyDescent="0.35">
      <c r="A8" s="4"/>
      <c r="B8" s="4"/>
      <c r="C8" s="4"/>
      <c r="D8" s="4"/>
      <c r="E8" s="21">
        <f>D9*$I$2</f>
        <v>159.99941932173607</v>
      </c>
      <c r="F8">
        <v>1</v>
      </c>
      <c r="G8">
        <f>F8*$D$2^4*(1-$D$2)^0</f>
        <v>6.25E-2</v>
      </c>
      <c r="H8">
        <f>F8*$I$4^4*(1-$I$4)^0</f>
        <v>2.2763283178024323E-2</v>
      </c>
    </row>
    <row r="9" spans="1:10" x14ac:dyDescent="0.35">
      <c r="A9" s="4"/>
      <c r="B9" s="4"/>
      <c r="C9" s="4"/>
      <c r="D9" s="21">
        <f>C10*$I$2</f>
        <v>142.26196557486293</v>
      </c>
      <c r="E9" s="21">
        <f t="shared" ref="E9" si="0">D9*$I$3</f>
        <v>130.99644507332476</v>
      </c>
      <c r="F9">
        <v>4</v>
      </c>
      <c r="G9">
        <f>F9*$D$2^3*(1-$D$2)^1</f>
        <v>0.25</v>
      </c>
      <c r="H9">
        <f>F9*$I$4^3*(1-$I$4)^1</f>
        <v>0.14336228226367456</v>
      </c>
    </row>
    <row r="10" spans="1:10" x14ac:dyDescent="0.35">
      <c r="A10" s="4"/>
      <c r="B10" s="4"/>
      <c r="C10" s="21">
        <f>B11*$I$2</f>
        <v>126.4908768732892</v>
      </c>
      <c r="D10" s="21">
        <f>C10*$I$3</f>
        <v>116.47424620946144</v>
      </c>
      <c r="E10" s="21">
        <f t="shared" ref="E10" si="1">D10*$I$3</f>
        <v>107.25081812542166</v>
      </c>
      <c r="F10">
        <v>6</v>
      </c>
      <c r="G10">
        <f>F10*$D$2^2*(1-$D$2)^2</f>
        <v>0.375</v>
      </c>
      <c r="H10">
        <f>F10*$I$4^2*(1-$I$4)^2</f>
        <v>0.3385838031652732</v>
      </c>
    </row>
    <row r="11" spans="1:10" x14ac:dyDescent="0.35">
      <c r="A11" s="4"/>
      <c r="B11" s="21">
        <f>A12*$I$2</f>
        <v>112.4681629943733</v>
      </c>
      <c r="C11" s="21">
        <f t="shared" ref="C11:E12" si="2">B11*$I$3</f>
        <v>103.56197087996233</v>
      </c>
      <c r="D11" s="21">
        <f t="shared" si="2"/>
        <v>95.361047313262631</v>
      </c>
      <c r="E11" s="21">
        <f t="shared" si="2"/>
        <v>87.809543092056131</v>
      </c>
      <c r="F11">
        <v>4</v>
      </c>
      <c r="G11">
        <f>F11*$D$2^1*(1-$D$2)^3</f>
        <v>0.25</v>
      </c>
      <c r="H11">
        <f>F11*$I$4^1*(1-$I$4)^3</f>
        <v>0.35539796243854221</v>
      </c>
    </row>
    <row r="12" spans="1:10" x14ac:dyDescent="0.35">
      <c r="A12" s="21">
        <v>100</v>
      </c>
      <c r="B12" s="21">
        <f>A12*$I$3</f>
        <v>92.081143785680453</v>
      </c>
      <c r="C12" s="21">
        <f t="shared" si="2"/>
        <v>84.789370408791584</v>
      </c>
      <c r="D12" s="21">
        <f t="shared" si="2"/>
        <v>78.07502208109257</v>
      </c>
      <c r="E12" s="21">
        <f t="shared" si="2"/>
        <v>71.892373343192617</v>
      </c>
      <c r="F12">
        <v>1</v>
      </c>
      <c r="G12">
        <f>F12*$D$2^0*(1-$D$2)^4</f>
        <v>6.25E-2</v>
      </c>
      <c r="H12">
        <f>F12*$I$4^0*(1-$I$4)^4</f>
        <v>0.13989266895448563</v>
      </c>
    </row>
    <row r="13" spans="1:10" x14ac:dyDescent="0.35">
      <c r="A13" s="20">
        <v>0</v>
      </c>
      <c r="B13" s="20">
        <f>A13+0.25</f>
        <v>0.25</v>
      </c>
      <c r="C13" s="20">
        <f t="shared" ref="C13:E13" si="3">B13+0.25</f>
        <v>0.5</v>
      </c>
      <c r="D13" s="20">
        <f t="shared" si="3"/>
        <v>0.75</v>
      </c>
      <c r="E13" s="20">
        <f t="shared" si="3"/>
        <v>1</v>
      </c>
      <c r="G13">
        <f>SUM(G8:G12)</f>
        <v>1</v>
      </c>
      <c r="H13">
        <f>SUM(H8:H12)</f>
        <v>0.99999999999999989</v>
      </c>
    </row>
    <row r="14" spans="1:10" ht="15" thickBot="1" x14ac:dyDescent="0.4"/>
    <row r="15" spans="1:10" ht="15" thickTop="1" x14ac:dyDescent="0.35">
      <c r="A15" s="22" t="s">
        <v>14</v>
      </c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5">
      <c r="A16" s="8" t="s">
        <v>16</v>
      </c>
      <c r="B16" s="9" t="s">
        <v>15</v>
      </c>
      <c r="C16" s="9" t="s">
        <v>17</v>
      </c>
      <c r="D16" s="9"/>
      <c r="E16" s="9" t="s">
        <v>18</v>
      </c>
      <c r="F16" s="9"/>
      <c r="G16" s="9" t="s">
        <v>19</v>
      </c>
      <c r="H16" s="9"/>
      <c r="I16" s="9"/>
      <c r="J16" s="10"/>
    </row>
    <row r="17" spans="1:10" x14ac:dyDescent="0.35">
      <c r="A17" s="8">
        <v>159.99941932173607</v>
      </c>
      <c r="B17" s="9">
        <v>6.25E-2</v>
      </c>
      <c r="C17" s="9">
        <f>(A17-$A$12)/$A$12</f>
        <v>0.59999419321736069</v>
      </c>
      <c r="D17" s="9">
        <f>C17*B17</f>
        <v>3.7499637076085043E-2</v>
      </c>
      <c r="E17" s="11">
        <f>SUM(D17:D21)</f>
        <v>9.4137908799363873E-2</v>
      </c>
      <c r="F17" s="9">
        <f>(C17-$E$17)^2*B17</f>
        <v>1.5993161280323829E-2</v>
      </c>
      <c r="G17" s="11">
        <f>SQRT(SUM(F17:F21))</f>
        <v>0.21973067639278843</v>
      </c>
      <c r="H17" s="9"/>
      <c r="I17" s="9"/>
      <c r="J17" s="10"/>
    </row>
    <row r="18" spans="1:10" x14ac:dyDescent="0.35">
      <c r="A18" s="8">
        <v>130.99644507332476</v>
      </c>
      <c r="B18" s="9">
        <v>0.25</v>
      </c>
      <c r="C18" s="9">
        <f t="shared" ref="C18:C21" si="4">(A18-$A$12)/$A$12</f>
        <v>0.30996445073324763</v>
      </c>
      <c r="D18" s="9">
        <f t="shared" ref="D18:D21" si="5">C18*B18</f>
        <v>7.7491112683311908E-2</v>
      </c>
      <c r="E18" s="9"/>
      <c r="F18" s="9">
        <f t="shared" ref="F18:F21" si="6">(C18-$E$17)^2*B18</f>
        <v>1.1645274050784622E-2</v>
      </c>
      <c r="G18" s="9"/>
      <c r="H18" s="9"/>
      <c r="I18" s="9"/>
      <c r="J18" s="10"/>
    </row>
    <row r="19" spans="1:10" x14ac:dyDescent="0.35">
      <c r="A19" s="8">
        <v>107.25081812542166</v>
      </c>
      <c r="B19" s="9">
        <v>0.375</v>
      </c>
      <c r="C19" s="9">
        <f t="shared" si="4"/>
        <v>7.2508181254216597E-2</v>
      </c>
      <c r="D19" s="9">
        <f t="shared" si="5"/>
        <v>2.7190567970331224E-2</v>
      </c>
      <c r="E19" s="9"/>
      <c r="F19" s="9">
        <f t="shared" si="6"/>
        <v>1.7544191762898856E-4</v>
      </c>
      <c r="G19" s="9"/>
      <c r="H19" s="9"/>
      <c r="I19" s="9"/>
      <c r="J19" s="10"/>
    </row>
    <row r="20" spans="1:10" x14ac:dyDescent="0.35">
      <c r="A20" s="8">
        <v>87.809543092056131</v>
      </c>
      <c r="B20" s="9">
        <v>0.25</v>
      </c>
      <c r="C20" s="9">
        <f t="shared" si="4"/>
        <v>-0.12190456907943868</v>
      </c>
      <c r="D20" s="9">
        <f t="shared" si="5"/>
        <v>-3.0476142269859671E-2</v>
      </c>
      <c r="E20" s="9"/>
      <c r="F20" s="9">
        <f t="shared" si="6"/>
        <v>1.1668588062003221E-2</v>
      </c>
      <c r="G20" s="9"/>
      <c r="H20" s="9"/>
      <c r="I20" s="9"/>
      <c r="J20" s="10"/>
    </row>
    <row r="21" spans="1:10" x14ac:dyDescent="0.35">
      <c r="A21" s="8">
        <v>71.892373343192617</v>
      </c>
      <c r="B21" s="9">
        <v>6.25E-2</v>
      </c>
      <c r="C21" s="9">
        <f t="shared" si="4"/>
        <v>-0.28107626656807383</v>
      </c>
      <c r="D21" s="9">
        <f t="shared" si="5"/>
        <v>-1.7567266660504614E-2</v>
      </c>
      <c r="E21" s="9"/>
      <c r="F21" s="9">
        <f t="shared" si="6"/>
        <v>8.7991048372916443E-3</v>
      </c>
      <c r="G21" s="9"/>
      <c r="H21" s="9"/>
      <c r="I21" s="9"/>
      <c r="J21" s="10"/>
    </row>
    <row r="22" spans="1:10" x14ac:dyDescent="0.35">
      <c r="A22" s="8" t="s">
        <v>104</v>
      </c>
      <c r="B22" s="9"/>
      <c r="C22" s="9"/>
      <c r="D22" s="9" t="s">
        <v>39</v>
      </c>
      <c r="E22" s="9" t="s">
        <v>105</v>
      </c>
      <c r="F22" s="9"/>
      <c r="G22" s="9"/>
      <c r="H22" s="9"/>
      <c r="I22" s="9"/>
      <c r="J22" s="10"/>
    </row>
    <row r="23" spans="1:10" x14ac:dyDescent="0.35">
      <c r="A23" s="8" t="s">
        <v>106</v>
      </c>
      <c r="B23" s="9"/>
      <c r="C23" s="9"/>
      <c r="D23" s="9"/>
      <c r="E23" s="9"/>
      <c r="F23" s="9"/>
      <c r="G23" s="9"/>
      <c r="H23" s="9"/>
      <c r="I23" s="9"/>
      <c r="J23" s="10"/>
    </row>
    <row r="24" spans="1:10" ht="15" thickBot="1" x14ac:dyDescent="0.4">
      <c r="A24" s="12" t="s">
        <v>107</v>
      </c>
      <c r="B24" s="13"/>
      <c r="C24" s="13"/>
      <c r="D24" s="13"/>
      <c r="E24" s="13"/>
      <c r="F24" s="13"/>
      <c r="G24" s="27" t="s">
        <v>108</v>
      </c>
      <c r="H24" s="13"/>
      <c r="I24" s="13"/>
      <c r="J24" s="14"/>
    </row>
    <row r="25" spans="1:10" ht="15.5" thickTop="1" thickBot="1" x14ac:dyDescent="0.4"/>
    <row r="26" spans="1:10" ht="15" thickTop="1" x14ac:dyDescent="0.35">
      <c r="A26" s="22" t="s">
        <v>20</v>
      </c>
      <c r="B26" s="6"/>
      <c r="C26" s="6"/>
      <c r="D26" s="6"/>
      <c r="E26" s="6"/>
      <c r="F26" s="6"/>
      <c r="G26" s="6"/>
      <c r="H26" s="7"/>
    </row>
    <row r="27" spans="1:10" x14ac:dyDescent="0.35">
      <c r="A27" s="8" t="s">
        <v>21</v>
      </c>
      <c r="B27" s="9">
        <v>90</v>
      </c>
      <c r="C27" s="9"/>
      <c r="D27" s="9"/>
      <c r="E27" s="9"/>
      <c r="F27" s="9"/>
      <c r="G27" s="9" t="s">
        <v>116</v>
      </c>
      <c r="H27" s="10"/>
    </row>
    <row r="28" spans="1:10" x14ac:dyDescent="0.35">
      <c r="A28" s="8"/>
      <c r="B28" s="9"/>
      <c r="C28" s="9"/>
      <c r="D28" s="9"/>
      <c r="E28" s="9">
        <f>IF(E8&gt;$B$27,1,0)</f>
        <v>1</v>
      </c>
      <c r="F28" s="9"/>
      <c r="G28" s="9" t="s">
        <v>22</v>
      </c>
      <c r="H28" s="25">
        <f>(B31-B32)/(B11-B12)</f>
        <v>2.1378327500947498E-2</v>
      </c>
    </row>
    <row r="29" spans="1:10" x14ac:dyDescent="0.35">
      <c r="A29" s="8"/>
      <c r="B29" s="9"/>
      <c r="C29" s="9"/>
      <c r="D29" s="9">
        <f>$I$1*($I$4*E28+(1-$I$4)*E29)</f>
        <v>1</v>
      </c>
      <c r="E29" s="9">
        <f>IF(E9&gt;$B$27,1,0)</f>
        <v>1</v>
      </c>
      <c r="F29" s="9"/>
      <c r="G29" s="9" t="s">
        <v>23</v>
      </c>
      <c r="H29" s="25">
        <f>A32-A12*H28</f>
        <v>-1.6331233814877777</v>
      </c>
    </row>
    <row r="30" spans="1:10" x14ac:dyDescent="0.35">
      <c r="A30" s="8"/>
      <c r="B30" s="9"/>
      <c r="C30" s="9">
        <f t="shared" ref="C30:C32" si="7">$I$1*($I$4*D29+(1-$I$4)*D30)</f>
        <v>1</v>
      </c>
      <c r="D30" s="9">
        <f t="shared" ref="D30:D32" si="8">$I$1*($I$4*E29+(1-$I$4)*E30)</f>
        <v>1</v>
      </c>
      <c r="E30" s="9">
        <f>IF(E10&gt;$B$27,1,0)</f>
        <v>1</v>
      </c>
      <c r="F30" s="9"/>
      <c r="G30" s="31" t="s">
        <v>117</v>
      </c>
      <c r="H30" s="10"/>
    </row>
    <row r="31" spans="1:10" x14ac:dyDescent="0.35">
      <c r="A31" s="8"/>
      <c r="B31" s="9">
        <f t="shared" ref="B31:B32" si="9">$I$1*($I$4*C30+(1-$I$4)*C31)</f>
        <v>0.77125784043587875</v>
      </c>
      <c r="C31" s="9">
        <f t="shared" si="7"/>
        <v>0.62597771596536433</v>
      </c>
      <c r="D31" s="9">
        <f>$I$1*($I$4*E30+(1-$I$4)*E31)</f>
        <v>0.38842638706805244</v>
      </c>
      <c r="E31" s="9">
        <f>IF(E11&gt;$B$27,1,0)</f>
        <v>0</v>
      </c>
      <c r="F31" s="9"/>
      <c r="G31" s="31" t="s">
        <v>118</v>
      </c>
      <c r="H31" s="10"/>
    </row>
    <row r="32" spans="1:10" x14ac:dyDescent="0.35">
      <c r="A32" s="26">
        <f>$I$1*($I$4*B31+(1-$I$4)*B32)</f>
        <v>0.50470936860697213</v>
      </c>
      <c r="B32" s="9">
        <f t="shared" si="9"/>
        <v>0.3354174670243355</v>
      </c>
      <c r="C32" s="9">
        <f t="shared" si="7"/>
        <v>0.15087505817074048</v>
      </c>
      <c r="D32" s="9">
        <f t="shared" si="8"/>
        <v>0</v>
      </c>
      <c r="E32" s="9">
        <f>IF(E12&gt;$B$27,1,0)</f>
        <v>0</v>
      </c>
      <c r="F32" s="9"/>
      <c r="G32" s="31" t="s">
        <v>119</v>
      </c>
      <c r="H32" s="10"/>
    </row>
    <row r="33" spans="1:10" x14ac:dyDescent="0.35">
      <c r="A33" s="8">
        <f>SUM(H8:H9)</f>
        <v>0.16612556544169887</v>
      </c>
      <c r="B33" s="9"/>
      <c r="C33" s="9"/>
      <c r="D33" s="9"/>
      <c r="E33" s="9"/>
      <c r="F33" s="9"/>
      <c r="G33" s="31" t="s">
        <v>120</v>
      </c>
      <c r="H33" s="10"/>
    </row>
    <row r="34" spans="1:10" x14ac:dyDescent="0.35">
      <c r="A34" s="8"/>
      <c r="B34" s="9"/>
      <c r="C34" s="9"/>
      <c r="D34" s="9"/>
      <c r="E34" s="9"/>
      <c r="F34" s="9"/>
      <c r="G34" s="9"/>
      <c r="H34" s="10"/>
    </row>
    <row r="35" spans="1:10" ht="15" thickBot="1" x14ac:dyDescent="0.4">
      <c r="A35" s="12" t="s">
        <v>25</v>
      </c>
      <c r="B35" s="13">
        <v>70</v>
      </c>
      <c r="C35" s="24">
        <v>1</v>
      </c>
      <c r="D35" s="13" t="s">
        <v>93</v>
      </c>
      <c r="E35" s="13"/>
      <c r="F35" s="13"/>
      <c r="G35" s="13"/>
      <c r="H35" s="14"/>
    </row>
    <row r="36" spans="1:10" ht="15.5" thickTop="1" thickBot="1" x14ac:dyDescent="0.4"/>
    <row r="37" spans="1:10" ht="15" thickTop="1" x14ac:dyDescent="0.35">
      <c r="A37" s="22" t="s">
        <v>24</v>
      </c>
      <c r="B37" s="6" t="s">
        <v>92</v>
      </c>
      <c r="C37" s="6"/>
      <c r="D37" s="6"/>
      <c r="E37" s="6"/>
      <c r="F37" s="6"/>
      <c r="G37" s="6"/>
      <c r="H37" s="6"/>
      <c r="I37" s="6"/>
      <c r="J37" s="7"/>
    </row>
    <row r="38" spans="1:10" x14ac:dyDescent="0.35">
      <c r="A38" s="8" t="s">
        <v>26</v>
      </c>
      <c r="B38" s="9" t="s">
        <v>28</v>
      </c>
      <c r="C38" s="9" t="s">
        <v>29</v>
      </c>
      <c r="D38" s="9"/>
      <c r="E38" s="9"/>
      <c r="F38" s="9"/>
      <c r="G38" s="9"/>
      <c r="H38" s="9"/>
      <c r="I38" s="9"/>
      <c r="J38" s="10"/>
    </row>
    <row r="39" spans="1:10" x14ac:dyDescent="0.35">
      <c r="A39" s="8" t="s">
        <v>30</v>
      </c>
      <c r="B39" s="9">
        <v>1</v>
      </c>
      <c r="C39" s="9">
        <v>0.87463305859821561</v>
      </c>
      <c r="D39" s="9"/>
      <c r="E39" s="9" t="s">
        <v>103</v>
      </c>
      <c r="F39" s="9"/>
      <c r="G39" s="9"/>
      <c r="H39" s="9"/>
      <c r="I39" s="9"/>
      <c r="J39" s="10"/>
    </row>
    <row r="40" spans="1:10" x14ac:dyDescent="0.35">
      <c r="A40" s="8" t="s">
        <v>27</v>
      </c>
      <c r="B40" s="9">
        <v>0.1661255654416989</v>
      </c>
      <c r="C40" s="9">
        <v>0.18496170286251748</v>
      </c>
      <c r="D40" s="9"/>
      <c r="E40" s="9" t="s">
        <v>94</v>
      </c>
      <c r="F40" s="9"/>
      <c r="G40" s="9"/>
      <c r="H40" s="9"/>
      <c r="I40" s="9"/>
      <c r="J40" s="10"/>
    </row>
    <row r="41" spans="1:10" x14ac:dyDescent="0.35">
      <c r="A41" s="8"/>
      <c r="B41" s="9"/>
      <c r="C41" s="9"/>
      <c r="D41" s="9"/>
      <c r="E41" s="9" t="s">
        <v>95</v>
      </c>
      <c r="F41" s="9"/>
      <c r="G41" s="9"/>
      <c r="H41" s="9"/>
      <c r="I41" s="9"/>
      <c r="J41" s="10"/>
    </row>
    <row r="42" spans="1:10" ht="15" thickBot="1" x14ac:dyDescent="0.4">
      <c r="A42" s="12"/>
      <c r="B42" s="13"/>
      <c r="C42" s="13"/>
      <c r="D42" s="13"/>
      <c r="E42" s="13" t="s">
        <v>96</v>
      </c>
      <c r="F42" s="13"/>
      <c r="G42" s="13"/>
      <c r="H42" s="13"/>
      <c r="I42" s="13"/>
      <c r="J42" s="14"/>
    </row>
    <row r="43" spans="1:10" ht="15.5" thickTop="1" thickBot="1" x14ac:dyDescent="0.4"/>
    <row r="44" spans="1:10" ht="15" thickTop="1" x14ac:dyDescent="0.35">
      <c r="A44" s="22" t="s">
        <v>97</v>
      </c>
      <c r="B44" s="6"/>
      <c r="C44" s="6"/>
      <c r="D44" s="6"/>
      <c r="E44" s="6"/>
      <c r="F44" s="6"/>
      <c r="G44" s="6"/>
      <c r="H44" s="6"/>
      <c r="I44" s="6"/>
      <c r="J44" s="7"/>
    </row>
    <row r="45" spans="1:10" x14ac:dyDescent="0.35">
      <c r="A45" s="8" t="s">
        <v>98</v>
      </c>
      <c r="B45" s="9"/>
      <c r="C45" s="9"/>
      <c r="D45" s="9"/>
      <c r="E45" s="9"/>
      <c r="F45" s="9"/>
      <c r="G45" s="9"/>
      <c r="H45" s="9"/>
      <c r="I45" s="9"/>
      <c r="J45" s="10"/>
    </row>
    <row r="46" spans="1:10" x14ac:dyDescent="0.35">
      <c r="A46" s="23" t="s">
        <v>101</v>
      </c>
      <c r="B46" s="9"/>
      <c r="C46" s="9"/>
      <c r="D46" s="9"/>
      <c r="E46" s="9"/>
      <c r="F46" s="9"/>
      <c r="G46" s="9"/>
      <c r="H46" s="9"/>
      <c r="I46" s="9"/>
      <c r="J46" s="10"/>
    </row>
    <row r="47" spans="1:10" x14ac:dyDescent="0.35">
      <c r="A47" s="8" t="s">
        <v>33</v>
      </c>
      <c r="B47" s="9">
        <v>0</v>
      </c>
      <c r="C47" s="9">
        <v>0</v>
      </c>
      <c r="D47" s="9"/>
      <c r="E47" s="9"/>
      <c r="F47" s="9"/>
      <c r="G47" s="9"/>
      <c r="H47" s="9"/>
      <c r="I47" s="9"/>
      <c r="J47" s="10"/>
    </row>
    <row r="48" spans="1:10" x14ac:dyDescent="0.35">
      <c r="A48" s="8"/>
      <c r="B48" s="9" t="s">
        <v>31</v>
      </c>
      <c r="C48" s="9"/>
      <c r="D48" s="9" t="s">
        <v>32</v>
      </c>
      <c r="E48" s="9" t="s">
        <v>34</v>
      </c>
      <c r="F48" s="9"/>
      <c r="G48" s="9"/>
      <c r="H48" s="9"/>
      <c r="I48" s="9"/>
      <c r="J48" s="10"/>
    </row>
    <row r="49" spans="1:10" x14ac:dyDescent="0.35">
      <c r="A49" s="8"/>
      <c r="B49" s="9">
        <f>E8</f>
        <v>159.99941932173607</v>
      </c>
      <c r="C49" s="9">
        <f>$I$1</f>
        <v>1</v>
      </c>
      <c r="D49" s="9">
        <f t="array" ref="D49:D53">MMULT(B49:C53,TRANSPOSE(B47:C47))</f>
        <v>0</v>
      </c>
      <c r="E49" s="9">
        <f>IF(E8-110 &gt;0,1,0)</f>
        <v>1</v>
      </c>
      <c r="F49" s="9"/>
      <c r="G49" s="9"/>
      <c r="H49" s="9"/>
      <c r="I49" s="9"/>
      <c r="J49" s="10"/>
    </row>
    <row r="50" spans="1:10" x14ac:dyDescent="0.35">
      <c r="A50" s="8"/>
      <c r="B50" s="9">
        <f t="shared" ref="B50:B53" si="10">E9</f>
        <v>130.99644507332476</v>
      </c>
      <c r="C50" s="9">
        <f t="shared" ref="C50:C53" si="11">$I$1</f>
        <v>1</v>
      </c>
      <c r="D50" s="9">
        <v>0</v>
      </c>
      <c r="E50" s="9">
        <f t="shared" ref="E50:E53" si="12">IF(E9-110 &gt;0,1,0)</f>
        <v>1</v>
      </c>
      <c r="F50" s="9"/>
      <c r="G50" s="9"/>
      <c r="H50" s="9"/>
      <c r="I50" s="9"/>
      <c r="J50" s="10"/>
    </row>
    <row r="51" spans="1:10" x14ac:dyDescent="0.35">
      <c r="A51" s="8"/>
      <c r="B51" s="9">
        <f t="shared" si="10"/>
        <v>107.25081812542166</v>
      </c>
      <c r="C51" s="9">
        <f t="shared" si="11"/>
        <v>1</v>
      </c>
      <c r="D51" s="9">
        <v>0</v>
      </c>
      <c r="E51" s="9">
        <f t="shared" si="12"/>
        <v>0</v>
      </c>
      <c r="F51" s="9"/>
      <c r="G51" s="9"/>
      <c r="H51" s="9"/>
      <c r="I51" s="9"/>
      <c r="J51" s="10"/>
    </row>
    <row r="52" spans="1:10" x14ac:dyDescent="0.35">
      <c r="A52" s="8"/>
      <c r="B52" s="9">
        <f t="shared" si="10"/>
        <v>87.809543092056131</v>
      </c>
      <c r="C52" s="9">
        <f t="shared" si="11"/>
        <v>1</v>
      </c>
      <c r="D52" s="9">
        <v>0</v>
      </c>
      <c r="E52" s="9">
        <f t="shared" si="12"/>
        <v>0</v>
      </c>
      <c r="F52" s="9"/>
      <c r="G52" s="9"/>
      <c r="H52" s="9"/>
      <c r="I52" s="9"/>
      <c r="J52" s="10"/>
    </row>
    <row r="53" spans="1:10" x14ac:dyDescent="0.35">
      <c r="A53" s="8"/>
      <c r="B53" s="9">
        <f t="shared" si="10"/>
        <v>71.892373343192617</v>
      </c>
      <c r="C53" s="9">
        <f t="shared" si="11"/>
        <v>1</v>
      </c>
      <c r="D53" s="9">
        <v>0</v>
      </c>
      <c r="E53" s="9">
        <f t="shared" si="12"/>
        <v>0</v>
      </c>
      <c r="F53" s="9"/>
      <c r="G53" s="9"/>
      <c r="H53" s="9"/>
      <c r="I53" s="9"/>
      <c r="J53" s="10"/>
    </row>
    <row r="54" spans="1:10" x14ac:dyDescent="0.35">
      <c r="A54" s="8"/>
      <c r="B54" s="9"/>
      <c r="C54" s="9"/>
      <c r="D54" s="9"/>
      <c r="E54" s="9"/>
      <c r="F54" s="9"/>
      <c r="G54" s="9"/>
      <c r="H54" s="9"/>
      <c r="I54" s="9"/>
      <c r="J54" s="10"/>
    </row>
    <row r="55" spans="1:10" x14ac:dyDescent="0.35">
      <c r="A55" s="8" t="s">
        <v>35</v>
      </c>
      <c r="B55" s="9">
        <v>100</v>
      </c>
      <c r="C55" s="9"/>
      <c r="D55" s="9" t="s">
        <v>36</v>
      </c>
      <c r="E55" s="9"/>
      <c r="F55" s="9"/>
      <c r="G55" s="9"/>
      <c r="H55" s="9"/>
      <c r="I55" s="9"/>
      <c r="J55" s="10"/>
    </row>
    <row r="56" spans="1:10" x14ac:dyDescent="0.35">
      <c r="A56" s="8"/>
      <c r="B56" s="9">
        <v>1</v>
      </c>
      <c r="C56" s="9"/>
      <c r="D56" s="9">
        <f t="array" ref="D56">MMULT(B47:C47,B55:B56)</f>
        <v>0</v>
      </c>
      <c r="E56" s="9"/>
      <c r="F56" s="9"/>
      <c r="G56" s="9"/>
      <c r="H56" s="9"/>
      <c r="I56" s="9"/>
      <c r="J56" s="10"/>
    </row>
    <row r="57" spans="1:10" x14ac:dyDescent="0.35">
      <c r="A57" s="8"/>
      <c r="B57" s="9"/>
      <c r="C57" s="9"/>
      <c r="D57" s="9"/>
      <c r="E57" s="9"/>
      <c r="F57" s="9"/>
      <c r="G57" s="9"/>
      <c r="H57" s="9"/>
      <c r="I57" s="9"/>
      <c r="J57" s="10"/>
    </row>
    <row r="58" spans="1:10" x14ac:dyDescent="0.35">
      <c r="A58" s="8" t="s">
        <v>39</v>
      </c>
      <c r="B58" s="9"/>
      <c r="C58" s="9" t="s">
        <v>38</v>
      </c>
      <c r="D58" s="9" t="s">
        <v>40</v>
      </c>
      <c r="E58" s="9"/>
      <c r="F58" s="9"/>
      <c r="G58" s="9"/>
      <c r="H58" s="9"/>
      <c r="I58" s="9"/>
      <c r="J58" s="10"/>
    </row>
    <row r="59" spans="1:10" x14ac:dyDescent="0.35">
      <c r="A59" s="8" t="s">
        <v>37</v>
      </c>
      <c r="B59" s="9"/>
      <c r="C59" s="11">
        <v>0.47556159557240307</v>
      </c>
      <c r="D59" s="9">
        <v>1.691930810733273E-2</v>
      </c>
      <c r="E59" s="9">
        <v>-1.21636921516087</v>
      </c>
      <c r="F59" s="9" t="s">
        <v>102</v>
      </c>
      <c r="G59" s="9"/>
      <c r="H59" s="9"/>
      <c r="I59" s="9"/>
      <c r="J59" s="10"/>
    </row>
    <row r="60" spans="1:10" ht="15" thickBot="1" x14ac:dyDescent="0.4">
      <c r="A60" s="12" t="s">
        <v>41</v>
      </c>
      <c r="B60" s="13"/>
      <c r="C60" s="24">
        <v>0</v>
      </c>
      <c r="D60" s="13">
        <v>0</v>
      </c>
      <c r="E60" s="13">
        <v>0</v>
      </c>
      <c r="F60" s="13"/>
      <c r="G60" s="13"/>
      <c r="H60" s="13"/>
      <c r="I60" s="13"/>
      <c r="J60" s="14"/>
    </row>
    <row r="61" spans="1:10" ht="15" thickTop="1" x14ac:dyDescent="0.35"/>
  </sheetData>
  <hyperlinks>
    <hyperlink ref="A46" r:id="rId1"/>
    <hyperlink ref="G24" r:id="rId2" display="Se slides 6-16 herfra. 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21" workbookViewId="0">
      <selection activeCell="E30" sqref="E30"/>
    </sheetView>
  </sheetViews>
  <sheetFormatPr defaultRowHeight="14.5" x14ac:dyDescent="0.35"/>
  <cols>
    <col min="1" max="1" width="18.36328125" customWidth="1"/>
    <col min="3" max="3" width="21.54296875" customWidth="1"/>
    <col min="9" max="9" width="5.81640625" customWidth="1"/>
    <col min="11" max="11" width="10.81640625" bestFit="1" customWidth="1"/>
  </cols>
  <sheetData>
    <row r="1" spans="1:8" x14ac:dyDescent="0.35">
      <c r="A1" t="s">
        <v>110</v>
      </c>
    </row>
    <row r="2" spans="1:8" x14ac:dyDescent="0.35">
      <c r="C2">
        <v>0.05</v>
      </c>
    </row>
    <row r="3" spans="1:8" x14ac:dyDescent="0.35">
      <c r="B3">
        <v>0.04</v>
      </c>
      <c r="C3">
        <v>0.05</v>
      </c>
    </row>
    <row r="4" spans="1:8" x14ac:dyDescent="0.35">
      <c r="A4">
        <v>0.02</v>
      </c>
      <c r="B4">
        <v>0.01</v>
      </c>
      <c r="C4">
        <v>0.01</v>
      </c>
    </row>
    <row r="5" spans="1:8" x14ac:dyDescent="0.35">
      <c r="A5" t="s">
        <v>109</v>
      </c>
    </row>
    <row r="6" spans="1:8" x14ac:dyDescent="0.35">
      <c r="B6">
        <v>0.5</v>
      </c>
    </row>
    <row r="7" spans="1:8" x14ac:dyDescent="0.35">
      <c r="A7">
        <v>0.25</v>
      </c>
      <c r="B7">
        <v>0.2</v>
      </c>
    </row>
    <row r="8" spans="1:8" ht="15" thickBot="1" x14ac:dyDescent="0.4"/>
    <row r="9" spans="1:8" ht="15" thickTop="1" x14ac:dyDescent="0.35">
      <c r="A9" s="22" t="s">
        <v>111</v>
      </c>
      <c r="B9" s="6"/>
      <c r="C9" s="6"/>
      <c r="D9" s="6"/>
      <c r="E9" s="6"/>
      <c r="F9" s="7"/>
    </row>
    <row r="10" spans="1:8" x14ac:dyDescent="0.35">
      <c r="A10" s="8" t="s">
        <v>42</v>
      </c>
      <c r="B10" s="9"/>
      <c r="C10" s="9"/>
      <c r="D10" s="28" t="s">
        <v>43</v>
      </c>
      <c r="E10" s="9">
        <v>1</v>
      </c>
      <c r="F10" s="29">
        <f>A11^(-1/E10)-1</f>
        <v>2.0000000000000018E-2</v>
      </c>
    </row>
    <row r="11" spans="1:8" x14ac:dyDescent="0.35">
      <c r="A11" s="30">
        <f>1/(1+A4)</f>
        <v>0.98039215686274506</v>
      </c>
      <c r="B11" s="9"/>
      <c r="C11" s="9"/>
      <c r="D11" s="9"/>
      <c r="E11" s="9">
        <v>2</v>
      </c>
      <c r="F11" s="29">
        <f>A16^(-1/E11)-1</f>
        <v>1.8667410383883976E-2</v>
      </c>
    </row>
    <row r="12" spans="1:8" x14ac:dyDescent="0.35">
      <c r="A12" s="8"/>
      <c r="B12" s="9"/>
      <c r="C12" s="9"/>
      <c r="D12" s="9"/>
      <c r="E12" s="9">
        <v>3</v>
      </c>
      <c r="F12" s="29">
        <f>A22^(-1/E12)-1</f>
        <v>2.0925176839650783E-2</v>
      </c>
    </row>
    <row r="13" spans="1:8" x14ac:dyDescent="0.35">
      <c r="A13" s="8" t="s">
        <v>44</v>
      </c>
      <c r="B13" s="9"/>
      <c r="C13" s="9"/>
      <c r="D13" s="9"/>
      <c r="E13" s="31"/>
      <c r="F13" s="32"/>
      <c r="G13" s="2"/>
      <c r="H13" s="2"/>
    </row>
    <row r="14" spans="1:8" x14ac:dyDescent="0.35">
      <c r="A14" s="8"/>
      <c r="B14" s="9"/>
      <c r="C14" s="9">
        <v>1</v>
      </c>
      <c r="D14" s="9"/>
      <c r="E14" s="33"/>
      <c r="F14" s="32"/>
      <c r="G14" s="3"/>
      <c r="H14" s="2"/>
    </row>
    <row r="15" spans="1:8" x14ac:dyDescent="0.35">
      <c r="A15" s="8"/>
      <c r="B15" s="9">
        <f>(B6*C14+(1-B6)*C15)/(1+B3)</f>
        <v>0.96153846153846145</v>
      </c>
      <c r="C15" s="9">
        <v>1</v>
      </c>
      <c r="D15" s="9"/>
      <c r="E15" s="31"/>
      <c r="F15" s="32"/>
      <c r="G15" s="3"/>
      <c r="H15" s="2"/>
    </row>
    <row r="16" spans="1:8" x14ac:dyDescent="0.35">
      <c r="A16" s="30">
        <f>(A7*B15+(1-A7)*B16)/(1+A4)</f>
        <v>0.96368516942191962</v>
      </c>
      <c r="B16" s="9">
        <f>(B7*C15+(1-B7)*C16)/(1+B4)</f>
        <v>0.99009900990099009</v>
      </c>
      <c r="C16" s="9">
        <v>1</v>
      </c>
      <c r="D16" s="9"/>
      <c r="E16" s="31"/>
      <c r="F16" s="32"/>
      <c r="G16" s="3"/>
      <c r="H16" s="2"/>
    </row>
    <row r="17" spans="1:10" x14ac:dyDescent="0.35">
      <c r="A17" s="8"/>
      <c r="B17" s="9"/>
      <c r="C17" s="9"/>
      <c r="D17" s="9"/>
      <c r="E17" s="31"/>
      <c r="F17" s="32"/>
      <c r="G17" s="2"/>
      <c r="H17" s="2"/>
    </row>
    <row r="18" spans="1:10" x14ac:dyDescent="0.35">
      <c r="A18" s="8" t="s">
        <v>45</v>
      </c>
      <c r="B18" s="9"/>
      <c r="C18" s="9"/>
      <c r="D18" s="9"/>
      <c r="E18" s="31"/>
      <c r="F18" s="34"/>
      <c r="G18" s="2"/>
      <c r="H18" s="3"/>
    </row>
    <row r="19" spans="1:10" x14ac:dyDescent="0.35">
      <c r="A19" s="8"/>
      <c r="B19" s="9"/>
      <c r="C19" s="9"/>
      <c r="D19" s="9"/>
      <c r="E19" s="31"/>
      <c r="F19" s="32"/>
      <c r="G19" s="2"/>
      <c r="H19" s="3"/>
    </row>
    <row r="20" spans="1:10" x14ac:dyDescent="0.35">
      <c r="A20" s="8"/>
      <c r="B20" s="9"/>
      <c r="C20" s="9">
        <f>1/(1+C2)</f>
        <v>0.95238095238095233</v>
      </c>
      <c r="D20" s="9"/>
      <c r="E20" s="31"/>
      <c r="F20" s="32"/>
      <c r="G20" s="2"/>
      <c r="H20" s="3"/>
    </row>
    <row r="21" spans="1:10" x14ac:dyDescent="0.35">
      <c r="A21" s="8"/>
      <c r="B21" s="9">
        <f>(B6*C20+(1-B6)*C21)/(1+B3)</f>
        <v>0.91575091575091572</v>
      </c>
      <c r="C21" s="9">
        <f>1/(1+C3)</f>
        <v>0.95238095238095233</v>
      </c>
      <c r="D21" s="9"/>
      <c r="E21" s="9"/>
      <c r="F21" s="10"/>
    </row>
    <row r="22" spans="1:10" ht="15" thickBot="1" x14ac:dyDescent="0.4">
      <c r="A22" s="35">
        <f>(A7*B21+(1-A7)*B22)/(1+A4)</f>
        <v>0.93976281792355187</v>
      </c>
      <c r="B22" s="13">
        <f>(B7*C21+(1-B7)*C22)/(1+B4)</f>
        <v>0.97282712712572528</v>
      </c>
      <c r="C22" s="13">
        <f>1/(1+C4)</f>
        <v>0.99009900990099009</v>
      </c>
      <c r="D22" s="13"/>
      <c r="E22" s="13"/>
      <c r="F22" s="14"/>
    </row>
    <row r="23" spans="1:10" ht="15.5" thickTop="1" thickBot="1" x14ac:dyDescent="0.4"/>
    <row r="24" spans="1:10" ht="15" thickTop="1" x14ac:dyDescent="0.35">
      <c r="A24" s="38" t="s">
        <v>52</v>
      </c>
      <c r="B24" s="6"/>
      <c r="C24" s="6"/>
      <c r="D24" s="6"/>
      <c r="E24" s="6"/>
      <c r="F24" s="6"/>
      <c r="G24" s="6"/>
      <c r="H24" s="7"/>
    </row>
    <row r="25" spans="1:10" x14ac:dyDescent="0.35">
      <c r="A25" s="36" t="s">
        <v>46</v>
      </c>
      <c r="B25" s="9">
        <v>100</v>
      </c>
      <c r="C25" s="9"/>
      <c r="D25" s="9">
        <v>100</v>
      </c>
      <c r="E25" s="9">
        <f>D25*(1+$B$26)-$B$28</f>
        <v>67.646963667540206</v>
      </c>
      <c r="F25" s="9">
        <f>E25*(1+$B$26)-$B$28</f>
        <v>34.32333624510661</v>
      </c>
      <c r="G25" s="9">
        <f>F25*(1+$B$26)-$B$28</f>
        <v>0</v>
      </c>
      <c r="H25" s="10"/>
    </row>
    <row r="26" spans="1:10" x14ac:dyDescent="0.35">
      <c r="A26" s="36" t="s">
        <v>112</v>
      </c>
      <c r="B26" s="11">
        <v>0.03</v>
      </c>
      <c r="C26" s="9"/>
      <c r="D26" s="9">
        <f>(1+$B$26)*D25-$B$28</f>
        <v>67.646963667540206</v>
      </c>
      <c r="E26" s="9"/>
      <c r="F26" s="9"/>
      <c r="G26" s="9"/>
      <c r="H26" s="10"/>
    </row>
    <row r="27" spans="1:10" x14ac:dyDescent="0.35">
      <c r="A27" s="36" t="s">
        <v>47</v>
      </c>
      <c r="B27" s="9">
        <v>3</v>
      </c>
      <c r="C27" s="9"/>
      <c r="D27" s="9">
        <f>(1+$B$26)*D26-$B$28</f>
        <v>34.32333624510661</v>
      </c>
      <c r="E27" s="9"/>
      <c r="F27" s="9" t="s">
        <v>88</v>
      </c>
      <c r="G27" s="9" t="s">
        <v>48</v>
      </c>
      <c r="H27" s="25">
        <v>35.353036332459801</v>
      </c>
    </row>
    <row r="28" spans="1:10" x14ac:dyDescent="0.35">
      <c r="A28" s="36" t="s">
        <v>48</v>
      </c>
      <c r="B28" s="9">
        <f>B25*B26*(1+B26)^B27/((1+B26)^B27-1)</f>
        <v>35.353036332459801</v>
      </c>
      <c r="C28" s="9" t="s">
        <v>122</v>
      </c>
      <c r="D28" s="9">
        <f>(1+$B$26)*D27-$B$28</f>
        <v>0</v>
      </c>
      <c r="E28" s="9"/>
      <c r="F28" s="9"/>
      <c r="G28" s="9" t="s">
        <v>49</v>
      </c>
      <c r="H28" s="25">
        <v>101.9525053951992</v>
      </c>
    </row>
    <row r="29" spans="1:10" x14ac:dyDescent="0.35">
      <c r="A29" s="8"/>
      <c r="B29" s="9"/>
      <c r="C29" s="9"/>
      <c r="D29" s="9"/>
      <c r="E29" s="9"/>
      <c r="F29" s="9"/>
      <c r="G29" s="9"/>
      <c r="H29" s="10"/>
    </row>
    <row r="30" spans="1:10" ht="15" thickBot="1" x14ac:dyDescent="0.4">
      <c r="A30" s="37" t="s">
        <v>49</v>
      </c>
      <c r="B30" s="13">
        <f>B28*(A22+A16+A11)</f>
        <v>101.9525053951992</v>
      </c>
      <c r="C30" s="13" t="s">
        <v>123</v>
      </c>
      <c r="D30" s="13"/>
      <c r="E30" s="13"/>
      <c r="F30" s="13"/>
      <c r="G30" s="13"/>
      <c r="H30" s="14"/>
    </row>
    <row r="31" spans="1:10" ht="15.5" thickTop="1" thickBot="1" x14ac:dyDescent="0.4">
      <c r="A31" s="36"/>
      <c r="B31" s="9"/>
      <c r="C31" s="9"/>
      <c r="D31" s="9"/>
      <c r="E31" s="9"/>
      <c r="F31" s="9"/>
      <c r="G31" s="9"/>
      <c r="H31" s="9"/>
    </row>
    <row r="32" spans="1:10" ht="15" thickTop="1" x14ac:dyDescent="0.35">
      <c r="A32" s="38" t="s">
        <v>53</v>
      </c>
      <c r="B32" s="6"/>
      <c r="C32" s="6"/>
      <c r="D32" s="6"/>
      <c r="E32" s="6"/>
      <c r="F32" s="6"/>
      <c r="G32" s="6"/>
      <c r="H32" s="6"/>
      <c r="I32" s="6"/>
      <c r="J32" s="7"/>
    </row>
    <row r="33" spans="1:12" x14ac:dyDescent="0.35">
      <c r="A33" s="36" t="s">
        <v>87</v>
      </c>
      <c r="B33" s="11">
        <f>(B30-B28*A11)/A11</f>
        <v>68.638519170643391</v>
      </c>
      <c r="C33" s="9"/>
      <c r="D33" s="9" t="s">
        <v>54</v>
      </c>
      <c r="E33" s="9"/>
      <c r="F33" s="9"/>
      <c r="G33" s="9"/>
      <c r="H33" s="9"/>
      <c r="I33" s="9"/>
      <c r="J33" s="10"/>
    </row>
    <row r="34" spans="1:12" ht="15" thickBot="1" x14ac:dyDescent="0.4">
      <c r="A34" s="12" t="s">
        <v>121</v>
      </c>
      <c r="B34" s="24">
        <f>(H28-A11*H27)/A11</f>
        <v>68.638519170643391</v>
      </c>
      <c r="C34" s="13"/>
      <c r="D34" s="13" t="s">
        <v>55</v>
      </c>
      <c r="E34" s="13"/>
      <c r="F34" s="13"/>
      <c r="G34" s="13"/>
      <c r="H34" s="13"/>
      <c r="I34" s="13"/>
      <c r="J34" s="14"/>
    </row>
    <row r="35" spans="1:12" ht="15.5" thickTop="1" thickBot="1" x14ac:dyDescent="0.4"/>
    <row r="36" spans="1:12" ht="15" thickTop="1" x14ac:dyDescent="0.35">
      <c r="A36" s="38" t="s">
        <v>56</v>
      </c>
      <c r="B36" s="6"/>
      <c r="C36" s="6"/>
      <c r="D36" s="6"/>
      <c r="E36" s="6"/>
      <c r="F36" s="6"/>
      <c r="G36" s="7"/>
    </row>
    <row r="37" spans="1:12" x14ac:dyDescent="0.35">
      <c r="A37" s="39" t="s">
        <v>50</v>
      </c>
      <c r="B37" s="9"/>
      <c r="C37" s="9"/>
      <c r="D37" s="9"/>
      <c r="E37" s="9"/>
      <c r="F37" s="9"/>
      <c r="G37" s="10"/>
    </row>
    <row r="38" spans="1:12" x14ac:dyDescent="0.35">
      <c r="A38" s="36" t="s">
        <v>39</v>
      </c>
      <c r="B38" s="9"/>
      <c r="C38" s="9"/>
      <c r="D38" s="9">
        <v>0</v>
      </c>
      <c r="E38" s="9">
        <v>1</v>
      </c>
      <c r="F38" s="9">
        <v>2</v>
      </c>
      <c r="G38" s="10">
        <v>3</v>
      </c>
    </row>
    <row r="39" spans="1:12" x14ac:dyDescent="0.35">
      <c r="A39" s="8"/>
      <c r="B39" s="9"/>
      <c r="C39" s="9"/>
      <c r="D39" s="9"/>
      <c r="E39" s="9"/>
      <c r="F39" s="9"/>
      <c r="G39" s="10">
        <v>0</v>
      </c>
    </row>
    <row r="40" spans="1:12" x14ac:dyDescent="0.35">
      <c r="A40" s="8"/>
      <c r="B40" s="9"/>
      <c r="C40" s="9"/>
      <c r="D40" s="9"/>
      <c r="E40" s="9"/>
      <c r="F40" s="9">
        <f>MIN(F$25,$B$28/(1+C2))</f>
        <v>33.669558411866475</v>
      </c>
      <c r="G40" s="10">
        <v>0</v>
      </c>
    </row>
    <row r="41" spans="1:12" x14ac:dyDescent="0.35">
      <c r="A41" s="8"/>
      <c r="B41" s="9"/>
      <c r="C41" s="9"/>
      <c r="D41" s="9"/>
      <c r="E41" s="9">
        <f>MIN(E$25,(B6*($B$28+F40)+(1-B6)*($B$28+F41))/(1+B3))</f>
        <v>66.367879561852192</v>
      </c>
      <c r="F41" s="9">
        <f>MIN(F$25,$B$28/(1+C3))</f>
        <v>33.669558411866475</v>
      </c>
      <c r="G41" s="10">
        <v>0</v>
      </c>
    </row>
    <row r="42" spans="1:12" ht="15" thickBot="1" x14ac:dyDescent="0.4">
      <c r="A42" s="12"/>
      <c r="B42" s="13"/>
      <c r="C42" s="13"/>
      <c r="D42" s="24">
        <f>MIN(D$25,(A7*($B$28+E41)+(1-A7)*($B$28+E42))/(1+A4))</f>
        <v>100</v>
      </c>
      <c r="E42" s="13">
        <f>MIN(E$25,(B7*($B$28+F41)+(1-B7)*($B$28+F42))/(1+B4))</f>
        <v>67.646963667540206</v>
      </c>
      <c r="F42" s="13">
        <f>MIN(F$25,$B$28/(1+C4))</f>
        <v>34.32333624510661</v>
      </c>
      <c r="G42" s="14">
        <v>0</v>
      </c>
    </row>
    <row r="43" spans="1:12" ht="15" thickTop="1" x14ac:dyDescent="0.35"/>
    <row r="44" spans="1:12" ht="15" thickBot="1" x14ac:dyDescent="0.4"/>
    <row r="45" spans="1:12" ht="15" thickTop="1" x14ac:dyDescent="0.35">
      <c r="A45" s="38" t="s">
        <v>51</v>
      </c>
      <c r="B45" s="6"/>
      <c r="C45" s="6"/>
      <c r="D45" s="6"/>
      <c r="E45" s="6"/>
      <c r="F45" s="6"/>
      <c r="G45" s="6"/>
      <c r="H45" s="6"/>
      <c r="I45" s="6" t="s">
        <v>39</v>
      </c>
      <c r="J45" s="6"/>
      <c r="K45" s="7"/>
    </row>
    <row r="46" spans="1:12" x14ac:dyDescent="0.35">
      <c r="A46" s="36" t="s">
        <v>57</v>
      </c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2" x14ac:dyDescent="0.35">
      <c r="A47" s="8" t="s">
        <v>113</v>
      </c>
      <c r="B47" s="9"/>
      <c r="C47" s="9"/>
      <c r="D47" s="9"/>
      <c r="E47" s="9"/>
      <c r="F47" s="9"/>
      <c r="G47" s="9"/>
      <c r="H47" s="9"/>
      <c r="I47" s="9"/>
      <c r="J47" s="40">
        <f>50*(B28/100)</f>
        <v>17.676518166229901</v>
      </c>
      <c r="K47" s="10" t="s">
        <v>59</v>
      </c>
      <c r="L47" t="s">
        <v>39</v>
      </c>
    </row>
    <row r="48" spans="1:12" x14ac:dyDescent="0.35">
      <c r="A48" s="8" t="s">
        <v>89</v>
      </c>
      <c r="B48" s="9"/>
      <c r="C48" s="9"/>
      <c r="D48" s="9"/>
      <c r="E48" s="9"/>
      <c r="F48" s="9"/>
      <c r="G48" s="40">
        <f>50/(H28/100)</f>
        <v>49.042443641953334</v>
      </c>
      <c r="H48" s="9" t="s">
        <v>90</v>
      </c>
      <c r="I48" s="9"/>
      <c r="J48" s="40"/>
      <c r="K48" s="41">
        <f>G48*H27/100</f>
        <v>17.337992919065883</v>
      </c>
    </row>
    <row r="49" spans="1:11" x14ac:dyDescent="0.35">
      <c r="A49" s="8" t="s">
        <v>58</v>
      </c>
      <c r="B49" s="9"/>
      <c r="C49" s="9"/>
      <c r="D49" s="9"/>
      <c r="E49" s="9"/>
      <c r="F49" s="40">
        <f>50/(D42/100)</f>
        <v>50</v>
      </c>
      <c r="G49" s="9" t="s">
        <v>114</v>
      </c>
      <c r="H49" s="9"/>
      <c r="I49" s="40">
        <f>F49*(B28/100)</f>
        <v>17.676518166229901</v>
      </c>
      <c r="J49" s="9" t="s">
        <v>59</v>
      </c>
      <c r="K49" s="10"/>
    </row>
    <row r="50" spans="1:11" x14ac:dyDescent="0.35">
      <c r="A50" s="8" t="s">
        <v>115</v>
      </c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x14ac:dyDescent="0.35">
      <c r="A51" s="8" t="s">
        <v>60</v>
      </c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x14ac:dyDescent="0.35">
      <c r="A52" s="8" t="s">
        <v>61</v>
      </c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5" thickBot="1" x14ac:dyDescent="0.4">
      <c r="A53" s="12" t="s">
        <v>62</v>
      </c>
      <c r="B53" s="13"/>
      <c r="C53" s="13"/>
      <c r="D53" s="13"/>
      <c r="E53" s="13"/>
      <c r="F53" s="13"/>
      <c r="G53" s="13"/>
      <c r="H53" s="13"/>
      <c r="I53" s="13"/>
      <c r="J53" s="13"/>
      <c r="K53" s="14"/>
    </row>
    <row r="54" spans="1:11" ht="15" thickTop="1" x14ac:dyDescent="0.35">
      <c r="A54" s="1"/>
    </row>
    <row r="59" spans="1:11" x14ac:dyDescent="0.35">
      <c r="A59" s="1"/>
    </row>
    <row r="64" spans="1:11" x14ac:dyDescent="0.35">
      <c r="A64" s="1"/>
    </row>
    <row r="67" spans="1:1" x14ac:dyDescent="0.35">
      <c r="A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activeCell="C12" sqref="C12"/>
    </sheetView>
  </sheetViews>
  <sheetFormatPr defaultRowHeight="14.5" x14ac:dyDescent="0.35"/>
  <cols>
    <col min="1" max="1" width="16.90625" customWidth="1"/>
    <col min="2" max="2" width="22.26953125" customWidth="1"/>
  </cols>
  <sheetData>
    <row r="1" spans="1:9" x14ac:dyDescent="0.35">
      <c r="A1" t="s">
        <v>63</v>
      </c>
      <c r="B1" t="s">
        <v>64</v>
      </c>
      <c r="C1">
        <v>1.25</v>
      </c>
      <c r="E1" t="s">
        <v>65</v>
      </c>
      <c r="G1">
        <v>1.55</v>
      </c>
      <c r="H1" t="s">
        <v>8</v>
      </c>
      <c r="I1">
        <f>G1/F2</f>
        <v>1.0689655172413794</v>
      </c>
    </row>
    <row r="2" spans="1:9" x14ac:dyDescent="0.35">
      <c r="B2" t="s">
        <v>66</v>
      </c>
      <c r="C2">
        <v>4.4000000000000004</v>
      </c>
      <c r="F2">
        <v>1.45</v>
      </c>
      <c r="G2">
        <v>1.3</v>
      </c>
      <c r="H2" t="s">
        <v>9</v>
      </c>
      <c r="I2">
        <f>G2/F2</f>
        <v>0.89655172413793105</v>
      </c>
    </row>
    <row r="3" spans="1:9" x14ac:dyDescent="0.35">
      <c r="B3" t="s">
        <v>67</v>
      </c>
      <c r="C3">
        <f>1/C1+1/C2-1</f>
        <v>2.7272727272727337E-2</v>
      </c>
    </row>
    <row r="4" spans="1:9" ht="15" thickBot="1" x14ac:dyDescent="0.4"/>
    <row r="5" spans="1:9" ht="15" thickTop="1" x14ac:dyDescent="0.35">
      <c r="A5" s="5" t="s">
        <v>68</v>
      </c>
      <c r="B5" s="6"/>
      <c r="C5" s="6"/>
      <c r="D5" s="6"/>
      <c r="E5" s="6"/>
      <c r="F5" s="6"/>
      <c r="G5" s="7"/>
    </row>
    <row r="6" spans="1:9" x14ac:dyDescent="0.35">
      <c r="A6" s="8" t="s">
        <v>69</v>
      </c>
      <c r="B6" s="9"/>
      <c r="C6" s="9"/>
      <c r="D6" s="9"/>
      <c r="E6" s="9"/>
      <c r="F6" s="9"/>
      <c r="G6" s="10"/>
    </row>
    <row r="7" spans="1:9" x14ac:dyDescent="0.35">
      <c r="A7" s="8" t="s">
        <v>70</v>
      </c>
      <c r="B7" s="9"/>
      <c r="C7" s="9"/>
      <c r="D7" s="9"/>
      <c r="E7" s="9"/>
      <c r="F7" s="9"/>
      <c r="G7" s="10"/>
    </row>
    <row r="8" spans="1:9" x14ac:dyDescent="0.35">
      <c r="A8" s="8" t="s">
        <v>71</v>
      </c>
      <c r="B8" s="9"/>
      <c r="C8" s="9"/>
      <c r="D8" s="9"/>
      <c r="E8" s="9"/>
      <c r="F8" s="9"/>
      <c r="G8" s="10"/>
    </row>
    <row r="9" spans="1:9" x14ac:dyDescent="0.35">
      <c r="A9" s="15">
        <v>43274</v>
      </c>
      <c r="B9" s="9" t="s">
        <v>78</v>
      </c>
      <c r="C9" s="9">
        <v>1</v>
      </c>
      <c r="D9" s="9"/>
      <c r="E9" s="9"/>
      <c r="F9" s="9"/>
      <c r="G9" s="10"/>
    </row>
    <row r="10" spans="1:9" x14ac:dyDescent="0.35">
      <c r="A10" s="8"/>
      <c r="B10" s="9" t="s">
        <v>72</v>
      </c>
      <c r="C10" s="9">
        <f>(1-C11)/F2</f>
        <v>0.5329153605015674</v>
      </c>
      <c r="D10" s="9" t="s">
        <v>79</v>
      </c>
      <c r="E10" s="9"/>
      <c r="F10" s="9"/>
      <c r="G10" s="10"/>
    </row>
    <row r="11" spans="1:9" x14ac:dyDescent="0.35">
      <c r="A11" s="8"/>
      <c r="B11" s="9" t="s">
        <v>72</v>
      </c>
      <c r="C11" s="9">
        <f>1/C2</f>
        <v>0.22727272727272727</v>
      </c>
      <c r="D11" s="9" t="s">
        <v>80</v>
      </c>
      <c r="E11" s="9"/>
      <c r="F11" s="9"/>
      <c r="G11" s="10"/>
    </row>
    <row r="12" spans="1:9" x14ac:dyDescent="0.35">
      <c r="A12" s="8"/>
      <c r="B12" s="9" t="s">
        <v>91</v>
      </c>
      <c r="C12" s="9">
        <f>C11+C10*F2</f>
        <v>1</v>
      </c>
      <c r="D12" s="9"/>
      <c r="E12" s="9"/>
      <c r="F12" s="9"/>
      <c r="G12" s="10"/>
    </row>
    <row r="13" spans="1:9" x14ac:dyDescent="0.35">
      <c r="A13" s="8"/>
      <c r="B13" s="9"/>
      <c r="C13" s="9"/>
      <c r="D13" s="9"/>
      <c r="E13" s="9"/>
      <c r="F13" s="9"/>
      <c r="G13" s="10"/>
    </row>
    <row r="14" spans="1:9" x14ac:dyDescent="0.35">
      <c r="A14" s="15">
        <v>43275</v>
      </c>
      <c r="B14" s="9" t="s">
        <v>81</v>
      </c>
      <c r="C14" s="11">
        <f>C10*C1*G1</f>
        <v>1.0325235109717867</v>
      </c>
      <c r="D14" s="9">
        <v>1</v>
      </c>
      <c r="E14" s="9"/>
      <c r="F14" s="9"/>
      <c r="G14" s="10"/>
    </row>
    <row r="15" spans="1:9" x14ac:dyDescent="0.35">
      <c r="A15" s="8"/>
      <c r="B15" s="9" t="s">
        <v>82</v>
      </c>
      <c r="C15" s="11">
        <f>C11*C2</f>
        <v>1</v>
      </c>
      <c r="D15" s="9">
        <v>1</v>
      </c>
      <c r="E15" s="9">
        <f>MAX(C14:C15)</f>
        <v>1.0325235109717867</v>
      </c>
      <c r="F15" s="9" t="s">
        <v>39</v>
      </c>
      <c r="G15" s="10"/>
    </row>
    <row r="16" spans="1:9" x14ac:dyDescent="0.35">
      <c r="A16" s="8" t="s">
        <v>73</v>
      </c>
      <c r="B16" s="9"/>
      <c r="C16" s="9"/>
      <c r="D16" s="9"/>
      <c r="E16" s="9"/>
      <c r="F16" s="9"/>
      <c r="G16" s="10"/>
    </row>
    <row r="17" spans="1:7" x14ac:dyDescent="0.35">
      <c r="A17" s="8" t="s">
        <v>83</v>
      </c>
      <c r="B17" s="9"/>
      <c r="C17" s="9"/>
      <c r="D17" s="9"/>
      <c r="E17" s="9"/>
      <c r="F17" s="9"/>
      <c r="G17" s="10"/>
    </row>
    <row r="18" spans="1:7" x14ac:dyDescent="0.35">
      <c r="A18" s="8" t="s">
        <v>99</v>
      </c>
      <c r="B18" s="9"/>
      <c r="C18" s="9"/>
      <c r="D18" s="9"/>
      <c r="E18" s="9"/>
      <c r="F18" s="9"/>
      <c r="G18" s="10"/>
    </row>
    <row r="19" spans="1:7" x14ac:dyDescent="0.35">
      <c r="A19" s="16" t="s">
        <v>100</v>
      </c>
      <c r="B19" s="9"/>
      <c r="D19" s="9"/>
      <c r="E19" s="9"/>
      <c r="F19" s="9"/>
      <c r="G19" s="10"/>
    </row>
    <row r="20" spans="1:7" x14ac:dyDescent="0.35">
      <c r="A20" s="17" t="s">
        <v>74</v>
      </c>
      <c r="B20" s="18" t="str">
        <f>IF((1-C3*C2)-I2&gt;0,"HOLDER","HOLDER IKKE")</f>
        <v>HOLDER IKKE</v>
      </c>
      <c r="C20" s="19" t="s">
        <v>75</v>
      </c>
      <c r="D20" s="19"/>
      <c r="E20" s="19"/>
      <c r="F20" s="9"/>
      <c r="G20" s="10"/>
    </row>
    <row r="21" spans="1:7" x14ac:dyDescent="0.35">
      <c r="A21" s="17" t="s">
        <v>76</v>
      </c>
      <c r="B21" s="18" t="str">
        <f>IF((1-C3*C1)&gt;1/I1, "HOLDER","HOLDER IKKE")</f>
        <v>HOLDER</v>
      </c>
      <c r="C21" s="19" t="s">
        <v>77</v>
      </c>
      <c r="D21" s="19"/>
      <c r="E21" s="19"/>
      <c r="F21" s="9"/>
      <c r="G21" s="10"/>
    </row>
    <row r="22" spans="1:7" x14ac:dyDescent="0.35">
      <c r="A22" s="8" t="s">
        <v>84</v>
      </c>
      <c r="B22" s="9"/>
      <c r="C22" s="9"/>
      <c r="D22" s="9"/>
      <c r="E22" s="9"/>
      <c r="F22" s="9"/>
      <c r="G22" s="10"/>
    </row>
    <row r="23" spans="1:7" x14ac:dyDescent="0.35">
      <c r="A23" s="8" t="s">
        <v>85</v>
      </c>
      <c r="B23" s="9"/>
      <c r="C23" s="9"/>
      <c r="D23" s="9"/>
      <c r="E23" s="9"/>
      <c r="F23" s="9"/>
      <c r="G23" s="10"/>
    </row>
    <row r="24" spans="1:7" ht="15" thickBot="1" x14ac:dyDescent="0.4">
      <c r="A24" s="12"/>
      <c r="B24" s="13"/>
      <c r="C24" s="13"/>
      <c r="D24" s="13"/>
      <c r="E24" s="13"/>
      <c r="F24" s="13"/>
      <c r="G24" s="14"/>
    </row>
    <row r="25" spans="1:7" ht="15" thickTop="1" x14ac:dyDescent="0.35"/>
  </sheetData>
  <hyperlinks>
    <hyperlink ref="A19" r:id="rId1" display="(sidste sider i slidesene):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2019-09-22T16:33:13Z</dcterms:created>
  <dcterms:modified xsi:type="dcterms:W3CDTF">2022-09-15T11:16:34Z</dcterms:modified>
</cp:coreProperties>
</file>