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0" yWindow="0" windowWidth="19180" windowHeight="8280" activeTab="2"/>
  </bookViews>
  <sheets>
    <sheet name="Opgave 1" sheetId="5" r:id="rId1"/>
    <sheet name="Opgave 2" sheetId="6" r:id="rId2"/>
    <sheet name="Opgave 3" sheetId="3" r:id="rId3"/>
    <sheet name="Opgave 4" sheetId="7" r:id="rId4"/>
  </sheets>
  <definedNames>
    <definedName name="solver_adj" localSheetId="1" hidden="1">'Opgave 2'!$B$29:$B$31</definedName>
    <definedName name="solver_adj" localSheetId="2" hidden="1">'Opgave 3'!$B$19</definedName>
    <definedName name="solver_cvg" localSheetId="1" hidden="1">"""""""""""""""0,0001"""""""""""""""</definedName>
    <definedName name="solver_cvg" localSheetId="2" hidden="1">"""""""""""""""""""""""""""""""""""""""""""""""""""""""""""""""0,0001"""""""""""""""""""""""""""""""""""""""""""""""""""""""""""""""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'Opgave 2'!$E$29:$E$33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"""""""""""""""0,075"""""""""""""""</definedName>
    <definedName name="solver_mrt" localSheetId="2" hidden="1">"""""""""""""""""""""""""""""""""""""""""""""""""""""""""""""""0,075"""""""""""""""""""""""""""""""""""""""""""""""""""""""""""""""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'Opgave 2'!$B$33</definedName>
    <definedName name="solver_opt" localSheetId="2" hidden="1">'Opgave 3'!$J$15</definedName>
    <definedName name="solver_pre" localSheetId="1" hidden="1">"""""""""""""""0,000001"""""""""""""""</definedName>
    <definedName name="solver_pre" localSheetId="2" hidden="1">"""""""""""""""""""""""""""""""""""""""""""""""""""""""""""""""0,000001"""""""""""""""""""""""""""""""""""""""""""""""""""""""""""""""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hs1" localSheetId="1" hidden="1">'Opgave 2'!$G$29:$G$33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1</definedName>
    <definedName name="solver_tol" localSheetId="2" hidden="1">1</definedName>
    <definedName name="solver_typ" localSheetId="1" hidden="1">1</definedName>
    <definedName name="solver_typ" localSheetId="2" hidden="1">3</definedName>
    <definedName name="solver_val" localSheetId="1" hidden="1">0</definedName>
    <definedName name="solver_val" localSheetId="2" hidden="1">100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" l="1"/>
  <c r="G11" i="3"/>
  <c r="C39" i="5"/>
  <c r="D38" i="5"/>
  <c r="F12" i="6" l="1"/>
  <c r="C13" i="6"/>
  <c r="B13" i="6"/>
  <c r="I17" i="6"/>
  <c r="I9" i="6" a="1"/>
  <c r="I9" i="6" s="1"/>
  <c r="I11" i="6" a="1"/>
  <c r="I11" i="6" s="1"/>
  <c r="C17" i="6" l="1"/>
  <c r="B17" i="6"/>
  <c r="I8" i="6" a="1"/>
  <c r="I8" i="6" s="1"/>
  <c r="B8" i="5"/>
  <c r="C7" i="5"/>
  <c r="D6" i="5"/>
  <c r="D17" i="6" l="1"/>
  <c r="F17" i="6"/>
  <c r="E17" i="6"/>
  <c r="G29" i="6" a="1"/>
  <c r="G29" i="6" s="1"/>
  <c r="E29" i="6" a="1"/>
  <c r="E29" i="6" s="1"/>
  <c r="B33" i="6" a="1"/>
  <c r="B33" i="6" s="1"/>
  <c r="B25" i="6" a="1"/>
  <c r="B25" i="6" s="1"/>
  <c r="G21" i="6" a="1"/>
  <c r="G21" i="6" s="1"/>
  <c r="E21" i="6" a="1"/>
  <c r="E21" i="6" s="1"/>
  <c r="F13" i="6"/>
  <c r="E13" i="6"/>
  <c r="D13" i="6"/>
  <c r="I13" i="6" a="1"/>
  <c r="I13" i="6" s="1"/>
  <c r="I12" i="6" a="1"/>
  <c r="I12" i="6" s="1"/>
  <c r="B12" i="6"/>
  <c r="E12" i="6"/>
  <c r="D12" i="6"/>
  <c r="C12" i="6"/>
  <c r="F11" i="6"/>
  <c r="E11" i="6"/>
  <c r="D11" i="6"/>
  <c r="C11" i="6"/>
  <c r="B11" i="6"/>
  <c r="F9" i="6"/>
  <c r="E9" i="6"/>
  <c r="D9" i="6"/>
  <c r="C9" i="6"/>
  <c r="B9" i="6"/>
  <c r="F8" i="6"/>
  <c r="E8" i="6"/>
  <c r="D8" i="6"/>
  <c r="C8" i="6"/>
  <c r="B8" i="6"/>
  <c r="G47" i="5" a="1"/>
  <c r="G47" i="5" s="1"/>
  <c r="D48" i="5"/>
  <c r="D47" i="5"/>
  <c r="B48" i="5"/>
  <c r="B47" i="5"/>
  <c r="A48" i="5"/>
  <c r="A47" i="5"/>
  <c r="A41" i="5"/>
  <c r="B41" i="5"/>
  <c r="B40" i="5"/>
  <c r="C41" i="5"/>
  <c r="C40" i="5"/>
  <c r="D41" i="5"/>
  <c r="D40" i="5"/>
  <c r="D39" i="5"/>
  <c r="D36" i="5"/>
  <c r="C35" i="5"/>
  <c r="E14" i="5"/>
  <c r="F17" i="5" s="1"/>
  <c r="B32" i="5"/>
  <c r="B31" i="5"/>
  <c r="B29" i="5"/>
  <c r="B28" i="5"/>
  <c r="A31" i="5"/>
  <c r="A29" i="5"/>
  <c r="D24" i="5"/>
  <c r="F18" i="5"/>
  <c r="C14" i="5"/>
  <c r="G4" i="5"/>
  <c r="B9" i="5"/>
  <c r="C9" i="5" s="1"/>
  <c r="D9" i="5" s="1"/>
  <c r="C8" i="5"/>
  <c r="D8" i="5" s="1"/>
  <c r="I14" i="6" l="1"/>
  <c r="E32" i="6"/>
  <c r="E31" i="6"/>
  <c r="E30" i="6"/>
  <c r="E33" i="6"/>
  <c r="G32" i="6"/>
  <c r="G31" i="6"/>
  <c r="G33" i="6"/>
  <c r="G30" i="6"/>
  <c r="G25" i="6"/>
  <c r="G24" i="6"/>
  <c r="G23" i="6"/>
  <c r="G22" i="6"/>
  <c r="E24" i="6"/>
  <c r="E23" i="6"/>
  <c r="E22" i="6"/>
  <c r="E25" i="6"/>
  <c r="G48" i="5"/>
  <c r="D18" i="3"/>
  <c r="D7" i="5" l="1"/>
  <c r="G21" i="3"/>
  <c r="E21" i="3" l="1"/>
  <c r="F21" i="3"/>
  <c r="J15" i="3" l="1"/>
  <c r="E18" i="3"/>
  <c r="F18" i="3" s="1"/>
  <c r="C28" i="3" l="1"/>
  <c r="C30" i="3"/>
  <c r="H30" i="3" s="1"/>
  <c r="G18" i="3"/>
  <c r="D12" i="3"/>
  <c r="H12" i="3"/>
  <c r="H11" i="3"/>
  <c r="C29" i="3"/>
  <c r="B29" i="3" s="1"/>
  <c r="H10" i="3"/>
  <c r="D11" i="3"/>
  <c r="A12" i="3"/>
  <c r="G12" i="3" l="1"/>
  <c r="B30" i="3"/>
  <c r="G30" i="3" s="1"/>
  <c r="H29" i="3"/>
  <c r="G29" i="3"/>
  <c r="H28" i="3"/>
  <c r="C12" i="3"/>
  <c r="F12" i="3" l="1"/>
  <c r="A30" i="3"/>
  <c r="F30" i="3" l="1"/>
</calcChain>
</file>

<file path=xl/sharedStrings.xml><?xml version="1.0" encoding="utf-8"?>
<sst xmlns="http://schemas.openxmlformats.org/spreadsheetml/2006/main" count="125" uniqueCount="108">
  <si>
    <t>x</t>
  </si>
  <si>
    <t>pi</t>
  </si>
  <si>
    <t>D</t>
  </si>
  <si>
    <t xml:space="preserve"> </t>
  </si>
  <si>
    <t>1a</t>
  </si>
  <si>
    <t>1b</t>
  </si>
  <si>
    <t>1c</t>
  </si>
  <si>
    <t>1d</t>
  </si>
  <si>
    <t>1-&gt;2</t>
  </si>
  <si>
    <t>H, initial principal</t>
  </si>
  <si>
    <t>Coupon rate, R</t>
  </si>
  <si>
    <t>H(0)</t>
  </si>
  <si>
    <t>H(1)</t>
  </si>
  <si>
    <t xml:space="preserve">H(2) </t>
  </si>
  <si>
    <t>H(3)</t>
  </si>
  <si>
    <t>Maturity, \tau</t>
  </si>
  <si>
    <t>Rentegitteret</t>
  </si>
  <si>
    <t>Niveuer (rho(t))</t>
  </si>
  <si>
    <t>Betingede Q-ssh.</t>
  </si>
  <si>
    <t>0-&gt;1</t>
  </si>
  <si>
    <t>2a</t>
  </si>
  <si>
    <t>P(.,1)</t>
  </si>
  <si>
    <t>P(.2)</t>
  </si>
  <si>
    <t>P(.3)</t>
  </si>
  <si>
    <t>2b</t>
  </si>
  <si>
    <t>Restgæld</t>
  </si>
  <si>
    <t>Ydelse</t>
  </si>
  <si>
    <t>y(1)</t>
  </si>
  <si>
    <t>y(2)</t>
  </si>
  <si>
    <t>y(3)</t>
  </si>
  <si>
    <t>Kurs</t>
  </si>
  <si>
    <t>Tid (t) = 0</t>
  </si>
  <si>
    <t>Optimal  indfrielsesstrategi (call~konverter)</t>
  </si>
  <si>
    <t>Pris på konverterbar obl. (jf. afsnit 8.3)</t>
  </si>
  <si>
    <t>p</t>
  </si>
  <si>
    <t>Tid 2</t>
  </si>
  <si>
    <t>Modellen er inkomplet; i tid 1-op-knuden er 3 fremtidige tilstande og kun to aktiver (i live).</t>
  </si>
  <si>
    <t>Amortiseringsplan for det stående lån (mellemmregninger)</t>
  </si>
  <si>
    <t>Par-rente</t>
  </si>
  <si>
    <t>Vi regner baglæns som i afsnit 8.1</t>
  </si>
  <si>
    <t>sigma</t>
  </si>
  <si>
    <t>Vi har 100 *exp (3*sigma) = 211.70, dvs. sigma = LN(2.1170)/3 =</t>
  </si>
  <si>
    <t>Hele gittert ser sådan ud:</t>
  </si>
  <si>
    <t xml:space="preserve">Vi har </t>
  </si>
  <si>
    <t>u=</t>
  </si>
  <si>
    <t>d=</t>
  </si>
  <si>
    <t>Når sigma &gt; 0 er modellen komplet.</t>
  </si>
  <si>
    <t>BÅDE</t>
  </si>
  <si>
    <t>OG</t>
  </si>
  <si>
    <t>Den er arbiragefri hvis q= (1+r - d)/(u -d) ligger i )0, 1(</t>
  </si>
  <si>
    <t>Dvs.hvis</t>
  </si>
  <si>
    <t>1+r &gt; d</t>
  </si>
  <si>
    <t>dvs</t>
  </si>
  <si>
    <t>r &gt;</t>
  </si>
  <si>
    <t>r&lt;</t>
  </si>
  <si>
    <t>u&gt; 1+r</t>
  </si>
  <si>
    <t>Såer skal omtrent ligge mellen -sigma og sigma -- hvilket med typiske sigma'er på 0.15 og opad er såre realistisk</t>
  </si>
  <si>
    <t>Da renten er deterministisk er Fut (0;3) = Fwd(0;3)</t>
  </si>
  <si>
    <t>De der ikke er dividender er Fwd (0;3) = S(0)*(1+r)^3 =</t>
  </si>
  <si>
    <t>På tid t betaler futures-kontrakten Fut(t;T) - Fut (t-1; T) (som er stiafhængigt).</t>
  </si>
  <si>
    <t>Det ser sådan her ud</t>
  </si>
  <si>
    <t>Tid 1</t>
  </si>
  <si>
    <t xml:space="preserve">Vi har at </t>
  </si>
  <si>
    <t>q=</t>
  </si>
  <si>
    <t>r=</t>
  </si>
  <si>
    <t>Vi trævler baglæns foren call med K=</t>
  </si>
  <si>
    <t>a</t>
  </si>
  <si>
    <t>b</t>
  </si>
  <si>
    <t>&lt;=&gt;</t>
  </si>
  <si>
    <t>a=</t>
  </si>
  <si>
    <t>b=</t>
  </si>
  <si>
    <t>Afkastrater</t>
  </si>
  <si>
    <t>middelværdi</t>
  </si>
  <si>
    <t>(Afkastrater - middelværdi)^2</t>
  </si>
  <si>
    <t>spredning</t>
  </si>
  <si>
    <t>Proddukt</t>
  </si>
  <si>
    <t>kovarians</t>
  </si>
  <si>
    <t>korrelation</t>
  </si>
  <si>
    <t>(Fælden er: Tilstande er ikke lige sandsynlige, så brug def., ikke Excels AVERAGE,STDEV funktioner)</t>
  </si>
  <si>
    <t>K=</t>
  </si>
  <si>
    <t>Payoff-vektor,x</t>
  </si>
  <si>
    <t>theta</t>
  </si>
  <si>
    <t>D^T theta</t>
  </si>
  <si>
    <t>Pris</t>
  </si>
  <si>
    <t xml:space="preserve"> Gør det med solver</t>
  </si>
  <si>
    <t>Nedre grænse_ Løs max theta*pi ubb D^T theta &lt;= x</t>
  </si>
  <si>
    <t>Øvre grænse:  Løs min theta*pi ubb D^T theta &gt;= x</t>
  </si>
  <si>
    <t>jf.afsnit 2.7.2</t>
  </si>
  <si>
    <t>Vi bruger Solver</t>
  </si>
  <si>
    <t>4a</t>
  </si>
  <si>
    <t>1. del:</t>
  </si>
  <si>
    <t xml:space="preserve">Med ovenstående definition kan vi også taleom at replikere betaingerne for et aktiv, der har betalinger </t>
  </si>
  <si>
    <t>X spiller rollen som betalingerne (cash-flows) for et eller andet aktiv.</t>
  </si>
  <si>
    <t>undervejs, fx en obligation. Kræver vi selvfinansiering (dvs. 0 cash-flows undervjes fra vores strategi),</t>
  </si>
  <si>
    <t>så ville dette ikke kunne lade sig gøre. Bæmerk også, at hvis vi fx ser på en call-option,</t>
  </si>
  <si>
    <t>så har den kun betaling til sidst (dens payoff; (S(T)-K)^+), ikke noget undervejs (med undervejs har den jo</t>
  </si>
  <si>
    <t>en *pris* vi kan sælge den for), for til replikation af en call-option vil dette give os en selvfinansierinede stragegi.</t>
  </si>
  <si>
    <t>2- del</t>
  </si>
  <si>
    <t>Hvis vi tog t=0 med i cash-flow-matchningen, så ville vi også kræve, at vi ville kunne replikere arbitrage-strategier!</t>
  </si>
  <si>
    <t>Sagt anderledes: Vi kan replikere fx en call-options payoff, men vi kan ikke selv bestemme, hvad det skal koste at gøre</t>
  </si>
  <si>
    <t>det (= - \delta^-0^\theta).</t>
  </si>
  <si>
    <t>(Forklaring i detaljer ved 3. forelæsningstime onsdag 7/10.)</t>
  </si>
  <si>
    <t>(Varier celle B19)</t>
  </si>
  <si>
    <t>Tid-kursen er =100 for kuponrente &gt;=  2.405% (under for 2.404%)</t>
  </si>
  <si>
    <t>Da optionerne er forward-at-the-money,så ercall-pris = put-pris. (Corr. 3 fra afsnit 6.2)</t>
  </si>
  <si>
    <t>Replikation med a futures, b i banken (på tid 0; resten dynamisk ligesådan)</t>
  </si>
  <si>
    <t>3d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</si>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</sst>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9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5" xfId="0" applyFont="1" applyBorder="1" applyAlignment="1">
      <alignment horizontal="center"/>
    </xf>
    <xf numFmtId="0" fontId="1" fillId="0" borderId="13" xfId="0" applyFont="1" applyBorder="1"/>
    <xf numFmtId="2" fontId="0" fillId="3" borderId="0" xfId="0" applyNumberFormat="1" applyFill="1" applyBorder="1" applyAlignment="1">
      <alignment horizontal="center"/>
    </xf>
    <xf numFmtId="10" fontId="0" fillId="0" borderId="0" xfId="0" applyNumberForma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/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12" xfId="0" applyNumberFormat="1" applyBorder="1"/>
    <xf numFmtId="164" fontId="2" fillId="0" borderId="15" xfId="0" applyNumberFormat="1" applyFont="1" applyFill="1" applyBorder="1" applyAlignment="1">
      <alignment horizontal="center"/>
    </xf>
    <xf numFmtId="164" fontId="0" fillId="0" borderId="16" xfId="0" applyNumberFormat="1" applyBorder="1"/>
    <xf numFmtId="2" fontId="0" fillId="0" borderId="0" xfId="0" applyNumberFormat="1" applyFill="1" applyBorder="1"/>
    <xf numFmtId="164" fontId="0" fillId="5" borderId="0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6" borderId="12" xfId="0" applyFill="1" applyBorder="1"/>
    <xf numFmtId="2" fontId="0" fillId="0" borderId="0" xfId="0" applyNumberFormat="1" applyBorder="1"/>
    <xf numFmtId="0" fontId="0" fillId="5" borderId="0" xfId="0" applyFill="1" applyBorder="1"/>
    <xf numFmtId="164" fontId="2" fillId="5" borderId="0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0" fillId="0" borderId="15" xfId="0" applyNumberFormat="1" applyFill="1" applyBorder="1"/>
    <xf numFmtId="164" fontId="2" fillId="0" borderId="14" xfId="0" applyNumberFormat="1" applyFont="1" applyFill="1" applyBorder="1" applyAlignment="1">
      <alignment horizontal="left"/>
    </xf>
    <xf numFmtId="0" fontId="4" fillId="5" borderId="0" xfId="0" applyFont="1" applyFill="1" applyBorder="1"/>
    <xf numFmtId="0" fontId="5" fillId="5" borderId="0" xfId="0" applyFont="1" applyFill="1" applyBorder="1"/>
    <xf numFmtId="164" fontId="3" fillId="0" borderId="0" xfId="0" applyNumberFormat="1" applyFont="1" applyFill="1" applyBorder="1"/>
    <xf numFmtId="0" fontId="0" fillId="0" borderId="12" xfId="0" applyFill="1" applyBorder="1"/>
    <xf numFmtId="2" fontId="0" fillId="0" borderId="10" xfId="0" applyNumberFormat="1" applyFont="1" applyFill="1" applyBorder="1"/>
    <xf numFmtId="10" fontId="3" fillId="5" borderId="0" xfId="0" applyNumberFormat="1" applyFont="1" applyFill="1" applyBorder="1"/>
    <xf numFmtId="0" fontId="2" fillId="0" borderId="10" xfId="0" applyFont="1" applyFill="1" applyBorder="1" applyAlignment="1">
      <alignment horizontal="left"/>
    </xf>
    <xf numFmtId="2" fontId="4" fillId="0" borderId="0" xfId="0" applyNumberFormat="1" applyFont="1" applyFill="1" applyBorder="1"/>
    <xf numFmtId="2" fontId="0" fillId="0" borderId="13" xfId="0" applyNumberFormat="1" applyFill="1" applyBorder="1"/>
    <xf numFmtId="0" fontId="0" fillId="0" borderId="14" xfId="0" applyFill="1" applyBorder="1"/>
    <xf numFmtId="0" fontId="0" fillId="0" borderId="15" xfId="0" applyFill="1" applyBorder="1"/>
    <xf numFmtId="0" fontId="0" fillId="5" borderId="12" xfId="0" applyFill="1" applyBorder="1"/>
    <xf numFmtId="0" fontId="0" fillId="2" borderId="9" xfId="0" applyFill="1" applyBorder="1"/>
    <xf numFmtId="2" fontId="0" fillId="0" borderId="10" xfId="0" applyNumberFormat="1" applyFill="1" applyBorder="1"/>
    <xf numFmtId="2" fontId="0" fillId="2" borderId="9" xfId="0" applyNumberFormat="1" applyFill="1" applyBorder="1"/>
    <xf numFmtId="0" fontId="3" fillId="5" borderId="0" xfId="0" applyFont="1" applyFill="1" applyBorder="1"/>
    <xf numFmtId="0" fontId="0" fillId="5" borderId="13" xfId="0" applyFill="1" applyBorder="1"/>
    <xf numFmtId="0" fontId="3" fillId="5" borderId="13" xfId="0" applyFont="1" applyFill="1" applyBorder="1"/>
    <xf numFmtId="0" fontId="3" fillId="5" borderId="15" xfId="0" applyFont="1" applyFill="1" applyBorder="1"/>
    <xf numFmtId="0" fontId="6" fillId="5" borderId="0" xfId="0" applyFont="1" applyFill="1" applyBorder="1"/>
    <xf numFmtId="0" fontId="6" fillId="5" borderId="12" xfId="0" applyFont="1" applyFill="1" applyBorder="1"/>
    <xf numFmtId="0" fontId="6" fillId="5" borderId="15" xfId="0" applyFont="1" applyFill="1" applyBorder="1"/>
    <xf numFmtId="0" fontId="6" fillId="5" borderId="16" xfId="0" applyFont="1" applyFill="1" applyBorder="1"/>
    <xf numFmtId="0" fontId="6" fillId="5" borderId="13" xfId="0" applyFont="1" applyFill="1" applyBorder="1"/>
    <xf numFmtId="0" fontId="0" fillId="0" borderId="0" xfId="0" applyAlignment="1">
      <alignment horizontal="right"/>
    </xf>
    <xf numFmtId="0" fontId="0" fillId="2" borderId="1" xfId="0" applyFill="1" applyBorder="1"/>
    <xf numFmtId="0" fontId="3" fillId="5" borderId="7" xfId="0" applyFont="1" applyFill="1" applyBorder="1"/>
    <xf numFmtId="0" fontId="0" fillId="0" borderId="2" xfId="0" applyBorder="1" applyAlignment="1">
      <alignment horizontal="right"/>
    </xf>
    <xf numFmtId="0" fontId="3" fillId="5" borderId="4" xfId="0" applyFont="1" applyFill="1" applyBorder="1"/>
    <xf numFmtId="0" fontId="3" fillId="5" borderId="6" xfId="0" applyFont="1" applyFill="1" applyBorder="1"/>
    <xf numFmtId="0" fontId="0" fillId="0" borderId="4" xfId="0" applyBorder="1" applyAlignment="1">
      <alignment horizontal="left"/>
    </xf>
    <xf numFmtId="164" fontId="0" fillId="0" borderId="13" xfId="0" applyNumberFormat="1" applyBorder="1"/>
    <xf numFmtId="164" fontId="2" fillId="5" borderId="13" xfId="0" applyNumberFormat="1" applyFont="1" applyFill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1</xdr:row>
      <xdr:rowOff>129976</xdr:rowOff>
    </xdr:from>
    <xdr:to>
      <xdr:col>11</xdr:col>
      <xdr:colOff>24701</xdr:colOff>
      <xdr:row>8</xdr:row>
      <xdr:rowOff>107950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314126"/>
          <a:ext cx="6571551" cy="1267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35" workbookViewId="0">
      <selection activeCell="A46" sqref="A46"/>
    </sheetView>
  </sheetViews>
  <sheetFormatPr defaultRowHeight="14.5" x14ac:dyDescent="0.35"/>
  <cols>
    <col min="3" max="3" width="30.08984375" customWidth="1"/>
    <col min="5" max="5" width="7" customWidth="1"/>
    <col min="6" max="6" width="7.08984375" customWidth="1"/>
  </cols>
  <sheetData>
    <row r="1" spans="1:9" x14ac:dyDescent="0.35">
      <c r="A1" t="s">
        <v>40</v>
      </c>
      <c r="B1">
        <v>0.25</v>
      </c>
    </row>
    <row r="2" spans="1:9" ht="15" thickBot="1" x14ac:dyDescent="0.4"/>
    <row r="3" spans="1:9" ht="15" thickTop="1" x14ac:dyDescent="0.35">
      <c r="A3" s="61" t="s">
        <v>4</v>
      </c>
      <c r="B3" s="9"/>
      <c r="C3" s="9"/>
      <c r="D3" s="9"/>
      <c r="E3" s="9"/>
      <c r="F3" s="9"/>
      <c r="G3" s="10"/>
    </row>
    <row r="4" spans="1:9" x14ac:dyDescent="0.35">
      <c r="A4" s="12" t="s">
        <v>41</v>
      </c>
      <c r="B4" s="4"/>
      <c r="C4" s="4"/>
      <c r="D4" s="4"/>
      <c r="E4" s="4"/>
      <c r="F4" s="4"/>
      <c r="G4" s="60">
        <f>LN(D6/A9)/3</f>
        <v>0.24999999999999997</v>
      </c>
    </row>
    <row r="5" spans="1:9" x14ac:dyDescent="0.35">
      <c r="A5" s="12" t="s">
        <v>42</v>
      </c>
      <c r="B5" s="4"/>
      <c r="C5" s="4"/>
      <c r="D5" s="4"/>
      <c r="E5" s="4"/>
      <c r="F5" s="4"/>
      <c r="G5" s="11"/>
    </row>
    <row r="6" spans="1:9" x14ac:dyDescent="0.35">
      <c r="A6" s="57"/>
      <c r="B6" s="36"/>
      <c r="C6" s="36"/>
      <c r="D6" s="36">
        <f>C7*EXP($B$1)</f>
        <v>211.70000166126744</v>
      </c>
      <c r="E6" s="4"/>
      <c r="F6" s="4"/>
      <c r="G6" s="11"/>
    </row>
    <row r="7" spans="1:9" x14ac:dyDescent="0.35">
      <c r="A7" s="57"/>
      <c r="B7" s="56"/>
      <c r="C7" s="56">
        <f>B8*EXP($B$1)</f>
        <v>164.87212707001279</v>
      </c>
      <c r="D7" s="56">
        <f>C7*EXP(-$B$1)</f>
        <v>128.40254166877415</v>
      </c>
      <c r="E7" s="4"/>
      <c r="F7" s="4"/>
      <c r="G7" s="11"/>
    </row>
    <row r="8" spans="1:9" x14ac:dyDescent="0.35">
      <c r="A8" s="57"/>
      <c r="B8" s="56">
        <f>A9*EXP($B$1)</f>
        <v>128.40254166877415</v>
      </c>
      <c r="C8" s="56">
        <f t="shared" ref="C8:D9" si="0">B8*EXP(-$B$1)</f>
        <v>100</v>
      </c>
      <c r="D8" s="56">
        <f t="shared" si="0"/>
        <v>77.880078307140494</v>
      </c>
      <c r="E8" s="4"/>
      <c r="F8" s="4"/>
      <c r="G8" s="11"/>
    </row>
    <row r="9" spans="1:9" x14ac:dyDescent="0.35">
      <c r="A9" s="57">
        <v>100</v>
      </c>
      <c r="B9" s="56">
        <f>A9*EXP(-$B$1)</f>
        <v>77.880078307140494</v>
      </c>
      <c r="C9" s="56">
        <f t="shared" si="0"/>
        <v>60.653065971263345</v>
      </c>
      <c r="D9" s="56">
        <f t="shared" si="0"/>
        <v>47.236655274101473</v>
      </c>
      <c r="E9" s="4"/>
      <c r="F9" s="4"/>
      <c r="G9" s="11"/>
    </row>
    <row r="10" spans="1:9" x14ac:dyDescent="0.35">
      <c r="A10" s="57"/>
      <c r="B10" s="36"/>
      <c r="C10" s="36"/>
      <c r="D10" s="36"/>
      <c r="E10" s="4"/>
      <c r="F10" s="4"/>
      <c r="G10" s="11"/>
    </row>
    <row r="11" spans="1:9" ht="15" thickBot="1" x14ac:dyDescent="0.4">
      <c r="A11" s="58">
        <v>0</v>
      </c>
      <c r="B11" s="59">
        <v>1</v>
      </c>
      <c r="C11" s="59">
        <v>2</v>
      </c>
      <c r="D11" s="59">
        <v>3</v>
      </c>
      <c r="E11" s="14"/>
      <c r="F11" s="14"/>
      <c r="G11" s="15"/>
    </row>
    <row r="12" spans="1:9" ht="15.5" thickTop="1" thickBot="1" x14ac:dyDescent="0.4">
      <c r="A12" s="36"/>
      <c r="B12" s="36"/>
      <c r="C12" s="36"/>
      <c r="D12" s="36"/>
    </row>
    <row r="13" spans="1:9" ht="15" thickTop="1" x14ac:dyDescent="0.35">
      <c r="A13" s="63" t="s">
        <v>5</v>
      </c>
      <c r="B13" s="62"/>
      <c r="C13" s="62"/>
      <c r="D13" s="62"/>
      <c r="E13" s="9"/>
      <c r="F13" s="9"/>
      <c r="G13" s="9"/>
      <c r="H13" s="9"/>
      <c r="I13" s="10"/>
    </row>
    <row r="14" spans="1:9" x14ac:dyDescent="0.35">
      <c r="A14" s="12" t="s">
        <v>43</v>
      </c>
      <c r="B14" s="4" t="s">
        <v>44</v>
      </c>
      <c r="C14" s="4">
        <f>EXP(G4)</f>
        <v>1.2840254166877414</v>
      </c>
      <c r="D14" s="4" t="s">
        <v>45</v>
      </c>
      <c r="E14" s="4">
        <f>EXP(-G4)</f>
        <v>0.77880078307140488</v>
      </c>
      <c r="F14" s="4"/>
      <c r="G14" s="4"/>
      <c r="H14" s="4"/>
      <c r="I14" s="11"/>
    </row>
    <row r="15" spans="1:9" x14ac:dyDescent="0.35">
      <c r="A15" s="12" t="s">
        <v>46</v>
      </c>
      <c r="B15" s="4"/>
      <c r="C15" s="4"/>
      <c r="D15" s="4"/>
      <c r="E15" s="4"/>
      <c r="F15" s="4"/>
      <c r="G15" s="4"/>
      <c r="H15" s="4"/>
      <c r="I15" s="11"/>
    </row>
    <row r="16" spans="1:9" x14ac:dyDescent="0.35">
      <c r="A16" s="12" t="s">
        <v>49</v>
      </c>
      <c r="B16" s="4"/>
      <c r="C16" s="4"/>
      <c r="D16" s="4" t="s">
        <v>3</v>
      </c>
      <c r="E16" s="4"/>
      <c r="F16" s="4"/>
      <c r="G16" s="4"/>
      <c r="H16" s="4"/>
      <c r="I16" s="11"/>
    </row>
    <row r="17" spans="1:9" x14ac:dyDescent="0.35">
      <c r="A17" s="12" t="s">
        <v>50</v>
      </c>
      <c r="B17" s="44" t="s">
        <v>47</v>
      </c>
      <c r="C17" s="44" t="s">
        <v>51</v>
      </c>
      <c r="D17" s="44" t="s">
        <v>52</v>
      </c>
      <c r="E17" s="44" t="s">
        <v>53</v>
      </c>
      <c r="F17" s="44">
        <f>E14-1</f>
        <v>-0.22119921692859512</v>
      </c>
      <c r="G17" s="4" t="s">
        <v>3</v>
      </c>
      <c r="H17" s="4"/>
      <c r="I17" s="11"/>
    </row>
    <row r="18" spans="1:9" x14ac:dyDescent="0.35">
      <c r="A18" s="12"/>
      <c r="B18" s="44" t="s">
        <v>48</v>
      </c>
      <c r="C18" s="44" t="s">
        <v>55</v>
      </c>
      <c r="D18" s="44" t="s">
        <v>52</v>
      </c>
      <c r="E18" s="44" t="s">
        <v>54</v>
      </c>
      <c r="F18" s="44">
        <f>C14-1</f>
        <v>0.28402541668774139</v>
      </c>
      <c r="G18" s="4"/>
      <c r="H18" s="4"/>
      <c r="I18" s="11"/>
    </row>
    <row r="19" spans="1:9" x14ac:dyDescent="0.35">
      <c r="A19" s="12"/>
      <c r="B19" s="4"/>
      <c r="C19" s="4"/>
      <c r="D19" s="4"/>
      <c r="E19" s="4"/>
      <c r="F19" s="4"/>
      <c r="G19" s="4"/>
      <c r="H19" s="4"/>
      <c r="I19" s="11"/>
    </row>
    <row r="20" spans="1:9" ht="15" thickBot="1" x14ac:dyDescent="0.4">
      <c r="A20" s="13" t="s">
        <v>56</v>
      </c>
      <c r="B20" s="14"/>
      <c r="C20" s="14"/>
      <c r="D20" s="14"/>
      <c r="E20" s="14"/>
      <c r="F20" s="14"/>
      <c r="G20" s="14"/>
      <c r="H20" s="14"/>
      <c r="I20" s="15"/>
    </row>
    <row r="21" spans="1:9" ht="15.5" thickTop="1" thickBot="1" x14ac:dyDescent="0.4"/>
    <row r="22" spans="1:9" ht="15" thickTop="1" x14ac:dyDescent="0.35">
      <c r="A22" s="61" t="s">
        <v>6</v>
      </c>
      <c r="B22" s="9"/>
      <c r="C22" s="9"/>
      <c r="D22" s="9"/>
      <c r="E22" s="9"/>
      <c r="F22" s="10"/>
    </row>
    <row r="23" spans="1:9" x14ac:dyDescent="0.35">
      <c r="A23" s="12" t="s">
        <v>57</v>
      </c>
      <c r="B23" s="4"/>
      <c r="C23" s="4"/>
      <c r="D23" s="4"/>
      <c r="E23" s="4"/>
      <c r="F23" s="11"/>
    </row>
    <row r="24" spans="1:9" x14ac:dyDescent="0.35">
      <c r="A24" s="12" t="s">
        <v>58</v>
      </c>
      <c r="B24" s="4"/>
      <c r="C24" s="4"/>
      <c r="D24" s="64">
        <f>A9*(1.02)^3</f>
        <v>106.12079999999999</v>
      </c>
      <c r="E24" s="4"/>
      <c r="F24" s="11"/>
    </row>
    <row r="25" spans="1:9" x14ac:dyDescent="0.35">
      <c r="A25" s="12" t="s">
        <v>59</v>
      </c>
      <c r="B25" s="4"/>
      <c r="C25" s="4"/>
      <c r="D25" s="4"/>
      <c r="E25" s="4"/>
      <c r="F25" s="11"/>
    </row>
    <row r="26" spans="1:9" x14ac:dyDescent="0.35">
      <c r="A26" s="12" t="s">
        <v>60</v>
      </c>
      <c r="B26" s="4"/>
      <c r="C26" s="4"/>
      <c r="D26" s="4"/>
      <c r="E26" s="4"/>
      <c r="F26" s="11"/>
    </row>
    <row r="27" spans="1:9" x14ac:dyDescent="0.35">
      <c r="A27" s="12" t="s">
        <v>61</v>
      </c>
      <c r="B27" s="4" t="s">
        <v>35</v>
      </c>
      <c r="C27" s="4"/>
      <c r="D27" s="4"/>
      <c r="E27" s="4"/>
      <c r="F27" s="11"/>
    </row>
    <row r="28" spans="1:9" x14ac:dyDescent="0.35">
      <c r="A28" s="12"/>
      <c r="B28" s="64">
        <f>C7*(1.02)-B8*(1.02)^2</f>
        <v>34.579565259220431</v>
      </c>
      <c r="C28" s="4"/>
      <c r="D28" s="4"/>
      <c r="E28" s="4"/>
      <c r="F28" s="11"/>
    </row>
    <row r="29" spans="1:9" x14ac:dyDescent="0.35">
      <c r="A29" s="66">
        <f>B8*(1.02)^2-D24</f>
        <v>27.469204352192648</v>
      </c>
      <c r="B29" s="64">
        <f>C8*1.02-B8*1.02^2</f>
        <v>-31.590004352192636</v>
      </c>
      <c r="C29" s="4"/>
      <c r="D29" s="4"/>
      <c r="E29" s="4"/>
      <c r="F29" s="11"/>
    </row>
    <row r="30" spans="1:9" x14ac:dyDescent="0.35">
      <c r="A30" s="12"/>
      <c r="B30" s="4"/>
      <c r="C30" s="4"/>
      <c r="D30" s="4"/>
      <c r="E30" s="4"/>
      <c r="F30" s="11"/>
    </row>
    <row r="31" spans="1:9" x14ac:dyDescent="0.35">
      <c r="A31" s="66">
        <f>B9*(1.02)^2-D24</f>
        <v>-25.094366529251019</v>
      </c>
      <c r="B31" s="64">
        <f>C8*1.02-B9*1.02^2</f>
        <v>20.97356652925103</v>
      </c>
      <c r="C31" s="4"/>
      <c r="D31" s="4"/>
      <c r="E31" s="4"/>
      <c r="F31" s="11"/>
    </row>
    <row r="32" spans="1:9" ht="15" thickBot="1" x14ac:dyDescent="0.4">
      <c r="A32" s="13"/>
      <c r="B32" s="67">
        <f>C9*1.02-B9*1.02^2</f>
        <v>-19.16030618006036</v>
      </c>
      <c r="C32" s="14"/>
      <c r="D32" s="14"/>
      <c r="E32" s="14"/>
      <c r="F32" s="15"/>
    </row>
    <row r="33" spans="1:7" ht="15.5" thickTop="1" thickBot="1" x14ac:dyDescent="0.4"/>
    <row r="34" spans="1:7" ht="15" thickTop="1" x14ac:dyDescent="0.35">
      <c r="A34" s="61" t="s">
        <v>7</v>
      </c>
      <c r="B34" s="9" t="s">
        <v>64</v>
      </c>
      <c r="C34" s="9">
        <v>0.02</v>
      </c>
      <c r="D34" s="9"/>
      <c r="E34" s="9"/>
      <c r="F34" s="9"/>
      <c r="G34" s="10"/>
    </row>
    <row r="35" spans="1:7" x14ac:dyDescent="0.35">
      <c r="A35" s="12" t="s">
        <v>62</v>
      </c>
      <c r="B35" s="4" t="s">
        <v>63</v>
      </c>
      <c r="C35" s="4">
        <f>(1+C34-E14)/(C14-E14)</f>
        <v>0.47740985074722203</v>
      </c>
      <c r="D35" s="4"/>
      <c r="E35" s="4"/>
      <c r="F35" s="4"/>
      <c r="G35" s="11"/>
    </row>
    <row r="36" spans="1:7" x14ac:dyDescent="0.35">
      <c r="A36" s="12" t="s">
        <v>65</v>
      </c>
      <c r="B36" s="4"/>
      <c r="C36" s="4"/>
      <c r="D36" s="4">
        <f>D24</f>
        <v>106.12079999999999</v>
      </c>
      <c r="E36" s="4"/>
      <c r="F36" s="4"/>
      <c r="G36" s="11"/>
    </row>
    <row r="37" spans="1:7" x14ac:dyDescent="0.35">
      <c r="A37" s="12"/>
      <c r="B37" s="4"/>
      <c r="C37" s="4"/>
      <c r="D37" s="4"/>
      <c r="E37" s="4"/>
      <c r="F37" s="4"/>
      <c r="G37" s="11"/>
    </row>
    <row r="38" spans="1:7" x14ac:dyDescent="0.35">
      <c r="A38" s="12"/>
      <c r="B38" s="4"/>
      <c r="C38" s="4"/>
      <c r="D38" s="43">
        <f>MAX(D6-$D$36,0)</f>
        <v>105.57920166126745</v>
      </c>
      <c r="E38" s="4"/>
      <c r="F38" s="4"/>
      <c r="G38" s="11"/>
    </row>
    <row r="39" spans="1:7" x14ac:dyDescent="0.35">
      <c r="A39" s="12"/>
      <c r="B39" s="4"/>
      <c r="C39" s="4">
        <f>(D38*$C$35+(1-$C$35)*D39)/(1+$C$34)</f>
        <v>60.832127070012824</v>
      </c>
      <c r="D39" s="43">
        <f t="shared" ref="D39:D41" si="1">MAX(D7-$D$36,0)</f>
        <v>22.28174166877416</v>
      </c>
      <c r="E39" s="4"/>
      <c r="F39" s="4"/>
      <c r="G39" s="11"/>
    </row>
    <row r="40" spans="1:7" x14ac:dyDescent="0.35">
      <c r="A40" s="12"/>
      <c r="B40" s="4">
        <f t="shared" ref="B40:B41" si="2">(C39*$C$35+(1-$C$35)*C40)/(1+$C$34)</f>
        <v>33.815607990118899</v>
      </c>
      <c r="C40" s="4">
        <f t="shared" ref="C40:C41" si="3">(D39*$C$35+(1-$C$35)*D40)/(1+$C$34)</f>
        <v>10.428944082821205</v>
      </c>
      <c r="D40" s="43">
        <f t="shared" si="1"/>
        <v>0</v>
      </c>
      <c r="E40" s="4"/>
      <c r="F40" s="4"/>
      <c r="G40" s="11"/>
    </row>
    <row r="41" spans="1:7" x14ac:dyDescent="0.35">
      <c r="A41" s="72">
        <f>(B40*$C$35+(1-$C$35)*B41)/(1+$C$34)</f>
        <v>18.328235704055455</v>
      </c>
      <c r="B41" s="4">
        <f t="shared" si="2"/>
        <v>4.8812555274811729</v>
      </c>
      <c r="C41" s="4">
        <f t="shared" si="3"/>
        <v>0</v>
      </c>
      <c r="D41" s="43">
        <f t="shared" si="1"/>
        <v>0</v>
      </c>
      <c r="E41" s="4"/>
      <c r="F41" s="4"/>
      <c r="G41" s="11"/>
    </row>
    <row r="42" spans="1:7" x14ac:dyDescent="0.35">
      <c r="A42" s="12"/>
      <c r="B42" s="4"/>
      <c r="C42" s="4"/>
      <c r="D42" s="4"/>
      <c r="E42" s="4"/>
      <c r="F42" s="4"/>
      <c r="G42" s="11"/>
    </row>
    <row r="43" spans="1:7" x14ac:dyDescent="0.35">
      <c r="A43" s="65" t="s">
        <v>104</v>
      </c>
      <c r="B43" s="44"/>
      <c r="C43" s="44"/>
      <c r="D43" s="44"/>
      <c r="E43" s="4"/>
      <c r="F43" s="4"/>
      <c r="G43" s="11"/>
    </row>
    <row r="44" spans="1:7" x14ac:dyDescent="0.35">
      <c r="A44" s="12"/>
      <c r="B44" s="4"/>
      <c r="C44" s="4"/>
      <c r="D44" s="4"/>
      <c r="E44" s="4"/>
      <c r="F44" s="4"/>
      <c r="G44" s="11"/>
    </row>
    <row r="45" spans="1:7" x14ac:dyDescent="0.35">
      <c r="A45" s="12" t="s">
        <v>105</v>
      </c>
      <c r="B45" s="4"/>
      <c r="C45" s="4"/>
      <c r="D45" s="4"/>
      <c r="E45" s="4"/>
      <c r="F45" s="4"/>
      <c r="G45" s="11"/>
    </row>
    <row r="46" spans="1:7" x14ac:dyDescent="0.35">
      <c r="A46" s="12"/>
      <c r="B46" s="4"/>
      <c r="C46" s="4"/>
      <c r="D46" s="4"/>
      <c r="E46" s="4"/>
      <c r="F46" s="4"/>
      <c r="G46" s="11"/>
    </row>
    <row r="47" spans="1:7" x14ac:dyDescent="0.35">
      <c r="A47" s="12">
        <f>A29</f>
        <v>27.469204352192648</v>
      </c>
      <c r="B47" s="4">
        <f>1+C34</f>
        <v>1.02</v>
      </c>
      <c r="C47" s="4" t="s">
        <v>66</v>
      </c>
      <c r="D47" s="4">
        <f>B40</f>
        <v>33.815607990118899</v>
      </c>
      <c r="E47" s="4" t="s">
        <v>68</v>
      </c>
      <c r="F47" s="68" t="s">
        <v>69</v>
      </c>
      <c r="G47" s="69">
        <f t="array" ref="G47:G48">MMULT(MINVERSE(A47:B48),D47:D48)</f>
        <v>0.55046398061308888</v>
      </c>
    </row>
    <row r="48" spans="1:7" ht="15" thickBot="1" x14ac:dyDescent="0.4">
      <c r="A48" s="13">
        <f>A31</f>
        <v>-25.094366529251019</v>
      </c>
      <c r="B48" s="14">
        <f>1+C34</f>
        <v>1.02</v>
      </c>
      <c r="C48" s="14" t="s">
        <v>67</v>
      </c>
      <c r="D48" s="14">
        <f>B41</f>
        <v>4.8812555274811729</v>
      </c>
      <c r="E48" s="14"/>
      <c r="F48" s="70" t="s">
        <v>70</v>
      </c>
      <c r="G48" s="71">
        <v>18.328235704055441</v>
      </c>
    </row>
    <row r="49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F18" sqref="F18"/>
    </sheetView>
  </sheetViews>
  <sheetFormatPr defaultRowHeight="14.5" x14ac:dyDescent="0.35"/>
  <cols>
    <col min="1" max="1" width="25.36328125" customWidth="1"/>
    <col min="3" max="3" width="11" customWidth="1"/>
    <col min="5" max="5" width="12.453125" bestFit="1" customWidth="1"/>
    <col min="8" max="8" width="12.81640625" customWidth="1"/>
  </cols>
  <sheetData>
    <row r="1" spans="1:10" x14ac:dyDescent="0.35">
      <c r="A1" s="73" t="s">
        <v>2</v>
      </c>
      <c r="B1">
        <v>120</v>
      </c>
      <c r="C1">
        <v>120</v>
      </c>
      <c r="D1">
        <v>60</v>
      </c>
      <c r="E1">
        <v>90</v>
      </c>
      <c r="F1">
        <v>100</v>
      </c>
      <c r="H1" t="s">
        <v>1</v>
      </c>
      <c r="I1">
        <v>100</v>
      </c>
    </row>
    <row r="2" spans="1:10" x14ac:dyDescent="0.35">
      <c r="B2">
        <v>130</v>
      </c>
      <c r="C2">
        <v>170</v>
      </c>
      <c r="D2">
        <v>140</v>
      </c>
      <c r="E2">
        <v>90</v>
      </c>
      <c r="F2">
        <v>90</v>
      </c>
      <c r="I2">
        <v>100</v>
      </c>
    </row>
    <row r="3" spans="1:10" x14ac:dyDescent="0.35">
      <c r="B3">
        <v>102</v>
      </c>
      <c r="C3">
        <v>102</v>
      </c>
      <c r="D3">
        <v>102</v>
      </c>
      <c r="E3">
        <v>102</v>
      </c>
      <c r="F3">
        <v>102</v>
      </c>
      <c r="I3">
        <v>100</v>
      </c>
    </row>
    <row r="5" spans="1:10" x14ac:dyDescent="0.35">
      <c r="A5" s="73" t="s">
        <v>34</v>
      </c>
      <c r="B5">
        <v>0.28000000000000003</v>
      </c>
      <c r="C5">
        <v>0.14000000000000001</v>
      </c>
      <c r="D5">
        <v>0.21</v>
      </c>
      <c r="E5">
        <v>0.3</v>
      </c>
      <c r="F5">
        <v>7.0000000000000007E-2</v>
      </c>
      <c r="G5" t="s">
        <v>3</v>
      </c>
    </row>
    <row r="6" spans="1:10" ht="15" thickBot="1" x14ac:dyDescent="0.4"/>
    <row r="7" spans="1:10" x14ac:dyDescent="0.35">
      <c r="A7" s="74" t="s">
        <v>20</v>
      </c>
      <c r="B7" s="1" t="s">
        <v>78</v>
      </c>
      <c r="C7" s="1"/>
      <c r="D7" s="1"/>
      <c r="E7" s="1"/>
      <c r="F7" s="1"/>
      <c r="G7" s="1"/>
      <c r="H7" s="1"/>
      <c r="I7" s="1"/>
      <c r="J7" s="2"/>
    </row>
    <row r="8" spans="1:10" x14ac:dyDescent="0.35">
      <c r="A8" s="3" t="s">
        <v>71</v>
      </c>
      <c r="B8" s="4">
        <f>(B1-$I1)/$I1</f>
        <v>0.2</v>
      </c>
      <c r="C8" s="4">
        <f t="shared" ref="C8:F8" si="0">(C1-$I1)/$I1</f>
        <v>0.2</v>
      </c>
      <c r="D8" s="4">
        <f t="shared" si="0"/>
        <v>-0.4</v>
      </c>
      <c r="E8" s="4">
        <f t="shared" si="0"/>
        <v>-0.1</v>
      </c>
      <c r="F8" s="4">
        <f t="shared" si="0"/>
        <v>0</v>
      </c>
      <c r="G8" s="4"/>
      <c r="H8" s="4" t="s">
        <v>72</v>
      </c>
      <c r="I8" s="4">
        <f t="array" ref="I8">MMULT(B5:F5,TRANSPOSE(B8:F8))</f>
        <v>-2.9999999999999985E-2</v>
      </c>
      <c r="J8" s="5"/>
    </row>
    <row r="9" spans="1:10" x14ac:dyDescent="0.35">
      <c r="A9" s="3"/>
      <c r="B9" s="4">
        <f t="shared" ref="B9:F9" si="1">(B2-$I2)/$I2</f>
        <v>0.3</v>
      </c>
      <c r="C9" s="4">
        <f t="shared" si="1"/>
        <v>0.7</v>
      </c>
      <c r="D9" s="4">
        <f t="shared" si="1"/>
        <v>0.4</v>
      </c>
      <c r="E9" s="4">
        <f t="shared" si="1"/>
        <v>-0.1</v>
      </c>
      <c r="F9" s="4">
        <f t="shared" si="1"/>
        <v>-0.1</v>
      </c>
      <c r="G9" s="4"/>
      <c r="H9" s="4" t="s">
        <v>72</v>
      </c>
      <c r="I9" s="4">
        <f t="array" ref="I9">MMULT(B5:F5,TRANSPOSE(B9:F9))</f>
        <v>0.22900000000000001</v>
      </c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3" t="s">
        <v>73</v>
      </c>
      <c r="B11" s="4">
        <f>(B8-$I8)^2</f>
        <v>5.2899999999999989E-2</v>
      </c>
      <c r="C11" s="4">
        <f t="shared" ref="C11:F11" si="2">(C8-$I8)^2</f>
        <v>5.2899999999999989E-2</v>
      </c>
      <c r="D11" s="4">
        <f t="shared" si="2"/>
        <v>0.13690000000000005</v>
      </c>
      <c r="E11" s="4">
        <f t="shared" si="2"/>
        <v>4.9000000000000024E-3</v>
      </c>
      <c r="F11" s="4">
        <f t="shared" si="2"/>
        <v>8.9999999999999911E-4</v>
      </c>
      <c r="G11" s="4"/>
      <c r="H11" s="4" t="s">
        <v>74</v>
      </c>
      <c r="I11" s="4">
        <f t="array" ref="I11">SQRT(MMULT(B5:F5,TRANSPOSE(B11:F11)))</f>
        <v>0.22912878474779202</v>
      </c>
      <c r="J11" s="5"/>
    </row>
    <row r="12" spans="1:10" x14ac:dyDescent="0.35">
      <c r="A12" s="3"/>
      <c r="B12" s="4">
        <f>(B9-$I9)^2</f>
        <v>5.0409999999999969E-3</v>
      </c>
      <c r="C12" s="4">
        <f t="shared" ref="C12:E12" si="3">(C9-$I9)^2</f>
        <v>0.22184099999999998</v>
      </c>
      <c r="D12" s="4">
        <f t="shared" si="3"/>
        <v>2.9241000000000003E-2</v>
      </c>
      <c r="E12" s="4">
        <f t="shared" si="3"/>
        <v>0.108241</v>
      </c>
      <c r="F12" s="4">
        <f>(F9-$I9)^2</f>
        <v>0.108241</v>
      </c>
      <c r="G12" s="4"/>
      <c r="H12" s="4" t="s">
        <v>74</v>
      </c>
      <c r="I12" s="4">
        <f t="array" ref="I12">SQRT(MMULT(B5:F5,TRANSPOSE(B12:F12)))</f>
        <v>0.2804621186541954</v>
      </c>
      <c r="J12" s="5"/>
    </row>
    <row r="13" spans="1:10" x14ac:dyDescent="0.35">
      <c r="A13" s="3" t="s">
        <v>75</v>
      </c>
      <c r="B13" s="4">
        <f>(B8-$I$8)*(B9-$I$9)</f>
        <v>1.6329999999999994E-2</v>
      </c>
      <c r="C13" s="4">
        <f>(C8-$I$8)*(C9-$I$9)</f>
        <v>0.10832999999999998</v>
      </c>
      <c r="D13" s="4">
        <f t="shared" ref="D13:F13" si="4">(D8-$I$8)*(D9-$I$9)</f>
        <v>-6.3270000000000007E-2</v>
      </c>
      <c r="E13" s="4">
        <f t="shared" si="4"/>
        <v>2.3030000000000009E-2</v>
      </c>
      <c r="F13" s="4">
        <f t="shared" si="4"/>
        <v>-9.8699999999999951E-3</v>
      </c>
      <c r="G13" s="4"/>
      <c r="H13" s="4" t="s">
        <v>76</v>
      </c>
      <c r="I13" s="4">
        <f t="array" ref="I13">MMULT(B5:F5,TRANSPOSE(B13:F13))</f>
        <v>1.2670000000000002E-2</v>
      </c>
      <c r="J13" s="5"/>
    </row>
    <row r="14" spans="1:10" ht="15" thickBot="1" x14ac:dyDescent="0.4">
      <c r="A14" s="6"/>
      <c r="B14" s="7"/>
      <c r="C14" s="7"/>
      <c r="D14" s="7"/>
      <c r="E14" s="7"/>
      <c r="F14" s="7"/>
      <c r="G14" s="7"/>
      <c r="H14" s="75" t="s">
        <v>77</v>
      </c>
      <c r="I14" s="75">
        <f>I13/(I12*I11)</f>
        <v>0.1971617901595471</v>
      </c>
      <c r="J14" s="8"/>
    </row>
    <row r="15" spans="1:10" ht="15" thickBot="1" x14ac:dyDescent="0.4"/>
    <row r="16" spans="1:10" x14ac:dyDescent="0.35">
      <c r="A16" s="74" t="s">
        <v>24</v>
      </c>
      <c r="B16" s="76" t="s">
        <v>79</v>
      </c>
      <c r="C16" s="1">
        <v>100</v>
      </c>
      <c r="D16" s="1"/>
      <c r="E16" s="1"/>
      <c r="F16" s="1"/>
      <c r="G16" s="2"/>
    </row>
    <row r="17" spans="1:9" x14ac:dyDescent="0.35">
      <c r="A17" s="3" t="s">
        <v>80</v>
      </c>
      <c r="B17" s="4">
        <f>MAX(SQRT(B1*B2)-$C$16,0)</f>
        <v>24.899959967967959</v>
      </c>
      <c r="C17" s="4">
        <f>MAX(SQRT(C1*C2)-$C$16,0)</f>
        <v>42.828568570856987</v>
      </c>
      <c r="D17" s="4">
        <f>MAX(SQRT(D1*D2)-$C$16,0)</f>
        <v>0</v>
      </c>
      <c r="E17" s="4">
        <f t="shared" ref="E17:F17" si="5">MAX(SQRT(E1*E2)-$C$16,0)</f>
        <v>0</v>
      </c>
      <c r="F17" s="4">
        <f t="shared" si="5"/>
        <v>0</v>
      </c>
      <c r="G17" s="5"/>
      <c r="I17">
        <f>CORREL(B8:F8,B9:F9)</f>
        <v>0.21628922276454191</v>
      </c>
    </row>
    <row r="18" spans="1:9" x14ac:dyDescent="0.35">
      <c r="A18" s="3"/>
      <c r="B18" s="4"/>
      <c r="C18" s="4"/>
      <c r="D18" s="4"/>
      <c r="E18" s="4"/>
      <c r="F18" s="4"/>
      <c r="G18" s="5"/>
    </row>
    <row r="19" spans="1:9" x14ac:dyDescent="0.35">
      <c r="A19" s="79" t="s">
        <v>86</v>
      </c>
      <c r="B19" s="4"/>
      <c r="C19" s="4"/>
      <c r="D19" s="4" t="s">
        <v>87</v>
      </c>
      <c r="E19" s="4"/>
      <c r="F19" s="4"/>
      <c r="G19" s="5"/>
    </row>
    <row r="20" spans="1:9" x14ac:dyDescent="0.35">
      <c r="A20" s="3" t="s">
        <v>88</v>
      </c>
      <c r="B20" s="4"/>
      <c r="C20" s="4"/>
      <c r="D20" s="4"/>
      <c r="E20" s="4"/>
      <c r="F20" s="4"/>
      <c r="G20" s="5"/>
    </row>
    <row r="21" spans="1:9" x14ac:dyDescent="0.35">
      <c r="A21" s="3" t="s">
        <v>81</v>
      </c>
      <c r="B21" s="4">
        <v>-1.9428902930940239E-16</v>
      </c>
      <c r="C21" s="4"/>
      <c r="D21" s="4" t="s">
        <v>82</v>
      </c>
      <c r="E21" s="4">
        <f t="array" ref="E21:E25">MMULT(TRANSPOSE(B1:F3),B21:B23)</f>
        <v>24.899959967967945</v>
      </c>
      <c r="F21" s="4" t="s">
        <v>0</v>
      </c>
      <c r="G21" s="5">
        <f t="array" ref="G21:G25">TRANSPOSE(B17:F17)</f>
        <v>24.899959967967959</v>
      </c>
    </row>
    <row r="22" spans="1:9" x14ac:dyDescent="0.35">
      <c r="A22" s="3"/>
      <c r="B22" s="4">
        <v>0.62249899919919893</v>
      </c>
      <c r="C22" s="4"/>
      <c r="D22" s="4"/>
      <c r="E22" s="4">
        <v>49.79991993593589</v>
      </c>
      <c r="F22" s="4"/>
      <c r="G22" s="5">
        <v>42.828568570856987</v>
      </c>
    </row>
    <row r="23" spans="1:9" x14ac:dyDescent="0.35">
      <c r="A23" s="3"/>
      <c r="B23" s="4">
        <v>-0.54926382282282249</v>
      </c>
      <c r="C23" s="4"/>
      <c r="D23" s="4"/>
      <c r="E23" s="4">
        <v>31.124949959959949</v>
      </c>
      <c r="F23" s="4"/>
      <c r="G23" s="5">
        <v>0</v>
      </c>
    </row>
    <row r="24" spans="1:9" x14ac:dyDescent="0.35">
      <c r="A24" s="3" t="s">
        <v>3</v>
      </c>
      <c r="B24" s="4"/>
      <c r="C24" s="4"/>
      <c r="D24" s="4"/>
      <c r="E24" s="4">
        <v>-7.1054273576010019E-15</v>
      </c>
      <c r="F24" s="4"/>
      <c r="G24" s="5">
        <v>0</v>
      </c>
    </row>
    <row r="25" spans="1:9" x14ac:dyDescent="0.35">
      <c r="A25" s="77" t="s">
        <v>83</v>
      </c>
      <c r="B25" s="64">
        <f t="array" ref="B25">MMULT(TRANSPOSE(B21:B23),I1:I3)</f>
        <v>7.3235176376376216</v>
      </c>
      <c r="C25" s="4"/>
      <c r="D25" s="4"/>
      <c r="E25" s="4">
        <v>-1.4210854715202004E-14</v>
      </c>
      <c r="F25" s="4"/>
      <c r="G25" s="5">
        <v>0</v>
      </c>
    </row>
    <row r="26" spans="1:9" x14ac:dyDescent="0.35">
      <c r="A26" s="3"/>
      <c r="B26" s="4"/>
      <c r="C26" s="4"/>
      <c r="D26" s="4"/>
      <c r="E26" s="4"/>
      <c r="F26" s="4"/>
      <c r="G26" s="5"/>
    </row>
    <row r="27" spans="1:9" x14ac:dyDescent="0.35">
      <c r="A27" s="3" t="s">
        <v>85</v>
      </c>
      <c r="B27" s="4"/>
      <c r="C27" s="4"/>
      <c r="D27" s="4" t="s">
        <v>84</v>
      </c>
      <c r="E27" s="4"/>
      <c r="F27" s="4"/>
      <c r="G27" s="5"/>
    </row>
    <row r="28" spans="1:9" x14ac:dyDescent="0.35">
      <c r="A28" s="3"/>
      <c r="B28" s="4"/>
      <c r="C28" s="4"/>
      <c r="D28" s="4"/>
      <c r="E28" s="4"/>
      <c r="F28" s="4"/>
      <c r="G28" s="5"/>
    </row>
    <row r="29" spans="1:9" x14ac:dyDescent="0.35">
      <c r="A29" s="3" t="s">
        <v>81</v>
      </c>
      <c r="B29" s="4">
        <v>0.47884538399938381</v>
      </c>
      <c r="C29" s="4"/>
      <c r="D29" s="4" t="s">
        <v>82</v>
      </c>
      <c r="E29" s="4">
        <f t="array" ref="E29:E33">MMULT(TRANSPOSE(B1:F3),B29:B31)</f>
        <v>24.899959967967959</v>
      </c>
      <c r="F29" s="4" t="s">
        <v>0</v>
      </c>
      <c r="G29" s="5">
        <f t="array" ref="G29:G33">TRANSPOSE(B17:F17)</f>
        <v>24.899959967967959</v>
      </c>
    </row>
    <row r="30" spans="1:9" x14ac:dyDescent="0.35">
      <c r="A30" s="3"/>
      <c r="B30" s="4">
        <v>0.38307630719950697</v>
      </c>
      <c r="C30" s="4"/>
      <c r="D30" s="4"/>
      <c r="E30" s="4">
        <v>40.22301225594822</v>
      </c>
      <c r="F30" s="4"/>
      <c r="G30" s="5">
        <v>42.828568570856987</v>
      </c>
    </row>
    <row r="31" spans="1:9" x14ac:dyDescent="0.35">
      <c r="A31" s="3"/>
      <c r="B31" s="4">
        <v>-0.80746476517543142</v>
      </c>
      <c r="C31" s="4"/>
      <c r="D31" s="4"/>
      <c r="E31" s="4">
        <v>0</v>
      </c>
      <c r="F31" s="4"/>
      <c r="G31" s="5">
        <v>0</v>
      </c>
    </row>
    <row r="32" spans="1:9" x14ac:dyDescent="0.35">
      <c r="A32" s="3" t="s">
        <v>3</v>
      </c>
      <c r="B32" s="4"/>
      <c r="C32" s="4"/>
      <c r="D32" s="4"/>
      <c r="E32" s="4">
        <v>-4.788453839993835</v>
      </c>
      <c r="F32" s="4"/>
      <c r="G32" s="5">
        <v>0</v>
      </c>
    </row>
    <row r="33" spans="1:7" ht="15" thickBot="1" x14ac:dyDescent="0.4">
      <c r="A33" s="78" t="s">
        <v>83</v>
      </c>
      <c r="B33" s="75">
        <f t="array" ref="B33">MMULT(TRANSPOSE(B29:B31),I1:I3)</f>
        <v>5.4456926023459289</v>
      </c>
      <c r="C33" s="7"/>
      <c r="D33" s="7"/>
      <c r="E33" s="7">
        <v>0</v>
      </c>
      <c r="F33" s="7"/>
      <c r="G33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5" workbookViewId="0">
      <selection activeCell="A30" sqref="A30"/>
    </sheetView>
  </sheetViews>
  <sheetFormatPr defaultRowHeight="14.5" x14ac:dyDescent="0.35"/>
  <cols>
    <col min="1" max="1" width="13.81640625" customWidth="1"/>
    <col min="6" max="6" width="9.90625" customWidth="1"/>
    <col min="8" max="8" width="7.81640625" customWidth="1"/>
    <col min="9" max="9" width="13.81640625" customWidth="1"/>
    <col min="10" max="10" width="11.26953125" customWidth="1"/>
  </cols>
  <sheetData>
    <row r="1" spans="1:11" ht="15" thickTop="1" x14ac:dyDescent="0.35">
      <c r="A1" s="16" t="s">
        <v>16</v>
      </c>
      <c r="B1" s="9"/>
      <c r="C1" s="9"/>
      <c r="D1" s="9"/>
      <c r="E1" s="9"/>
      <c r="F1" s="10"/>
    </row>
    <row r="2" spans="1:11" x14ac:dyDescent="0.35">
      <c r="A2" s="17" t="s">
        <v>17</v>
      </c>
      <c r="B2" s="4"/>
      <c r="C2" s="4"/>
      <c r="D2" s="4"/>
      <c r="E2" s="18" t="s">
        <v>18</v>
      </c>
      <c r="F2" s="11"/>
    </row>
    <row r="3" spans="1:11" x14ac:dyDescent="0.35">
      <c r="A3" s="12"/>
      <c r="B3" s="4"/>
      <c r="C3" s="4">
        <v>7.0000000000000007E-2</v>
      </c>
      <c r="D3" s="4"/>
      <c r="E3" s="4"/>
      <c r="F3" s="42">
        <v>0.2</v>
      </c>
    </row>
    <row r="4" spans="1:11" x14ac:dyDescent="0.35">
      <c r="A4" s="12"/>
      <c r="B4" s="4">
        <v>0.03</v>
      </c>
      <c r="C4" s="4">
        <v>0.02</v>
      </c>
      <c r="D4" s="4"/>
      <c r="E4" s="4"/>
      <c r="F4" s="11">
        <v>0.4</v>
      </c>
    </row>
    <row r="5" spans="1:11" x14ac:dyDescent="0.35">
      <c r="A5" s="12">
        <v>0.02</v>
      </c>
      <c r="B5" s="4">
        <v>0</v>
      </c>
      <c r="C5" s="4">
        <v>-0.01</v>
      </c>
      <c r="D5" s="4"/>
      <c r="E5" s="4">
        <v>0.6</v>
      </c>
      <c r="F5" s="11">
        <v>0.55000000000000004</v>
      </c>
    </row>
    <row r="6" spans="1:11" ht="15" thickBot="1" x14ac:dyDescent="0.4">
      <c r="A6" s="25">
        <v>0</v>
      </c>
      <c r="B6" s="26">
        <v>1</v>
      </c>
      <c r="C6" s="26">
        <v>2</v>
      </c>
      <c r="D6" s="19"/>
      <c r="E6" s="26" t="s">
        <v>19</v>
      </c>
      <c r="F6" s="27" t="s">
        <v>8</v>
      </c>
    </row>
    <row r="7" spans="1:11" ht="15.5" thickTop="1" thickBot="1" x14ac:dyDescent="0.4">
      <c r="A7" s="28"/>
      <c r="B7" s="28"/>
      <c r="C7" s="28"/>
      <c r="D7" s="28"/>
      <c r="E7" s="28"/>
      <c r="F7" s="28"/>
    </row>
    <row r="8" spans="1:11" ht="15" thickTop="1" x14ac:dyDescent="0.35">
      <c r="A8" s="40" t="s">
        <v>20</v>
      </c>
      <c r="B8" s="55" t="s">
        <v>39</v>
      </c>
      <c r="C8" s="29"/>
      <c r="D8" s="29"/>
      <c r="E8" s="29"/>
      <c r="F8" s="29"/>
      <c r="G8" s="9"/>
      <c r="H8" s="10"/>
    </row>
    <row r="9" spans="1:11" x14ac:dyDescent="0.35">
      <c r="A9" s="30" t="s">
        <v>21</v>
      </c>
      <c r="B9" s="28"/>
      <c r="C9" s="28" t="s">
        <v>22</v>
      </c>
      <c r="D9" s="28"/>
      <c r="E9" s="28"/>
      <c r="F9" s="28" t="s">
        <v>23</v>
      </c>
      <c r="G9" s="4"/>
      <c r="H9" s="11"/>
    </row>
    <row r="10" spans="1:11" x14ac:dyDescent="0.35">
      <c r="A10" s="31"/>
      <c r="B10" s="32"/>
      <c r="C10" s="32"/>
      <c r="D10" s="32"/>
      <c r="E10" s="32"/>
      <c r="F10" s="32"/>
      <c r="G10" s="24"/>
      <c r="H10" s="33">
        <f>1/(1+C3)</f>
        <v>0.93457943925233644</v>
      </c>
    </row>
    <row r="11" spans="1:11" x14ac:dyDescent="0.35">
      <c r="A11" s="31"/>
      <c r="B11" s="32"/>
      <c r="C11" s="32"/>
      <c r="D11" s="32">
        <f>1/(1+B4)</f>
        <v>0.970873786407767</v>
      </c>
      <c r="E11" s="32"/>
      <c r="F11" s="32"/>
      <c r="G11" s="24">
        <f>(F3*H10+F4*H11+(1-F3-F4)*H12)/(1+B4)</f>
        <v>0.95447879090870813</v>
      </c>
      <c r="H11" s="33">
        <f>1/(1+C4)</f>
        <v>0.98039215686274506</v>
      </c>
    </row>
    <row r="12" spans="1:11" x14ac:dyDescent="0.35">
      <c r="A12" s="46">
        <f>1/(1+A5)</f>
        <v>0.98039215686274506</v>
      </c>
      <c r="B12" s="32"/>
      <c r="C12" s="45">
        <f>(E5*D11+(1-E5)*D12)/(1+A5)</f>
        <v>0.96325909004378452</v>
      </c>
      <c r="D12" s="32">
        <f>1/(1+B5)</f>
        <v>1</v>
      </c>
      <c r="E12" s="32"/>
      <c r="F12" s="37">
        <f>(E5*G11+(1-E5)*G12)/(1+A5)</f>
        <v>0.95116836360118673</v>
      </c>
      <c r="G12" s="24">
        <f>(F5*H11+(1-F5)*H12)/(1+B5)</f>
        <v>0.99376114081996425</v>
      </c>
      <c r="H12" s="33">
        <f>1/(1+C5)</f>
        <v>1.0101010101010102</v>
      </c>
      <c r="I12" t="s">
        <v>3</v>
      </c>
    </row>
    <row r="13" spans="1:11" ht="15" thickBot="1" x14ac:dyDescent="0.4">
      <c r="A13" s="48" t="s">
        <v>36</v>
      </c>
      <c r="B13" s="34"/>
      <c r="C13" s="34"/>
      <c r="D13" s="34"/>
      <c r="E13" s="34"/>
      <c r="F13" s="47"/>
      <c r="G13" s="47"/>
      <c r="H13" s="35"/>
    </row>
    <row r="14" spans="1:11" ht="15.5" thickTop="1" thickBot="1" x14ac:dyDescent="0.4"/>
    <row r="15" spans="1:11" ht="15" thickTop="1" x14ac:dyDescent="0.35">
      <c r="A15" s="41" t="s">
        <v>107</v>
      </c>
      <c r="B15" s="9"/>
      <c r="C15" s="9"/>
      <c r="D15" s="9"/>
      <c r="E15" s="9"/>
      <c r="F15" s="9"/>
      <c r="G15" s="9"/>
      <c r="H15" s="9"/>
      <c r="I15" s="9" t="s">
        <v>30</v>
      </c>
      <c r="J15" s="53">
        <f>E21*A12+F21*C12+F12*G21</f>
        <v>101.17211219175749</v>
      </c>
      <c r="K15" s="10"/>
    </row>
    <row r="16" spans="1:11" x14ac:dyDescent="0.35">
      <c r="A16" s="20" t="s">
        <v>37</v>
      </c>
      <c r="B16" s="4"/>
      <c r="C16" s="4"/>
      <c r="D16" s="4"/>
      <c r="E16" s="4"/>
      <c r="F16" s="4"/>
      <c r="G16" s="4"/>
      <c r="H16" s="4"/>
      <c r="I16" s="39"/>
      <c r="J16" s="51"/>
      <c r="K16" s="52"/>
    </row>
    <row r="17" spans="1:11" x14ac:dyDescent="0.35">
      <c r="A17" s="17"/>
      <c r="B17" s="4"/>
      <c r="C17" s="4"/>
      <c r="D17" s="18" t="s">
        <v>25</v>
      </c>
      <c r="E17" s="4"/>
      <c r="F17" s="4"/>
      <c r="G17" s="4"/>
      <c r="H17" s="4"/>
      <c r="I17" s="39" t="s">
        <v>38</v>
      </c>
      <c r="J17" s="54">
        <v>1.805926571325206E-2</v>
      </c>
      <c r="K17" s="52"/>
    </row>
    <row r="18" spans="1:11" x14ac:dyDescent="0.35">
      <c r="A18" s="17" t="s">
        <v>9</v>
      </c>
      <c r="B18" s="4">
        <v>100</v>
      </c>
      <c r="C18" s="4"/>
      <c r="D18" s="21">
        <f>B18</f>
        <v>100</v>
      </c>
      <c r="E18" s="21">
        <f>D18*(1+$B$19)-E21</f>
        <v>67.455633267606899</v>
      </c>
      <c r="F18" s="21">
        <f>E18*(1+$B$19)-F21</f>
        <v>34.128574515299746</v>
      </c>
      <c r="G18" s="21">
        <f>F18*(1+$B$19)-G21</f>
        <v>-3.836930773104541E-13</v>
      </c>
      <c r="H18" s="4"/>
      <c r="I18" s="4"/>
      <c r="J18" s="4"/>
      <c r="K18" s="11"/>
    </row>
    <row r="19" spans="1:11" x14ac:dyDescent="0.35">
      <c r="A19" s="17" t="s">
        <v>10</v>
      </c>
      <c r="B19" s="22">
        <v>2.4049999999999998E-2</v>
      </c>
      <c r="C19" s="4"/>
      <c r="D19" s="23" t="s">
        <v>11</v>
      </c>
      <c r="E19" s="23" t="s">
        <v>12</v>
      </c>
      <c r="F19" s="23" t="s">
        <v>13</v>
      </c>
      <c r="G19" s="23" t="s">
        <v>14</v>
      </c>
      <c r="H19" s="4"/>
      <c r="I19" s="4"/>
      <c r="J19" s="28" t="s">
        <v>3</v>
      </c>
      <c r="K19" s="11"/>
    </row>
    <row r="20" spans="1:11" x14ac:dyDescent="0.35">
      <c r="A20" s="17" t="s">
        <v>15</v>
      </c>
      <c r="B20" s="4">
        <v>3</v>
      </c>
      <c r="C20" s="4"/>
      <c r="D20" s="4" t="s">
        <v>26</v>
      </c>
      <c r="E20" s="4"/>
      <c r="F20" s="4"/>
      <c r="G20" s="4"/>
      <c r="H20" s="4"/>
      <c r="I20" s="4"/>
      <c r="J20" s="4"/>
      <c r="K20" s="11"/>
    </row>
    <row r="21" spans="1:11" x14ac:dyDescent="0.35">
      <c r="A21" s="17" t="s">
        <v>26</v>
      </c>
      <c r="B21" s="36">
        <f>B18*B19*(1+B19)^B20/((1+B19)^B20-1)</f>
        <v>34.949366732393088</v>
      </c>
      <c r="C21" s="4"/>
      <c r="D21" s="43" t="s">
        <v>3</v>
      </c>
      <c r="E21" s="43">
        <f>B21</f>
        <v>34.949366732393088</v>
      </c>
      <c r="F21" s="43">
        <f>B21</f>
        <v>34.949366732393088</v>
      </c>
      <c r="G21" s="43">
        <f>B21</f>
        <v>34.949366732393088</v>
      </c>
      <c r="H21" s="4"/>
      <c r="I21" s="4"/>
      <c r="J21" s="4"/>
      <c r="K21" s="11"/>
    </row>
    <row r="22" spans="1:11" ht="15" thickBot="1" x14ac:dyDescent="0.4">
      <c r="A22" s="13"/>
      <c r="B22" s="14"/>
      <c r="C22" s="14"/>
      <c r="D22" s="14"/>
      <c r="E22" s="14" t="s">
        <v>27</v>
      </c>
      <c r="F22" s="14" t="s">
        <v>28</v>
      </c>
      <c r="G22" s="14" t="s">
        <v>29</v>
      </c>
      <c r="H22" s="14"/>
      <c r="I22" s="14"/>
      <c r="J22" s="14"/>
      <c r="K22" s="15"/>
    </row>
    <row r="23" spans="1:11" ht="15" thickTop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" thickBot="1" x14ac:dyDescent="0.4"/>
    <row r="25" spans="1:11" ht="15" thickTop="1" x14ac:dyDescent="0.35">
      <c r="A25" s="41" t="s">
        <v>106</v>
      </c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x14ac:dyDescent="0.35">
      <c r="A26" s="17" t="s">
        <v>33</v>
      </c>
      <c r="B26" s="4"/>
      <c r="C26" s="4"/>
      <c r="D26" s="4"/>
      <c r="E26" s="4"/>
      <c r="F26" s="18" t="s">
        <v>32</v>
      </c>
      <c r="G26" s="4"/>
      <c r="H26" s="4"/>
      <c r="I26" s="4"/>
      <c r="J26" s="4"/>
      <c r="K26" s="11"/>
    </row>
    <row r="27" spans="1:11" x14ac:dyDescent="0.35">
      <c r="A27" s="80"/>
      <c r="B27" s="38"/>
      <c r="C27" s="38"/>
      <c r="D27" s="38">
        <v>0</v>
      </c>
      <c r="E27" s="4"/>
      <c r="F27" s="49" t="s">
        <v>103</v>
      </c>
      <c r="G27" s="50"/>
      <c r="H27" s="50"/>
      <c r="I27" s="50"/>
      <c r="J27" s="50"/>
      <c r="K27" s="60"/>
    </row>
    <row r="28" spans="1:11" x14ac:dyDescent="0.35">
      <c r="A28" s="80"/>
      <c r="B28" s="38"/>
      <c r="C28" s="38">
        <f>MIN(F$18,$G$21/(1+C3))</f>
        <v>32.662959562984192</v>
      </c>
      <c r="D28" s="38">
        <v>0</v>
      </c>
      <c r="E28" s="4"/>
      <c r="F28" s="39"/>
      <c r="G28" s="39"/>
      <c r="H28" s="39" t="str">
        <f>IF(C28=F$18,"Call", "Hold")</f>
        <v>Hold</v>
      </c>
      <c r="I28" s="44" t="s">
        <v>102</v>
      </c>
      <c r="J28" s="39"/>
      <c r="K28" s="11"/>
    </row>
    <row r="29" spans="1:11" x14ac:dyDescent="0.35">
      <c r="A29" s="80"/>
      <c r="B29" s="38">
        <f>MIN(E$18,(F3*($F$21+C28)+F4*($F$21+C29)+(1-F3-F4)*(C30+$F$21))/(1+B4))</f>
        <v>66.781376948766706</v>
      </c>
      <c r="C29" s="38">
        <f>MIN(F$18,$G$21/(1+C4))</f>
        <v>34.128574515299746</v>
      </c>
      <c r="D29" s="38">
        <v>0</v>
      </c>
      <c r="E29" s="4"/>
      <c r="F29" s="39"/>
      <c r="G29" s="39" t="str">
        <f>IF(B29=E$18,"Call", "Hold")</f>
        <v>Hold</v>
      </c>
      <c r="H29" s="39" t="str">
        <f>IF(C29=F$18,"Call", "Hold")</f>
        <v>Call</v>
      </c>
      <c r="I29" s="4"/>
      <c r="J29" s="4"/>
      <c r="K29" s="11"/>
    </row>
    <row r="30" spans="1:11" x14ac:dyDescent="0.35">
      <c r="A30" s="81">
        <f>MIN(D$18,(E5*($E$21+B29)+(1-E5)*($E$21+B30))/(1+A5))</f>
        <v>100</v>
      </c>
      <c r="B30" s="38">
        <f>MIN(E$18,(F5*($F$21+C29)+(1-F5)*($F$21+C30))/(1+B5))</f>
        <v>67.455633267606899</v>
      </c>
      <c r="C30" s="38">
        <f>MIN(F$18,$G$21/(1+C5))</f>
        <v>34.128574515299746</v>
      </c>
      <c r="D30" s="38">
        <v>0</v>
      </c>
      <c r="E30" s="4"/>
      <c r="F30" s="39" t="str">
        <f>IF(A30=D$18,"Call", "Hold")</f>
        <v>Call</v>
      </c>
      <c r="G30" s="39" t="str">
        <f>IF(B30=E$18,"Call", "Hold")</f>
        <v>Call</v>
      </c>
      <c r="H30" s="39" t="str">
        <f>IF(C30=F$18,"Call", "Hold")</f>
        <v>Call</v>
      </c>
      <c r="I30" s="4"/>
      <c r="J30" s="4"/>
      <c r="K30" s="11"/>
    </row>
    <row r="31" spans="1:11" ht="15" thickBot="1" x14ac:dyDescent="0.4">
      <c r="A31" s="82" t="s">
        <v>31</v>
      </c>
      <c r="B31" s="83">
        <v>1</v>
      </c>
      <c r="C31" s="83">
        <v>2</v>
      </c>
      <c r="D31" s="83">
        <v>3</v>
      </c>
      <c r="E31" s="14"/>
      <c r="F31" s="82" t="s">
        <v>31</v>
      </c>
      <c r="G31" s="83">
        <v>1</v>
      </c>
      <c r="H31" s="83">
        <v>2</v>
      </c>
      <c r="I31" s="14"/>
      <c r="J31" s="14"/>
      <c r="K31" s="15"/>
    </row>
    <row r="32" spans="1:11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18" sqref="A18"/>
    </sheetView>
  </sheetViews>
  <sheetFormatPr defaultRowHeight="14.5" x14ac:dyDescent="0.35"/>
  <sheetData>
    <row r="1" spans="1:12" x14ac:dyDescent="0.35">
      <c r="A1" s="74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2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spans="1:12" x14ac:dyDescent="0.35">
      <c r="A10" s="3" t="s">
        <v>101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2" x14ac:dyDescent="0.35">
      <c r="A11" s="3" t="s">
        <v>90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2" x14ac:dyDescent="0.35">
      <c r="A12" s="3" t="s">
        <v>92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1:12" x14ac:dyDescent="0.35">
      <c r="A13" s="3" t="s">
        <v>91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2" x14ac:dyDescent="0.35">
      <c r="A14" s="3" t="s">
        <v>93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1:12" x14ac:dyDescent="0.35">
      <c r="A15" s="3" t="s">
        <v>94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 x14ac:dyDescent="0.35">
      <c r="A16" s="3" t="s">
        <v>95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1:12" x14ac:dyDescent="0.35">
      <c r="A17" s="3" t="s">
        <v>96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1:12" x14ac:dyDescent="0.35">
      <c r="A18" s="3" t="s">
        <v>97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 x14ac:dyDescent="0.35">
      <c r="A19" s="3" t="s">
        <v>98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 spans="1:12" x14ac:dyDescent="0.35">
      <c r="A20" s="3" t="s">
        <v>99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 spans="1:12" ht="15" thickBot="1" x14ac:dyDescent="0.4">
      <c r="A21" s="6" t="s">
        <v>100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Opgave 1</vt:lpstr>
      <vt:lpstr>Opgave 2</vt:lpstr>
      <vt:lpstr>Opgave 3</vt:lpstr>
      <vt:lpstr>Opgave 4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2021-10-28T13:09:28Z</cp:lastPrinted>
  <dcterms:created xsi:type="dcterms:W3CDTF">2020-06-09T14:53:22Z</dcterms:created>
  <dcterms:modified xsi:type="dcterms:W3CDTF">2021-10-28T18:41:41Z</dcterms:modified>
</cp:coreProperties>
</file>