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x738\Dropbox\Eksamensopgaver til Noterne\Eksamensopgaver til Noterne\MatFin1\"/>
    </mc:Choice>
  </mc:AlternateContent>
  <bookViews>
    <workbookView xWindow="0" yWindow="0" windowWidth="2350" windowHeight="0" firstSheet="2" activeTab="2"/>
  </bookViews>
  <sheets>
    <sheet name="Opgave 1" sheetId="1" r:id="rId1"/>
    <sheet name="Opgave 2" sheetId="2" r:id="rId2"/>
    <sheet name="Opgave 3" sheetId="4" r:id="rId3"/>
    <sheet name="Noter, opgave 3 IGNORER" sheetId="3" r:id="rId4"/>
  </sheets>
  <definedNames>
    <definedName name="solver_adj" localSheetId="3" hidden="1">'Noter, opgave 3 IGNORER'!$B$20</definedName>
    <definedName name="solver_adj" localSheetId="0" hidden="1">'Opgave 1'!$B$39</definedName>
    <definedName name="solver_adj" localSheetId="1" hidden="1">'Opgave 2'!$B$30:$B$31</definedName>
    <definedName name="solver_adj" localSheetId="2" hidden="1">'Opgave 3'!$B$17</definedName>
    <definedName name="solver_cvg" localSheetId="3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3" hidden="1">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3" hidden="1">1</definedName>
    <definedName name="solver_eng" localSheetId="0" hidden="1">1</definedName>
    <definedName name="solver_eng" localSheetId="1" hidden="1">2</definedName>
    <definedName name="solver_eng" localSheetId="2" hidden="1">1</definedName>
    <definedName name="solver_est" localSheetId="3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3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1" hidden="1">'Opgave 2'!$A$34:$A$38</definedName>
    <definedName name="solver_mip" localSheetId="3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3" hidden="1">30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3" hidden="1">0.075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3" hidden="1">2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3" hidden="1">1</definedName>
    <definedName name="solver_neg" localSheetId="0" hidden="1">1</definedName>
    <definedName name="solver_neg" localSheetId="1" hidden="1">2</definedName>
    <definedName name="solver_neg" localSheetId="2" hidden="1">2</definedName>
    <definedName name="solver_nod" localSheetId="3" hidden="1">2147483647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3" hidden="1">0</definedName>
    <definedName name="solver_num" localSheetId="0" hidden="1">0</definedName>
    <definedName name="solver_num" localSheetId="1" hidden="1">1</definedName>
    <definedName name="solver_num" localSheetId="2" hidden="1">0</definedName>
    <definedName name="solver_nwt" localSheetId="3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3" hidden="1">'Noter, opgave 3 IGNORER'!$J$16</definedName>
    <definedName name="solver_opt" localSheetId="0" hidden="1">'Opgave 1'!$A$47</definedName>
    <definedName name="solver_opt" localSheetId="1" hidden="1">'Opgave 2'!$D$31</definedName>
    <definedName name="solver_opt" localSheetId="2" hidden="1">'Opgave 3'!$H$20</definedName>
    <definedName name="solver_pre" localSheetId="3" hidden="1">0.000001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3" hidden="1">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1" hidden="1">1</definedName>
    <definedName name="solver_rhs1" localSheetId="1" hidden="1">'Opgave 2'!$B$34:$B$38</definedName>
    <definedName name="solver_rlx" localSheetId="3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3" hidden="1">0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3" hidden="1">1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3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3" hidden="1">100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3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3" hidden="1">0.01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3" hidden="1">3</definedName>
    <definedName name="solver_typ" localSheetId="0" hidden="1">3</definedName>
    <definedName name="solver_typ" localSheetId="1" hidden="1">1</definedName>
    <definedName name="solver_typ" localSheetId="2" hidden="1">3</definedName>
    <definedName name="solver_val" localSheetId="3" hidden="1">100</definedName>
    <definedName name="solver_val" localSheetId="0" hidden="1">0</definedName>
    <definedName name="solver_val" localSheetId="1" hidden="1">0</definedName>
    <definedName name="solver_val" localSheetId="2" hidden="1">100</definedName>
    <definedName name="solver_ver" localSheetId="3" hidden="1">3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4" l="1"/>
  <c r="B19" i="4"/>
  <c r="H20" i="4" s="1"/>
  <c r="B34" i="2" l="1" a="1"/>
  <c r="B35" i="2" s="1"/>
  <c r="B22" i="2" a="1"/>
  <c r="B23" i="2" s="1"/>
  <c r="G11" i="2"/>
  <c r="F11" i="2"/>
  <c r="E11" i="2"/>
  <c r="D11" i="2"/>
  <c r="C11" i="2"/>
  <c r="A34" i="2" a="1"/>
  <c r="A34" i="2" s="1"/>
  <c r="A22" i="2" a="1"/>
  <c r="A23" i="2" s="1"/>
  <c r="G10" i="2"/>
  <c r="F10" i="2"/>
  <c r="E10" i="2"/>
  <c r="D10" i="2"/>
  <c r="C10" i="2"/>
  <c r="B34" i="2" l="1"/>
  <c r="B38" i="2"/>
  <c r="B37" i="2"/>
  <c r="B36" i="2"/>
  <c r="B22" i="2"/>
  <c r="B25" i="2"/>
  <c r="B24" i="2"/>
  <c r="B26" i="2"/>
  <c r="A37" i="2"/>
  <c r="A36" i="2"/>
  <c r="A35" i="2"/>
  <c r="A38" i="2"/>
  <c r="A22" i="2"/>
  <c r="A26" i="2"/>
  <c r="A24" i="2"/>
  <c r="A25" i="2"/>
  <c r="C7" i="2"/>
  <c r="G36" i="4" l="1"/>
  <c r="H12" i="4"/>
  <c r="D12" i="4"/>
  <c r="A12" i="4"/>
  <c r="H11" i="4"/>
  <c r="D11" i="4"/>
  <c r="H10" i="4"/>
  <c r="G20" i="1"/>
  <c r="J45" i="3"/>
  <c r="J44" i="3"/>
  <c r="J43" i="3"/>
  <c r="J42" i="3"/>
  <c r="C45" i="3"/>
  <c r="C44" i="3"/>
  <c r="C43" i="3"/>
  <c r="C42" i="3"/>
  <c r="M54" i="3"/>
  <c r="M53" i="3"/>
  <c r="M52" i="3"/>
  <c r="F52" i="3"/>
  <c r="K53" i="3"/>
  <c r="K52" i="3"/>
  <c r="K54" i="3" s="1"/>
  <c r="J52" i="3"/>
  <c r="J53" i="3"/>
  <c r="I53" i="3"/>
  <c r="I52" i="3"/>
  <c r="F54" i="3"/>
  <c r="F53" i="3"/>
  <c r="D54" i="3"/>
  <c r="D53" i="3"/>
  <c r="D52" i="3"/>
  <c r="B53" i="3"/>
  <c r="B52" i="3"/>
  <c r="J37" i="3"/>
  <c r="J36" i="3"/>
  <c r="B45" i="3"/>
  <c r="B44" i="3"/>
  <c r="B43" i="3"/>
  <c r="B42" i="3"/>
  <c r="F29" i="3"/>
  <c r="B22" i="3"/>
  <c r="E22" i="3" s="1"/>
  <c r="E19" i="3" s="1"/>
  <c r="H10" i="3"/>
  <c r="D12" i="3"/>
  <c r="C12" i="3" s="1"/>
  <c r="K11" i="3" s="1"/>
  <c r="D11" i="3"/>
  <c r="A12" i="3"/>
  <c r="K10" i="3"/>
  <c r="H12" i="3"/>
  <c r="H11" i="3"/>
  <c r="G11" i="3" s="1"/>
  <c r="F38" i="4" l="1"/>
  <c r="G37" i="4"/>
  <c r="J37" i="4" s="1"/>
  <c r="F37" i="4"/>
  <c r="C12" i="4"/>
  <c r="J11" i="4" s="1"/>
  <c r="G12" i="4"/>
  <c r="J10" i="4"/>
  <c r="E19" i="4"/>
  <c r="E16" i="4" s="1"/>
  <c r="J29" i="3"/>
  <c r="J38" i="3"/>
  <c r="I36" i="3"/>
  <c r="B37" i="3"/>
  <c r="I37" i="3"/>
  <c r="B36" i="3"/>
  <c r="F30" i="3"/>
  <c r="J30" i="3" s="1"/>
  <c r="J35" i="3"/>
  <c r="J16" i="3"/>
  <c r="F22" i="3"/>
  <c r="G12" i="3"/>
  <c r="F12" i="4" l="1"/>
  <c r="J12" i="4" s="1"/>
  <c r="B26" i="4"/>
  <c r="B25" i="4"/>
  <c r="K43" i="3"/>
  <c r="F19" i="3"/>
  <c r="C35" i="3"/>
  <c r="C30" i="3"/>
  <c r="C29" i="3"/>
  <c r="B29" i="3" s="1"/>
  <c r="C52" i="3" s="1"/>
  <c r="C37" i="3"/>
  <c r="K45" i="3"/>
  <c r="C38" i="3"/>
  <c r="K44" i="3"/>
  <c r="E30" i="3"/>
  <c r="I30" i="3" s="1"/>
  <c r="C36" i="3"/>
  <c r="F12" i="3"/>
  <c r="K12" i="3" s="1"/>
  <c r="G39" i="4" l="1"/>
  <c r="G38" i="4"/>
  <c r="B37" i="4"/>
  <c r="B38" i="4"/>
  <c r="B41" i="4" s="1"/>
  <c r="F19" i="4"/>
  <c r="C26" i="4" s="1"/>
  <c r="D44" i="3"/>
  <c r="D43" i="3"/>
  <c r="D42" i="3"/>
  <c r="D45" i="3"/>
  <c r="K42" i="3"/>
  <c r="K46" i="3" s="1"/>
  <c r="M42" i="3" s="1"/>
  <c r="J38" i="4" l="1"/>
  <c r="I38" i="4" s="1"/>
  <c r="B40" i="4"/>
  <c r="A38" i="4"/>
  <c r="A41" i="4" s="1"/>
  <c r="C24" i="4"/>
  <c r="F16" i="4"/>
  <c r="C25" i="4"/>
  <c r="C27" i="4"/>
  <c r="F26" i="4" s="1"/>
  <c r="D46" i="3"/>
  <c r="F42" i="3" s="1"/>
  <c r="M45" i="3"/>
  <c r="M43" i="3"/>
  <c r="M44" i="3"/>
  <c r="F25" i="4" l="1"/>
  <c r="E26" i="4" s="1"/>
  <c r="F45" i="3"/>
  <c r="F44" i="3"/>
  <c r="F43" i="3"/>
  <c r="M46" i="3"/>
  <c r="F46" i="3" l="1"/>
  <c r="D31" i="2" l="1" a="1"/>
  <c r="D31" i="2" s="1"/>
  <c r="D19" i="2" a="1"/>
  <c r="D19" i="2" s="1"/>
  <c r="D5" i="2"/>
  <c r="D7" i="2" s="1"/>
  <c r="C4" i="2"/>
  <c r="D4" i="2"/>
  <c r="E4" i="2" s="1"/>
  <c r="F4" i="2" s="1"/>
  <c r="G4" i="2" s="1"/>
  <c r="G44" i="1"/>
  <c r="G42" i="1"/>
  <c r="G43" i="1"/>
  <c r="C44" i="1"/>
  <c r="C43" i="1"/>
  <c r="C42" i="1"/>
  <c r="G22" i="1"/>
  <c r="G21" i="1"/>
  <c r="C20" i="1"/>
  <c r="C22" i="1"/>
  <c r="C21" i="1"/>
  <c r="E27" i="1"/>
  <c r="C29" i="1"/>
  <c r="E29" i="1" s="1"/>
  <c r="C30" i="1"/>
  <c r="E30" i="1" s="1"/>
  <c r="C28" i="1"/>
  <c r="E28" i="1" s="1"/>
  <c r="C27" i="1"/>
  <c r="L11" i="1"/>
  <c r="L10" i="1"/>
  <c r="I11" i="1"/>
  <c r="I10" i="1"/>
  <c r="F11" i="1"/>
  <c r="F10" i="1"/>
  <c r="B16" i="1"/>
  <c r="B40" i="1" s="1"/>
  <c r="B4" i="1"/>
  <c r="D4" i="1"/>
  <c r="E4" i="1" s="1"/>
  <c r="F4" i="1" s="1"/>
  <c r="E5" i="2" l="1"/>
  <c r="F28" i="1"/>
  <c r="F12" i="1"/>
  <c r="N22" i="1" s="1"/>
  <c r="E3" i="1"/>
  <c r="F3" i="1" s="1"/>
  <c r="I12" i="1"/>
  <c r="L22" i="1"/>
  <c r="L20" i="1"/>
  <c r="F40" i="1"/>
  <c r="F2" i="1"/>
  <c r="J2" i="1" s="1"/>
  <c r="F29" i="1"/>
  <c r="I4" i="1"/>
  <c r="L12" i="1"/>
  <c r="F43" i="1"/>
  <c r="F44" i="1"/>
  <c r="B44" i="1"/>
  <c r="B43" i="1"/>
  <c r="J3" i="1"/>
  <c r="J4" i="1"/>
  <c r="I3" i="1"/>
  <c r="H4" i="1"/>
  <c r="F5" i="2" l="1"/>
  <c r="E7" i="2"/>
  <c r="O21" i="1"/>
  <c r="B21" i="1" s="1"/>
  <c r="A22" i="1" s="1"/>
  <c r="O22" i="1"/>
  <c r="B22" i="1" s="1"/>
  <c r="G29" i="1"/>
  <c r="E44" i="1"/>
  <c r="A44" i="1"/>
  <c r="G5" i="2" l="1"/>
  <c r="F7" i="2"/>
  <c r="F21" i="1"/>
  <c r="F22" i="1"/>
  <c r="L23" i="1" s="1"/>
  <c r="A47" i="1"/>
  <c r="G7" i="2" l="1"/>
  <c r="E22" i="1"/>
  <c r="L21" i="1"/>
  <c r="J22" i="1"/>
  <c r="E47" i="1" l="1"/>
  <c r="J23" i="1"/>
  <c r="B30" i="3"/>
  <c r="A30" i="3" l="1"/>
  <c r="C53" i="3"/>
</calcChain>
</file>

<file path=xl/sharedStrings.xml><?xml version="1.0" encoding="utf-8"?>
<sst xmlns="http://schemas.openxmlformats.org/spreadsheetml/2006/main" count="209" uniqueCount="124">
  <si>
    <t>Sigma</t>
  </si>
  <si>
    <t>S0</t>
  </si>
  <si>
    <t>a_1</t>
  </si>
  <si>
    <t>a_2</t>
  </si>
  <si>
    <t>Std. gitter</t>
  </si>
  <si>
    <t>Tiltet gitter</t>
  </si>
  <si>
    <t>r</t>
  </si>
  <si>
    <t>R</t>
  </si>
  <si>
    <t>Tid 0</t>
  </si>
  <si>
    <t>q</t>
  </si>
  <si>
    <t>u</t>
  </si>
  <si>
    <t xml:space="preserve">d </t>
  </si>
  <si>
    <t>Tid 1,ned</t>
  </si>
  <si>
    <t>d</t>
  </si>
  <si>
    <t>Tid 1, up</t>
  </si>
  <si>
    <t>1-periodedelmodellerne</t>
  </si>
  <si>
    <t>1a</t>
  </si>
  <si>
    <t>1b</t>
  </si>
  <si>
    <t xml:space="preserve"> </t>
  </si>
  <si>
    <t>&lt;- tid -&gt;</t>
  </si>
  <si>
    <t>K_asian</t>
  </si>
  <si>
    <t>Gns.</t>
  </si>
  <si>
    <t>Asiatisk optionspris</t>
  </si>
  <si>
    <t>K</t>
  </si>
  <si>
    <t>1c</t>
  </si>
  <si>
    <t>q'erne nyttigt arrangeret</t>
  </si>
  <si>
    <t>1d</t>
  </si>
  <si>
    <t xml:space="preserve">sigma </t>
  </si>
  <si>
    <t>\pi</t>
  </si>
  <si>
    <t>x</t>
  </si>
  <si>
    <t>a</t>
  </si>
  <si>
    <t>c</t>
  </si>
  <si>
    <t>b</t>
  </si>
  <si>
    <t>2a</t>
  </si>
  <si>
    <t>Øvre grrænse</t>
  </si>
  <si>
    <t>\theta</t>
  </si>
  <si>
    <t>\pi * \theta</t>
  </si>
  <si>
    <t>x^T</t>
  </si>
  <si>
    <t>D^T \theta</t>
  </si>
  <si>
    <t>Nedre grænse</t>
  </si>
  <si>
    <t>2b</t>
  </si>
  <si>
    <t>2a med paste as values</t>
  </si>
  <si>
    <t>Rentegitteret</t>
  </si>
  <si>
    <t>Betingede Q-ssh.</t>
  </si>
  <si>
    <t>0-&gt;1</t>
  </si>
  <si>
    <t>1-&gt;2</t>
  </si>
  <si>
    <t>P(.,1)</t>
  </si>
  <si>
    <t>P(.2)</t>
  </si>
  <si>
    <t>P(.3)</t>
  </si>
  <si>
    <t>Kurs</t>
  </si>
  <si>
    <t>Amortiseringsplan for det stående lån</t>
  </si>
  <si>
    <t>Restgæld</t>
  </si>
  <si>
    <t>H(0)</t>
  </si>
  <si>
    <t>H(1)</t>
  </si>
  <si>
    <t xml:space="preserve">H(2) </t>
  </si>
  <si>
    <t>Ydelse</t>
  </si>
  <si>
    <t>NK-renter</t>
  </si>
  <si>
    <t>H, hovedstol</t>
  </si>
  <si>
    <t>Kuponrente</t>
  </si>
  <si>
    <t>Løbetid</t>
  </si>
  <si>
    <t>Afdrag</t>
  </si>
  <si>
    <t>Vaiabel annuitet</t>
  </si>
  <si>
    <t>Konverterbar annuitet</t>
  </si>
  <si>
    <t>3c</t>
  </si>
  <si>
    <t>3b</t>
  </si>
  <si>
    <t>Betalinger i træer</t>
  </si>
  <si>
    <t>Samlede betalinger</t>
  </si>
  <si>
    <t>Sti</t>
  </si>
  <si>
    <t>Q-ssh</t>
  </si>
  <si>
    <t>(op, op)</t>
  </si>
  <si>
    <t>(op,ned)</t>
  </si>
  <si>
    <t>(ned,op)</t>
  </si>
  <si>
    <t>(ned,ned)</t>
  </si>
  <si>
    <t>Sum bet'</t>
  </si>
  <si>
    <t>Spredning</t>
  </si>
  <si>
    <t>Fastforrentet annuitet</t>
  </si>
  <si>
    <t>Tid 1-(betaling+markedsværdi)</t>
  </si>
  <si>
    <t>op</t>
  </si>
  <si>
    <t>Variabelt forrentet annuitet</t>
  </si>
  <si>
    <t>ned</t>
  </si>
  <si>
    <t xml:space="preserve">ned </t>
  </si>
  <si>
    <t>Q-gns.</t>
  </si>
  <si>
    <t>Niveauer (rho(t))</t>
  </si>
  <si>
    <t>Markedsværdi i træet (fra lokalkarakterisationen)</t>
  </si>
  <si>
    <t>Vi *ved* at variabelt forrentede lån handler til par.</t>
  </si>
  <si>
    <t>Variabel annuitet</t>
  </si>
  <si>
    <t>Kurs i gitter (std'beregning)</t>
  </si>
  <si>
    <t>Tjek: Kurs fra træ</t>
  </si>
  <si>
    <t>Betalinger i træ</t>
  </si>
  <si>
    <t>3d</t>
  </si>
  <si>
    <t>1.-årsydelsen på et variabelt forrentet lån er lavere end på et inkonverterbart lån (fordi rentestrukturen</t>
  </si>
  <si>
    <t>er voksende), som igen er mindre 1.-årsydelsen på det konverterbare lån (fordi dette handler under</t>
  </si>
  <si>
    <t>par skal vi udsteder for mere end 100 kr. hovedstol for at rejse 100 kr.).</t>
  </si>
  <si>
    <t>Vi ved at de Q-forventede betalinger fra alle lånene er 100 ("det er det, E^Q gør ved disk' betalinger).</t>
  </si>
  <si>
    <t>Hvad de P-forventede betalinger er, kan vi ikke sig noget om ud fra de givne oplysninger, der kun har</t>
  </si>
  <si>
    <t>med Q at gøre. Men at er lavest for variabelt og højest for konverterbare vil oftest være tilfældet.</t>
  </si>
  <si>
    <t xml:space="preserve">De aggregerede betainger (udiskonteret) for det inkonverterbare lån har spredning 0 (determinitiske), </t>
  </si>
  <si>
    <t>mens spredningen er &gt; 0 for det variabelt forrentede lån, da betalingerne er stokastiske. (Sprening for</t>
  </si>
  <si>
    <t>det konverterbare lån vil ligge imellem de to spredninger.)</t>
  </si>
  <si>
    <t>Hvis andelsboligforeningen har en kortere-end-2-år-horisont (altså 1 år), så vil *markedsværdien* af</t>
  </si>
  <si>
    <t>vil markedsværdien derimod være 50,06 (=y/1.08) i op-tilstanden) eller 53,00 = (y/1,02), altså</t>
  </si>
  <si>
    <t>behæftedt med usikkerhed. Og ned-tilstanden er ubehagelig for andelsboligforeningen.</t>
  </si>
  <si>
    <t xml:space="preserve">Ved at bruge et konverterbart lån forsikerer andelsboligforeningen sig mod store stigninger i </t>
  </si>
  <si>
    <t>markedsværdien af restgælden for lave renteniveauer; den kan her højest blive 51,56 = 51,31/0,9952.</t>
  </si>
  <si>
    <t>Da dividenden nu er en affine funtion af aktiekursen,</t>
  </si>
  <si>
    <t>så kan den replikeres perfekt med aktien og det risikofrie</t>
  </si>
  <si>
    <t>aktiv, og intevallet kollapser detfor til det enkelt punkt.</t>
  </si>
  <si>
    <t>&lt;- Max m/ Solver</t>
  </si>
  <si>
    <t>&lt;- Min m/ Solver</t>
  </si>
  <si>
    <t>Alle 1-periodedelmodellerne er komplette (u not = d) og arb'fri ( 0&lt;q&lt;1 i alle).</t>
  </si>
  <si>
    <t>Derfor er helt modellen komplet og arb'fri. (Men 1-per'delmodllerne er ikke ens.)</t>
  </si>
  <si>
    <t>Call-priser</t>
  </si>
  <si>
    <t>K=105-hedge (a~aktie, b~kr. i banken)</t>
  </si>
  <si>
    <t>Call-priser vokser med volatiliteten på det underliggende. At tage (tids)gennemsnit</t>
  </si>
  <si>
    <t>sænker volatilitet -- derfor er den asiatiske option billigere end den europæiske.</t>
  </si>
  <si>
    <t>Hvis modellen var et specialtilfælde af std'binom'modellen, så ville alle optioner have samme imp' vol'</t>
  </si>
  <si>
    <t>Det har de ikke (jf. lige ovenfor) -- så nej, modellen er ikke et specialtilfælde af std'binom'</t>
  </si>
  <si>
    <t>(Det kan også ses fra de ikke-ens u'er og d'er.)</t>
  </si>
  <si>
    <t>Prices</t>
  </si>
  <si>
    <t>Rollen som D: D = Price + dividend</t>
  </si>
  <si>
    <t>Amortiseringsplan for annuitetslånet</t>
  </si>
  <si>
    <t>den resterende gæld på tid 1 have betydning. For et variabelt lån, er der ingen usikkerhed om den den,</t>
  </si>
  <si>
    <t>den er den restende hovedstol uanset hvad (51.31). For det *inkonverterbare* fastfosrentede lån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</si>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</sst>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2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0" xfId="0" applyBorder="1"/>
    <xf numFmtId="0" fontId="3" fillId="0" borderId="0" xfId="0" applyFont="1" applyBorder="1"/>
    <xf numFmtId="0" fontId="0" fillId="0" borderId="5" xfId="0" applyBorder="1"/>
    <xf numFmtId="0" fontId="0" fillId="0" borderId="4" xfId="0" applyBorder="1"/>
    <xf numFmtId="0" fontId="3" fillId="0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64" fontId="3" fillId="0" borderId="4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0" fillId="0" borderId="0" xfId="0" applyNumberFormat="1" applyBorder="1"/>
    <xf numFmtId="164" fontId="0" fillId="0" borderId="5" xfId="0" applyNumberFormat="1" applyBorder="1"/>
    <xf numFmtId="164" fontId="3" fillId="4" borderId="6" xfId="0" applyNumberFormat="1" applyFont="1" applyFill="1" applyBorder="1" applyAlignment="1">
      <alignment horizontal="center"/>
    </xf>
    <xf numFmtId="164" fontId="3" fillId="0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0" fillId="4" borderId="7" xfId="0" applyNumberFormat="1" applyFill="1" applyBorder="1"/>
    <xf numFmtId="164" fontId="0" fillId="0" borderId="7" xfId="0" applyNumberFormat="1" applyBorder="1"/>
    <xf numFmtId="164" fontId="0" fillId="0" borderId="8" xfId="0" applyNumberFormat="1" applyBorder="1"/>
    <xf numFmtId="0" fontId="2" fillId="0" borderId="4" xfId="0" applyFont="1" applyBorder="1"/>
    <xf numFmtId="164" fontId="0" fillId="4" borderId="0" xfId="0" applyNumberFormat="1" applyFill="1" applyBorder="1"/>
    <xf numFmtId="2" fontId="0" fillId="5" borderId="0" xfId="0" applyNumberForma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0" fillId="0" borderId="0" xfId="0" applyNumberForma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0" fontId="0" fillId="4" borderId="0" xfId="0" applyNumberFormat="1" applyFill="1" applyBorder="1"/>
    <xf numFmtId="0" fontId="2" fillId="0" borderId="1" xfId="0" applyFont="1" applyFill="1" applyBorder="1" applyAlignment="1">
      <alignment horizontal="center"/>
    </xf>
    <xf numFmtId="10" fontId="0" fillId="0" borderId="0" xfId="0" applyNumberFormat="1"/>
    <xf numFmtId="2" fontId="0" fillId="0" borderId="2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2" fontId="0" fillId="0" borderId="0" xfId="0" applyNumberFormat="1" applyBorder="1"/>
    <xf numFmtId="0" fontId="3" fillId="0" borderId="0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64" fontId="3" fillId="4" borderId="0" xfId="0" applyNumberFormat="1" applyFont="1" applyFill="1" applyBorder="1" applyAlignment="1">
      <alignment horizontal="center"/>
    </xf>
    <xf numFmtId="10" fontId="0" fillId="0" borderId="5" xfId="0" applyNumberFormat="1" applyBorder="1"/>
    <xf numFmtId="164" fontId="3" fillId="4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2" fontId="0" fillId="0" borderId="7" xfId="0" applyNumberFormat="1" applyFill="1" applyBorder="1"/>
    <xf numFmtId="2" fontId="0" fillId="0" borderId="0" xfId="0" applyNumberFormat="1" applyFill="1" applyBorder="1" applyAlignment="1">
      <alignment horizontal="center"/>
    </xf>
    <xf numFmtId="2" fontId="0" fillId="0" borderId="5" xfId="0" applyNumberFormat="1" applyBorder="1"/>
    <xf numFmtId="0" fontId="0" fillId="4" borderId="0" xfId="0" applyFill="1" applyBorder="1"/>
    <xf numFmtId="0" fontId="0" fillId="6" borderId="0" xfId="0" applyFill="1" applyBorder="1"/>
    <xf numFmtId="0" fontId="1" fillId="0" borderId="4" xfId="0" applyFont="1" applyBorder="1"/>
    <xf numFmtId="0" fontId="1" fillId="0" borderId="0" xfId="0" applyFont="1" applyBorder="1"/>
    <xf numFmtId="2" fontId="0" fillId="6" borderId="0" xfId="0" applyNumberFormat="1" applyFill="1" applyBorder="1"/>
    <xf numFmtId="0" fontId="0" fillId="6" borderId="5" xfId="0" applyFill="1" applyBorder="1"/>
    <xf numFmtId="0" fontId="0" fillId="4" borderId="4" xfId="0" applyFill="1" applyBorder="1"/>
    <xf numFmtId="0" fontId="0" fillId="6" borderId="6" xfId="0" applyFill="1" applyBorder="1"/>
    <xf numFmtId="0" fontId="0" fillId="6" borderId="7" xfId="0" applyFill="1" applyBorder="1"/>
    <xf numFmtId="0" fontId="1" fillId="0" borderId="7" xfId="0" applyFont="1" applyBorder="1"/>
    <xf numFmtId="0" fontId="1" fillId="0" borderId="8" xfId="0" applyFont="1" applyBorder="1"/>
    <xf numFmtId="0" fontId="0" fillId="3" borderId="1" xfId="0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165" fontId="0" fillId="0" borderId="4" xfId="0" applyNumberFormat="1" applyFont="1" applyBorder="1"/>
    <xf numFmtId="165" fontId="0" fillId="0" borderId="0" xfId="0" applyNumberFormat="1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6" borderId="0" xfId="0" applyFont="1" applyFill="1" applyBorder="1"/>
    <xf numFmtId="0" fontId="0" fillId="6" borderId="5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5" fontId="0" fillId="0" borderId="0" xfId="0" applyNumberFormat="1" applyBorder="1"/>
    <xf numFmtId="0" fontId="0" fillId="4" borderId="11" xfId="0" applyFill="1" applyBorder="1"/>
    <xf numFmtId="0" fontId="0" fillId="0" borderId="16" xfId="0" applyBorder="1"/>
    <xf numFmtId="0" fontId="0" fillId="3" borderId="9" xfId="0" applyFill="1" applyBorder="1"/>
    <xf numFmtId="0" fontId="0" fillId="4" borderId="12" xfId="0" applyFill="1" applyBorder="1"/>
    <xf numFmtId="0" fontId="1" fillId="0" borderId="11" xfId="0" applyFont="1" applyBorder="1"/>
    <xf numFmtId="0" fontId="0" fillId="3" borderId="1" xfId="0" applyFont="1" applyFill="1" applyBorder="1"/>
    <xf numFmtId="166" fontId="0" fillId="4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opLeftCell="A34" zoomScale="134" workbookViewId="0">
      <selection activeCell="B39" sqref="B39"/>
    </sheetView>
  </sheetViews>
  <sheetFormatPr defaultRowHeight="14.5" x14ac:dyDescent="0.35"/>
  <sheetData>
    <row r="1" spans="1:12" x14ac:dyDescent="0.35">
      <c r="A1" t="s">
        <v>0</v>
      </c>
      <c r="B1">
        <v>0.2</v>
      </c>
      <c r="D1" t="s">
        <v>4</v>
      </c>
      <c r="H1" t="s">
        <v>5</v>
      </c>
    </row>
    <row r="2" spans="1:12" x14ac:dyDescent="0.35">
      <c r="A2" t="s">
        <v>1</v>
      </c>
      <c r="B2">
        <v>100</v>
      </c>
      <c r="F2">
        <f>E3*EXP($B$1)</f>
        <v>149.18246976412703</v>
      </c>
      <c r="J2">
        <f t="shared" ref="J2:J4" si="0">F2*$B$4+$B$3</f>
        <v>159.01896371695244</v>
      </c>
    </row>
    <row r="3" spans="1:12" x14ac:dyDescent="0.35">
      <c r="A3" t="s">
        <v>2</v>
      </c>
      <c r="B3">
        <v>-20</v>
      </c>
      <c r="E3">
        <f>D4*EXP($B$1)</f>
        <v>122.14027581601698</v>
      </c>
      <c r="F3">
        <f t="shared" ref="F3:F4" si="1">E3*EXP(-$B$1)</f>
        <v>100</v>
      </c>
      <c r="I3">
        <f t="shared" ref="I3:I4" si="2">E3*$B$4+$B$3</f>
        <v>126.56833097922038</v>
      </c>
      <c r="J3">
        <f t="shared" si="0"/>
        <v>100</v>
      </c>
    </row>
    <row r="4" spans="1:12" x14ac:dyDescent="0.35">
      <c r="A4" t="s">
        <v>3</v>
      </c>
      <c r="B4">
        <f>(1-B3/B2)</f>
        <v>1.2</v>
      </c>
      <c r="D4">
        <f>B2</f>
        <v>100</v>
      </c>
      <c r="E4">
        <f>D4*EXP(-$B$1)</f>
        <v>81.873075307798189</v>
      </c>
      <c r="F4">
        <f t="shared" si="1"/>
        <v>67.032004603563934</v>
      </c>
      <c r="H4">
        <f>D4*$B$4+$B$3</f>
        <v>100</v>
      </c>
      <c r="I4">
        <f t="shared" si="2"/>
        <v>78.247690369357827</v>
      </c>
      <c r="J4">
        <f t="shared" si="0"/>
        <v>60.438405524276718</v>
      </c>
    </row>
    <row r="6" spans="1:12" ht="15" thickBot="1" x14ac:dyDescent="0.4"/>
    <row r="7" spans="1:12" ht="15" thickTop="1" x14ac:dyDescent="0.35">
      <c r="A7" s="87" t="s">
        <v>16</v>
      </c>
      <c r="B7" s="63"/>
      <c r="C7" s="63"/>
      <c r="D7" s="63"/>
      <c r="E7" s="63"/>
      <c r="F7" s="63"/>
      <c r="G7" s="63"/>
      <c r="H7" s="63"/>
      <c r="I7" s="63"/>
      <c r="J7" s="63"/>
      <c r="K7" s="63"/>
      <c r="L7" s="64"/>
    </row>
    <row r="8" spans="1:12" x14ac:dyDescent="0.35">
      <c r="A8" s="65"/>
      <c r="B8" s="66"/>
      <c r="C8" s="66"/>
      <c r="D8" s="66"/>
      <c r="E8" s="66" t="s">
        <v>15</v>
      </c>
      <c r="F8" s="66"/>
      <c r="G8" s="66"/>
      <c r="H8" s="66"/>
      <c r="I8" s="66"/>
      <c r="J8" s="66"/>
      <c r="K8" s="66"/>
      <c r="L8" s="67"/>
    </row>
    <row r="9" spans="1:12" x14ac:dyDescent="0.35">
      <c r="A9" s="65"/>
      <c r="B9" s="66"/>
      <c r="C9" s="66"/>
      <c r="D9" s="66"/>
      <c r="E9" s="66" t="s">
        <v>8</v>
      </c>
      <c r="F9" s="66"/>
      <c r="G9" s="66"/>
      <c r="H9" s="66" t="s">
        <v>12</v>
      </c>
      <c r="I9" s="66"/>
      <c r="J9" s="66"/>
      <c r="K9" s="66" t="s">
        <v>14</v>
      </c>
      <c r="L9" s="67"/>
    </row>
    <row r="10" spans="1:12" x14ac:dyDescent="0.35">
      <c r="A10" s="68"/>
      <c r="B10" s="69"/>
      <c r="C10" s="69">
        <v>159.01896371695244</v>
      </c>
      <c r="D10" s="66"/>
      <c r="E10" s="66" t="s">
        <v>10</v>
      </c>
      <c r="F10" s="66">
        <f>B11/A12</f>
        <v>1.2656833097922038</v>
      </c>
      <c r="G10" s="66"/>
      <c r="H10" s="66" t="s">
        <v>10</v>
      </c>
      <c r="I10" s="66">
        <f>C11/B12</f>
        <v>1.2779929928661573</v>
      </c>
      <c r="J10" s="66"/>
      <c r="K10" s="66" t="s">
        <v>10</v>
      </c>
      <c r="L10" s="67">
        <f>C10/B11</f>
        <v>1.2563882488350084</v>
      </c>
    </row>
    <row r="11" spans="1:12" x14ac:dyDescent="0.35">
      <c r="A11" s="68"/>
      <c r="B11" s="69">
        <v>126.56833097922038</v>
      </c>
      <c r="C11" s="69">
        <v>100</v>
      </c>
      <c r="D11" s="66"/>
      <c r="E11" s="66" t="s">
        <v>11</v>
      </c>
      <c r="F11" s="66">
        <f>B12/A12</f>
        <v>0.78247690369357825</v>
      </c>
      <c r="G11" s="66"/>
      <c r="H11" s="66" t="s">
        <v>13</v>
      </c>
      <c r="I11" s="66">
        <f>C12/B12</f>
        <v>0.7723985876002889</v>
      </c>
      <c r="J11" s="66"/>
      <c r="K11" s="66" t="s">
        <v>13</v>
      </c>
      <c r="L11" s="67">
        <f>C11/B11</f>
        <v>0.79008705595096862</v>
      </c>
    </row>
    <row r="12" spans="1:12" x14ac:dyDescent="0.35">
      <c r="A12" s="68">
        <v>100</v>
      </c>
      <c r="B12" s="69">
        <v>78.247690369357827</v>
      </c>
      <c r="C12" s="69">
        <v>60.438405524276718</v>
      </c>
      <c r="D12" s="66"/>
      <c r="E12" s="66" t="s">
        <v>9</v>
      </c>
      <c r="F12" s="73">
        <f>($B$16-F11)/(F10-F11)</f>
        <v>0.4915561824276431</v>
      </c>
      <c r="G12" s="66"/>
      <c r="H12" s="66" t="s">
        <v>9</v>
      </c>
      <c r="I12" s="73">
        <f>($B$16-I11)/(I10-I11)</f>
        <v>0.48972340243660162</v>
      </c>
      <c r="J12" s="66"/>
      <c r="K12" s="66" t="s">
        <v>9</v>
      </c>
      <c r="L12" s="74">
        <f>($B$16-L11)/(L10-L11)</f>
        <v>0.49305673576993475</v>
      </c>
    </row>
    <row r="13" spans="1:12" x14ac:dyDescent="0.35">
      <c r="A13" s="65">
        <v>0</v>
      </c>
      <c r="B13" s="66">
        <v>1</v>
      </c>
      <c r="C13" s="66">
        <v>2</v>
      </c>
      <c r="D13" s="66"/>
      <c r="E13" s="66"/>
      <c r="F13" s="66"/>
      <c r="G13" s="66"/>
      <c r="H13" s="66"/>
      <c r="I13" s="66"/>
      <c r="J13" s="66"/>
      <c r="K13" s="66"/>
      <c r="L13" s="67"/>
    </row>
    <row r="14" spans="1:12" x14ac:dyDescent="0.35">
      <c r="A14" s="65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7"/>
    </row>
    <row r="15" spans="1:12" x14ac:dyDescent="0.35">
      <c r="A15" s="65" t="s">
        <v>6</v>
      </c>
      <c r="B15" s="66">
        <v>0.02</v>
      </c>
      <c r="C15" s="66"/>
      <c r="D15" s="66"/>
      <c r="E15" s="66" t="s">
        <v>109</v>
      </c>
      <c r="F15" s="66"/>
      <c r="G15" s="66"/>
      <c r="H15" s="66"/>
      <c r="I15" s="66"/>
      <c r="J15" s="66"/>
      <c r="K15" s="66"/>
      <c r="L15" s="67"/>
    </row>
    <row r="16" spans="1:12" ht="15" thickBot="1" x14ac:dyDescent="0.4">
      <c r="A16" s="70" t="s">
        <v>7</v>
      </c>
      <c r="B16" s="71">
        <f>1+B15</f>
        <v>1.02</v>
      </c>
      <c r="C16" s="71"/>
      <c r="D16" s="71"/>
      <c r="E16" s="71" t="s">
        <v>110</v>
      </c>
      <c r="F16" s="71"/>
      <c r="G16" s="71"/>
      <c r="H16" s="71"/>
      <c r="I16" s="71"/>
      <c r="J16" s="71"/>
      <c r="K16" s="71"/>
      <c r="L16" s="72"/>
    </row>
    <row r="17" spans="1:16" ht="15.5" thickTop="1" thickBot="1" x14ac:dyDescent="0.4"/>
    <row r="18" spans="1:16" x14ac:dyDescent="0.35">
      <c r="A18" s="84" t="s">
        <v>17</v>
      </c>
      <c r="B18" s="80" t="s">
        <v>111</v>
      </c>
      <c r="C18" s="80"/>
      <c r="D18" s="80"/>
      <c r="E18" s="80"/>
      <c r="F18" s="80"/>
      <c r="G18" s="80"/>
      <c r="H18" s="80"/>
      <c r="I18" s="80" t="s">
        <v>112</v>
      </c>
      <c r="J18" s="80"/>
      <c r="K18" s="80"/>
      <c r="L18" s="75"/>
      <c r="M18" s="80"/>
      <c r="N18" s="80"/>
      <c r="O18" s="80"/>
      <c r="P18" s="75"/>
    </row>
    <row r="19" spans="1:16" x14ac:dyDescent="0.35">
      <c r="A19" s="76" t="s">
        <v>23</v>
      </c>
      <c r="B19" s="6"/>
      <c r="C19" s="6">
        <v>95</v>
      </c>
      <c r="D19" s="6"/>
      <c r="E19" s="6" t="s">
        <v>23</v>
      </c>
      <c r="F19" s="6"/>
      <c r="G19" s="6">
        <v>105</v>
      </c>
      <c r="H19" s="6"/>
      <c r="I19" s="6"/>
      <c r="J19" s="6"/>
      <c r="K19" s="6"/>
      <c r="L19" s="77"/>
      <c r="M19" s="6"/>
      <c r="N19" s="6" t="s">
        <v>25</v>
      </c>
      <c r="O19" s="6"/>
      <c r="P19" s="77"/>
    </row>
    <row r="20" spans="1:16" x14ac:dyDescent="0.35">
      <c r="A20" s="76"/>
      <c r="B20" s="6"/>
      <c r="C20" s="6">
        <f>MAX(C10-$C$19,0)</f>
        <v>64.018963716952442</v>
      </c>
      <c r="D20" s="6"/>
      <c r="E20" s="6"/>
      <c r="F20" s="6"/>
      <c r="G20" s="81">
        <f>MAX(C10-$G$19,0)</f>
        <v>54.018963716952442</v>
      </c>
      <c r="H20" s="6"/>
      <c r="I20" s="6"/>
      <c r="J20" s="6"/>
      <c r="K20" s="6" t="s">
        <v>30</v>
      </c>
      <c r="L20" s="85">
        <f>(G20-G21)/(C10-C11)</f>
        <v>0.91528146742834438</v>
      </c>
      <c r="M20" s="6"/>
      <c r="N20" s="6"/>
      <c r="O20" s="6"/>
      <c r="P20" s="77"/>
    </row>
    <row r="21" spans="1:16" x14ac:dyDescent="0.35">
      <c r="A21" s="76"/>
      <c r="B21" s="6">
        <f>(C20*O21+C21*(1-O21))/$B$16</f>
        <v>33.431076077259597</v>
      </c>
      <c r="C21" s="6">
        <f t="shared" ref="C21:C22" si="3">MAX(C11-$C$19,0)</f>
        <v>5</v>
      </c>
      <c r="D21" s="6"/>
      <c r="E21" s="6"/>
      <c r="F21" s="6">
        <f>(G20*O21+G21*(1-O21))/$B$16</f>
        <v>26.112170509759913</v>
      </c>
      <c r="G21" s="6">
        <f t="shared" ref="G21:G22" si="4">MAX(C11-$G$19,0)</f>
        <v>0</v>
      </c>
      <c r="H21" s="6"/>
      <c r="I21" s="6"/>
      <c r="J21" s="6"/>
      <c r="K21" s="6" t="s">
        <v>32</v>
      </c>
      <c r="L21" s="85">
        <f>F21-L20*B11</f>
        <v>-89.733477198857287</v>
      </c>
      <c r="M21" s="6"/>
      <c r="N21" s="6"/>
      <c r="O21" s="6">
        <f>L12</f>
        <v>0.49305673576993475</v>
      </c>
      <c r="P21" s="77"/>
    </row>
    <row r="22" spans="1:16" x14ac:dyDescent="0.35">
      <c r="A22" s="82">
        <f>(B21*N22+B22*(1-N22))/$B$16</f>
        <v>17.307671429308435</v>
      </c>
      <c r="B22" s="6">
        <f>(C21*O22+C22*(1-O22))/$B$16</f>
        <v>2.4006049139049099</v>
      </c>
      <c r="C22" s="6">
        <f t="shared" si="3"/>
        <v>0</v>
      </c>
      <c r="D22" s="6"/>
      <c r="E22" s="51">
        <f>(F21*N22+F22*(1-N22))/$B$16</f>
        <v>12.583920441840457</v>
      </c>
      <c r="F22" s="6">
        <f>(G21*O22+G22*(1-O22))/$B$16</f>
        <v>0</v>
      </c>
      <c r="G22" s="6">
        <f t="shared" si="4"/>
        <v>0</v>
      </c>
      <c r="H22" s="6"/>
      <c r="I22" s="6" t="s">
        <v>30</v>
      </c>
      <c r="J22" s="51">
        <f>(F21-F22)/(B11-B12)</f>
        <v>0.54039371540182468</v>
      </c>
      <c r="K22" s="6" t="s">
        <v>30</v>
      </c>
      <c r="L22" s="85">
        <f>(G21-G22)/(C11-C12)</f>
        <v>0</v>
      </c>
      <c r="M22" s="6"/>
      <c r="N22" s="6">
        <f>F12</f>
        <v>0.4915561824276431</v>
      </c>
      <c r="O22" s="6">
        <f>I12</f>
        <v>0.48972340243660162</v>
      </c>
      <c r="P22" s="77"/>
    </row>
    <row r="23" spans="1:16" x14ac:dyDescent="0.35">
      <c r="A23" s="76">
        <v>0</v>
      </c>
      <c r="B23" s="6">
        <v>1</v>
      </c>
      <c r="C23" s="6">
        <v>2</v>
      </c>
      <c r="D23" s="6"/>
      <c r="E23" s="6">
        <v>0</v>
      </c>
      <c r="F23" s="6">
        <v>1</v>
      </c>
      <c r="G23" s="6">
        <v>2</v>
      </c>
      <c r="H23" s="6"/>
      <c r="I23" s="6" t="s">
        <v>32</v>
      </c>
      <c r="J23" s="51">
        <f>E22-J22*A12</f>
        <v>-41.45545109834201</v>
      </c>
      <c r="K23" s="6" t="s">
        <v>32</v>
      </c>
      <c r="L23" s="85">
        <f>F22-L22*B12</f>
        <v>0</v>
      </c>
      <c r="M23" s="6"/>
      <c r="N23" s="6"/>
      <c r="O23" s="6"/>
      <c r="P23" s="77"/>
    </row>
    <row r="24" spans="1:16" ht="15" thickBot="1" x14ac:dyDescent="0.4">
      <c r="A24" s="78"/>
      <c r="B24" s="83"/>
      <c r="C24" s="83"/>
      <c r="D24" s="83"/>
      <c r="E24" s="83"/>
      <c r="F24" s="83"/>
      <c r="G24" s="83"/>
      <c r="H24" s="83"/>
      <c r="I24" s="83">
        <v>0</v>
      </c>
      <c r="J24" s="83"/>
      <c r="K24" s="83">
        <v>1</v>
      </c>
      <c r="L24" s="79"/>
      <c r="M24" s="83"/>
      <c r="N24" s="83"/>
      <c r="O24" s="83"/>
      <c r="P24" s="79"/>
    </row>
    <row r="25" spans="1:16" ht="15" thickBot="1" x14ac:dyDescent="0.4"/>
    <row r="26" spans="1:16" x14ac:dyDescent="0.35">
      <c r="A26" s="84" t="s">
        <v>24</v>
      </c>
      <c r="B26" s="80"/>
      <c r="C26" s="80" t="s">
        <v>21</v>
      </c>
      <c r="D26" s="80"/>
      <c r="E26" s="80" t="s">
        <v>22</v>
      </c>
      <c r="F26" s="80"/>
      <c r="G26" s="80"/>
      <c r="H26" s="80"/>
      <c r="I26" s="80"/>
      <c r="J26" s="80"/>
      <c r="K26" s="75"/>
    </row>
    <row r="27" spans="1:16" x14ac:dyDescent="0.35">
      <c r="A27" s="76"/>
      <c r="B27" s="6"/>
      <c r="C27" s="6">
        <f>(C10+B11+A12)/3</f>
        <v>128.52909823205761</v>
      </c>
      <c r="D27" s="6"/>
      <c r="E27" s="6">
        <f>MAX(C27-$B$34,0)</f>
        <v>23.529098232057606</v>
      </c>
      <c r="F27" s="6"/>
      <c r="G27" s="6"/>
      <c r="H27" s="6"/>
      <c r="I27" s="6"/>
      <c r="J27" s="6"/>
      <c r="K27" s="77"/>
    </row>
    <row r="28" spans="1:16" x14ac:dyDescent="0.35">
      <c r="A28" s="76"/>
      <c r="B28" s="6"/>
      <c r="C28" s="6">
        <f>(C11+B11+A12)/3</f>
        <v>108.85611032640679</v>
      </c>
      <c r="D28" s="6"/>
      <c r="E28" s="6">
        <f>MAX(C28-$B$34,0)</f>
        <v>3.8561103264067924</v>
      </c>
      <c r="F28" s="6">
        <f>(E27*L12+(1-L12)*E28)/B16</f>
        <v>13.290205417655283</v>
      </c>
      <c r="G28" s="6"/>
      <c r="H28" s="6"/>
      <c r="I28" s="6"/>
      <c r="J28" s="6"/>
      <c r="K28" s="77"/>
    </row>
    <row r="29" spans="1:16" x14ac:dyDescent="0.35">
      <c r="A29" s="76"/>
      <c r="B29" s="6"/>
      <c r="C29" s="6">
        <f>(C11+B12+A12)/3</f>
        <v>92.749230123119276</v>
      </c>
      <c r="D29" s="6"/>
      <c r="E29" s="6">
        <f>MAX(C29-$B$34,0)</f>
        <v>0</v>
      </c>
      <c r="F29" s="6">
        <f>(E29*I12+(1-I12)*E30)/B16</f>
        <v>0</v>
      </c>
      <c r="G29" s="51">
        <f>(F28*F12+(1-F12)*F29)/B16</f>
        <v>6.4047869007664815</v>
      </c>
      <c r="H29" s="6"/>
      <c r="I29" s="6"/>
      <c r="J29" s="6"/>
      <c r="K29" s="77"/>
    </row>
    <row r="30" spans="1:16" x14ac:dyDescent="0.35">
      <c r="A30" s="76" t="s">
        <v>18</v>
      </c>
      <c r="B30" s="6" t="s">
        <v>18</v>
      </c>
      <c r="C30" s="6">
        <f>(A12+B12+C12)/3</f>
        <v>79.562031964544857</v>
      </c>
      <c r="D30" s="6"/>
      <c r="E30" s="6">
        <f>MAX(C30-$B$34,0)</f>
        <v>0</v>
      </c>
      <c r="F30" s="6"/>
      <c r="G30" s="6"/>
      <c r="H30" s="6"/>
      <c r="I30" s="6"/>
      <c r="J30" s="6"/>
      <c r="K30" s="77"/>
    </row>
    <row r="31" spans="1:16" x14ac:dyDescent="0.35">
      <c r="A31" s="76"/>
      <c r="B31" s="6"/>
      <c r="C31" s="6"/>
      <c r="D31" s="6"/>
      <c r="E31" s="6"/>
      <c r="F31" s="6"/>
      <c r="G31" s="6"/>
      <c r="H31" s="6"/>
      <c r="I31" s="6"/>
      <c r="J31" s="6"/>
      <c r="K31" s="77"/>
    </row>
    <row r="32" spans="1:16" x14ac:dyDescent="0.35">
      <c r="A32" s="86">
        <v>0</v>
      </c>
      <c r="B32" s="54">
        <v>1</v>
      </c>
      <c r="C32" s="54">
        <v>2</v>
      </c>
      <c r="D32" s="6" t="s">
        <v>19</v>
      </c>
      <c r="E32" s="54">
        <v>2</v>
      </c>
      <c r="F32" s="54">
        <v>1</v>
      </c>
      <c r="G32" s="54">
        <v>0</v>
      </c>
      <c r="H32" s="6"/>
      <c r="I32" s="6"/>
      <c r="J32" s="6"/>
      <c r="K32" s="77"/>
    </row>
    <row r="33" spans="1:11" x14ac:dyDescent="0.35">
      <c r="A33" s="76"/>
      <c r="B33" s="6"/>
      <c r="C33" s="6"/>
      <c r="D33" s="6"/>
      <c r="E33" s="6"/>
      <c r="F33" s="6"/>
      <c r="G33" s="6"/>
      <c r="H33" s="6"/>
      <c r="I33" s="6"/>
      <c r="J33" s="6"/>
      <c r="K33" s="77"/>
    </row>
    <row r="34" spans="1:11" x14ac:dyDescent="0.35">
      <c r="A34" s="76" t="s">
        <v>20</v>
      </c>
      <c r="B34" s="6">
        <v>105</v>
      </c>
      <c r="C34" s="6"/>
      <c r="D34" s="6" t="s">
        <v>113</v>
      </c>
      <c r="E34" s="6"/>
      <c r="F34" s="6"/>
      <c r="G34" s="6"/>
      <c r="H34" s="6"/>
      <c r="I34" s="6"/>
      <c r="J34" s="6"/>
      <c r="K34" s="77"/>
    </row>
    <row r="35" spans="1:11" ht="15" thickBot="1" x14ac:dyDescent="0.4">
      <c r="A35" s="78"/>
      <c r="B35" s="83"/>
      <c r="C35" s="83"/>
      <c r="D35" s="83" t="s">
        <v>114</v>
      </c>
      <c r="E35" s="83"/>
      <c r="F35" s="83"/>
      <c r="G35" s="83"/>
      <c r="H35" s="83"/>
      <c r="I35" s="83"/>
      <c r="J35" s="83"/>
      <c r="K35" s="79"/>
    </row>
    <row r="36" spans="1:11" ht="15" thickBot="1" x14ac:dyDescent="0.4"/>
    <row r="37" spans="1:11" x14ac:dyDescent="0.35">
      <c r="A37" s="84" t="s">
        <v>26</v>
      </c>
      <c r="B37" s="80"/>
      <c r="C37" s="80"/>
      <c r="D37" s="80"/>
      <c r="E37" s="80"/>
      <c r="F37" s="80"/>
      <c r="G37" s="80"/>
      <c r="H37" s="80"/>
      <c r="I37" s="80"/>
      <c r="J37" s="75"/>
    </row>
    <row r="38" spans="1:11" x14ac:dyDescent="0.35">
      <c r="A38" s="76"/>
      <c r="B38" s="6"/>
      <c r="C38" s="6"/>
      <c r="D38" s="6"/>
      <c r="E38" s="6"/>
      <c r="F38" s="6"/>
      <c r="G38" s="6"/>
      <c r="H38" s="6"/>
      <c r="I38" s="6"/>
      <c r="J38" s="77"/>
    </row>
    <row r="39" spans="1:11" x14ac:dyDescent="0.35">
      <c r="A39" s="76" t="s">
        <v>27</v>
      </c>
      <c r="B39" s="51">
        <v>0.24134692260504603</v>
      </c>
      <c r="C39" s="6"/>
      <c r="D39" s="6"/>
      <c r="E39" s="6" t="s">
        <v>27</v>
      </c>
      <c r="F39" s="51">
        <v>0.23994854350423875</v>
      </c>
      <c r="G39" s="6"/>
      <c r="H39" s="6"/>
      <c r="I39" s="6"/>
      <c r="J39" s="77"/>
    </row>
    <row r="40" spans="1:11" x14ac:dyDescent="0.35">
      <c r="A40" s="76" t="s">
        <v>9</v>
      </c>
      <c r="B40" s="6">
        <f>($B$16-EXP(-$B$39))/(EXP($B$39)-EXP(-$B$39))</f>
        <v>0.48098905249427248</v>
      </c>
      <c r="C40" s="6"/>
      <c r="D40" s="6"/>
      <c r="E40" s="6" t="s">
        <v>9</v>
      </c>
      <c r="F40" s="6">
        <f>($B$16-EXP(-$F$39))/(EXP($F$39)-EXP(-$F$39))</f>
        <v>0.48157738923795335</v>
      </c>
      <c r="G40" s="6"/>
      <c r="H40" s="6"/>
      <c r="I40" s="6"/>
      <c r="J40" s="77"/>
    </row>
    <row r="41" spans="1:11" x14ac:dyDescent="0.35">
      <c r="A41" s="76" t="s">
        <v>23</v>
      </c>
      <c r="B41" s="6"/>
      <c r="C41" s="6">
        <v>95</v>
      </c>
      <c r="D41" s="6"/>
      <c r="E41" s="6" t="s">
        <v>23</v>
      </c>
      <c r="F41" s="6"/>
      <c r="G41" s="6">
        <v>105</v>
      </c>
      <c r="H41" s="6"/>
      <c r="I41" s="6"/>
      <c r="J41" s="77"/>
    </row>
    <row r="42" spans="1:11" x14ac:dyDescent="0.35">
      <c r="A42" s="76"/>
      <c r="B42" s="6"/>
      <c r="C42" s="6">
        <f>MAX($B$2*EXP(2*$B$39)-C41,0)</f>
        <v>67.043372551529018</v>
      </c>
      <c r="D42" s="6"/>
      <c r="E42" s="6"/>
      <c r="F42" s="6"/>
      <c r="G42" s="6">
        <f>MAX($B$2*EXP(2*$F$39)-G41,0)</f>
        <v>56.590809569933697</v>
      </c>
      <c r="H42" s="6"/>
      <c r="I42" s="6"/>
      <c r="J42" s="77"/>
    </row>
    <row r="43" spans="1:11" x14ac:dyDescent="0.35">
      <c r="A43" s="76"/>
      <c r="B43" s="6">
        <f>($B$40*C42+C43*(1-$B$40))/$B$16</f>
        <v>34.159002918734402</v>
      </c>
      <c r="C43" s="6">
        <f>MAX($B$2-C41,0)</f>
        <v>5</v>
      </c>
      <c r="D43" s="6"/>
      <c r="E43" s="6"/>
      <c r="F43" s="6">
        <f>($B$40*G42+G43*(1-$B$40))/$B$16</f>
        <v>26.685843014633544</v>
      </c>
      <c r="G43" s="6">
        <f>MAX($B$2-G41,0)</f>
        <v>0</v>
      </c>
      <c r="H43" s="6"/>
      <c r="I43" s="6"/>
      <c r="J43" s="77"/>
    </row>
    <row r="44" spans="1:11" x14ac:dyDescent="0.35">
      <c r="A44" s="76">
        <f>($B$40*B43+B44*(1-$B$40))/$B$16</f>
        <v>17.307671565134989</v>
      </c>
      <c r="B44" s="6">
        <f>($B$40*C43+C44*(1-$B$40))/$B$16</f>
        <v>2.3577894730111395</v>
      </c>
      <c r="C44" s="6">
        <f>MAX($B$2*EXP(-2*$B$39)-C41,0)</f>
        <v>0</v>
      </c>
      <c r="D44" s="6"/>
      <c r="E44" s="6">
        <f>($B$40*F43+F44*(1-$B$40))/$B$16</f>
        <v>12.583919947666164</v>
      </c>
      <c r="F44" s="6">
        <f>($B$40*G43+G44*(1-$B$40))/$B$16</f>
        <v>0</v>
      </c>
      <c r="G44" s="6">
        <f>MAX($B$2*EXP(-2*$F$39)-G41,0)</f>
        <v>0</v>
      </c>
      <c r="H44" s="6"/>
      <c r="I44" s="6"/>
      <c r="J44" s="77"/>
    </row>
    <row r="45" spans="1:11" x14ac:dyDescent="0.35">
      <c r="A45" s="76">
        <v>0</v>
      </c>
      <c r="B45" s="6">
        <v>1</v>
      </c>
      <c r="C45" s="6">
        <v>2</v>
      </c>
      <c r="D45" s="6"/>
      <c r="E45" s="6">
        <v>0</v>
      </c>
      <c r="F45" s="6">
        <v>1</v>
      </c>
      <c r="G45" s="6">
        <v>2</v>
      </c>
      <c r="H45" s="6"/>
      <c r="I45" s="6"/>
      <c r="J45" s="77"/>
    </row>
    <row r="46" spans="1:11" x14ac:dyDescent="0.35">
      <c r="A46" s="76"/>
      <c r="B46" s="6"/>
      <c r="C46" s="6"/>
      <c r="D46" s="6"/>
      <c r="E46" s="6"/>
      <c r="F46" s="6"/>
      <c r="G46" s="6"/>
      <c r="H46" s="6"/>
      <c r="I46" s="6"/>
      <c r="J46" s="77"/>
    </row>
    <row r="47" spans="1:11" x14ac:dyDescent="0.35">
      <c r="A47" s="76">
        <f>A44-A22</f>
        <v>1.358265535600367E-7</v>
      </c>
      <c r="B47" s="6"/>
      <c r="C47" s="6"/>
      <c r="D47" s="6"/>
      <c r="E47" s="6">
        <f>E44-E22</f>
        <v>-4.9417429259790424E-7</v>
      </c>
      <c r="F47" s="6"/>
      <c r="G47" s="6"/>
      <c r="H47" s="6"/>
      <c r="I47" s="6"/>
      <c r="J47" s="77"/>
    </row>
    <row r="48" spans="1:11" x14ac:dyDescent="0.35">
      <c r="A48" s="76"/>
      <c r="B48" s="6"/>
      <c r="C48" s="6"/>
      <c r="D48" s="6"/>
      <c r="E48" s="6"/>
      <c r="F48" s="6"/>
      <c r="G48" s="6"/>
      <c r="H48" s="6"/>
      <c r="I48" s="6"/>
      <c r="J48" s="77"/>
    </row>
    <row r="49" spans="1:10" x14ac:dyDescent="0.35">
      <c r="A49" s="76" t="s">
        <v>115</v>
      </c>
      <c r="B49" s="6"/>
      <c r="C49" s="6"/>
      <c r="D49" s="6"/>
      <c r="E49" s="6"/>
      <c r="F49" s="6"/>
      <c r="G49" s="6"/>
      <c r="H49" s="6"/>
      <c r="I49" s="6"/>
      <c r="J49" s="77"/>
    </row>
    <row r="50" spans="1:10" x14ac:dyDescent="0.35">
      <c r="A50" s="76" t="s">
        <v>116</v>
      </c>
      <c r="B50" s="6"/>
      <c r="C50" s="6"/>
      <c r="D50" s="6"/>
      <c r="E50" s="6"/>
      <c r="F50" s="6"/>
      <c r="G50" s="6"/>
      <c r="H50" s="6"/>
      <c r="I50" s="6"/>
      <c r="J50" s="77"/>
    </row>
    <row r="51" spans="1:10" ht="15" thickBot="1" x14ac:dyDescent="0.4">
      <c r="A51" s="78" t="s">
        <v>117</v>
      </c>
      <c r="B51" s="83"/>
      <c r="C51" s="83"/>
      <c r="D51" s="83"/>
      <c r="E51" s="83"/>
      <c r="F51" s="83"/>
      <c r="G51" s="83"/>
      <c r="H51" s="83"/>
      <c r="I51" s="83"/>
      <c r="J51" s="7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4"/>
  <sheetViews>
    <sheetView topLeftCell="A9" workbookViewId="0">
      <selection activeCell="K19" sqref="K19"/>
    </sheetView>
  </sheetViews>
  <sheetFormatPr defaultRowHeight="14.5" x14ac:dyDescent="0.35"/>
  <cols>
    <col min="1" max="1" width="10.54296875" customWidth="1"/>
    <col min="11" max="11" width="16.453125" customWidth="1"/>
    <col min="12" max="12" width="14.6328125" customWidth="1"/>
  </cols>
  <sheetData>
    <row r="3" spans="1:14" x14ac:dyDescent="0.35">
      <c r="A3" t="s">
        <v>28</v>
      </c>
      <c r="C3" t="s">
        <v>118</v>
      </c>
    </row>
    <row r="4" spans="1:14" x14ac:dyDescent="0.35">
      <c r="A4">
        <v>1</v>
      </c>
      <c r="C4">
        <f>1.05</f>
        <v>1.05</v>
      </c>
      <c r="D4">
        <f>C4</f>
        <v>1.05</v>
      </c>
      <c r="E4">
        <f t="shared" ref="E4:G4" si="0">D4</f>
        <v>1.05</v>
      </c>
      <c r="F4">
        <f t="shared" si="0"/>
        <v>1.05</v>
      </c>
      <c r="G4">
        <f t="shared" si="0"/>
        <v>1.05</v>
      </c>
    </row>
    <row r="5" spans="1:14" x14ac:dyDescent="0.35">
      <c r="A5">
        <v>100</v>
      </c>
      <c r="C5">
        <v>150</v>
      </c>
      <c r="D5">
        <f>C5-20</f>
        <v>130</v>
      </c>
      <c r="E5">
        <f t="shared" ref="E5:G5" si="1">D5-20</f>
        <v>110</v>
      </c>
      <c r="F5">
        <f t="shared" si="1"/>
        <v>90</v>
      </c>
      <c r="G5">
        <f t="shared" si="1"/>
        <v>70</v>
      </c>
      <c r="J5">
        <v>150</v>
      </c>
      <c r="K5">
        <v>130</v>
      </c>
      <c r="L5">
        <v>110</v>
      </c>
      <c r="M5">
        <v>90</v>
      </c>
      <c r="N5">
        <v>70</v>
      </c>
    </row>
    <row r="6" spans="1:14" x14ac:dyDescent="0.35">
      <c r="J6">
        <v>4.75</v>
      </c>
      <c r="K6">
        <v>3.99</v>
      </c>
      <c r="L6">
        <v>3.31</v>
      </c>
      <c r="M6">
        <v>2.71</v>
      </c>
      <c r="N6">
        <v>2.1900000000000004</v>
      </c>
    </row>
    <row r="7" spans="1:14" x14ac:dyDescent="0.35">
      <c r="A7" t="s">
        <v>37</v>
      </c>
      <c r="C7" s="1">
        <f>$J$7+$J$8*C5+$J$9*C5^2</f>
        <v>4.75</v>
      </c>
      <c r="D7" s="1">
        <f>$J$7+$J$8*D5+$J$9*D5^2</f>
        <v>3.99</v>
      </c>
      <c r="E7" s="1">
        <f>$J$7+$J$8*E5+$J$9*E5^2</f>
        <v>3.31</v>
      </c>
      <c r="F7" s="1">
        <f>$J$7+$J$8*F5+$J$9*F5^2</f>
        <v>2.71</v>
      </c>
      <c r="G7" s="1">
        <f>$J$7+$J$8*G5+$J$9*G5^2</f>
        <v>2.1900000000000004</v>
      </c>
      <c r="I7" t="s">
        <v>30</v>
      </c>
      <c r="J7">
        <v>1</v>
      </c>
    </row>
    <row r="8" spans="1:14" x14ac:dyDescent="0.35">
      <c r="C8">
        <v>4</v>
      </c>
      <c r="D8">
        <v>3.6</v>
      </c>
      <c r="E8">
        <v>3.2</v>
      </c>
      <c r="F8">
        <v>2.8</v>
      </c>
      <c r="G8">
        <v>2.4000000000000004</v>
      </c>
      <c r="I8" t="s">
        <v>32</v>
      </c>
      <c r="J8">
        <v>0.01</v>
      </c>
    </row>
    <row r="9" spans="1:14" x14ac:dyDescent="0.35">
      <c r="A9" t="s">
        <v>28</v>
      </c>
      <c r="C9" t="s">
        <v>119</v>
      </c>
      <c r="I9" t="s">
        <v>31</v>
      </c>
      <c r="J9">
        <v>1E-4</v>
      </c>
    </row>
    <row r="10" spans="1:14" x14ac:dyDescent="0.35">
      <c r="A10">
        <v>1</v>
      </c>
      <c r="C10">
        <f>C4</f>
        <v>1.05</v>
      </c>
      <c r="D10">
        <f t="shared" ref="D10:G10" si="2">D4</f>
        <v>1.05</v>
      </c>
      <c r="E10">
        <f t="shared" si="2"/>
        <v>1.05</v>
      </c>
      <c r="F10">
        <f t="shared" si="2"/>
        <v>1.05</v>
      </c>
      <c r="G10">
        <f t="shared" si="2"/>
        <v>1.05</v>
      </c>
    </row>
    <row r="11" spans="1:14" x14ac:dyDescent="0.35">
      <c r="A11">
        <v>100</v>
      </c>
      <c r="C11" s="1">
        <f>C5+C8</f>
        <v>154</v>
      </c>
      <c r="D11" s="1">
        <f t="shared" ref="D11:G11" si="3">D5+D8</f>
        <v>133.6</v>
      </c>
      <c r="E11" s="1">
        <f t="shared" si="3"/>
        <v>113.2</v>
      </c>
      <c r="F11" s="1">
        <f t="shared" si="3"/>
        <v>92.8</v>
      </c>
      <c r="G11" s="1">
        <f t="shared" si="3"/>
        <v>72.400000000000006</v>
      </c>
    </row>
    <row r="13" spans="1:14" ht="15" thickBot="1" x14ac:dyDescent="0.4">
      <c r="I13" t="s">
        <v>18</v>
      </c>
    </row>
    <row r="14" spans="1:14" ht="15" thickTop="1" x14ac:dyDescent="0.35">
      <c r="A14" s="62" t="s">
        <v>40</v>
      </c>
      <c r="B14" s="3"/>
      <c r="C14" s="3"/>
      <c r="D14" s="3"/>
      <c r="E14" s="3"/>
      <c r="F14" s="4"/>
      <c r="H14" s="62" t="s">
        <v>41</v>
      </c>
      <c r="I14" s="3"/>
      <c r="J14" s="3"/>
      <c r="K14" s="3" t="s">
        <v>30</v>
      </c>
      <c r="L14" s="4">
        <v>1</v>
      </c>
    </row>
    <row r="15" spans="1:14" x14ac:dyDescent="0.35">
      <c r="A15" s="9"/>
      <c r="B15" s="6"/>
      <c r="C15" s="6"/>
      <c r="D15" s="6"/>
      <c r="E15" s="6"/>
      <c r="F15" s="8"/>
      <c r="H15" s="9"/>
      <c r="I15" s="6"/>
      <c r="J15" s="6"/>
      <c r="K15" s="6" t="s">
        <v>32</v>
      </c>
      <c r="L15" s="8">
        <v>0.01</v>
      </c>
    </row>
    <row r="16" spans="1:14" x14ac:dyDescent="0.35">
      <c r="A16" s="9" t="s">
        <v>34</v>
      </c>
      <c r="B16" s="6"/>
      <c r="C16" s="6"/>
      <c r="D16" s="6"/>
      <c r="E16" s="6"/>
      <c r="F16" s="8"/>
      <c r="H16" s="9" t="s">
        <v>34</v>
      </c>
      <c r="I16" s="6"/>
      <c r="J16" s="6"/>
      <c r="K16" s="6" t="s">
        <v>31</v>
      </c>
      <c r="L16" s="8">
        <v>1E-4</v>
      </c>
    </row>
    <row r="17" spans="1:12" x14ac:dyDescent="0.35">
      <c r="A17" s="9"/>
      <c r="B17" s="6"/>
      <c r="C17" s="6"/>
      <c r="D17" s="6"/>
      <c r="E17" s="6"/>
      <c r="F17" s="8"/>
      <c r="H17" s="9"/>
      <c r="I17" s="6"/>
      <c r="J17" s="6"/>
      <c r="K17" s="6"/>
      <c r="L17" s="8"/>
    </row>
    <row r="18" spans="1:12" x14ac:dyDescent="0.35">
      <c r="A18" s="9" t="s">
        <v>35</v>
      </c>
      <c r="B18" s="6">
        <v>0.9337068160597588</v>
      </c>
      <c r="C18" s="6" t="s">
        <v>18</v>
      </c>
      <c r="D18" s="6" t="s">
        <v>36</v>
      </c>
      <c r="E18" s="6"/>
      <c r="F18" s="8"/>
      <c r="H18" s="9" t="s">
        <v>35</v>
      </c>
      <c r="I18" s="6">
        <v>-4.6142488002952536E-2</v>
      </c>
      <c r="J18" s="6" t="s">
        <v>18</v>
      </c>
      <c r="K18" s="6" t="s">
        <v>36</v>
      </c>
      <c r="L18" s="8"/>
    </row>
    <row r="19" spans="1:12" x14ac:dyDescent="0.35">
      <c r="A19" s="9"/>
      <c r="B19" s="6">
        <v>1.9607843137254884E-2</v>
      </c>
      <c r="C19" s="6"/>
      <c r="D19" s="51">
        <f t="array" ref="D19">MMULT(TRANSPOSE(A4:A5),B18:B19)</f>
        <v>2.8944911297852469</v>
      </c>
      <c r="E19" s="6" t="s">
        <v>108</v>
      </c>
      <c r="F19" s="8"/>
      <c r="H19" s="9"/>
      <c r="I19" s="6">
        <v>3.1007751937984492E-2</v>
      </c>
      <c r="J19" s="6"/>
      <c r="K19" s="51">
        <v>3.0546327057954969</v>
      </c>
      <c r="L19" s="8" t="s">
        <v>108</v>
      </c>
    </row>
    <row r="20" spans="1:12" x14ac:dyDescent="0.35">
      <c r="A20" s="9"/>
      <c r="B20" s="6">
        <v>0</v>
      </c>
      <c r="C20" s="6"/>
      <c r="D20" s="6"/>
      <c r="E20" s="6"/>
      <c r="F20" s="8"/>
      <c r="H20" s="9"/>
      <c r="I20" s="6"/>
      <c r="J20" s="6"/>
      <c r="K20" s="6"/>
      <c r="L20" s="8"/>
    </row>
    <row r="21" spans="1:12" x14ac:dyDescent="0.35">
      <c r="A21" s="9" t="s">
        <v>38</v>
      </c>
      <c r="B21" s="6" t="s">
        <v>29</v>
      </c>
      <c r="C21" s="6"/>
      <c r="D21" s="6"/>
      <c r="E21" s="6"/>
      <c r="F21" s="8"/>
      <c r="H21" s="9" t="s">
        <v>38</v>
      </c>
      <c r="I21" s="6" t="s">
        <v>29</v>
      </c>
      <c r="J21" s="6"/>
      <c r="K21" s="6"/>
      <c r="L21" s="8"/>
    </row>
    <row r="22" spans="1:12" x14ac:dyDescent="0.35">
      <c r="A22" s="9">
        <f t="array" ref="A22:A26">MMULT(TRANSPOSE($C$10:$G$11),B18:B19)</f>
        <v>3.9999999999999991</v>
      </c>
      <c r="B22" s="6">
        <f t="array" ref="B22:B26">TRANSPOSE($C$8:$G$8)</f>
        <v>4</v>
      </c>
      <c r="C22" s="6"/>
      <c r="D22" s="6"/>
      <c r="E22" s="6"/>
      <c r="F22" s="8"/>
      <c r="H22" s="9">
        <v>4.75</v>
      </c>
      <c r="I22" s="6">
        <v>4.75</v>
      </c>
      <c r="J22" s="6"/>
      <c r="K22" s="6"/>
      <c r="L22" s="8"/>
    </row>
    <row r="23" spans="1:12" x14ac:dyDescent="0.35">
      <c r="A23" s="9">
        <v>3.5999999999999992</v>
      </c>
      <c r="B23" s="6">
        <v>3.6</v>
      </c>
      <c r="C23" s="6"/>
      <c r="D23" s="6"/>
      <c r="E23" s="6"/>
      <c r="F23" s="8"/>
      <c r="H23" s="9">
        <v>4.1062790697674423</v>
      </c>
      <c r="I23" s="6">
        <v>3.99</v>
      </c>
      <c r="J23" s="6"/>
      <c r="K23" s="6"/>
      <c r="L23" s="8"/>
    </row>
    <row r="24" spans="1:12" x14ac:dyDescent="0.35">
      <c r="A24" s="9">
        <v>3.1999999999999997</v>
      </c>
      <c r="B24" s="6">
        <v>3.2</v>
      </c>
      <c r="C24" s="6"/>
      <c r="D24" s="6"/>
      <c r="E24" s="6"/>
      <c r="F24" s="8"/>
      <c r="H24" s="9">
        <v>3.4650387596899228</v>
      </c>
      <c r="I24" s="6">
        <v>3.31</v>
      </c>
      <c r="J24" s="6"/>
      <c r="K24" s="6"/>
      <c r="L24" s="8"/>
    </row>
    <row r="25" spans="1:12" x14ac:dyDescent="0.35">
      <c r="A25" s="9">
        <v>2.8</v>
      </c>
      <c r="B25" s="6">
        <v>2.8</v>
      </c>
      <c r="C25" s="6"/>
      <c r="D25" s="6"/>
      <c r="E25" s="6"/>
      <c r="F25" s="8"/>
      <c r="H25" s="9">
        <v>2.826279069767442</v>
      </c>
      <c r="I25" s="6">
        <v>2.71</v>
      </c>
      <c r="J25" s="6"/>
      <c r="K25" s="6"/>
      <c r="L25" s="8"/>
    </row>
    <row r="26" spans="1:12" x14ac:dyDescent="0.35">
      <c r="A26" s="9">
        <v>2.4000000000000004</v>
      </c>
      <c r="B26" s="6">
        <v>2.4000000000000004</v>
      </c>
      <c r="C26" s="6"/>
      <c r="D26" s="6"/>
      <c r="E26" s="6"/>
      <c r="F26" s="8"/>
      <c r="H26" s="9">
        <v>2.1900000000000004</v>
      </c>
      <c r="I26" s="6">
        <v>2.1900000000000004</v>
      </c>
      <c r="J26" s="6"/>
      <c r="K26" s="6"/>
      <c r="L26" s="8"/>
    </row>
    <row r="27" spans="1:12" x14ac:dyDescent="0.35">
      <c r="A27" s="9"/>
      <c r="B27" s="6"/>
      <c r="C27" s="6"/>
      <c r="D27" s="6"/>
      <c r="E27" s="6"/>
      <c r="F27" s="8"/>
      <c r="H27" s="9"/>
      <c r="I27" s="6"/>
      <c r="J27" s="6"/>
      <c r="K27" s="6"/>
      <c r="L27" s="8"/>
    </row>
    <row r="28" spans="1:12" x14ac:dyDescent="0.35">
      <c r="A28" s="9" t="s">
        <v>39</v>
      </c>
      <c r="B28" s="6"/>
      <c r="C28" s="6"/>
      <c r="D28" s="6"/>
      <c r="E28" s="6"/>
      <c r="F28" s="8"/>
      <c r="H28" s="9" t="s">
        <v>39</v>
      </c>
      <c r="I28" s="6"/>
      <c r="J28" s="6"/>
      <c r="K28" s="6"/>
      <c r="L28" s="8"/>
    </row>
    <row r="29" spans="1:12" x14ac:dyDescent="0.35">
      <c r="A29" s="9"/>
      <c r="B29" s="6"/>
      <c r="C29" s="6"/>
      <c r="D29" s="6"/>
      <c r="E29" s="6"/>
      <c r="F29" s="8"/>
      <c r="H29" s="9"/>
      <c r="I29" s="6"/>
      <c r="J29" s="6"/>
      <c r="K29" s="6"/>
      <c r="L29" s="8"/>
    </row>
    <row r="30" spans="1:12" x14ac:dyDescent="0.35">
      <c r="A30" s="9" t="s">
        <v>35</v>
      </c>
      <c r="B30" s="6">
        <v>0.9337068160597588</v>
      </c>
      <c r="C30" s="6"/>
      <c r="D30" s="6" t="s">
        <v>36</v>
      </c>
      <c r="E30" s="6"/>
      <c r="F30" s="8"/>
      <c r="H30" s="9" t="s">
        <v>35</v>
      </c>
      <c r="I30" s="6">
        <v>9.2464170134078372E-3</v>
      </c>
      <c r="J30" s="6"/>
      <c r="K30" s="6" t="s">
        <v>36</v>
      </c>
      <c r="L30" s="8"/>
    </row>
    <row r="31" spans="1:12" x14ac:dyDescent="0.35">
      <c r="A31" s="9"/>
      <c r="B31" s="6">
        <v>1.9607843137254884E-2</v>
      </c>
      <c r="C31" s="6"/>
      <c r="D31" s="51">
        <f t="array" ref="D31">MMULT(TRANSPOSE(A4:A5),B30:B31)</f>
        <v>2.8944911297852469</v>
      </c>
      <c r="E31" s="6" t="s">
        <v>107</v>
      </c>
      <c r="F31" s="8"/>
      <c r="H31" s="9"/>
      <c r="I31" s="6">
        <v>2.9126213592233004E-2</v>
      </c>
      <c r="J31" s="6"/>
      <c r="K31" s="51">
        <v>2.9218677762367085</v>
      </c>
      <c r="L31" s="8" t="s">
        <v>107</v>
      </c>
    </row>
    <row r="32" spans="1:12" x14ac:dyDescent="0.35">
      <c r="A32" s="9"/>
      <c r="B32" s="6"/>
      <c r="C32" s="6"/>
      <c r="D32" s="6"/>
      <c r="E32" s="6"/>
      <c r="F32" s="8"/>
      <c r="H32" s="9"/>
      <c r="I32" s="6"/>
      <c r="J32" s="6"/>
      <c r="K32" s="6"/>
      <c r="L32" s="8"/>
    </row>
    <row r="33" spans="1:12" x14ac:dyDescent="0.35">
      <c r="A33" s="9" t="s">
        <v>38</v>
      </c>
      <c r="B33" s="6" t="s">
        <v>29</v>
      </c>
      <c r="C33" s="6"/>
      <c r="D33" s="6"/>
      <c r="E33" s="6"/>
      <c r="F33" s="8"/>
      <c r="H33" s="9" t="s">
        <v>38</v>
      </c>
      <c r="I33" s="6" t="s">
        <v>29</v>
      </c>
      <c r="J33" s="6"/>
      <c r="K33" s="6"/>
      <c r="L33" s="8"/>
    </row>
    <row r="34" spans="1:12" x14ac:dyDescent="0.35">
      <c r="A34" s="9">
        <f t="array" ref="A34:A38">MMULT(TRANSPOSE($C$10:$G$11),B30:B31)</f>
        <v>3.9999999999999991</v>
      </c>
      <c r="B34" s="6">
        <f t="array" ref="B34:B38">TRANSPOSE($C$8:$G$8)</f>
        <v>4</v>
      </c>
      <c r="C34" s="6"/>
      <c r="D34" s="6"/>
      <c r="E34" s="6"/>
      <c r="F34" s="8"/>
      <c r="H34" s="9">
        <v>4.5169902912621351</v>
      </c>
      <c r="I34" s="6">
        <v>4.75</v>
      </c>
      <c r="J34" s="6"/>
      <c r="K34" s="6"/>
      <c r="L34" s="8"/>
    </row>
    <row r="35" spans="1:12" x14ac:dyDescent="0.35">
      <c r="A35" s="9">
        <v>3.5999999999999992</v>
      </c>
      <c r="B35" s="6">
        <v>3.6</v>
      </c>
      <c r="C35" s="6"/>
      <c r="D35" s="6"/>
      <c r="E35" s="6"/>
      <c r="F35" s="8"/>
      <c r="H35" s="9">
        <v>3.9123300970873784</v>
      </c>
      <c r="I35" s="6">
        <v>3.99</v>
      </c>
      <c r="J35" s="6"/>
      <c r="K35" s="6"/>
      <c r="L35" s="8"/>
    </row>
    <row r="36" spans="1:12" x14ac:dyDescent="0.35">
      <c r="A36" s="9">
        <v>3.1999999999999997</v>
      </c>
      <c r="B36" s="6">
        <v>3.2</v>
      </c>
      <c r="C36" s="6"/>
      <c r="D36" s="6"/>
      <c r="E36" s="6"/>
      <c r="F36" s="8"/>
      <c r="H36" s="9">
        <v>3.3099999999999996</v>
      </c>
      <c r="I36" s="6">
        <v>3.31</v>
      </c>
      <c r="J36" s="6"/>
      <c r="K36" s="6"/>
      <c r="L36" s="8"/>
    </row>
    <row r="37" spans="1:12" x14ac:dyDescent="0.35">
      <c r="A37" s="9">
        <v>2.8</v>
      </c>
      <c r="B37" s="6">
        <v>2.8</v>
      </c>
      <c r="C37" s="6"/>
      <c r="D37" s="6"/>
      <c r="E37" s="6"/>
      <c r="F37" s="8"/>
      <c r="H37" s="9">
        <v>2.7099999999999995</v>
      </c>
      <c r="I37" s="6">
        <v>2.71</v>
      </c>
      <c r="J37" s="6"/>
      <c r="K37" s="6"/>
      <c r="L37" s="8"/>
    </row>
    <row r="38" spans="1:12" x14ac:dyDescent="0.35">
      <c r="A38" s="9">
        <v>2.4000000000000004</v>
      </c>
      <c r="B38" s="6">
        <v>2.4000000000000004</v>
      </c>
      <c r="C38" s="6"/>
      <c r="D38" s="6"/>
      <c r="E38" s="6"/>
      <c r="F38" s="8"/>
      <c r="H38" s="9">
        <v>2.1123300970873786</v>
      </c>
      <c r="I38" s="6">
        <v>2.1900000000000004</v>
      </c>
      <c r="J38" s="6"/>
      <c r="K38" s="6"/>
      <c r="L38" s="8"/>
    </row>
    <row r="39" spans="1:12" ht="15" thickBot="1" x14ac:dyDescent="0.4">
      <c r="A39" s="9"/>
      <c r="B39" s="6"/>
      <c r="C39" s="6"/>
      <c r="D39" s="6"/>
      <c r="E39" s="6"/>
      <c r="F39" s="8"/>
      <c r="H39" s="29"/>
      <c r="I39" s="30"/>
      <c r="J39" s="30"/>
      <c r="K39" s="30"/>
      <c r="L39" s="31"/>
    </row>
    <row r="40" spans="1:12" ht="15" thickTop="1" x14ac:dyDescent="0.35">
      <c r="A40" s="9" t="s">
        <v>104</v>
      </c>
      <c r="B40" s="6"/>
      <c r="C40" s="6"/>
      <c r="D40" s="6"/>
      <c r="E40" s="6"/>
      <c r="F40" s="8"/>
    </row>
    <row r="41" spans="1:12" x14ac:dyDescent="0.35">
      <c r="A41" s="9" t="s">
        <v>105</v>
      </c>
      <c r="B41" s="6"/>
      <c r="C41" s="6"/>
      <c r="D41" s="6"/>
      <c r="E41" s="6"/>
      <c r="F41" s="8"/>
    </row>
    <row r="42" spans="1:12" x14ac:dyDescent="0.35">
      <c r="A42" s="9" t="s">
        <v>106</v>
      </c>
      <c r="B42" s="6"/>
      <c r="C42" s="6"/>
      <c r="D42" s="6"/>
      <c r="E42" s="6"/>
      <c r="F42" s="8"/>
    </row>
    <row r="43" spans="1:12" ht="15" thickBot="1" x14ac:dyDescent="0.4">
      <c r="A43" s="29"/>
      <c r="B43" s="30"/>
      <c r="C43" s="30"/>
      <c r="D43" s="30"/>
      <c r="E43" s="30"/>
      <c r="F43" s="31"/>
    </row>
    <row r="44" spans="1:12" ht="15" thickTop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A41" workbookViewId="0">
      <selection activeCell="F26" sqref="F26"/>
    </sheetView>
  </sheetViews>
  <sheetFormatPr defaultRowHeight="14.5" x14ac:dyDescent="0.35"/>
  <cols>
    <col min="2" max="2" width="16.453125" customWidth="1"/>
  </cols>
  <sheetData>
    <row r="1" spans="1:10" ht="15" thickTop="1" x14ac:dyDescent="0.35">
      <c r="A1" s="2" t="s">
        <v>42</v>
      </c>
      <c r="B1" s="3"/>
      <c r="C1" s="3"/>
      <c r="D1" s="3"/>
      <c r="E1" s="3"/>
      <c r="F1" s="4"/>
    </row>
    <row r="2" spans="1:10" x14ac:dyDescent="0.35">
      <c r="A2" s="5" t="s">
        <v>82</v>
      </c>
      <c r="B2" s="6"/>
      <c r="C2" s="6"/>
      <c r="D2" s="6"/>
      <c r="E2" s="7" t="s">
        <v>43</v>
      </c>
      <c r="F2" s="8"/>
    </row>
    <row r="3" spans="1:10" x14ac:dyDescent="0.35">
      <c r="A3" s="9"/>
      <c r="B3" s="6"/>
      <c r="C3" s="6">
        <v>0.11</v>
      </c>
      <c r="D3" s="6"/>
      <c r="E3" s="6"/>
      <c r="F3" s="8"/>
    </row>
    <row r="4" spans="1:10" x14ac:dyDescent="0.35">
      <c r="A4" s="9"/>
      <c r="B4" s="6">
        <v>0.08</v>
      </c>
      <c r="C4" s="6">
        <v>7.0000000000000007E-2</v>
      </c>
      <c r="D4" s="6"/>
      <c r="E4" s="6"/>
      <c r="F4" s="8">
        <v>0.5</v>
      </c>
    </row>
    <row r="5" spans="1:10" x14ac:dyDescent="0.35">
      <c r="A5" s="9">
        <v>0.05</v>
      </c>
      <c r="B5" s="6">
        <v>0.02</v>
      </c>
      <c r="C5" s="6">
        <v>0.01</v>
      </c>
      <c r="D5" s="6"/>
      <c r="E5" s="6">
        <v>0.7</v>
      </c>
      <c r="F5" s="8">
        <v>0.4</v>
      </c>
    </row>
    <row r="6" spans="1:10" ht="15" thickBot="1" x14ac:dyDescent="0.4">
      <c r="A6" s="40">
        <v>0</v>
      </c>
      <c r="B6" s="41">
        <v>1</v>
      </c>
      <c r="C6" s="41">
        <v>2</v>
      </c>
      <c r="D6" s="42"/>
      <c r="E6" s="41" t="s">
        <v>44</v>
      </c>
      <c r="F6" s="43" t="s">
        <v>45</v>
      </c>
    </row>
    <row r="7" spans="1:10" ht="15.5" thickTop="1" thickBot="1" x14ac:dyDescent="0.4">
      <c r="A7" s="10"/>
      <c r="B7" s="10"/>
      <c r="C7" s="10"/>
      <c r="D7" s="10"/>
      <c r="E7" s="10"/>
      <c r="F7" s="10"/>
    </row>
    <row r="8" spans="1:10" ht="15" thickTop="1" x14ac:dyDescent="0.35">
      <c r="A8" s="11" t="s">
        <v>123</v>
      </c>
      <c r="B8" s="12"/>
      <c r="C8" s="12"/>
      <c r="D8" s="12"/>
      <c r="E8" s="12"/>
      <c r="F8" s="12"/>
      <c r="G8" s="3"/>
      <c r="H8" s="3"/>
      <c r="I8" s="3"/>
      <c r="J8" s="4"/>
    </row>
    <row r="9" spans="1:10" x14ac:dyDescent="0.35">
      <c r="A9" s="13" t="s">
        <v>46</v>
      </c>
      <c r="B9" s="10"/>
      <c r="C9" s="10" t="s">
        <v>47</v>
      </c>
      <c r="D9" s="10"/>
      <c r="E9" s="10"/>
      <c r="F9" s="10" t="s">
        <v>48</v>
      </c>
      <c r="G9" s="6"/>
      <c r="H9" s="6"/>
      <c r="I9" s="6" t="s">
        <v>56</v>
      </c>
      <c r="J9" s="8"/>
    </row>
    <row r="10" spans="1:10" x14ac:dyDescent="0.35">
      <c r="A10" s="14"/>
      <c r="B10" s="15"/>
      <c r="C10" s="15"/>
      <c r="D10" s="15"/>
      <c r="E10" s="15"/>
      <c r="F10" s="15"/>
      <c r="G10" s="16"/>
      <c r="H10" s="16">
        <f>1/(1+C3)</f>
        <v>0.9009009009009008</v>
      </c>
      <c r="I10" s="6">
        <v>1</v>
      </c>
      <c r="J10" s="45">
        <f>1/A12-1</f>
        <v>5.0000000000000044E-2</v>
      </c>
    </row>
    <row r="11" spans="1:10" x14ac:dyDescent="0.35">
      <c r="A11" s="14"/>
      <c r="B11" s="15"/>
      <c r="C11" s="15"/>
      <c r="D11" s="15">
        <f>1/(1+B4)</f>
        <v>0.92592592592592582</v>
      </c>
      <c r="E11" s="15"/>
      <c r="F11" s="15"/>
      <c r="G11" s="16">
        <f>(F4*H10+(1-F4)*H11)/(1+B4)</f>
        <v>0.84975941673760969</v>
      </c>
      <c r="H11" s="16">
        <f t="shared" ref="H11:H12" si="0">1/(1+C4)</f>
        <v>0.93457943925233644</v>
      </c>
      <c r="I11" s="6">
        <v>2</v>
      </c>
      <c r="J11" s="45">
        <f>C12^(-1/2)-1</f>
        <v>5.5620793711267824E-2</v>
      </c>
    </row>
    <row r="12" spans="1:10" x14ac:dyDescent="0.35">
      <c r="A12" s="46">
        <f>1/(1+A5)</f>
        <v>0.95238095238095233</v>
      </c>
      <c r="B12" s="15"/>
      <c r="C12" s="44">
        <f>(E5*D11+(1-E5)*D12)/(1+A5)</f>
        <v>0.89739599543521098</v>
      </c>
      <c r="D12" s="15">
        <f>1/(1+B5)</f>
        <v>0.98039215686274506</v>
      </c>
      <c r="E12" s="15"/>
      <c r="F12" s="25">
        <f>(E5*G11+(1-E5)*G12)/(1+A5)</f>
        <v>0.83762425587592138</v>
      </c>
      <c r="G12" s="16">
        <f>(F5*H11+(1-F5)*H12)/(1+B5)</f>
        <v>0.94891292317796927</v>
      </c>
      <c r="H12" s="16">
        <f t="shared" si="0"/>
        <v>0.99009900990099009</v>
      </c>
      <c r="I12" s="6">
        <v>3</v>
      </c>
      <c r="J12" s="45">
        <f>F12^(-1/3)-1</f>
        <v>6.0840890991175289E-2</v>
      </c>
    </row>
    <row r="13" spans="1:10" x14ac:dyDescent="0.35">
      <c r="A13" s="47" t="s">
        <v>18</v>
      </c>
      <c r="B13" s="6"/>
      <c r="C13" s="6"/>
      <c r="D13" s="6"/>
      <c r="E13" s="6"/>
      <c r="F13" s="6"/>
      <c r="G13" s="6"/>
      <c r="H13" s="6"/>
      <c r="I13" s="6"/>
      <c r="J13" s="8"/>
    </row>
    <row r="14" spans="1:10" x14ac:dyDescent="0.35">
      <c r="A14" s="24" t="s">
        <v>120</v>
      </c>
      <c r="B14" s="6"/>
      <c r="C14" s="6"/>
      <c r="D14" s="6"/>
      <c r="E14" s="6"/>
      <c r="F14" s="6"/>
      <c r="G14" s="6"/>
      <c r="H14" s="6"/>
      <c r="I14" s="36"/>
      <c r="J14" s="8"/>
    </row>
    <row r="15" spans="1:10" x14ac:dyDescent="0.35">
      <c r="A15" s="5"/>
      <c r="B15" s="6"/>
      <c r="C15" s="6"/>
      <c r="D15" s="7" t="s">
        <v>51</v>
      </c>
      <c r="E15" s="6"/>
      <c r="F15" s="6"/>
      <c r="G15" s="6"/>
      <c r="H15" s="6"/>
      <c r="I15" s="37"/>
      <c r="J15" s="8"/>
    </row>
    <row r="16" spans="1:10" x14ac:dyDescent="0.35">
      <c r="A16" s="5" t="s">
        <v>57</v>
      </c>
      <c r="B16" s="6">
        <v>100</v>
      </c>
      <c r="C16" s="6"/>
      <c r="D16" s="49">
        <v>100</v>
      </c>
      <c r="E16" s="49">
        <f>D16-E19</f>
        <v>51.306776162779812</v>
      </c>
      <c r="F16" s="49">
        <f t="shared" ref="F16" si="1">E16-F19</f>
        <v>-8.5265128291212022E-14</v>
      </c>
      <c r="G16" s="49"/>
      <c r="H16" s="6"/>
      <c r="I16" s="6"/>
      <c r="J16" s="8"/>
    </row>
    <row r="17" spans="1:10" x14ac:dyDescent="0.35">
      <c r="A17" s="5" t="s">
        <v>58</v>
      </c>
      <c r="B17" s="88">
        <v>5.3673840415593033E-2</v>
      </c>
      <c r="C17" s="6"/>
      <c r="D17" s="27" t="s">
        <v>52</v>
      </c>
      <c r="E17" s="27" t="s">
        <v>53</v>
      </c>
      <c r="F17" s="27" t="s">
        <v>54</v>
      </c>
      <c r="G17" s="27"/>
      <c r="H17" s="6"/>
      <c r="I17" s="10" t="s">
        <v>18</v>
      </c>
      <c r="J17" s="8"/>
    </row>
    <row r="18" spans="1:10" x14ac:dyDescent="0.35">
      <c r="A18" s="5" t="s">
        <v>59</v>
      </c>
      <c r="B18" s="6">
        <v>2</v>
      </c>
      <c r="C18" s="6"/>
      <c r="D18" s="6" t="s">
        <v>60</v>
      </c>
      <c r="E18" s="6"/>
      <c r="F18" s="6"/>
      <c r="G18" s="6"/>
      <c r="H18" s="6"/>
      <c r="I18" s="6"/>
      <c r="J18" s="8"/>
    </row>
    <row r="19" spans="1:10" x14ac:dyDescent="0.35">
      <c r="A19" s="5" t="s">
        <v>55</v>
      </c>
      <c r="B19" s="28">
        <f>B16*(1+B17)^B18*B17/((1+B17)^B18-1)</f>
        <v>54.060607878779493</v>
      </c>
      <c r="C19" s="6"/>
      <c r="D19" s="6"/>
      <c r="E19" s="38">
        <f>$B$19-$B$17*D16</f>
        <v>48.693223837220188</v>
      </c>
      <c r="F19" s="38">
        <f>$B$19-$B$17*E16</f>
        <v>51.306776162779897</v>
      </c>
      <c r="G19" s="38"/>
      <c r="H19" s="6"/>
      <c r="I19" s="6"/>
      <c r="J19" s="8"/>
    </row>
    <row r="20" spans="1:10" ht="15" thickBot="1" x14ac:dyDescent="0.4">
      <c r="A20" s="29"/>
      <c r="B20" s="30"/>
      <c r="C20" s="30"/>
      <c r="D20" s="30"/>
      <c r="E20" s="30"/>
      <c r="F20" s="30"/>
      <c r="G20" s="30" t="s">
        <v>49</v>
      </c>
      <c r="H20" s="48">
        <f>B19*(A12+C12)</f>
        <v>100.00006623909516</v>
      </c>
      <c r="I20" s="30"/>
      <c r="J20" s="31"/>
    </row>
    <row r="21" spans="1:10" ht="15.5" thickTop="1" thickBot="1" x14ac:dyDescent="0.4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ht="15" thickTop="1" x14ac:dyDescent="0.35">
      <c r="A22" s="62" t="s">
        <v>64</v>
      </c>
      <c r="B22" s="3" t="s">
        <v>85</v>
      </c>
      <c r="C22" s="3"/>
      <c r="D22" s="3"/>
      <c r="E22" s="3"/>
      <c r="F22" s="3"/>
      <c r="G22" s="3"/>
      <c r="H22" s="3"/>
      <c r="I22" s="3"/>
      <c r="J22" s="4"/>
    </row>
    <row r="23" spans="1:10" x14ac:dyDescent="0.35">
      <c r="A23" s="9" t="s">
        <v>65</v>
      </c>
      <c r="B23" s="6"/>
      <c r="C23" s="6"/>
      <c r="D23" s="6"/>
      <c r="E23" s="6" t="s">
        <v>83</v>
      </c>
      <c r="F23" s="6"/>
      <c r="G23" s="6"/>
      <c r="H23" s="6"/>
      <c r="I23" s="6"/>
      <c r="J23" s="8"/>
    </row>
    <row r="24" spans="1:10" x14ac:dyDescent="0.35">
      <c r="A24" s="9"/>
      <c r="B24" s="6"/>
      <c r="C24" s="52">
        <f>E16*B4+F19</f>
        <v>55.411318255802286</v>
      </c>
      <c r="D24" s="6"/>
      <c r="E24" s="6"/>
      <c r="F24" s="6"/>
      <c r="G24" s="6">
        <v>0</v>
      </c>
      <c r="H24" s="6"/>
      <c r="I24" s="6"/>
      <c r="J24" s="50"/>
    </row>
    <row r="25" spans="1:10" x14ac:dyDescent="0.35">
      <c r="A25" s="9"/>
      <c r="B25" s="52">
        <f>D16*A5+E19</f>
        <v>53.693223837220188</v>
      </c>
      <c r="C25" s="52">
        <f>E16*B4+F19</f>
        <v>55.411318255802286</v>
      </c>
      <c r="D25" s="6"/>
      <c r="E25" s="6"/>
      <c r="F25" s="52">
        <f>(F4*C24+(1-F4)*C25)/(1+B4)</f>
        <v>51.30677616277989</v>
      </c>
      <c r="G25" s="6">
        <v>0</v>
      </c>
      <c r="H25" s="6"/>
      <c r="I25" s="38"/>
      <c r="J25" s="50"/>
    </row>
    <row r="26" spans="1:10" x14ac:dyDescent="0.35">
      <c r="A26" s="9"/>
      <c r="B26" s="52">
        <f>D16*A5+E19</f>
        <v>53.693223837220188</v>
      </c>
      <c r="C26" s="52">
        <f>E16*B5+F19</f>
        <v>52.332911686035494</v>
      </c>
      <c r="D26" s="6"/>
      <c r="E26" s="51">
        <f>(E5*(F25+B25)+(1-E5)*(F26+B26))/(1+A5)</f>
        <v>100.00000000000007</v>
      </c>
      <c r="F26" s="52">
        <f>(F5*C26+(1-F5)*C27)/(1+B5)</f>
        <v>51.306776162779897</v>
      </c>
      <c r="G26" s="6">
        <v>0</v>
      </c>
      <c r="H26" s="6"/>
      <c r="I26" s="38"/>
      <c r="J26" s="50"/>
    </row>
    <row r="27" spans="1:10" x14ac:dyDescent="0.35">
      <c r="A27" s="9"/>
      <c r="B27" s="6"/>
      <c r="C27" s="52">
        <f>E16*B5+F19</f>
        <v>52.332911686035494</v>
      </c>
      <c r="D27" s="6"/>
      <c r="E27" s="6"/>
      <c r="F27" s="6"/>
      <c r="G27" s="6">
        <v>0</v>
      </c>
      <c r="H27" s="6"/>
      <c r="I27" s="6"/>
      <c r="J27" s="50"/>
    </row>
    <row r="28" spans="1:10" x14ac:dyDescent="0.35">
      <c r="A28" s="53">
        <v>0</v>
      </c>
      <c r="B28" s="54">
        <v>1</v>
      </c>
      <c r="C28" s="54">
        <v>2</v>
      </c>
      <c r="D28" s="54"/>
      <c r="E28" s="54">
        <v>0</v>
      </c>
      <c r="F28" s="54">
        <v>1</v>
      </c>
      <c r="G28" s="54">
        <v>2</v>
      </c>
      <c r="H28" s="6"/>
      <c r="I28" s="6"/>
      <c r="J28" s="8"/>
    </row>
    <row r="29" spans="1:10" x14ac:dyDescent="0.35">
      <c r="A29" s="9"/>
      <c r="B29" s="6"/>
      <c r="C29" s="6"/>
      <c r="D29" s="6"/>
      <c r="E29" s="6"/>
      <c r="F29" s="6"/>
      <c r="G29" s="6"/>
      <c r="H29" s="6"/>
      <c r="I29" s="6"/>
      <c r="J29" s="8"/>
    </row>
    <row r="30" spans="1:10" ht="15" thickBot="1" x14ac:dyDescent="0.4">
      <c r="A30" s="29" t="s">
        <v>84</v>
      </c>
      <c r="B30" s="30"/>
      <c r="C30" s="30"/>
      <c r="D30" s="30"/>
      <c r="E30" s="30"/>
      <c r="F30" s="30"/>
      <c r="G30" s="30"/>
      <c r="H30" s="30"/>
      <c r="I30" s="30"/>
      <c r="J30" s="31"/>
    </row>
    <row r="31" spans="1:10" ht="15.5" thickTop="1" thickBot="1" x14ac:dyDescent="0.4"/>
    <row r="32" spans="1:10" ht="15" thickTop="1" x14ac:dyDescent="0.35">
      <c r="A32" s="62" t="s">
        <v>63</v>
      </c>
      <c r="B32" s="3" t="s">
        <v>62</v>
      </c>
      <c r="C32" s="3"/>
      <c r="D32" s="3"/>
      <c r="E32" s="3"/>
      <c r="F32" s="3"/>
      <c r="G32" s="3"/>
      <c r="H32" s="3"/>
      <c r="I32" s="3"/>
      <c r="J32" s="4"/>
    </row>
    <row r="33" spans="1:10" x14ac:dyDescent="0.35">
      <c r="A33" s="9"/>
      <c r="B33" s="6"/>
      <c r="C33" s="6"/>
      <c r="D33" s="6"/>
      <c r="E33" s="6"/>
      <c r="F33" s="6"/>
      <c r="G33" s="6"/>
      <c r="H33" s="6"/>
      <c r="I33" s="6"/>
      <c r="J33" s="8"/>
    </row>
    <row r="34" spans="1:10" x14ac:dyDescent="0.35">
      <c r="A34" s="9" t="s">
        <v>86</v>
      </c>
      <c r="B34" s="6"/>
      <c r="C34" s="6"/>
      <c r="D34" s="6"/>
      <c r="E34" s="6" t="s">
        <v>88</v>
      </c>
      <c r="F34" s="6"/>
      <c r="G34" s="6"/>
      <c r="H34" s="6"/>
      <c r="I34" s="6" t="s">
        <v>87</v>
      </c>
      <c r="J34" s="8"/>
    </row>
    <row r="35" spans="1:10" x14ac:dyDescent="0.35">
      <c r="A35" s="9"/>
      <c r="B35" s="6"/>
      <c r="C35" s="6"/>
      <c r="D35" s="6"/>
      <c r="E35" s="6"/>
      <c r="F35" s="6"/>
      <c r="G35" s="6"/>
      <c r="H35" s="6"/>
      <c r="I35" s="6"/>
      <c r="J35" s="8"/>
    </row>
    <row r="36" spans="1:10" x14ac:dyDescent="0.35">
      <c r="A36" s="9"/>
      <c r="B36" s="6"/>
      <c r="C36" s="6">
        <v>0</v>
      </c>
      <c r="D36" s="6"/>
      <c r="E36" s="6"/>
      <c r="F36" s="6"/>
      <c r="G36" s="55">
        <f>B19</f>
        <v>54.060607878779493</v>
      </c>
      <c r="H36" s="38"/>
      <c r="I36" s="6"/>
      <c r="J36" s="8"/>
    </row>
    <row r="37" spans="1:10" x14ac:dyDescent="0.35">
      <c r="A37" s="9"/>
      <c r="B37" s="6">
        <f>MIN((F4*$B$19+(1-F4)*$B$19)/(1+B4),E$16)</f>
        <v>50.056118406277307</v>
      </c>
      <c r="C37" s="6">
        <v>0</v>
      </c>
      <c r="D37" s="6"/>
      <c r="E37" s="6"/>
      <c r="F37" s="55">
        <f>B19</f>
        <v>54.060607878779493</v>
      </c>
      <c r="G37" s="55">
        <f>B19</f>
        <v>54.060607878779493</v>
      </c>
      <c r="H37" s="6"/>
      <c r="I37" s="6"/>
      <c r="J37" s="56">
        <f>(F4*G36+(1-F4)*G37)/(1+B4)</f>
        <v>50.056118406277307</v>
      </c>
    </row>
    <row r="38" spans="1:10" x14ac:dyDescent="0.35">
      <c r="A38" s="57">
        <f>MIN((E5*($B$19+B37)+(1-E5)*($B$19+B38))/(1+A5),D$16)</f>
        <v>99.516117725721472</v>
      </c>
      <c r="B38" s="6">
        <f>MIN((F5*$B$19+(1-F5)*$B$19)/(1+B5),E$16)</f>
        <v>51.306776162779812</v>
      </c>
      <c r="C38" s="6">
        <v>0</v>
      </c>
      <c r="D38" s="6"/>
      <c r="E38" s="6"/>
      <c r="F38" s="55">
        <f>B19</f>
        <v>54.060607878779493</v>
      </c>
      <c r="G38" s="52">
        <f>E16*(1+B5)</f>
        <v>52.332911686035409</v>
      </c>
      <c r="H38" s="6"/>
      <c r="I38" s="51">
        <f>(E5*(J37+F37)+(1-E5)*(J38+F38))/(1+A5)</f>
        <v>99.516117725721472</v>
      </c>
      <c r="J38" s="56">
        <f>(F5*G38+(1-F5)*G39)/(1+B5)</f>
        <v>51.306776162779812</v>
      </c>
    </row>
    <row r="39" spans="1:10" x14ac:dyDescent="0.35">
      <c r="A39" s="53">
        <v>0</v>
      </c>
      <c r="B39" s="54">
        <v>1</v>
      </c>
      <c r="C39" s="54">
        <v>2</v>
      </c>
      <c r="D39" s="6"/>
      <c r="E39" s="6"/>
      <c r="F39" s="6"/>
      <c r="G39" s="52">
        <f>E16*(1+B5)</f>
        <v>52.332911686035409</v>
      </c>
      <c r="H39" s="6"/>
      <c r="I39" s="6"/>
      <c r="J39" s="8"/>
    </row>
    <row r="40" spans="1:10" x14ac:dyDescent="0.35">
      <c r="A40" s="9"/>
      <c r="B40" s="52" t="str">
        <f>IF(B37=E$16,"Indfri","Hold")</f>
        <v>Hold</v>
      </c>
      <c r="C40" s="6"/>
      <c r="D40" s="6"/>
      <c r="E40" s="6"/>
      <c r="F40" s="6"/>
      <c r="G40" s="6"/>
      <c r="H40" s="6"/>
      <c r="I40" s="6"/>
      <c r="J40" s="8"/>
    </row>
    <row r="41" spans="1:10" ht="15" thickBot="1" x14ac:dyDescent="0.4">
      <c r="A41" s="58" t="str">
        <f t="shared" ref="A41:B41" si="2">IF(A38=D$16,"Indfri","Hold")</f>
        <v>Hold</v>
      </c>
      <c r="B41" s="59" t="str">
        <f t="shared" si="2"/>
        <v>Indfri</v>
      </c>
      <c r="C41" s="30"/>
      <c r="D41" s="30"/>
      <c r="E41" s="60">
        <v>0</v>
      </c>
      <c r="F41" s="60">
        <v>1</v>
      </c>
      <c r="G41" s="60">
        <v>2</v>
      </c>
      <c r="H41" s="30"/>
      <c r="I41" s="60">
        <v>0</v>
      </c>
      <c r="J41" s="61">
        <v>1</v>
      </c>
    </row>
    <row r="42" spans="1:10" ht="15.5" thickTop="1" thickBot="1" x14ac:dyDescent="0.4"/>
    <row r="43" spans="1:10" ht="15" thickTop="1" x14ac:dyDescent="0.35">
      <c r="A43" s="62" t="s">
        <v>89</v>
      </c>
      <c r="B43" s="3"/>
      <c r="C43" s="3"/>
      <c r="D43" s="3"/>
      <c r="E43" s="3"/>
      <c r="F43" s="3"/>
      <c r="G43" s="3"/>
      <c r="H43" s="3"/>
      <c r="I43" s="3"/>
      <c r="J43" s="4"/>
    </row>
    <row r="44" spans="1:10" x14ac:dyDescent="0.35">
      <c r="A44" s="9"/>
      <c r="B44" s="6"/>
      <c r="C44" s="6"/>
      <c r="D44" s="6"/>
      <c r="E44" s="6"/>
      <c r="F44" s="6"/>
      <c r="G44" s="6"/>
      <c r="H44" s="38"/>
      <c r="I44" s="6"/>
      <c r="J44" s="8"/>
    </row>
    <row r="45" spans="1:10" x14ac:dyDescent="0.35">
      <c r="A45" s="9" t="s">
        <v>90</v>
      </c>
      <c r="B45" s="6"/>
      <c r="C45" s="6"/>
      <c r="D45" s="6"/>
      <c r="E45" s="6"/>
      <c r="F45" s="6"/>
      <c r="G45" s="6"/>
      <c r="H45" s="6"/>
      <c r="I45" s="6"/>
      <c r="J45" s="8"/>
    </row>
    <row r="46" spans="1:10" x14ac:dyDescent="0.35">
      <c r="A46" s="9" t="s">
        <v>91</v>
      </c>
      <c r="B46" s="6"/>
      <c r="C46" s="6"/>
      <c r="D46" s="6"/>
      <c r="E46" s="6"/>
      <c r="F46" s="6"/>
      <c r="G46" s="6"/>
      <c r="H46" s="6"/>
      <c r="I46" s="6"/>
      <c r="J46" s="8"/>
    </row>
    <row r="47" spans="1:10" x14ac:dyDescent="0.35">
      <c r="A47" s="9" t="s">
        <v>92</v>
      </c>
      <c r="B47" s="6"/>
      <c r="C47" s="6"/>
      <c r="D47" s="6"/>
      <c r="E47" s="6"/>
      <c r="F47" s="6"/>
      <c r="G47" s="6"/>
      <c r="H47" s="6"/>
      <c r="I47" s="6"/>
      <c r="J47" s="8"/>
    </row>
    <row r="48" spans="1:10" x14ac:dyDescent="0.35">
      <c r="A48" s="9"/>
      <c r="B48" s="6"/>
      <c r="C48" s="6"/>
      <c r="D48" s="6"/>
      <c r="E48" s="6"/>
      <c r="F48" s="6"/>
      <c r="G48" s="6"/>
      <c r="H48" s="6"/>
      <c r="I48" s="6"/>
      <c r="J48" s="8"/>
    </row>
    <row r="49" spans="1:10" x14ac:dyDescent="0.35">
      <c r="A49" s="9" t="s">
        <v>93</v>
      </c>
      <c r="B49" s="6"/>
      <c r="C49" s="6"/>
      <c r="D49" s="6"/>
      <c r="E49" s="6"/>
      <c r="F49" s="6"/>
      <c r="G49" s="6"/>
      <c r="H49" s="6"/>
      <c r="I49" s="6"/>
      <c r="J49" s="8"/>
    </row>
    <row r="50" spans="1:10" x14ac:dyDescent="0.35">
      <c r="A50" s="9" t="s">
        <v>94</v>
      </c>
      <c r="B50" s="6"/>
      <c r="C50" s="6"/>
      <c r="D50" s="6"/>
      <c r="E50" s="6"/>
      <c r="F50" s="6"/>
      <c r="G50" s="6"/>
      <c r="H50" s="6"/>
      <c r="I50" s="6"/>
      <c r="J50" s="8"/>
    </row>
    <row r="51" spans="1:10" x14ac:dyDescent="0.35">
      <c r="A51" s="9" t="s">
        <v>95</v>
      </c>
      <c r="B51" s="6"/>
      <c r="C51" s="6"/>
      <c r="D51" s="6"/>
      <c r="E51" s="6"/>
      <c r="F51" s="6"/>
      <c r="G51" s="6"/>
      <c r="H51" s="6"/>
      <c r="I51" s="6"/>
      <c r="J51" s="8"/>
    </row>
    <row r="52" spans="1:10" x14ac:dyDescent="0.35">
      <c r="A52" s="9"/>
      <c r="B52" s="6"/>
      <c r="C52" s="6"/>
      <c r="D52" s="6"/>
      <c r="E52" s="6"/>
      <c r="F52" s="6"/>
      <c r="G52" s="6"/>
      <c r="H52" s="6"/>
      <c r="I52" s="6"/>
      <c r="J52" s="8"/>
    </row>
    <row r="53" spans="1:10" x14ac:dyDescent="0.35">
      <c r="A53" s="9" t="s">
        <v>96</v>
      </c>
      <c r="B53" s="6"/>
      <c r="C53" s="6"/>
      <c r="D53" s="6"/>
      <c r="E53" s="6"/>
      <c r="F53" s="6"/>
      <c r="G53" s="6"/>
      <c r="H53" s="6"/>
      <c r="I53" s="6"/>
      <c r="J53" s="8"/>
    </row>
    <row r="54" spans="1:10" x14ac:dyDescent="0.35">
      <c r="A54" s="9" t="s">
        <v>97</v>
      </c>
      <c r="B54" s="6"/>
      <c r="C54" s="6"/>
      <c r="D54" s="6"/>
      <c r="E54" s="6"/>
      <c r="F54" s="6"/>
      <c r="G54" s="6"/>
      <c r="H54" s="6"/>
      <c r="I54" s="6"/>
      <c r="J54" s="8"/>
    </row>
    <row r="55" spans="1:10" x14ac:dyDescent="0.35">
      <c r="A55" s="9" t="s">
        <v>98</v>
      </c>
      <c r="B55" s="6"/>
      <c r="C55" s="6"/>
      <c r="D55" s="6"/>
      <c r="E55" s="6"/>
      <c r="F55" s="6"/>
      <c r="G55" s="6"/>
      <c r="H55" s="6"/>
      <c r="I55" s="6"/>
      <c r="J55" s="8"/>
    </row>
    <row r="56" spans="1:10" x14ac:dyDescent="0.35">
      <c r="A56" s="9"/>
      <c r="B56" s="6"/>
      <c r="C56" s="6"/>
      <c r="D56" s="6"/>
      <c r="E56" s="6"/>
      <c r="F56" s="6"/>
      <c r="G56" s="6"/>
      <c r="H56" s="6"/>
      <c r="I56" s="6"/>
      <c r="J56" s="8"/>
    </row>
    <row r="57" spans="1:10" x14ac:dyDescent="0.35">
      <c r="A57" s="9" t="s">
        <v>99</v>
      </c>
      <c r="B57" s="6"/>
      <c r="C57" s="6"/>
      <c r="D57" s="6"/>
      <c r="E57" s="6"/>
      <c r="F57" s="6"/>
      <c r="G57" s="6"/>
      <c r="H57" s="6"/>
      <c r="I57" s="6"/>
      <c r="J57" s="8"/>
    </row>
    <row r="58" spans="1:10" x14ac:dyDescent="0.35">
      <c r="A58" s="9" t="s">
        <v>121</v>
      </c>
      <c r="B58" s="6"/>
      <c r="C58" s="6"/>
      <c r="D58" s="6"/>
      <c r="E58" s="6"/>
      <c r="F58" s="6"/>
      <c r="G58" s="6"/>
      <c r="H58" s="6"/>
      <c r="I58" s="6"/>
      <c r="J58" s="8"/>
    </row>
    <row r="59" spans="1:10" x14ac:dyDescent="0.35">
      <c r="A59" s="9" t="s">
        <v>122</v>
      </c>
      <c r="B59" s="6"/>
      <c r="C59" s="6"/>
      <c r="D59" s="6"/>
      <c r="E59" s="6"/>
      <c r="F59" s="6"/>
      <c r="G59" s="6"/>
      <c r="H59" s="6"/>
      <c r="I59" s="6"/>
      <c r="J59" s="8"/>
    </row>
    <row r="60" spans="1:10" x14ac:dyDescent="0.35">
      <c r="A60" s="9" t="s">
        <v>100</v>
      </c>
      <c r="B60" s="6"/>
      <c r="C60" s="6"/>
      <c r="D60" s="6"/>
      <c r="E60" s="6"/>
      <c r="F60" s="6"/>
      <c r="G60" s="6"/>
      <c r="H60" s="6"/>
      <c r="I60" s="6"/>
      <c r="J60" s="8"/>
    </row>
    <row r="61" spans="1:10" x14ac:dyDescent="0.35">
      <c r="A61" s="9" t="s">
        <v>101</v>
      </c>
      <c r="B61" s="6"/>
      <c r="C61" s="6"/>
      <c r="D61" s="6"/>
      <c r="E61" s="6"/>
      <c r="F61" s="6"/>
      <c r="G61" s="6"/>
      <c r="H61" s="6"/>
      <c r="I61" s="6"/>
      <c r="J61" s="8"/>
    </row>
    <row r="62" spans="1:10" x14ac:dyDescent="0.35">
      <c r="A62" s="9" t="s">
        <v>102</v>
      </c>
      <c r="B62" s="6"/>
      <c r="C62" s="6"/>
      <c r="D62" s="6"/>
      <c r="E62" s="6"/>
      <c r="F62" s="6"/>
      <c r="G62" s="6"/>
      <c r="H62" s="6"/>
      <c r="I62" s="6"/>
      <c r="J62" s="8"/>
    </row>
    <row r="63" spans="1:10" ht="15" thickBot="1" x14ac:dyDescent="0.4">
      <c r="A63" s="29" t="s">
        <v>103</v>
      </c>
      <c r="B63" s="30"/>
      <c r="C63" s="30"/>
      <c r="D63" s="30"/>
      <c r="E63" s="30"/>
      <c r="F63" s="30"/>
      <c r="G63" s="30"/>
      <c r="H63" s="30"/>
      <c r="I63" s="30"/>
      <c r="J63" s="31"/>
    </row>
    <row r="64" spans="1:10" ht="15" thickTop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40" workbookViewId="0">
      <selection activeCell="G59" sqref="G59"/>
    </sheetView>
  </sheetViews>
  <sheetFormatPr defaultRowHeight="14.5" x14ac:dyDescent="0.35"/>
  <cols>
    <col min="1" max="1" width="14.54296875" customWidth="1"/>
    <col min="3" max="3" width="12.453125" bestFit="1" customWidth="1"/>
    <col min="6" max="6" width="11.81640625" bestFit="1" customWidth="1"/>
    <col min="13" max="13" width="11.81640625" bestFit="1" customWidth="1"/>
  </cols>
  <sheetData>
    <row r="1" spans="1:11" ht="27.5" customHeight="1" thickTop="1" x14ac:dyDescent="0.35">
      <c r="A1" s="2" t="s">
        <v>42</v>
      </c>
      <c r="B1" s="3"/>
      <c r="C1" s="3"/>
      <c r="D1" s="3"/>
      <c r="E1" s="3"/>
      <c r="F1" s="4"/>
    </row>
    <row r="2" spans="1:11" x14ac:dyDescent="0.35">
      <c r="A2" s="5" t="s">
        <v>82</v>
      </c>
      <c r="B2" s="6"/>
      <c r="C2" s="6"/>
      <c r="D2" s="6"/>
      <c r="E2" s="7" t="s">
        <v>43</v>
      </c>
      <c r="F2" s="8"/>
    </row>
    <row r="3" spans="1:11" x14ac:dyDescent="0.35">
      <c r="A3" s="9"/>
      <c r="B3" s="6"/>
      <c r="C3" s="6">
        <v>0.11</v>
      </c>
      <c r="D3" s="6"/>
      <c r="E3" s="6"/>
      <c r="F3" s="8"/>
    </row>
    <row r="4" spans="1:11" x14ac:dyDescent="0.35">
      <c r="A4" s="9"/>
      <c r="B4" s="6">
        <v>0.08</v>
      </c>
      <c r="C4" s="6">
        <v>7.0000000000000007E-2</v>
      </c>
      <c r="D4" s="6"/>
      <c r="E4" s="6"/>
      <c r="F4" s="8">
        <v>0.5</v>
      </c>
    </row>
    <row r="5" spans="1:11" x14ac:dyDescent="0.35">
      <c r="A5" s="9">
        <v>0.05</v>
      </c>
      <c r="B5" s="6">
        <v>0.02</v>
      </c>
      <c r="C5" s="6">
        <v>0.01</v>
      </c>
      <c r="D5" s="6"/>
      <c r="E5" s="6">
        <v>0.7</v>
      </c>
      <c r="F5" s="8">
        <v>0.4</v>
      </c>
    </row>
    <row r="6" spans="1:11" ht="15" thickBot="1" x14ac:dyDescent="0.4">
      <c r="A6" s="40">
        <v>0</v>
      </c>
      <c r="B6" s="41">
        <v>1</v>
      </c>
      <c r="C6" s="41">
        <v>2</v>
      </c>
      <c r="D6" s="42"/>
      <c r="E6" s="41" t="s">
        <v>44</v>
      </c>
      <c r="F6" s="43" t="s">
        <v>45</v>
      </c>
    </row>
    <row r="7" spans="1:11" ht="15.5" thickTop="1" thickBot="1" x14ac:dyDescent="0.4">
      <c r="A7" s="10"/>
      <c r="B7" s="10"/>
      <c r="C7" s="10"/>
      <c r="D7" s="10"/>
      <c r="E7" s="10"/>
      <c r="F7" s="10"/>
    </row>
    <row r="8" spans="1:11" ht="15" thickTop="1" x14ac:dyDescent="0.35">
      <c r="A8" s="11" t="s">
        <v>33</v>
      </c>
      <c r="B8" s="12"/>
      <c r="C8" s="12"/>
      <c r="D8" s="12"/>
      <c r="E8" s="12"/>
      <c r="F8" s="12"/>
      <c r="G8" s="3"/>
      <c r="H8" s="4"/>
      <c r="J8" t="s">
        <v>56</v>
      </c>
    </row>
    <row r="9" spans="1:11" x14ac:dyDescent="0.35">
      <c r="A9" s="13" t="s">
        <v>46</v>
      </c>
      <c r="B9" s="10"/>
      <c r="C9" s="10" t="s">
        <v>47</v>
      </c>
      <c r="D9" s="10"/>
      <c r="E9" s="10"/>
      <c r="F9" s="10" t="s">
        <v>48</v>
      </c>
      <c r="G9" s="6"/>
      <c r="H9" s="8"/>
    </row>
    <row r="10" spans="1:11" x14ac:dyDescent="0.35">
      <c r="A10" s="14"/>
      <c r="B10" s="15"/>
      <c r="C10" s="15"/>
      <c r="D10" s="15"/>
      <c r="E10" s="15"/>
      <c r="F10" s="15"/>
      <c r="G10" s="16"/>
      <c r="H10" s="17">
        <f>1/(1+C3)</f>
        <v>0.9009009009009008</v>
      </c>
      <c r="J10">
        <v>1</v>
      </c>
      <c r="K10" s="34">
        <f>1/A12-1</f>
        <v>5.0000000000000044E-2</v>
      </c>
    </row>
    <row r="11" spans="1:11" x14ac:dyDescent="0.35">
      <c r="A11" s="14"/>
      <c r="B11" s="15"/>
      <c r="C11" s="15"/>
      <c r="D11" s="15">
        <f>1/(1+B4)</f>
        <v>0.92592592592592582</v>
      </c>
      <c r="E11" s="15"/>
      <c r="F11" s="15"/>
      <c r="G11" s="16">
        <f>(F4*H10+(1-F4)*H11)/(1+B4)</f>
        <v>0.84975941673760969</v>
      </c>
      <c r="H11" s="17">
        <f t="shared" ref="H11:H12" si="0">1/(1+C4)</f>
        <v>0.93457943925233644</v>
      </c>
      <c r="J11">
        <v>2</v>
      </c>
      <c r="K11" s="34">
        <f>C12^(-1/2)-1</f>
        <v>5.5620793711267824E-2</v>
      </c>
    </row>
    <row r="12" spans="1:11" ht="15" thickBot="1" x14ac:dyDescent="0.4">
      <c r="A12" s="18">
        <f>1/(1+A5)</f>
        <v>0.95238095238095233</v>
      </c>
      <c r="B12" s="19"/>
      <c r="C12" s="20">
        <f>(E5*D11+(1-E5)*D12)/(1+A5)</f>
        <v>0.89739599543521098</v>
      </c>
      <c r="D12" s="19">
        <f>1/(1+B5)</f>
        <v>0.98039215686274506</v>
      </c>
      <c r="E12" s="19"/>
      <c r="F12" s="21">
        <f>(E5*G11+(1-E5)*G12)/(1+A5)</f>
        <v>0.83762425587592138</v>
      </c>
      <c r="G12" s="22">
        <f>(F5*H11+(1-F5)*H12)/(1+B5)</f>
        <v>0.94891292317796927</v>
      </c>
      <c r="H12" s="23">
        <f t="shared" si="0"/>
        <v>0.99009900990099009</v>
      </c>
      <c r="J12">
        <v>3</v>
      </c>
      <c r="K12" s="34">
        <f>F12^(-1/3)-1</f>
        <v>6.0840890991175289E-2</v>
      </c>
    </row>
    <row r="13" spans="1:11" ht="15" thickTop="1" x14ac:dyDescent="0.35">
      <c r="A13" s="10"/>
      <c r="B13" s="10"/>
      <c r="C13" s="10"/>
      <c r="D13" s="10"/>
      <c r="E13" s="10"/>
      <c r="F13" s="10"/>
    </row>
    <row r="14" spans="1:11" x14ac:dyDescent="0.35">
      <c r="A14" s="10"/>
      <c r="B14" s="10"/>
      <c r="C14" s="10"/>
      <c r="D14" s="10"/>
      <c r="E14" s="10"/>
      <c r="F14" s="10"/>
    </row>
    <row r="15" spans="1:11" ht="15" thickBot="1" x14ac:dyDescent="0.4"/>
    <row r="16" spans="1:11" ht="15" thickTop="1" x14ac:dyDescent="0.35">
      <c r="A16" s="33" t="s">
        <v>18</v>
      </c>
      <c r="B16" s="3"/>
      <c r="C16" s="3"/>
      <c r="D16" s="3"/>
      <c r="E16" s="3"/>
      <c r="F16" s="3"/>
      <c r="G16" s="3"/>
      <c r="H16" s="3"/>
      <c r="I16" s="3" t="s">
        <v>49</v>
      </c>
      <c r="J16" s="35">
        <f>B22*(A12+C12)</f>
        <v>99.999999867002344</v>
      </c>
      <c r="K16" s="4"/>
    </row>
    <row r="17" spans="1:11" x14ac:dyDescent="0.35">
      <c r="A17" s="24" t="s">
        <v>50</v>
      </c>
      <c r="B17" s="6"/>
      <c r="C17" s="6"/>
      <c r="D17" s="6"/>
      <c r="E17" s="6"/>
      <c r="F17" s="6"/>
      <c r="G17" s="6"/>
      <c r="H17" s="6"/>
      <c r="I17" s="6"/>
      <c r="J17" s="36"/>
      <c r="K17" s="8"/>
    </row>
    <row r="18" spans="1:11" x14ac:dyDescent="0.35">
      <c r="A18" s="5"/>
      <c r="B18" s="6"/>
      <c r="C18" s="6"/>
      <c r="D18" s="7" t="s">
        <v>51</v>
      </c>
      <c r="E18" s="6"/>
      <c r="F18" s="6"/>
      <c r="G18" s="6"/>
      <c r="H18" s="6"/>
      <c r="I18" s="6"/>
      <c r="J18" s="37"/>
      <c r="K18" s="8"/>
    </row>
    <row r="19" spans="1:11" x14ac:dyDescent="0.35">
      <c r="A19" s="5" t="s">
        <v>57</v>
      </c>
      <c r="B19" s="6">
        <v>100</v>
      </c>
      <c r="C19" s="6"/>
      <c r="D19" s="26">
        <v>100</v>
      </c>
      <c r="E19" s="26">
        <f>D19-E22</f>
        <v>51.306765011173354</v>
      </c>
      <c r="F19" s="26">
        <f t="shared" ref="F19" si="1">E19-F22</f>
        <v>-1.7053025658242404E-13</v>
      </c>
      <c r="G19" s="26"/>
      <c r="H19" s="6"/>
      <c r="I19" s="6"/>
      <c r="J19" s="6"/>
      <c r="K19" s="8"/>
    </row>
    <row r="20" spans="1:11" x14ac:dyDescent="0.35">
      <c r="A20" s="5" t="s">
        <v>58</v>
      </c>
      <c r="B20" s="32">
        <v>5.3673370088197787E-2</v>
      </c>
      <c r="C20" s="6"/>
      <c r="D20" s="27" t="s">
        <v>52</v>
      </c>
      <c r="E20" s="27" t="s">
        <v>53</v>
      </c>
      <c r="F20" s="27" t="s">
        <v>54</v>
      </c>
      <c r="G20" s="27"/>
      <c r="H20" s="6"/>
      <c r="I20" s="6"/>
      <c r="J20" s="10" t="s">
        <v>18</v>
      </c>
      <c r="K20" s="8"/>
    </row>
    <row r="21" spans="1:11" x14ac:dyDescent="0.35">
      <c r="A21" s="5" t="s">
        <v>59</v>
      </c>
      <c r="B21" s="6">
        <v>2</v>
      </c>
      <c r="C21" s="6"/>
      <c r="D21" s="6" t="s">
        <v>60</v>
      </c>
      <c r="E21" s="6"/>
      <c r="F21" s="6"/>
      <c r="G21" s="6"/>
      <c r="H21" s="6"/>
      <c r="I21" s="6"/>
      <c r="J21" s="6"/>
      <c r="K21" s="8"/>
    </row>
    <row r="22" spans="1:11" x14ac:dyDescent="0.35">
      <c r="A22" s="5" t="s">
        <v>55</v>
      </c>
      <c r="B22" s="28">
        <f>B19*(1+B20)^B21*B20/((1+B20)^B21-1)</f>
        <v>54.060571997646427</v>
      </c>
      <c r="C22" s="6"/>
      <c r="D22" s="6"/>
      <c r="E22" s="38">
        <f>$B$22-$B$20*D19</f>
        <v>48.693234988826646</v>
      </c>
      <c r="F22" s="38">
        <f t="shared" ref="F22" si="2">$B$22-$B$20*E19</f>
        <v>51.306765011173525</v>
      </c>
      <c r="G22" s="38"/>
      <c r="H22" s="6"/>
      <c r="I22" s="6"/>
      <c r="J22" s="6"/>
      <c r="K22" s="8"/>
    </row>
    <row r="23" spans="1:11" ht="15" thickBot="1" x14ac:dyDescent="0.4">
      <c r="A23" s="29"/>
      <c r="B23" s="30"/>
      <c r="C23" s="30"/>
      <c r="D23" s="30"/>
      <c r="E23" s="30"/>
      <c r="F23" s="30"/>
      <c r="G23" s="30"/>
      <c r="H23" s="30"/>
      <c r="I23" s="30"/>
      <c r="J23" s="30"/>
      <c r="K23" s="31"/>
    </row>
    <row r="24" spans="1:11" ht="15" thickTop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35">
      <c r="A25" s="39" t="s">
        <v>64</v>
      </c>
    </row>
    <row r="26" spans="1:11" x14ac:dyDescent="0.35">
      <c r="A26" s="39" t="s">
        <v>61</v>
      </c>
      <c r="E26" t="s">
        <v>62</v>
      </c>
    </row>
    <row r="28" spans="1:11" x14ac:dyDescent="0.35">
      <c r="G28">
        <v>0</v>
      </c>
    </row>
    <row r="29" spans="1:11" x14ac:dyDescent="0.35">
      <c r="B29">
        <f>C29/(1+B4)</f>
        <v>51.306765011173511</v>
      </c>
      <c r="C29">
        <f>F22+E19*B4</f>
        <v>55.411306212067394</v>
      </c>
      <c r="F29">
        <f>MIN(E19,B22/(1+B4))</f>
        <v>50.056085183005948</v>
      </c>
      <c r="G29">
        <v>0</v>
      </c>
      <c r="J29" t="str">
        <f>IF(F29&lt;E$19, "Hold", "Indfri")</f>
        <v>Hold</v>
      </c>
    </row>
    <row r="30" spans="1:11" x14ac:dyDescent="0.35">
      <c r="A30">
        <f>(E22+A5*D19)/(1+A5)+(E7*B29+(1-E7)*B30)/(1+A5)</f>
        <v>100.00000000000014</v>
      </c>
      <c r="B30" s="1">
        <f>C30/(1+B5)</f>
        <v>51.306765011173518</v>
      </c>
      <c r="C30">
        <f>F22+B5*E19</f>
        <v>52.33290031139699</v>
      </c>
      <c r="E30">
        <f>MIN(D19, (E5*(B22+F29)+(1-E5)*(B22+F30))/(1+A5))</f>
        <v>99.516058218192953</v>
      </c>
      <c r="F30">
        <f>MIN(E19, B22/(1+B5))</f>
        <v>51.306765011173354</v>
      </c>
      <c r="G30">
        <v>0</v>
      </c>
      <c r="I30" t="str">
        <f t="shared" ref="I30:J30" si="3">IF(E30&lt;D$19, "Hold", "Indfri")</f>
        <v>Hold</v>
      </c>
      <c r="J30" t="str">
        <f t="shared" si="3"/>
        <v>Indfri</v>
      </c>
    </row>
    <row r="32" spans="1:11" x14ac:dyDescent="0.35">
      <c r="A32" t="s">
        <v>63</v>
      </c>
    </row>
    <row r="33" spans="1:13" x14ac:dyDescent="0.35">
      <c r="A33" t="s">
        <v>65</v>
      </c>
    </row>
    <row r="34" spans="1:13" x14ac:dyDescent="0.35">
      <c r="A34" t="s">
        <v>61</v>
      </c>
      <c r="H34" t="s">
        <v>75</v>
      </c>
    </row>
    <row r="35" spans="1:13" x14ac:dyDescent="0.35">
      <c r="C35">
        <f>E19*B4+F22</f>
        <v>55.411306212067394</v>
      </c>
      <c r="J35" s="1">
        <f>B22</f>
        <v>54.060571997646427</v>
      </c>
    </row>
    <row r="36" spans="1:13" x14ac:dyDescent="0.35">
      <c r="B36">
        <f>D19*A5+E22</f>
        <v>53.693234988826646</v>
      </c>
      <c r="C36">
        <f>E19*B4+F22</f>
        <v>55.411306212067394</v>
      </c>
      <c r="I36" s="1">
        <f>B22</f>
        <v>54.060571997646427</v>
      </c>
      <c r="J36" s="1">
        <f>B22</f>
        <v>54.060571997646427</v>
      </c>
    </row>
    <row r="37" spans="1:13" x14ac:dyDescent="0.35">
      <c r="B37">
        <f>D19*A5+E22</f>
        <v>53.693234988826646</v>
      </c>
      <c r="C37">
        <f>E19*B5+F22</f>
        <v>52.33290031139699</v>
      </c>
      <c r="I37" s="1">
        <f>B22</f>
        <v>54.060571997646427</v>
      </c>
      <c r="J37" s="1">
        <f>B22</f>
        <v>54.060571997646427</v>
      </c>
    </row>
    <row r="38" spans="1:13" x14ac:dyDescent="0.35">
      <c r="C38">
        <f>E19*B5+F22</f>
        <v>52.33290031139699</v>
      </c>
      <c r="J38" s="1">
        <f>B22</f>
        <v>54.060571997646427</v>
      </c>
    </row>
    <row r="40" spans="1:13" x14ac:dyDescent="0.35">
      <c r="A40" t="s">
        <v>66</v>
      </c>
      <c r="H40" t="s">
        <v>66</v>
      </c>
    </row>
    <row r="41" spans="1:13" x14ac:dyDescent="0.35">
      <c r="A41" t="s">
        <v>67</v>
      </c>
      <c r="B41" t="s">
        <v>68</v>
      </c>
      <c r="C41" t="s">
        <v>73</v>
      </c>
      <c r="H41" t="s">
        <v>67</v>
      </c>
      <c r="I41" t="s">
        <v>68</v>
      </c>
      <c r="J41" t="s">
        <v>73</v>
      </c>
    </row>
    <row r="42" spans="1:13" x14ac:dyDescent="0.35">
      <c r="A42" t="s">
        <v>69</v>
      </c>
      <c r="B42">
        <f>E5*F4</f>
        <v>0.35</v>
      </c>
      <c r="C42">
        <f>$A$12*B36+$C$12*C35</f>
        <v>100.86229857161651</v>
      </c>
      <c r="D42">
        <f>C42*B42</f>
        <v>35.301804500065778</v>
      </c>
      <c r="F42">
        <f>B42*(C42-$D$46)^2</f>
        <v>0.24039784699322131</v>
      </c>
      <c r="H42" t="s">
        <v>69</v>
      </c>
      <c r="I42">
        <v>0.35</v>
      </c>
      <c r="J42">
        <f>$A$12*I36+$C$12*J35</f>
        <v>99.999999867002344</v>
      </c>
      <c r="K42">
        <f>J42*I42</f>
        <v>34.999999953450818</v>
      </c>
      <c r="M42">
        <f>I42*(J42-$K$46)^2</f>
        <v>0</v>
      </c>
    </row>
    <row r="43" spans="1:13" x14ac:dyDescent="0.35">
      <c r="A43" t="s">
        <v>70</v>
      </c>
      <c r="B43">
        <f>E5*(1-F4)</f>
        <v>0.35</v>
      </c>
      <c r="C43">
        <f>$A$12*B36+$C$12*C36</f>
        <v>100.86229857161651</v>
      </c>
      <c r="D43">
        <f t="shared" ref="D43:D45" si="4">C43*B43</f>
        <v>35.301804500065778</v>
      </c>
      <c r="F43">
        <f t="shared" ref="F43:F45" si="5">B43*(C43-$D$46)^2</f>
        <v>0.24039784699322131</v>
      </c>
      <c r="H43" t="s">
        <v>70</v>
      </c>
      <c r="I43">
        <v>0.35</v>
      </c>
      <c r="J43">
        <f>$A$12*I36+$C$12*J36</f>
        <v>99.999999867002344</v>
      </c>
      <c r="K43">
        <f t="shared" ref="K43:K45" si="6">J43*I43</f>
        <v>34.999999953450818</v>
      </c>
      <c r="M43">
        <f t="shared" ref="M43:M45" si="7">I43*(J43-$K$46)^2</f>
        <v>0</v>
      </c>
    </row>
    <row r="44" spans="1:13" x14ac:dyDescent="0.35">
      <c r="A44" t="s">
        <v>71</v>
      </c>
      <c r="B44">
        <f>(1-E5)*F5</f>
        <v>0.12000000000000002</v>
      </c>
      <c r="C44">
        <f>$A$12*B37+$C$12*C37</f>
        <v>98.099749444030749</v>
      </c>
      <c r="D44">
        <f t="shared" si="4"/>
        <v>11.771969933283692</v>
      </c>
      <c r="F44">
        <f t="shared" si="5"/>
        <v>0.44874264772070849</v>
      </c>
      <c r="H44" t="s">
        <v>71</v>
      </c>
      <c r="I44">
        <v>0.12000000000000002</v>
      </c>
      <c r="J44">
        <f>$A$12*I37+$C$12*J37</f>
        <v>99.999999867002344</v>
      </c>
      <c r="K44">
        <f t="shared" si="6"/>
        <v>11.999999984040283</v>
      </c>
      <c r="M44">
        <f t="shared" si="7"/>
        <v>0</v>
      </c>
    </row>
    <row r="45" spans="1:13" x14ac:dyDescent="0.35">
      <c r="A45" t="s">
        <v>72</v>
      </c>
      <c r="B45">
        <f>(1-E5)*(1-F5)</f>
        <v>0.18000000000000002</v>
      </c>
      <c r="C45">
        <f>$A$12*B37+$C$12*C38</f>
        <v>98.099749444030749</v>
      </c>
      <c r="D45">
        <f t="shared" si="4"/>
        <v>17.657954899925539</v>
      </c>
      <c r="F45">
        <f t="shared" si="5"/>
        <v>0.67311397158106268</v>
      </c>
      <c r="H45" t="s">
        <v>72</v>
      </c>
      <c r="I45">
        <v>0.18000000000000002</v>
      </c>
      <c r="J45">
        <f>$A$12*I37+$C$12*J38</f>
        <v>99.999999867002344</v>
      </c>
      <c r="K45">
        <f t="shared" si="6"/>
        <v>17.999999976060423</v>
      </c>
      <c r="M45">
        <f t="shared" si="7"/>
        <v>0</v>
      </c>
    </row>
    <row r="46" spans="1:13" x14ac:dyDescent="0.35">
      <c r="C46" t="s">
        <v>21</v>
      </c>
      <c r="D46">
        <f>SUM(D42:D45)</f>
        <v>100.0335338333408</v>
      </c>
      <c r="E46" t="s">
        <v>74</v>
      </c>
      <c r="F46" s="1">
        <f>SQRT(SUM(F42:F45))</f>
        <v>1.2659590488195951</v>
      </c>
      <c r="J46" t="s">
        <v>21</v>
      </c>
      <c r="K46">
        <f>SUM(K42:K45)</f>
        <v>99.999999867002344</v>
      </c>
      <c r="L46" t="s">
        <v>74</v>
      </c>
      <c r="M46" s="1">
        <f>SQRT(SUM(M42:M45))</f>
        <v>0</v>
      </c>
    </row>
    <row r="48" spans="1:13" x14ac:dyDescent="0.35">
      <c r="A48" t="s">
        <v>76</v>
      </c>
    </row>
    <row r="50" spans="1:13" x14ac:dyDescent="0.35">
      <c r="A50" t="s">
        <v>78</v>
      </c>
      <c r="H50" t="s">
        <v>75</v>
      </c>
    </row>
    <row r="52" spans="1:13" x14ac:dyDescent="0.35">
      <c r="A52" t="s">
        <v>77</v>
      </c>
      <c r="B52">
        <f>E5</f>
        <v>0.7</v>
      </c>
      <c r="C52">
        <f>B36+B29</f>
        <v>105.00000000000016</v>
      </c>
      <c r="D52">
        <f>C52*B52</f>
        <v>73.500000000000099</v>
      </c>
      <c r="F52">
        <f>B52*(C52-$D$54)^2</f>
        <v>0</v>
      </c>
      <c r="H52" t="s">
        <v>77</v>
      </c>
      <c r="I52">
        <f>E5</f>
        <v>0.7</v>
      </c>
      <c r="J52">
        <f>B22+B22/(1+B4)</f>
        <v>104.11665718065237</v>
      </c>
      <c r="K52">
        <f>J52*I52</f>
        <v>72.881660026456657</v>
      </c>
      <c r="M52">
        <f>I52*(J52-$K$54)^2</f>
        <v>0.5462060028458533</v>
      </c>
    </row>
    <row r="53" spans="1:13" x14ac:dyDescent="0.35">
      <c r="A53" t="s">
        <v>79</v>
      </c>
      <c r="B53">
        <f>1-B52</f>
        <v>0.30000000000000004</v>
      </c>
      <c r="C53" s="1">
        <f>B37+B30</f>
        <v>105.00000000000017</v>
      </c>
      <c r="D53">
        <f>C53*B53</f>
        <v>31.500000000000057</v>
      </c>
      <c r="F53">
        <f>B53*(C53-$D$54)^2</f>
        <v>6.0584517520973716E-29</v>
      </c>
      <c r="H53" t="s">
        <v>80</v>
      </c>
      <c r="I53">
        <f>1-I52</f>
        <v>0.30000000000000004</v>
      </c>
      <c r="J53">
        <f>B22+B22/(1+B5)</f>
        <v>107.06113277965272</v>
      </c>
      <c r="K53">
        <f>J53*I53</f>
        <v>32.118339833895824</v>
      </c>
      <c r="M53">
        <f>I53*(J53-$K$54)^2</f>
        <v>1.2744806733069325</v>
      </c>
    </row>
    <row r="54" spans="1:13" x14ac:dyDescent="0.35">
      <c r="C54" t="s">
        <v>81</v>
      </c>
      <c r="D54">
        <f>SUM(D50:D53)</f>
        <v>105.00000000000016</v>
      </c>
      <c r="E54" t="s">
        <v>74</v>
      </c>
      <c r="F54" s="1">
        <f>SQRT(SUM(F52:F53))</f>
        <v>7.7836056889447915E-15</v>
      </c>
      <c r="J54" t="s">
        <v>81</v>
      </c>
      <c r="K54">
        <f>SUM(K50:K53)</f>
        <v>104.99999986035249</v>
      </c>
      <c r="L54" t="s">
        <v>74</v>
      </c>
      <c r="M54" s="1">
        <f>SQRT(SUM(M52:M53))</f>
        <v>1.3493282314369568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Opgave 1</vt:lpstr>
      <vt:lpstr>Opgave 2</vt:lpstr>
      <vt:lpstr>Opgave 3</vt:lpstr>
      <vt:lpstr>Noter, opgave 3 IGNORER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Poulsen</dc:creator>
  <cp:lastModifiedBy>Rolf Poulsen</cp:lastModifiedBy>
  <dcterms:created xsi:type="dcterms:W3CDTF">2021-09-29T10:48:55Z</dcterms:created>
  <dcterms:modified xsi:type="dcterms:W3CDTF">2022-10-31T18:36:34Z</dcterms:modified>
</cp:coreProperties>
</file>