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x738\Dropbox\MatFin1 november 2022\"/>
    </mc:Choice>
  </mc:AlternateContent>
  <bookViews>
    <workbookView xWindow="0" yWindow="0" windowWidth="19180" windowHeight="8280" activeTab="1"/>
  </bookViews>
  <sheets>
    <sheet name="Opgave 1" sheetId="5" r:id="rId1"/>
    <sheet name="Opgave 2" sheetId="8" r:id="rId2"/>
    <sheet name="Opgave 3" sheetId="9" r:id="rId3"/>
  </sheets>
  <definedNames>
    <definedName name="solver_adj" localSheetId="0" hidden="1">'Opgave 1'!$A$48:$C$48</definedName>
    <definedName name="solver_adj" localSheetId="1" hidden="1">'Opgave 2'!$B$17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'Opgave 1'!$G$48:$G$51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'Opgave 1'!$E$48</definedName>
    <definedName name="solver_opt" localSheetId="1" hidden="1">'Opgave 2'!$E$15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hs1" localSheetId="0" hidden="1">'Opgave 1'!$G$42:$G$45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3</definedName>
    <definedName name="solver_val" localSheetId="0" hidden="1">0</definedName>
    <definedName name="solver_val" localSheetId="1" hidden="1">100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8" l="1"/>
  <c r="G20" i="5"/>
  <c r="A30" i="8" l="1" a="1"/>
  <c r="A30" i="8" s="1"/>
  <c r="D30" i="8"/>
  <c r="D29" i="8"/>
  <c r="D28" i="8"/>
  <c r="C30" i="8"/>
  <c r="C29" i="8"/>
  <c r="C28" i="8"/>
  <c r="B18" i="8" l="1"/>
  <c r="B45" i="5"/>
  <c r="B44" i="5"/>
  <c r="B43" i="5"/>
  <c r="B42" i="5"/>
  <c r="H2" i="5"/>
  <c r="D18" i="5"/>
  <c r="G45" i="5"/>
  <c r="G44" i="5"/>
  <c r="G43" i="5"/>
  <c r="G42" i="5"/>
  <c r="E42" i="5"/>
  <c r="A45" i="5"/>
  <c r="A44" i="5"/>
  <c r="A43" i="5"/>
  <c r="A42" i="5"/>
  <c r="A37" i="5"/>
  <c r="B37" i="5"/>
  <c r="B36" i="5"/>
  <c r="C37" i="5"/>
  <c r="C36" i="5"/>
  <c r="C35" i="5"/>
  <c r="D37" i="5"/>
  <c r="D36" i="5"/>
  <c r="D35" i="5"/>
  <c r="D34" i="5"/>
  <c r="B27" i="5"/>
  <c r="A27" i="5"/>
  <c r="B26" i="5"/>
  <c r="A26" i="5"/>
  <c r="F10" i="8"/>
  <c r="G10" i="8"/>
  <c r="G9" i="8"/>
  <c r="H10" i="8"/>
  <c r="H9" i="8"/>
  <c r="H8" i="8"/>
  <c r="C10" i="8"/>
  <c r="D10" i="8"/>
  <c r="D9" i="8"/>
  <c r="D8" i="8"/>
  <c r="A8" i="8"/>
  <c r="A8" i="5"/>
  <c r="D2" i="5"/>
  <c r="D1" i="5"/>
  <c r="E15" i="8" l="1"/>
  <c r="B23" i="8" s="1"/>
  <c r="B7" i="5"/>
  <c r="C6" i="5" s="1"/>
  <c r="D5" i="5" s="1"/>
  <c r="C42" i="5" s="1"/>
  <c r="B8" i="5"/>
  <c r="C7" i="5" l="1"/>
  <c r="D6" i="5" s="1"/>
  <c r="D19" i="5" s="1"/>
  <c r="C8" i="5"/>
  <c r="D8" i="5"/>
  <c r="D21" i="5" s="1"/>
  <c r="C45" i="5" s="1"/>
  <c r="C19" i="5" l="1"/>
  <c r="C43" i="5"/>
  <c r="D7" i="5"/>
  <c r="D20" i="5" s="1"/>
  <c r="C20" i="5" s="1"/>
  <c r="B12" i="5"/>
  <c r="B13" i="5" s="1"/>
  <c r="B21" i="5" l="1"/>
  <c r="C27" i="5" s="1"/>
  <c r="C44" i="5"/>
  <c r="C21" i="5"/>
  <c r="G48" i="5" a="1"/>
  <c r="B20" i="5" l="1"/>
  <c r="A21" i="5" s="1"/>
  <c r="G48" i="5"/>
  <c r="G50" i="5"/>
  <c r="G49" i="5"/>
  <c r="G51" i="5"/>
  <c r="E44" i="5" l="1"/>
  <c r="E48" i="5" s="1" a="1"/>
  <c r="E48" i="5" s="1"/>
  <c r="C26" i="5"/>
  <c r="F26" i="5" s="1" a="1"/>
  <c r="F27" i="5" l="1"/>
  <c r="F26" i="5"/>
</calcChain>
</file>

<file path=xl/sharedStrings.xml><?xml version="1.0" encoding="utf-8"?>
<sst xmlns="http://schemas.openxmlformats.org/spreadsheetml/2006/main" count="87" uniqueCount="76">
  <si>
    <t>x</t>
  </si>
  <si>
    <t>D</t>
  </si>
  <si>
    <t xml:space="preserve"> </t>
  </si>
  <si>
    <t>1a</t>
  </si>
  <si>
    <t>1b</t>
  </si>
  <si>
    <t>1c</t>
  </si>
  <si>
    <t>1d</t>
  </si>
  <si>
    <t>2a</t>
  </si>
  <si>
    <t>2b</t>
  </si>
  <si>
    <t>Kurs</t>
  </si>
  <si>
    <t>sigma</t>
  </si>
  <si>
    <t>u=</t>
  </si>
  <si>
    <t>d=</t>
  </si>
  <si>
    <t>q=</t>
  </si>
  <si>
    <t>r=</t>
  </si>
  <si>
    <t>K=</t>
  </si>
  <si>
    <t>Pris</t>
  </si>
  <si>
    <t>alpha</t>
  </si>
  <si>
    <t>S0=</t>
  </si>
  <si>
    <t>P(,1)</t>
  </si>
  <si>
    <t>P(,2)</t>
  </si>
  <si>
    <t>P(,3)</t>
  </si>
  <si>
    <t>(var^P(S_2))^0.5 =</t>
  </si>
  <si>
    <t>E^P (S_2) =</t>
  </si>
  <si>
    <t>T=3</t>
  </si>
  <si>
    <t>(T,K)</t>
  </si>
  <si>
    <t>Put-optionspriser</t>
  </si>
  <si>
    <t>(3,100)</t>
  </si>
  <si>
    <t>(3,90)</t>
  </si>
  <si>
    <t>(2,100)</t>
  </si>
  <si>
    <t>Højreside</t>
  </si>
  <si>
    <t>Rep' pf på tid 0</t>
  </si>
  <si>
    <t>#aktier</t>
  </si>
  <si>
    <t>kr. i banken</t>
  </si>
  <si>
    <t>Ved at justere dynamisk, kan man replikere payoff</t>
  </si>
  <si>
    <t>Amerikansk putoptionspris</t>
  </si>
  <si>
    <t>Indfri?</t>
  </si>
  <si>
    <t>JA</t>
  </si>
  <si>
    <t>NEJ</t>
  </si>
  <si>
    <t>1e</t>
  </si>
  <si>
    <t xml:space="preserve">D^T </t>
  </si>
  <si>
    <t>\pi</t>
  </si>
  <si>
    <t>\theta^T</t>
  </si>
  <si>
    <t>\theta^T \pi</t>
  </si>
  <si>
    <t>D^T \theta</t>
  </si>
  <si>
    <t>Øvre grænse: min \theta^T \pi ub D^T \theta &gt;= x</t>
  </si>
  <si>
    <t>Løses med Solver -- paste as value fra E48 til E50</t>
  </si>
  <si>
    <t>Nedre grænse: max \theta^T \pi ub D^T \theta &lt;= x</t>
  </si>
  <si>
    <t>3 perioder!</t>
  </si>
  <si>
    <t>&lt;- tid</t>
  </si>
  <si>
    <t>Hovedstol</t>
  </si>
  <si>
    <t>Løbetid</t>
  </si>
  <si>
    <t>Kuponrente</t>
  </si>
  <si>
    <t>ydelse</t>
  </si>
  <si>
    <t>&lt;- annuitetsformel</t>
  </si>
  <si>
    <t>&lt;- skaf 100 her med Solver ved via B17</t>
  </si>
  <si>
    <t>2c</t>
  </si>
  <si>
    <t>A(2)</t>
  </si>
  <si>
    <t>tid 2-knude</t>
  </si>
  <si>
    <t>Q'ssh</t>
  </si>
  <si>
    <t>Det kan vi udregne direkte:</t>
  </si>
  <si>
    <t>Fwd (0;2)=</t>
  </si>
  <si>
    <t>Fut(0;2)=</t>
  </si>
  <si>
    <t>Da renten er stokastiske er forward- og futurespriser ikke helt ens.</t>
  </si>
  <si>
    <t>Prop. 15: Fut(0;2)= E^Q (A(2)), hvor A(2) er annuitetens kurs på tid 2</t>
  </si>
  <si>
    <t>&lt;- fra Prop. 12 i noterne</t>
  </si>
  <si>
    <t>&lt;- ((1+r)-d)/(u-d)</t>
  </si>
  <si>
    <t>&lt;- 'paste as values'</t>
  </si>
  <si>
    <t>&lt;- direkte udregning</t>
  </si>
  <si>
    <t>Vi regner som afsnit 2.7.2</t>
  </si>
  <si>
    <t>Vi regner som i afsnit 6.5</t>
  </si>
  <si>
    <t>Udløb 2-putoption kan replikeres med de tre angivene aktiver -- prisen er derfor den samme som før.</t>
  </si>
  <si>
    <t>Vi løser replikationsligninger som i afsnit 4.1 eller afsnit 6.3</t>
  </si>
  <si>
    <t>Finder (1+r)^-T E^Q(Payoff(T)) ved at trævle baglæns</t>
  </si>
  <si>
    <t>Vi trævler os baglæns gennem gitteret for hver nulkopunobligation som afsnit 8.1</t>
  </si>
  <si>
    <t>Modellen er komplet -- der er i alle 1-periodedelmodeller ligeså mange aktiver som tilstande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</si>
</sst>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 applyFill="1" applyBorder="1"/>
    <xf numFmtId="0" fontId="0" fillId="0" borderId="0" xfId="0" applyFill="1" applyBorder="1"/>
    <xf numFmtId="2" fontId="0" fillId="0" borderId="0" xfId="0" applyNumberFormat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2" borderId="1" xfId="0" applyFill="1" applyBorder="1"/>
    <xf numFmtId="2" fontId="0" fillId="2" borderId="1" xfId="0" applyNumberFormat="1" applyFill="1" applyBorder="1"/>
    <xf numFmtId="0" fontId="1" fillId="3" borderId="0" xfId="0" applyFont="1" applyFill="1" applyBorder="1"/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0" applyFont="1"/>
    <xf numFmtId="165" fontId="0" fillId="0" borderId="5" xfId="0" applyNumberFormat="1" applyBorder="1"/>
    <xf numFmtId="165" fontId="0" fillId="0" borderId="0" xfId="0" applyNumberFormat="1" applyBorder="1"/>
    <xf numFmtId="165" fontId="0" fillId="0" borderId="0" xfId="0" applyNumberFormat="1" applyFill="1" applyBorder="1"/>
    <xf numFmtId="0" fontId="0" fillId="0" borderId="0" xfId="0" quotePrefix="1" applyBorder="1"/>
    <xf numFmtId="0" fontId="0" fillId="0" borderId="0" xfId="0" quotePrefix="1" applyFill="1" applyBorder="1"/>
    <xf numFmtId="2" fontId="0" fillId="0" borderId="5" xfId="0" applyNumberFormat="1" applyBorder="1"/>
    <xf numFmtId="165" fontId="1" fillId="3" borderId="0" xfId="0" applyNumberFormat="1" applyFont="1" applyFill="1" applyBorder="1"/>
    <xf numFmtId="0" fontId="1" fillId="2" borderId="1" xfId="0" applyFont="1" applyFill="1" applyBorder="1"/>
    <xf numFmtId="165" fontId="1" fillId="3" borderId="5" xfId="0" applyNumberFormat="1" applyFont="1" applyFill="1" applyBorder="1"/>
    <xf numFmtId="164" fontId="1" fillId="3" borderId="0" xfId="0" applyNumberFormat="1" applyFont="1" applyFill="1" applyBorder="1"/>
    <xf numFmtId="164" fontId="1" fillId="0" borderId="0" xfId="0" applyNumberFormat="1" applyFont="1" applyBorder="1"/>
    <xf numFmtId="164" fontId="1" fillId="3" borderId="5" xfId="0" applyNumberFormat="1" applyFont="1" applyFill="1" applyBorder="1"/>
    <xf numFmtId="0" fontId="2" fillId="0" borderId="5" xfId="0" applyFont="1" applyBorder="1"/>
    <xf numFmtId="0" fontId="2" fillId="0" borderId="0" xfId="0" applyFont="1" applyBorder="1"/>
    <xf numFmtId="0" fontId="0" fillId="0" borderId="5" xfId="0" applyBorder="1" applyAlignment="1">
      <alignment horizontal="right"/>
    </xf>
    <xf numFmtId="166" fontId="1" fillId="3" borderId="0" xfId="0" applyNumberFormat="1" applyFont="1" applyFill="1" applyBorder="1"/>
    <xf numFmtId="0" fontId="0" fillId="3" borderId="0" xfId="0" applyFill="1"/>
    <xf numFmtId="0" fontId="0" fillId="4" borderId="2" xfId="0" applyFill="1" applyBorder="1"/>
    <xf numFmtId="0" fontId="0" fillId="4" borderId="3" xfId="0" applyFill="1" applyBorder="1"/>
    <xf numFmtId="2" fontId="0" fillId="4" borderId="2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4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4D5F5D50-CD80-4375-9710-2A45C1CCCB4D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69684</xdr:colOff>
      <xdr:row>0</xdr:row>
      <xdr:rowOff>82550</xdr:rowOff>
    </xdr:from>
    <xdr:to>
      <xdr:col>8</xdr:col>
      <xdr:colOff>151801</xdr:colOff>
      <xdr:row>33</xdr:row>
      <xdr:rowOff>171449</xdr:rowOff>
    </xdr:to>
    <xdr:pic>
      <xdr:nvPicPr>
        <xdr:cNvPr id="3" name="4D5F5D50-CD80-4375-9710-2A45C1CCCB4D" descr="IMG_1120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-533782" y="686016"/>
          <a:ext cx="6165849" cy="4958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11" workbookViewId="0">
      <selection activeCell="G28" sqref="G28"/>
    </sheetView>
  </sheetViews>
  <sheetFormatPr defaultRowHeight="14.5" x14ac:dyDescent="0.35"/>
  <cols>
    <col min="1" max="1" width="16.453125" customWidth="1"/>
    <col min="2" max="2" width="9.36328125" customWidth="1"/>
    <col min="3" max="3" width="10" customWidth="1"/>
    <col min="5" max="5" width="20" customWidth="1"/>
    <col min="6" max="6" width="7.08984375" customWidth="1"/>
  </cols>
  <sheetData>
    <row r="1" spans="1:10" x14ac:dyDescent="0.35">
      <c r="A1" s="37" t="s">
        <v>17</v>
      </c>
      <c r="B1" s="37">
        <v>7.0000000000000007E-2</v>
      </c>
      <c r="C1" s="18" t="s">
        <v>11</v>
      </c>
      <c r="D1">
        <f>EXP(B1+B2)</f>
        <v>1.3771277643359572</v>
      </c>
      <c r="E1" s="18" t="s">
        <v>18</v>
      </c>
      <c r="F1">
        <v>100</v>
      </c>
      <c r="G1" t="s">
        <v>14</v>
      </c>
      <c r="H1">
        <v>0.04</v>
      </c>
    </row>
    <row r="2" spans="1:10" x14ac:dyDescent="0.35">
      <c r="A2" s="37" t="s">
        <v>10</v>
      </c>
      <c r="B2" s="37">
        <v>0.25</v>
      </c>
      <c r="C2" s="18" t="s">
        <v>12</v>
      </c>
      <c r="D2">
        <f>EXP(B1-B2)</f>
        <v>0.835270211411272</v>
      </c>
      <c r="E2" s="18"/>
      <c r="G2" s="41" t="s">
        <v>13</v>
      </c>
      <c r="H2" s="41">
        <f>((1+H1)-D2)/(D1-D2)</f>
        <v>0.37782953745628456</v>
      </c>
      <c r="I2" s="41" t="s">
        <v>66</v>
      </c>
      <c r="J2" s="41"/>
    </row>
    <row r="4" spans="1:10" x14ac:dyDescent="0.35">
      <c r="A4" t="s">
        <v>2</v>
      </c>
    </row>
    <row r="5" spans="1:10" x14ac:dyDescent="0.35">
      <c r="A5" s="19"/>
      <c r="B5" s="19"/>
      <c r="C5" s="19"/>
      <c r="D5" s="19">
        <f>C6*$D$1</f>
        <v>261.16964734231181</v>
      </c>
    </row>
    <row r="6" spans="1:10" x14ac:dyDescent="0.35">
      <c r="A6" s="19"/>
      <c r="B6" s="19"/>
      <c r="C6" s="19">
        <f t="shared" ref="C6:D6" si="0">B7*$D$1</f>
        <v>189.64808793049514</v>
      </c>
      <c r="D6" s="19">
        <f t="shared" si="0"/>
        <v>158.40739849944819</v>
      </c>
    </row>
    <row r="7" spans="1:10" x14ac:dyDescent="0.35">
      <c r="A7" s="19"/>
      <c r="B7" s="19">
        <f>A8*$D$1</f>
        <v>137.71277643359571</v>
      </c>
      <c r="C7" s="19">
        <f t="shared" ref="C7:D7" si="1">B8*$D$1</f>
        <v>115.02737988572272</v>
      </c>
      <c r="D7" s="19">
        <f t="shared" si="1"/>
        <v>96.078943915232315</v>
      </c>
    </row>
    <row r="8" spans="1:10" x14ac:dyDescent="0.35">
      <c r="A8" s="19">
        <f>F1</f>
        <v>100</v>
      </c>
      <c r="B8" s="19">
        <f>A8*$D$2</f>
        <v>83.527021141127193</v>
      </c>
      <c r="C8" s="19">
        <f t="shared" ref="C8:D8" si="2">B8*$D$2</f>
        <v>69.767632607103096</v>
      </c>
      <c r="D8" s="19">
        <f t="shared" si="2"/>
        <v>58.274825237398957</v>
      </c>
    </row>
    <row r="9" spans="1:10" x14ac:dyDescent="0.35">
      <c r="A9" s="20">
        <v>0</v>
      </c>
      <c r="B9" s="20">
        <v>1</v>
      </c>
      <c r="C9" s="20">
        <v>2</v>
      </c>
      <c r="D9" s="20">
        <v>3</v>
      </c>
    </row>
    <row r="10" spans="1:10" ht="15" thickBot="1" x14ac:dyDescent="0.4"/>
    <row r="11" spans="1:10" ht="15" thickTop="1" x14ac:dyDescent="0.35">
      <c r="A11" s="15" t="s">
        <v>3</v>
      </c>
      <c r="B11" s="2"/>
      <c r="C11" s="3"/>
    </row>
    <row r="12" spans="1:10" x14ac:dyDescent="0.35">
      <c r="A12" s="5" t="s">
        <v>23</v>
      </c>
      <c r="B12" s="17">
        <f>(C6+2*C7+C8)/4</f>
        <v>122.36762007726092</v>
      </c>
      <c r="C12" s="12"/>
    </row>
    <row r="13" spans="1:10" x14ac:dyDescent="0.35">
      <c r="A13" s="5" t="s">
        <v>22</v>
      </c>
      <c r="B13" s="17">
        <f>SQRT(0.25*(C6-B12)^2+0.5*(C7-B12)^2+0.25*(C8-B12)^2)</f>
        <v>43.015050530453259</v>
      </c>
      <c r="C13" s="4"/>
    </row>
    <row r="14" spans="1:10" ht="15" thickBot="1" x14ac:dyDescent="0.4">
      <c r="A14" s="13"/>
      <c r="B14" s="14"/>
      <c r="C14" s="8"/>
    </row>
    <row r="15" spans="1:10" ht="15.5" thickTop="1" thickBot="1" x14ac:dyDescent="0.4">
      <c r="A15" s="9"/>
      <c r="B15" s="9"/>
      <c r="C15" s="9"/>
      <c r="D15" s="9"/>
    </row>
    <row r="16" spans="1:10" ht="15" thickTop="1" x14ac:dyDescent="0.35">
      <c r="A16" s="16" t="s">
        <v>4</v>
      </c>
      <c r="B16" s="40" t="s">
        <v>73</v>
      </c>
      <c r="C16" s="40"/>
      <c r="D16" s="40"/>
      <c r="E16" s="38"/>
      <c r="F16" s="2" t="s">
        <v>26</v>
      </c>
      <c r="G16" s="2"/>
      <c r="H16" s="2"/>
      <c r="I16" s="3"/>
    </row>
    <row r="17" spans="1:9" x14ac:dyDescent="0.35">
      <c r="A17" s="5" t="s">
        <v>24</v>
      </c>
      <c r="B17" s="1"/>
      <c r="C17" s="1" t="s">
        <v>15</v>
      </c>
      <c r="D17" s="1">
        <v>100</v>
      </c>
      <c r="E17" s="1"/>
      <c r="F17" s="1" t="s">
        <v>25</v>
      </c>
      <c r="G17" s="1" t="s">
        <v>16</v>
      </c>
      <c r="H17" s="1" t="s">
        <v>2</v>
      </c>
      <c r="I17" s="4"/>
    </row>
    <row r="18" spans="1:9" x14ac:dyDescent="0.35">
      <c r="A18" s="21"/>
      <c r="B18" s="22"/>
      <c r="C18" s="22"/>
      <c r="D18" s="22">
        <f>MAX($D$17-D5,0)</f>
        <v>0</v>
      </c>
      <c r="E18" s="1"/>
      <c r="F18" s="24" t="s">
        <v>27</v>
      </c>
      <c r="G18" s="27">
        <v>10.463059113476513</v>
      </c>
      <c r="H18" s="1"/>
      <c r="I18" s="4"/>
    </row>
    <row r="19" spans="1:9" x14ac:dyDescent="0.35">
      <c r="A19" s="21"/>
      <c r="B19" s="23"/>
      <c r="C19" s="23">
        <f>($H$2*D18+(1-$H$2)*D19)/(1+$H$1)</f>
        <v>0</v>
      </c>
      <c r="D19" s="22">
        <f t="shared" ref="D19:D21" si="3">MAX($D$17-D6,0)</f>
        <v>0</v>
      </c>
      <c r="E19" s="10"/>
      <c r="F19" s="25" t="s">
        <v>28</v>
      </c>
      <c r="G19" s="27">
        <v>6.7925395033936997</v>
      </c>
      <c r="H19" s="1" t="s">
        <v>67</v>
      </c>
      <c r="I19" s="4"/>
    </row>
    <row r="20" spans="1:9" x14ac:dyDescent="0.35">
      <c r="A20" s="21"/>
      <c r="B20" s="23">
        <f>($H$2*C19+(1-$H$2)*C20)/(1+$H$1)</f>
        <v>1.4033149568869496</v>
      </c>
      <c r="C20" s="23">
        <f>($H$2*D19+(1-$H$2)*D20)/(1+$H$1)</f>
        <v>2.3457358441536154</v>
      </c>
      <c r="D20" s="22">
        <f t="shared" si="3"/>
        <v>3.9210560847676845</v>
      </c>
      <c r="E20" s="10"/>
      <c r="F20" s="25" t="s">
        <v>29</v>
      </c>
      <c r="G20" s="27">
        <f>(100-C8)*(1-H2)^2/(1+H1)^2</f>
        <v>10.819925149595809</v>
      </c>
      <c r="H20" s="1" t="s">
        <v>68</v>
      </c>
      <c r="I20" s="4"/>
    </row>
    <row r="21" spans="1:9" x14ac:dyDescent="0.35">
      <c r="A21" s="23">
        <f>($H$2*B20+(1-$H$2)*B21)/(1+$H$1)</f>
        <v>10.463059113476513</v>
      </c>
      <c r="B21" s="23">
        <f>($H$2*C20+(1-$H$2)*C21)/(1+$H$1)</f>
        <v>16.637510553986122</v>
      </c>
      <c r="C21" s="23">
        <f>($H$2*D20+(1-$H$2)*D21)/(1+$H$1)</f>
        <v>26.386213546743058</v>
      </c>
      <c r="D21" s="22">
        <f t="shared" si="3"/>
        <v>41.725174762601043</v>
      </c>
      <c r="E21" s="10"/>
      <c r="F21" s="10"/>
      <c r="G21" s="10"/>
      <c r="H21" s="1"/>
      <c r="I21" s="4"/>
    </row>
    <row r="22" spans="1:9" ht="15" thickBot="1" x14ac:dyDescent="0.4">
      <c r="A22" s="6"/>
      <c r="B22" s="7"/>
      <c r="C22" s="7"/>
      <c r="D22" s="7"/>
      <c r="E22" s="7"/>
      <c r="F22" s="7"/>
      <c r="G22" s="7"/>
      <c r="H22" s="7"/>
      <c r="I22" s="8"/>
    </row>
    <row r="23" spans="1:9" ht="15.5" thickTop="1" thickBot="1" x14ac:dyDescent="0.4"/>
    <row r="24" spans="1:9" ht="15" thickTop="1" x14ac:dyDescent="0.35">
      <c r="A24" s="15" t="s">
        <v>5</v>
      </c>
      <c r="B24" s="38" t="s">
        <v>72</v>
      </c>
      <c r="C24" s="38"/>
      <c r="D24" s="38"/>
      <c r="E24" s="38"/>
      <c r="F24" s="38"/>
      <c r="G24" s="39"/>
    </row>
    <row r="25" spans="1:9" x14ac:dyDescent="0.35">
      <c r="A25" s="5" t="s">
        <v>1</v>
      </c>
      <c r="B25" s="1"/>
      <c r="C25" s="1" t="s">
        <v>30</v>
      </c>
      <c r="D25" s="1"/>
      <c r="E25" s="1" t="s">
        <v>31</v>
      </c>
      <c r="F25" s="1"/>
      <c r="G25" s="4"/>
    </row>
    <row r="26" spans="1:9" x14ac:dyDescent="0.35">
      <c r="A26" s="26">
        <f>B7</f>
        <v>137.71277643359571</v>
      </c>
      <c r="B26" s="11">
        <f>B8</f>
        <v>83.527021141127193</v>
      </c>
      <c r="C26" s="22">
        <f>B20</f>
        <v>1.4033149568869496</v>
      </c>
      <c r="D26" s="1"/>
      <c r="E26" s="1" t="s">
        <v>32</v>
      </c>
      <c r="F26" s="17">
        <f t="array" ref="F26:F27">MMULT(MINVERSE(TRANSPOSE(A26:B27)),C26:C27)</f>
        <v>-0.28114761001064476</v>
      </c>
      <c r="G26" s="4"/>
    </row>
    <row r="27" spans="1:9" x14ac:dyDescent="0.35">
      <c r="A27" s="5">
        <f>1+H1</f>
        <v>1.04</v>
      </c>
      <c r="B27" s="1">
        <f>1+H1</f>
        <v>1.04</v>
      </c>
      <c r="C27" s="22">
        <f>B21</f>
        <v>16.637510553986122</v>
      </c>
      <c r="D27" s="1"/>
      <c r="E27" s="1" t="s">
        <v>33</v>
      </c>
      <c r="F27" s="17">
        <v>38.577820114540991</v>
      </c>
      <c r="G27" s="4"/>
    </row>
    <row r="28" spans="1:9" x14ac:dyDescent="0.35">
      <c r="A28" s="5" t="s">
        <v>34</v>
      </c>
      <c r="B28" s="1"/>
      <c r="C28" s="1"/>
      <c r="D28" s="1"/>
      <c r="E28" s="1"/>
      <c r="F28" s="1"/>
      <c r="G28" s="4"/>
    </row>
    <row r="29" spans="1:9" ht="15" thickBot="1" x14ac:dyDescent="0.4">
      <c r="A29" s="6"/>
      <c r="B29" s="7"/>
      <c r="C29" s="7"/>
      <c r="D29" s="7"/>
      <c r="E29" s="7"/>
      <c r="F29" s="7"/>
      <c r="G29" s="8"/>
    </row>
    <row r="30" spans="1:9" ht="15.5" thickTop="1" thickBot="1" x14ac:dyDescent="0.4"/>
    <row r="31" spans="1:9" ht="15" thickTop="1" x14ac:dyDescent="0.35">
      <c r="A31" s="28" t="s">
        <v>6</v>
      </c>
      <c r="B31" s="38" t="s">
        <v>70</v>
      </c>
      <c r="C31" s="38"/>
      <c r="D31" s="38"/>
      <c r="E31" s="2"/>
      <c r="F31" s="2"/>
      <c r="G31" s="2"/>
      <c r="H31" s="2"/>
      <c r="I31" s="3"/>
    </row>
    <row r="32" spans="1:9" x14ac:dyDescent="0.35">
      <c r="A32" s="5" t="s">
        <v>35</v>
      </c>
      <c r="B32" s="1"/>
      <c r="C32" s="1"/>
      <c r="D32" s="1"/>
      <c r="E32" s="1"/>
      <c r="F32" s="1" t="s">
        <v>36</v>
      </c>
      <c r="G32" s="1"/>
      <c r="H32" s="1"/>
      <c r="I32" s="4"/>
    </row>
    <row r="33" spans="1:9" x14ac:dyDescent="0.35">
      <c r="A33" s="5"/>
      <c r="B33" s="1"/>
      <c r="C33" s="1" t="s">
        <v>15</v>
      </c>
      <c r="D33" s="1">
        <v>100</v>
      </c>
      <c r="E33" s="1"/>
      <c r="F33" s="1"/>
      <c r="G33" s="1"/>
      <c r="H33" s="1"/>
      <c r="I33" s="4"/>
    </row>
    <row r="34" spans="1:9" x14ac:dyDescent="0.35">
      <c r="A34" s="5"/>
      <c r="B34" s="1"/>
      <c r="C34" s="1"/>
      <c r="D34" s="22">
        <f>MAX($D$33-D5,0)</f>
        <v>0</v>
      </c>
      <c r="E34" s="1"/>
      <c r="F34" s="1"/>
      <c r="G34" s="1"/>
      <c r="H34" s="1"/>
      <c r="I34" s="4" t="s">
        <v>38</v>
      </c>
    </row>
    <row r="35" spans="1:9" x14ac:dyDescent="0.35">
      <c r="A35" s="5"/>
      <c r="B35" s="1"/>
      <c r="C35" s="23">
        <f>MAX(($H$2*D34+(1-$H$2)*D35)/(1+$H$1), MAX($D$33-C6,0))</f>
        <v>0</v>
      </c>
      <c r="D35" s="22">
        <f t="shared" ref="D35:D37" si="4">MAX($D$33-D6,0)</f>
        <v>0</v>
      </c>
      <c r="E35" s="1"/>
      <c r="F35" s="1"/>
      <c r="G35" s="1"/>
      <c r="H35" s="1" t="s">
        <v>38</v>
      </c>
      <c r="I35" s="4" t="s">
        <v>38</v>
      </c>
    </row>
    <row r="36" spans="1:9" x14ac:dyDescent="0.35">
      <c r="A36" s="5"/>
      <c r="B36" s="23">
        <f t="shared" ref="B36:B37" si="5">MAX(($H$2*C35+(1-$H$2)*C36)/(1+$H$1), MAX($D$33-B7,0))</f>
        <v>1.4033149568869496</v>
      </c>
      <c r="C36" s="23">
        <f t="shared" ref="C36" si="6">MAX(($H$2*D35+(1-$H$2)*D36)/(1+$H$1), MAX($D$33-C7,0))</f>
        <v>2.3457358441536154</v>
      </c>
      <c r="D36" s="22">
        <f t="shared" si="4"/>
        <v>3.9210560847676845</v>
      </c>
      <c r="E36" s="1"/>
      <c r="F36" s="1"/>
      <c r="G36" s="1" t="s">
        <v>38</v>
      </c>
      <c r="H36" s="1" t="s">
        <v>38</v>
      </c>
      <c r="I36" s="4" t="s">
        <v>37</v>
      </c>
    </row>
    <row r="37" spans="1:9" x14ac:dyDescent="0.35">
      <c r="A37" s="29">
        <f>MAX(($H$2*B36+(1-$H$2)*B37)/(1+$H$1), MAX($D$33-A8,0))</f>
        <v>11.839567151645968</v>
      </c>
      <c r="B37" s="23">
        <f t="shared" si="5"/>
        <v>18.938436820789804</v>
      </c>
      <c r="C37" s="23">
        <f>MAX(($H$2*D36+(1-$H$2)*D37)/(1+$H$1), MAX($D$33-C8,0))</f>
        <v>30.232367392896904</v>
      </c>
      <c r="D37" s="22">
        <f t="shared" si="4"/>
        <v>41.725174762601043</v>
      </c>
      <c r="E37" s="1"/>
      <c r="F37" s="1" t="s">
        <v>38</v>
      </c>
      <c r="G37" s="1" t="s">
        <v>38</v>
      </c>
      <c r="H37" s="1" t="s">
        <v>37</v>
      </c>
      <c r="I37" s="4" t="s">
        <v>37</v>
      </c>
    </row>
    <row r="38" spans="1:9" ht="15" thickBot="1" x14ac:dyDescent="0.4">
      <c r="A38" s="6"/>
      <c r="B38" s="7"/>
      <c r="C38" s="7"/>
      <c r="D38" s="7"/>
      <c r="E38" s="7"/>
      <c r="F38" s="7">
        <v>0</v>
      </c>
      <c r="G38" s="7">
        <v>1</v>
      </c>
      <c r="H38" s="7">
        <v>2</v>
      </c>
      <c r="I38" s="8">
        <v>3</v>
      </c>
    </row>
    <row r="39" spans="1:9" ht="15.5" thickTop="1" thickBot="1" x14ac:dyDescent="0.4"/>
    <row r="40" spans="1:9" ht="15" thickTop="1" x14ac:dyDescent="0.35">
      <c r="A40" s="28" t="s">
        <v>39</v>
      </c>
      <c r="B40" s="2" t="s">
        <v>69</v>
      </c>
      <c r="C40" s="2"/>
      <c r="D40" s="2"/>
      <c r="E40" s="2"/>
      <c r="F40" s="2"/>
      <c r="G40" s="2"/>
      <c r="H40" s="2"/>
      <c r="I40" s="3"/>
    </row>
    <row r="41" spans="1:9" x14ac:dyDescent="0.35">
      <c r="A41" s="5" t="s">
        <v>40</v>
      </c>
      <c r="B41" s="1" t="s">
        <v>48</v>
      </c>
      <c r="C41" s="1"/>
      <c r="D41" s="1"/>
      <c r="E41" s="1" t="s">
        <v>41</v>
      </c>
      <c r="F41" s="1"/>
      <c r="G41" s="1" t="s">
        <v>0</v>
      </c>
      <c r="H41" s="1"/>
      <c r="I41" s="4"/>
    </row>
    <row r="42" spans="1:9" x14ac:dyDescent="0.35">
      <c r="A42" s="26">
        <f>D5</f>
        <v>261.16964734231181</v>
      </c>
      <c r="B42" s="1">
        <f>(1+$H$1)^3</f>
        <v>1.1248640000000001</v>
      </c>
      <c r="C42" s="22">
        <f>D18</f>
        <v>0</v>
      </c>
      <c r="D42" s="1"/>
      <c r="E42" s="11">
        <f>A8</f>
        <v>100</v>
      </c>
      <c r="F42" s="1"/>
      <c r="G42" s="11">
        <f>MAX(90-D5,0)</f>
        <v>0</v>
      </c>
      <c r="H42" s="1"/>
      <c r="I42" s="4"/>
    </row>
    <row r="43" spans="1:9" x14ac:dyDescent="0.35">
      <c r="A43" s="26">
        <f t="shared" ref="A43:A45" si="7">D6</f>
        <v>158.40739849944819</v>
      </c>
      <c r="B43" s="1">
        <f t="shared" ref="B43:B45" si="8">(1+$H$1)^3</f>
        <v>1.1248640000000001</v>
      </c>
      <c r="C43" s="22">
        <f t="shared" ref="C43:C45" si="9">D19</f>
        <v>0</v>
      </c>
      <c r="D43" s="1"/>
      <c r="E43" s="1">
        <v>1</v>
      </c>
      <c r="F43" s="1"/>
      <c r="G43" s="11">
        <f t="shared" ref="G43:G45" si="10">MAX(90-D6,0)</f>
        <v>0</v>
      </c>
      <c r="H43" s="1"/>
      <c r="I43" s="4"/>
    </row>
    <row r="44" spans="1:9" x14ac:dyDescent="0.35">
      <c r="A44" s="26">
        <f t="shared" si="7"/>
        <v>96.078943915232315</v>
      </c>
      <c r="B44" s="1">
        <f t="shared" si="8"/>
        <v>1.1248640000000001</v>
      </c>
      <c r="C44" s="22">
        <f t="shared" si="9"/>
        <v>3.9210560847676845</v>
      </c>
      <c r="D44" s="1"/>
      <c r="E44" s="22">
        <f>A21</f>
        <v>10.463059113476513</v>
      </c>
      <c r="F44" s="1"/>
      <c r="G44" s="11">
        <f t="shared" si="10"/>
        <v>0</v>
      </c>
      <c r="H44" s="1"/>
      <c r="I44" s="4"/>
    </row>
    <row r="45" spans="1:9" x14ac:dyDescent="0.35">
      <c r="A45" s="26">
        <f t="shared" si="7"/>
        <v>58.274825237398957</v>
      </c>
      <c r="B45" s="1">
        <f t="shared" si="8"/>
        <v>1.1248640000000001</v>
      </c>
      <c r="C45" s="22">
        <f t="shared" si="9"/>
        <v>41.725174762601043</v>
      </c>
      <c r="D45" s="1"/>
      <c r="E45" s="1"/>
      <c r="F45" s="1"/>
      <c r="G45" s="11">
        <f t="shared" si="10"/>
        <v>31.725174762601043</v>
      </c>
      <c r="H45" s="1"/>
      <c r="I45" s="4"/>
    </row>
    <row r="46" spans="1:9" x14ac:dyDescent="0.35">
      <c r="A46" s="5"/>
      <c r="B46" s="1"/>
      <c r="C46" s="1"/>
      <c r="D46" s="1"/>
      <c r="E46" s="1"/>
      <c r="F46" s="1"/>
      <c r="G46" s="1"/>
      <c r="H46" s="1"/>
      <c r="I46" s="4"/>
    </row>
    <row r="47" spans="1:9" x14ac:dyDescent="0.35">
      <c r="A47" s="5" t="s">
        <v>42</v>
      </c>
      <c r="B47" s="1"/>
      <c r="C47" s="1"/>
      <c r="D47" s="1"/>
      <c r="E47" s="1" t="s">
        <v>43</v>
      </c>
      <c r="F47" s="1"/>
      <c r="G47" s="1" t="s">
        <v>44</v>
      </c>
      <c r="H47" s="1"/>
      <c r="I47" s="4"/>
    </row>
    <row r="48" spans="1:9" x14ac:dyDescent="0.35">
      <c r="A48" s="5">
        <v>2.0416660348457995E-2</v>
      </c>
      <c r="B48" s="1">
        <v>-4.7403170366502296</v>
      </c>
      <c r="C48" s="1">
        <v>0.85961555909710841</v>
      </c>
      <c r="D48" s="1"/>
      <c r="E48" s="1">
        <f t="array" ref="E48">MMULT(A48:C48,E42:E44)</f>
        <v>6.2955574078927778</v>
      </c>
      <c r="F48" s="1"/>
      <c r="G48" s="1">
        <f t="array" ref="G48:G51">MMULT(A42:C45,TRANSPOSE(A48:C48))</f>
        <v>1.1546319456101628E-14</v>
      </c>
      <c r="H48" s="1"/>
      <c r="I48" s="4"/>
    </row>
    <row r="49" spans="1:9" x14ac:dyDescent="0.35">
      <c r="A49" s="5"/>
      <c r="B49" s="1"/>
      <c r="C49" s="1"/>
      <c r="D49" s="1"/>
      <c r="E49" s="1"/>
      <c r="F49" s="1"/>
      <c r="G49" s="1">
        <v>-2.0980619312684556</v>
      </c>
      <c r="H49" s="1"/>
      <c r="I49" s="4"/>
    </row>
    <row r="50" spans="1:9" x14ac:dyDescent="0.35">
      <c r="A50" s="5" t="s">
        <v>45</v>
      </c>
      <c r="B50" s="1"/>
      <c r="C50" s="1"/>
      <c r="D50" s="1"/>
      <c r="E50" s="30">
        <v>7.0701407412267869</v>
      </c>
      <c r="F50" s="1"/>
      <c r="G50" s="1">
        <v>1.1102230246251565E-14</v>
      </c>
      <c r="H50" s="1"/>
      <c r="I50" s="4"/>
    </row>
    <row r="51" spans="1:9" x14ac:dyDescent="0.35">
      <c r="A51" s="5" t="s">
        <v>46</v>
      </c>
      <c r="B51" s="1"/>
      <c r="C51" s="1"/>
      <c r="D51" s="1"/>
      <c r="E51" s="31"/>
      <c r="F51" s="1"/>
      <c r="G51" s="1">
        <v>31.725174762601053</v>
      </c>
      <c r="H51" s="1"/>
      <c r="I51" s="4"/>
    </row>
    <row r="52" spans="1:9" x14ac:dyDescent="0.35">
      <c r="A52" s="5"/>
      <c r="B52" s="1"/>
      <c r="C52" s="1"/>
      <c r="D52" s="1"/>
      <c r="E52" s="31"/>
      <c r="F52" s="1"/>
      <c r="G52" s="1"/>
      <c r="H52" s="1"/>
      <c r="I52" s="4"/>
    </row>
    <row r="53" spans="1:9" x14ac:dyDescent="0.35">
      <c r="A53" s="5" t="s">
        <v>47</v>
      </c>
      <c r="B53" s="1"/>
      <c r="C53" s="1"/>
      <c r="D53" s="1"/>
      <c r="E53" s="30">
        <v>6.2955574078927778</v>
      </c>
      <c r="F53" s="1"/>
      <c r="G53" s="1"/>
      <c r="H53" s="1"/>
      <c r="I53" s="4"/>
    </row>
    <row r="54" spans="1:9" x14ac:dyDescent="0.35">
      <c r="A54" s="5"/>
      <c r="B54" s="1"/>
      <c r="C54" s="1"/>
      <c r="D54" s="1"/>
      <c r="E54" s="1"/>
      <c r="F54" s="1"/>
      <c r="G54" s="1"/>
      <c r="H54" s="1"/>
      <c r="I54" s="4"/>
    </row>
    <row r="55" spans="1:9" x14ac:dyDescent="0.35">
      <c r="A55" s="5" t="s">
        <v>71</v>
      </c>
      <c r="B55" s="1"/>
      <c r="C55" s="1"/>
      <c r="D55" s="1"/>
      <c r="E55" s="1"/>
      <c r="F55" s="1"/>
      <c r="G55" s="1"/>
      <c r="H55" s="1"/>
      <c r="I55" s="4"/>
    </row>
    <row r="56" spans="1:9" ht="15" thickBot="1" x14ac:dyDescent="0.4">
      <c r="A56" s="6"/>
      <c r="B56" s="7"/>
      <c r="C56" s="7"/>
      <c r="D56" s="7"/>
      <c r="E56" s="7"/>
      <c r="F56" s="7"/>
      <c r="G56" s="7"/>
      <c r="H56" s="7"/>
      <c r="I56" s="8"/>
    </row>
    <row r="57" spans="1:9" ht="15" thickTop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0" sqref="C10"/>
    </sheetView>
  </sheetViews>
  <sheetFormatPr defaultRowHeight="14.5" x14ac:dyDescent="0.35"/>
  <cols>
    <col min="1" max="1" width="11.54296875" customWidth="1"/>
    <col min="2" max="2" width="10.54296875" customWidth="1"/>
    <col min="6" max="6" width="10.54296875" customWidth="1"/>
  </cols>
  <sheetData>
    <row r="1" spans="1:9" x14ac:dyDescent="0.35">
      <c r="B1">
        <v>0.06</v>
      </c>
      <c r="C1">
        <v>0.05</v>
      </c>
    </row>
    <row r="2" spans="1:9" x14ac:dyDescent="0.35">
      <c r="B2">
        <v>0.03</v>
      </c>
      <c r="C2">
        <v>0.04</v>
      </c>
    </row>
    <row r="3" spans="1:9" x14ac:dyDescent="0.35">
      <c r="A3">
        <v>0.02</v>
      </c>
      <c r="B3">
        <v>0.01</v>
      </c>
      <c r="C3">
        <v>0.02</v>
      </c>
    </row>
    <row r="4" spans="1:9" ht="15" thickBot="1" x14ac:dyDescent="0.4"/>
    <row r="5" spans="1:9" ht="15" thickTop="1" x14ac:dyDescent="0.35">
      <c r="A5" s="28" t="s">
        <v>7</v>
      </c>
      <c r="B5" s="2"/>
      <c r="C5" s="2"/>
      <c r="D5" s="2"/>
      <c r="E5" s="2"/>
      <c r="F5" s="2"/>
      <c r="G5" s="2"/>
      <c r="H5" s="2"/>
      <c r="I5" s="3"/>
    </row>
    <row r="6" spans="1:9" x14ac:dyDescent="0.35">
      <c r="A6" s="44" t="s">
        <v>74</v>
      </c>
      <c r="B6" s="42"/>
      <c r="C6" s="42"/>
      <c r="D6" s="42"/>
      <c r="E6" s="42"/>
      <c r="F6" s="42"/>
      <c r="G6" s="42"/>
      <c r="H6" s="1"/>
      <c r="I6" s="4"/>
    </row>
    <row r="7" spans="1:9" x14ac:dyDescent="0.35">
      <c r="A7" s="5" t="s">
        <v>19</v>
      </c>
      <c r="B7" s="1"/>
      <c r="C7" s="1" t="s">
        <v>20</v>
      </c>
      <c r="D7" s="1"/>
      <c r="E7" s="1"/>
      <c r="F7" s="1" t="s">
        <v>21</v>
      </c>
      <c r="G7" s="1"/>
      <c r="H7" s="1"/>
      <c r="I7" s="4"/>
    </row>
    <row r="8" spans="1:9" x14ac:dyDescent="0.35">
      <c r="A8" s="32">
        <f>1/(1+A3)</f>
        <v>0.98039215686274506</v>
      </c>
      <c r="B8" s="1"/>
      <c r="C8" s="1"/>
      <c r="D8" s="1">
        <f>1/(1+B1)</f>
        <v>0.94339622641509424</v>
      </c>
      <c r="E8" s="1"/>
      <c r="F8" s="1"/>
      <c r="G8" s="1">
        <f>(SUM(H8:H9)/2)/(1+B1)</f>
        <v>0.90279217637708198</v>
      </c>
      <c r="H8" s="1">
        <f>1/(1+C1)</f>
        <v>0.95238095238095233</v>
      </c>
      <c r="I8" s="4"/>
    </row>
    <row r="9" spans="1:9" x14ac:dyDescent="0.35">
      <c r="A9" s="5"/>
      <c r="B9" s="1"/>
      <c r="C9" s="1"/>
      <c r="D9" s="1">
        <f t="shared" ref="D9:D10" si="0">1/(1+B2)</f>
        <v>0.970873786407767</v>
      </c>
      <c r="E9" s="1"/>
      <c r="F9" s="1"/>
      <c r="G9" s="1">
        <f>(SUM(H9:H10)/2)/(1+B2)</f>
        <v>0.94268476621417785</v>
      </c>
      <c r="H9" s="1">
        <f t="shared" ref="H9:H10" si="1">1/(1+C2)</f>
        <v>0.96153846153846145</v>
      </c>
      <c r="I9" s="4"/>
    </row>
    <row r="10" spans="1:9" x14ac:dyDescent="0.35">
      <c r="A10" s="5"/>
      <c r="B10" s="1"/>
      <c r="C10" s="30">
        <f>(SUM(D8:D10)/3)/(1+A3)</f>
        <v>0.94914020350452655</v>
      </c>
      <c r="D10" s="1">
        <f t="shared" si="0"/>
        <v>0.99009900990099009</v>
      </c>
      <c r="E10" s="1"/>
      <c r="F10" s="30">
        <f>(SUM(G8:G10)/3)/(1+A3)</f>
        <v>0.91726429211731564</v>
      </c>
      <c r="G10" s="1">
        <f>(SUM(H9:H10)/2)/(1+B3)</f>
        <v>0.96135179128772597</v>
      </c>
      <c r="H10" s="1">
        <f t="shared" si="1"/>
        <v>0.98039215686274506</v>
      </c>
      <c r="I10" s="4"/>
    </row>
    <row r="11" spans="1:9" x14ac:dyDescent="0.35">
      <c r="A11" s="33">
        <v>0</v>
      </c>
      <c r="B11" s="34"/>
      <c r="C11" s="34">
        <v>0</v>
      </c>
      <c r="D11" s="34">
        <v>1</v>
      </c>
      <c r="E11" s="34"/>
      <c r="F11" s="34">
        <v>0</v>
      </c>
      <c r="G11" s="34">
        <v>1</v>
      </c>
      <c r="H11" s="34">
        <v>2</v>
      </c>
      <c r="I11" s="4" t="s">
        <v>49</v>
      </c>
    </row>
    <row r="12" spans="1:9" ht="15" thickBot="1" x14ac:dyDescent="0.4">
      <c r="A12" s="6" t="s">
        <v>75</v>
      </c>
      <c r="B12" s="7"/>
      <c r="C12" s="7"/>
      <c r="D12" s="7"/>
      <c r="E12" s="7"/>
      <c r="F12" s="7"/>
      <c r="G12" s="7"/>
      <c r="H12" s="7"/>
      <c r="I12" s="8"/>
    </row>
    <row r="13" spans="1:9" ht="15.5" thickTop="1" thickBot="1" x14ac:dyDescent="0.4"/>
    <row r="14" spans="1:9" ht="15" thickTop="1" x14ac:dyDescent="0.35">
      <c r="A14" s="28" t="s">
        <v>8</v>
      </c>
      <c r="B14" s="2"/>
      <c r="C14" s="2"/>
      <c r="D14" s="2"/>
      <c r="E14" s="2"/>
      <c r="F14" s="2"/>
      <c r="G14" s="2"/>
      <c r="H14" s="2"/>
      <c r="I14" s="3"/>
    </row>
    <row r="15" spans="1:9" x14ac:dyDescent="0.35">
      <c r="A15" s="5" t="s">
        <v>50</v>
      </c>
      <c r="B15" s="1">
        <v>100</v>
      </c>
      <c r="C15" s="1"/>
      <c r="D15" s="1" t="s">
        <v>9</v>
      </c>
      <c r="E15" s="22">
        <f>(A8+C10+F10)*B18</f>
        <v>99.999992040423194</v>
      </c>
      <c r="F15" s="42" t="s">
        <v>55</v>
      </c>
      <c r="G15" s="42"/>
      <c r="H15" s="42"/>
      <c r="I15" s="43"/>
    </row>
    <row r="16" spans="1:9" x14ac:dyDescent="0.35">
      <c r="A16" s="5" t="s">
        <v>51</v>
      </c>
      <c r="B16" s="1">
        <v>3</v>
      </c>
      <c r="C16" s="1"/>
      <c r="D16" s="1"/>
      <c r="E16" s="1"/>
      <c r="F16" s="1"/>
      <c r="G16" s="1"/>
      <c r="H16" s="1"/>
      <c r="I16" s="4"/>
    </row>
    <row r="17" spans="1:9" x14ac:dyDescent="0.35">
      <c r="A17" s="5" t="s">
        <v>52</v>
      </c>
      <c r="B17" s="36">
        <v>2.6673950865486955E-2</v>
      </c>
      <c r="C17" s="1"/>
      <c r="D17" s="1"/>
      <c r="E17" s="1"/>
      <c r="F17" s="1"/>
      <c r="G17" s="1"/>
      <c r="H17" s="1"/>
      <c r="I17" s="4"/>
    </row>
    <row r="18" spans="1:9" x14ac:dyDescent="0.35">
      <c r="A18" s="5" t="s">
        <v>53</v>
      </c>
      <c r="B18" s="1">
        <f>B15*B17*(1+B17)^B16/((1+B17)^B16-1)</f>
        <v>35.127198830006563</v>
      </c>
      <c r="C18" s="42" t="s">
        <v>54</v>
      </c>
      <c r="D18" s="42"/>
      <c r="E18" s="1"/>
      <c r="F18" s="1"/>
      <c r="G18" s="1"/>
      <c r="H18" s="1"/>
      <c r="I18" s="4"/>
    </row>
    <row r="19" spans="1:9" ht="15" thickBot="1" x14ac:dyDescent="0.4">
      <c r="A19" s="6"/>
      <c r="B19" s="7"/>
      <c r="C19" s="7"/>
      <c r="D19" s="7"/>
      <c r="E19" s="7"/>
      <c r="F19" s="7"/>
      <c r="G19" s="7"/>
      <c r="H19" s="7"/>
      <c r="I19" s="8"/>
    </row>
    <row r="20" spans="1:9" ht="15.5" thickTop="1" thickBot="1" x14ac:dyDescent="0.4"/>
    <row r="21" spans="1:9" ht="15" thickTop="1" x14ac:dyDescent="0.35">
      <c r="A21" s="28" t="s">
        <v>56</v>
      </c>
      <c r="B21" s="2"/>
      <c r="C21" s="2"/>
      <c r="D21" s="2"/>
      <c r="E21" s="2"/>
      <c r="F21" s="3"/>
    </row>
    <row r="22" spans="1:9" x14ac:dyDescent="0.35">
      <c r="A22" s="5"/>
      <c r="B22" s="1"/>
      <c r="C22" s="1"/>
      <c r="D22" s="1"/>
      <c r="E22" s="1"/>
      <c r="F22" s="4"/>
    </row>
    <row r="23" spans="1:9" x14ac:dyDescent="0.35">
      <c r="A23" s="35" t="s">
        <v>61</v>
      </c>
      <c r="B23" s="27">
        <f>(E15-A8*B18-C10*B18)/C10</f>
        <v>33.947487473294565</v>
      </c>
      <c r="C23" s="42" t="s">
        <v>65</v>
      </c>
      <c r="D23" s="42"/>
      <c r="E23" s="42"/>
      <c r="F23" s="4"/>
    </row>
    <row r="24" spans="1:9" x14ac:dyDescent="0.35">
      <c r="A24" s="5"/>
      <c r="B24" s="1"/>
      <c r="C24" s="1"/>
      <c r="D24" s="1"/>
      <c r="E24" s="1"/>
      <c r="F24" s="4"/>
    </row>
    <row r="25" spans="1:9" x14ac:dyDescent="0.35">
      <c r="A25" s="44" t="s">
        <v>64</v>
      </c>
      <c r="B25" s="42"/>
      <c r="C25" s="42"/>
      <c r="D25" s="42"/>
      <c r="E25" s="42"/>
      <c r="F25" s="43"/>
    </row>
    <row r="26" spans="1:9" x14ac:dyDescent="0.35">
      <c r="A26" s="5" t="s">
        <v>60</v>
      </c>
      <c r="B26" s="1"/>
      <c r="C26" s="1"/>
      <c r="D26" s="1"/>
      <c r="E26" s="1"/>
      <c r="F26" s="4"/>
    </row>
    <row r="27" spans="1:9" x14ac:dyDescent="0.35">
      <c r="A27" s="5"/>
      <c r="B27" s="1" t="s">
        <v>58</v>
      </c>
      <c r="C27" s="1" t="s">
        <v>57</v>
      </c>
      <c r="D27" s="1" t="s">
        <v>59</v>
      </c>
      <c r="E27" s="1"/>
      <c r="F27" s="4"/>
    </row>
    <row r="28" spans="1:9" x14ac:dyDescent="0.35">
      <c r="A28" s="5"/>
      <c r="B28" s="1">
        <v>1</v>
      </c>
      <c r="C28" s="1">
        <f>$B$18/(1+C1)</f>
        <v>33.454475076196722</v>
      </c>
      <c r="D28" s="1">
        <f>1/6</f>
        <v>0.16666666666666666</v>
      </c>
      <c r="E28" s="1"/>
      <c r="F28" s="4"/>
    </row>
    <row r="29" spans="1:9" x14ac:dyDescent="0.35">
      <c r="A29" s="5" t="s">
        <v>62</v>
      </c>
      <c r="B29" s="1">
        <v>2</v>
      </c>
      <c r="C29" s="1">
        <f t="shared" ref="C29:C30" si="2">$B$18/(1+C2)</f>
        <v>33.776152721160159</v>
      </c>
      <c r="D29" s="1">
        <f>3/6</f>
        <v>0.5</v>
      </c>
      <c r="E29" s="1"/>
      <c r="F29" s="4"/>
    </row>
    <row r="30" spans="1:9" x14ac:dyDescent="0.35">
      <c r="A30" s="29">
        <f t="array" ref="A30">MMULT(TRANSPOSE(C28:C30),D28:D30)</f>
        <v>33.943298948445076</v>
      </c>
      <c r="B30" s="1">
        <v>3</v>
      </c>
      <c r="C30" s="1">
        <f t="shared" si="2"/>
        <v>34.438430225496631</v>
      </c>
      <c r="D30" s="1">
        <f>2/6</f>
        <v>0.33333333333333331</v>
      </c>
      <c r="E30" s="1"/>
      <c r="F30" s="4"/>
    </row>
    <row r="31" spans="1:9" x14ac:dyDescent="0.35">
      <c r="A31" s="5"/>
      <c r="B31" s="1"/>
      <c r="C31" s="1"/>
      <c r="D31" s="1"/>
      <c r="E31" s="1"/>
      <c r="F31" s="4"/>
    </row>
    <row r="32" spans="1:9" x14ac:dyDescent="0.35">
      <c r="A32" s="5" t="s">
        <v>63</v>
      </c>
      <c r="B32" s="1"/>
      <c r="C32" s="1"/>
      <c r="D32" s="1"/>
      <c r="E32" s="1"/>
      <c r="F32" s="4"/>
    </row>
    <row r="33" spans="1:6" ht="15" thickBot="1" x14ac:dyDescent="0.4">
      <c r="A33" s="6"/>
      <c r="B33" s="7"/>
      <c r="C33" s="7"/>
      <c r="D33" s="7"/>
      <c r="E33" s="7"/>
      <c r="F33" s="8"/>
    </row>
    <row r="34" spans="1:6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"/>
  <sheetViews>
    <sheetView topLeftCell="A7" workbookViewId="0">
      <selection activeCell="J27" sqref="J27"/>
    </sheetView>
  </sheetViews>
  <sheetFormatPr defaultRowHeight="14.5" x14ac:dyDescent="0.35"/>
  <sheetData>
    <row r="7" spans="2:2" x14ac:dyDescent="0.35">
      <c r="B7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Opgave 1</vt:lpstr>
      <vt:lpstr>Opgave 2</vt:lpstr>
      <vt:lpstr>Opgave 3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Rolf Poulsen</cp:lastModifiedBy>
  <dcterms:created xsi:type="dcterms:W3CDTF">2020-06-09T14:53:22Z</dcterms:created>
  <dcterms:modified xsi:type="dcterms:W3CDTF">2022-11-01T10:21:57Z</dcterms:modified>
</cp:coreProperties>
</file>