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radianrad-my.sharepoint.com/personal/christian_radianrad_com/Documents/Documents/Templates/1D Tolerance Analysis Template/"/>
    </mc:Choice>
  </mc:AlternateContent>
  <xr:revisionPtr revIDLastSave="100" documentId="8_{F6E38808-F0FD-4098-A380-38A77BD5938D}" xr6:coauthVersionLast="47" xr6:coauthVersionMax="47" xr10:uidLastSave="{44CED90E-B03F-4815-AD44-548F14A5C778}"/>
  <bookViews>
    <workbookView xWindow="-23148" yWindow="5988" windowWidth="23256" windowHeight="12720" activeTab="1" xr2:uid="{AE088501-3D43-41F2-88E1-95B018B41DE5}"/>
  </bookViews>
  <sheets>
    <sheet name="Blank" sheetId="4" r:id="rId1"/>
    <sheet name="EXAMPLE" sheetId="3" r:id="rId2"/>
    <sheet name="ABOUT" sheetId="5" r:id="rId3"/>
  </sheets>
  <externalReferences>
    <externalReference r:id="rId4"/>
  </externalReferences>
  <definedNames>
    <definedName name="r_big">'[1]5 - Occlusion Output'!$R$4</definedName>
    <definedName name="r_small">'[1]5 - Occlusion Output'!$R$3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K7" i="3" s="1"/>
  <c r="M7" i="3" s="1"/>
  <c r="L8" i="3"/>
  <c r="L9" i="3"/>
  <c r="J3" i="3"/>
  <c r="J4" i="3"/>
  <c r="J5" i="3"/>
  <c r="J6" i="3"/>
  <c r="J7" i="3"/>
  <c r="J8" i="3"/>
  <c r="J9" i="3"/>
  <c r="L3" i="4"/>
  <c r="L4" i="4"/>
  <c r="L5" i="4"/>
  <c r="L6" i="4"/>
  <c r="L7" i="4"/>
  <c r="L8" i="4"/>
  <c r="L9" i="4"/>
  <c r="J3" i="4"/>
  <c r="J4" i="4"/>
  <c r="J5" i="4"/>
  <c r="J6" i="4"/>
  <c r="J7" i="4"/>
  <c r="J8" i="4"/>
  <c r="J9" i="4"/>
  <c r="K9" i="3"/>
  <c r="M9" i="3" s="1"/>
  <c r="N5" i="3"/>
  <c r="N3" i="3" l="1"/>
  <c r="O3" i="3" s="1"/>
  <c r="N4" i="3"/>
  <c r="O4" i="3" s="1"/>
  <c r="N6" i="3"/>
  <c r="N7" i="3"/>
  <c r="K8" i="3"/>
  <c r="M8" i="3" s="1"/>
  <c r="K3" i="4"/>
  <c r="M3" i="4" s="1"/>
  <c r="N3" i="4"/>
  <c r="O3" i="4" s="1"/>
  <c r="N5" i="4"/>
  <c r="O5" i="4" s="1"/>
  <c r="K9" i="4"/>
  <c r="M9" i="4" s="1"/>
  <c r="K4" i="4"/>
  <c r="M4" i="4" s="1"/>
  <c r="N4" i="4"/>
  <c r="N10" i="4" s="1"/>
  <c r="P4" i="4" s="1"/>
  <c r="N6" i="4"/>
  <c r="O6" i="4" s="1"/>
  <c r="N7" i="4"/>
  <c r="O7" i="4" s="1"/>
  <c r="N8" i="4"/>
  <c r="O8" i="4" s="1"/>
  <c r="K5" i="4"/>
  <c r="M5" i="4" s="1"/>
  <c r="N9" i="4"/>
  <c r="K8" i="4"/>
  <c r="M8" i="4" s="1"/>
  <c r="K7" i="4"/>
  <c r="M7" i="4" s="1"/>
  <c r="K6" i="4"/>
  <c r="M6" i="4" s="1"/>
  <c r="O5" i="3"/>
  <c r="O7" i="3"/>
  <c r="O6" i="3"/>
  <c r="K3" i="3"/>
  <c r="M3" i="3" s="1"/>
  <c r="K6" i="3"/>
  <c r="M6" i="3" s="1"/>
  <c r="N8" i="3"/>
  <c r="K4" i="3"/>
  <c r="M4" i="3" s="1"/>
  <c r="K5" i="3"/>
  <c r="M5" i="3" s="1"/>
  <c r="N9" i="3"/>
  <c r="N10" i="3" l="1"/>
  <c r="P5" i="3" s="1"/>
  <c r="M10" i="4"/>
  <c r="J14" i="4" s="1"/>
  <c r="O4" i="4"/>
  <c r="P7" i="4"/>
  <c r="P3" i="4"/>
  <c r="P6" i="4"/>
  <c r="O9" i="4"/>
  <c r="P9" i="4"/>
  <c r="O10" i="4"/>
  <c r="P5" i="4"/>
  <c r="P8" i="4"/>
  <c r="O8" i="3"/>
  <c r="O10" i="3" s="1"/>
  <c r="M10" i="3"/>
  <c r="O9" i="3"/>
  <c r="P3" i="3" l="1"/>
  <c r="P10" i="3" s="1"/>
  <c r="P6" i="3"/>
  <c r="P8" i="3"/>
  <c r="P7" i="3"/>
  <c r="P9" i="3"/>
  <c r="P4" i="3"/>
  <c r="L16" i="4"/>
  <c r="P10" i="4"/>
  <c r="K14" i="4"/>
  <c r="L14" i="4"/>
  <c r="J15" i="4"/>
  <c r="J16" i="4"/>
  <c r="L15" i="4"/>
  <c r="L16" i="3"/>
  <c r="J16" i="3"/>
  <c r="L15" i="3"/>
  <c r="J15" i="3"/>
  <c r="L14" i="3"/>
  <c r="K14" i="3"/>
  <c r="J1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 Petty</author>
  </authors>
  <commentList>
    <comment ref="E2" authorId="0" shapeId="0" xr:uid="{D0153F0B-687F-41E2-91BD-02F0B9222D8F}">
      <text>
        <r>
          <rPr>
            <b/>
            <sz val="9"/>
            <color indexed="81"/>
            <rFont val="Tahoma"/>
            <family val="2"/>
          </rPr>
          <t xml:space="preserve">Christian Petty:
</t>
        </r>
        <r>
          <rPr>
            <sz val="9"/>
            <color indexed="81"/>
            <rFont val="Tahoma"/>
            <family val="2"/>
          </rPr>
          <t>Symmetric: Nominal ± T1
Deviation: Nominal + T1, + T2
Limits: T1, T2
Band: Nominal ± T1 / 2
LMC Shift: i.e. boss/pin/fastener and hole. Use T1 and T2 for diameters or lengths at LMC. The order does not matter. The absolute value is used.</t>
        </r>
      </text>
    </comment>
    <comment ref="F2" authorId="0" shapeId="0" xr:uid="{8B8E6D0C-E070-47B0-85A9-1312D0DA87D6}">
      <text>
        <r>
          <rPr>
            <b/>
            <sz val="9"/>
            <color indexed="81"/>
            <rFont val="Tahoma"/>
            <family val="2"/>
          </rPr>
          <t>Christian Petty:</t>
        </r>
        <r>
          <rPr>
            <sz val="9"/>
            <color indexed="81"/>
            <rFont val="Tahoma"/>
            <family val="2"/>
          </rPr>
          <t xml:space="preserve">
Contribution factor:
a = 1 (positive dimension)
a = -1 (negative dimension)
a = 0.5 (positive hole radius)
a = -0.5 (negative hole radius)</t>
        </r>
      </text>
    </comment>
    <comment ref="I15" authorId="0" shapeId="0" xr:uid="{9573CEBB-EDAA-4F97-B5B5-6FDF764F5DE9}">
      <text>
        <r>
          <rPr>
            <b/>
            <sz val="9"/>
            <color indexed="81"/>
            <rFont val="Tahoma"/>
            <family val="2"/>
          </rPr>
          <t>Christian Petty:</t>
        </r>
        <r>
          <rPr>
            <sz val="9"/>
            <color indexed="81"/>
            <rFont val="Tahoma"/>
            <family val="2"/>
          </rPr>
          <t xml:space="preserve">
±3σ</t>
        </r>
      </text>
    </comment>
    <comment ref="I16" authorId="0" shapeId="0" xr:uid="{34027F85-95C0-4CC3-B329-CB6B57396234}">
      <text>
        <r>
          <rPr>
            <b/>
            <sz val="9"/>
            <color indexed="81"/>
            <rFont val="Tahoma"/>
            <family val="2"/>
          </rPr>
          <t>Christian Petty:</t>
        </r>
        <r>
          <rPr>
            <sz val="9"/>
            <color indexed="81"/>
            <rFont val="Tahoma"/>
            <family val="2"/>
          </rPr>
          <t xml:space="preserve">
Bender 1968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 Petty</author>
  </authors>
  <commentList>
    <comment ref="E2" authorId="0" shapeId="0" xr:uid="{0CA153C4-06F8-413A-98BB-A8F48C6E81CC}">
      <text>
        <r>
          <rPr>
            <b/>
            <sz val="9"/>
            <color indexed="81"/>
            <rFont val="Tahoma"/>
            <family val="2"/>
          </rPr>
          <t xml:space="preserve">Christian Petty:
</t>
        </r>
        <r>
          <rPr>
            <sz val="9"/>
            <color indexed="81"/>
            <rFont val="Tahoma"/>
            <family val="2"/>
          </rPr>
          <t>Symmetric: Nominal ± T1
Deviation: Nominal + T1, + T2
Limits: T1, T2
Band: Nominal ± T1 / 2
LMC Shift: i.e. boss/pin/fastener and hole. Use T1 and T2 for diameters or lengths at LMC. The order does not matter. The absolute value is used.</t>
        </r>
      </text>
    </comment>
    <comment ref="F2" authorId="0" shapeId="0" xr:uid="{8227B369-1C54-4885-803D-627C75EB89B2}">
      <text>
        <r>
          <rPr>
            <b/>
            <sz val="9"/>
            <color indexed="81"/>
            <rFont val="Tahoma"/>
            <family val="2"/>
          </rPr>
          <t>Christian Petty:</t>
        </r>
        <r>
          <rPr>
            <sz val="9"/>
            <color indexed="81"/>
            <rFont val="Tahoma"/>
            <family val="2"/>
          </rPr>
          <t xml:space="preserve">
Contribution factor:
a = 1 (positive dimension)
a = -1 (negative dimension)
a = 0.5 (positive hole radius)
a = -0.5 (negative hole radius)</t>
        </r>
      </text>
    </comment>
    <comment ref="I15" authorId="0" shapeId="0" xr:uid="{2A42F8BB-AD58-4698-B415-B8FF55D19BE4}">
      <text>
        <r>
          <rPr>
            <b/>
            <sz val="9"/>
            <color indexed="81"/>
            <rFont val="Tahoma"/>
            <family val="2"/>
          </rPr>
          <t>Christian Petty:</t>
        </r>
        <r>
          <rPr>
            <sz val="9"/>
            <color indexed="81"/>
            <rFont val="Tahoma"/>
            <family val="2"/>
          </rPr>
          <t xml:space="preserve">
±3σ</t>
        </r>
      </text>
    </comment>
    <comment ref="I16" authorId="0" shapeId="0" xr:uid="{BA51BB38-B7A3-404B-9FA3-07D909CA87E7}">
      <text>
        <r>
          <rPr>
            <b/>
            <sz val="9"/>
            <color indexed="81"/>
            <rFont val="Tahoma"/>
            <family val="2"/>
          </rPr>
          <t>Christian Petty:</t>
        </r>
        <r>
          <rPr>
            <sz val="9"/>
            <color indexed="81"/>
            <rFont val="Tahoma"/>
            <family val="2"/>
          </rPr>
          <t xml:space="preserve">
Bender 1968</t>
        </r>
      </text>
    </comment>
  </commentList>
</comments>
</file>

<file path=xl/sharedStrings.xml><?xml version="1.0" encoding="utf-8"?>
<sst xmlns="http://schemas.openxmlformats.org/spreadsheetml/2006/main" count="70" uniqueCount="40">
  <si>
    <t>ID</t>
  </si>
  <si>
    <t>Description</t>
  </si>
  <si>
    <t>P/N and Revision</t>
  </si>
  <si>
    <t>Type</t>
  </si>
  <si>
    <t>a</t>
  </si>
  <si>
    <t>Nom</t>
  </si>
  <si>
    <t>T1</t>
  </si>
  <si>
    <t>T2</t>
  </si>
  <si>
    <t>Lower</t>
  </si>
  <si>
    <t>Center</t>
  </si>
  <si>
    <t>Upper</t>
  </si>
  <si>
    <t>Shift</t>
  </si>
  <si>
    <t>Tol</t>
  </si>
  <si>
    <t>Tol^2</t>
  </si>
  <si>
    <t>%</t>
  </si>
  <si>
    <t>Notes/Source</t>
  </si>
  <si>
    <t>Worst Case</t>
  </si>
  <si>
    <t>RSS</t>
  </si>
  <si>
    <t>1.5 * RSS</t>
  </si>
  <si>
    <t>Pedestal to datum A</t>
  </si>
  <si>
    <t>Part 1</t>
  </si>
  <si>
    <t>Deviation</t>
  </si>
  <si>
    <t>Datum A to boss</t>
  </si>
  <si>
    <t>Band</t>
  </si>
  <si>
    <t>Ø.005 position frame</t>
  </si>
  <si>
    <t>Boss in hole</t>
  </si>
  <si>
    <t>Part 1 and Part 2</t>
  </si>
  <si>
    <t>Diameters at LMC</t>
  </si>
  <si>
    <t>Distance from hole to edge</t>
  </si>
  <si>
    <t>Part 2</t>
  </si>
  <si>
    <t>Symmetric</t>
  </si>
  <si>
    <t>Thickness of lug</t>
  </si>
  <si>
    <t>Thickness of washer</t>
  </si>
  <si>
    <t>Part 3</t>
  </si>
  <si>
    <t>Limits</t>
  </si>
  <si>
    <t>Length of fastener</t>
  </si>
  <si>
    <t>Part 4</t>
  </si>
  <si>
    <t>Click for Example CAD</t>
  </si>
  <si>
    <t>Template developed by Radian R&amp;D Ltd.</t>
  </si>
  <si>
    <t>https://wiki.radianrad.com/Tools/Tolerance+stack+analysis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</si>
</sst>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"/>
    <numFmt numFmtId="167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/>
    <xf numFmtId="0" fontId="5" fillId="4" borderId="0" xfId="0" applyFont="1" applyFill="1" applyAlignment="1">
      <alignment horizontal="center"/>
    </xf>
    <xf numFmtId="0" fontId="5" fillId="4" borderId="0" xfId="0" applyFont="1" applyFill="1"/>
    <xf numFmtId="0" fontId="5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67" fontId="0" fillId="0" borderId="0" xfId="0" applyNumberFormat="1" applyAlignment="1">
      <alignment horizontal="center"/>
    </xf>
    <xf numFmtId="10" fontId="0" fillId="0" borderId="0" xfId="0" applyNumberFormat="1"/>
    <xf numFmtId="3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0" xfId="2"/>
    <xf numFmtId="164" fontId="0" fillId="0" borderId="0" xfId="0" applyNumberFormat="1" applyAlignment="1">
      <alignment horizontal="left"/>
    </xf>
    <xf numFmtId="10" fontId="0" fillId="0" borderId="0" xfId="1" applyNumberFormat="1" applyFont="1" applyFill="1" applyAlignment="1">
      <alignment horizontal="center"/>
    </xf>
    <xf numFmtId="164" fontId="0" fillId="0" borderId="1" xfId="0" applyNumberForma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64">
    <dxf>
      <numFmt numFmtId="164" formatCode="0.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167" formatCode="0.0%"/>
      <alignment horizontal="center" vertical="bottom" textRotation="0" wrapText="0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6" formatCode="0.00000"/>
      <alignment horizontal="center" vertical="bottom" textRotation="0" wrapText="0" indent="0" justifyLastLine="0" shrinkToFit="0" readingOrder="0"/>
    </dxf>
    <dxf>
      <numFmt numFmtId="166" formatCode="0.00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0.0000"/>
      <alignment horizontal="center" vertical="bottom" textRotation="0" wrapText="0" indent="0" justifyLastLine="0" shrinkToFit="0" readingOrder="0"/>
    </dxf>
    <dxf>
      <numFmt numFmtId="165" formatCode="0.0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0.0000"/>
      <alignment horizontal="center" vertical="bottom" textRotation="0" wrapText="0" indent="0" justifyLastLine="0" shrinkToFit="0" readingOrder="0"/>
    </dxf>
    <dxf>
      <numFmt numFmtId="165" formatCode="0.0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gray0625"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gray0625"/>
      </fill>
    </dxf>
    <dxf>
      <fill>
        <patternFill patternType="gray0625">
          <fgColor auto="1"/>
          <bgColor theme="0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0.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167" formatCode="0.0%"/>
      <alignment horizontal="center" vertical="bottom" textRotation="0" wrapText="0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6" formatCode="0.00000"/>
      <alignment horizontal="center" vertical="bottom" textRotation="0" wrapText="0" indent="0" justifyLastLine="0" shrinkToFit="0" readingOrder="0"/>
    </dxf>
    <dxf>
      <numFmt numFmtId="166" formatCode="0.00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0.0000"/>
      <alignment horizontal="center" vertical="bottom" textRotation="0" wrapText="0" indent="0" justifyLastLine="0" shrinkToFit="0" readingOrder="0"/>
    </dxf>
    <dxf>
      <numFmt numFmtId="165" formatCode="0.0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0.0000"/>
      <alignment horizontal="center" vertical="bottom" textRotation="0" wrapText="0" indent="0" justifyLastLine="0" shrinkToFit="0" readingOrder="0"/>
    </dxf>
    <dxf>
      <numFmt numFmtId="165" formatCode="0.0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gray0625"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gray0625"/>
      </fill>
    </dxf>
    <dxf>
      <fill>
        <patternFill patternType="gray0625">
          <fgColor auto="1"/>
          <bgColor theme="0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194734</xdr:colOff>
      <xdr:row>0</xdr:row>
      <xdr:rowOff>84667</xdr:rowOff>
    </xdr:from>
    <xdr:ext cx="3138039" cy="92211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B3239D-05C0-4C51-8141-7A99BD3BAA2D}"/>
            </a:ext>
          </a:extLst>
        </xdr:cNvPr>
        <xdr:cNvSpPr txBox="1"/>
      </xdr:nvSpPr>
      <xdr:spPr>
        <a:xfrm>
          <a:off x="194734" y="84667"/>
          <a:ext cx="3138039" cy="9221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/>
            <a:t>1D Tolerance Stack Analysis</a:t>
          </a:r>
        </a:p>
        <a:p>
          <a:r>
            <a:rPr lang="en-US" sz="1100" i="1"/>
            <a:t>Goal: </a:t>
          </a:r>
        </a:p>
        <a:p>
          <a:r>
            <a:rPr lang="en-US" sz="1100" i="0" baseline="0"/>
            <a:t>Author: </a:t>
          </a:r>
        </a:p>
        <a:p>
          <a:r>
            <a:rPr lang="en-US" sz="1100" i="0" baseline="0"/>
            <a:t>Units: </a:t>
          </a:r>
          <a:endParaRPr lang="en-US" sz="1100" i="0"/>
        </a:p>
      </xdr:txBody>
    </xdr:sp>
    <xdr:clientData/>
  </xdr:oneCellAnchor>
  <xdr:oneCellAnchor>
    <xdr:from>
      <xdr:col>0</xdr:col>
      <xdr:colOff>254000</xdr:colOff>
      <xdr:row>11</xdr:row>
      <xdr:rowOff>152400</xdr:rowOff>
    </xdr:from>
    <xdr:ext cx="1558312" cy="40543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AFBCC21-4C65-4588-AAD4-408D3F8F0C35}"/>
            </a:ext>
          </a:extLst>
        </xdr:cNvPr>
        <xdr:cNvSpPr txBox="1"/>
      </xdr:nvSpPr>
      <xdr:spPr>
        <a:xfrm>
          <a:off x="254000" y="3064933"/>
          <a:ext cx="1558312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/>
            <a:t>Assumptions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194734</xdr:colOff>
      <xdr:row>0</xdr:row>
      <xdr:rowOff>84667</xdr:rowOff>
    </xdr:from>
    <xdr:ext cx="3796039" cy="92211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1FBA2BA-C9B0-4B9A-B2F8-01157CC9CEE0}"/>
            </a:ext>
          </a:extLst>
        </xdr:cNvPr>
        <xdr:cNvSpPr txBox="1"/>
      </xdr:nvSpPr>
      <xdr:spPr>
        <a:xfrm>
          <a:off x="194734" y="84667"/>
          <a:ext cx="3796039" cy="9221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/>
            <a:t>1D Tolerance Stack Analysis</a:t>
          </a:r>
        </a:p>
        <a:p>
          <a:r>
            <a:rPr lang="en-US" sz="1100" i="1"/>
            <a:t>Goal: Determine gap between Part</a:t>
          </a:r>
          <a:r>
            <a:rPr lang="en-US" sz="1100" i="1" baseline="0"/>
            <a:t> 4 and Part 1 (yellow arrow).</a:t>
          </a:r>
        </a:p>
        <a:p>
          <a:r>
            <a:rPr lang="en-US" sz="1100" i="0" baseline="0"/>
            <a:t>Author: Christian Petty (Radian R&amp;D Ltd.)</a:t>
          </a:r>
        </a:p>
        <a:p>
          <a:r>
            <a:rPr lang="en-US" sz="1100" i="0" baseline="0"/>
            <a:t>Units: </a:t>
          </a:r>
          <a:r>
            <a:rPr lang="en-US" sz="1100" b="1" i="0" baseline="0"/>
            <a:t>in</a:t>
          </a:r>
          <a:endParaRPr lang="en-US" sz="1100" i="0"/>
        </a:p>
      </xdr:txBody>
    </xdr:sp>
    <xdr:clientData/>
  </xdr:oneCellAnchor>
  <xdr:twoCellAnchor editAs="oneCell">
    <xdr:from>
      <xdr:col>13</xdr:col>
      <xdr:colOff>203200</xdr:colOff>
      <xdr:row>18</xdr:row>
      <xdr:rowOff>21165</xdr:rowOff>
    </xdr:from>
    <xdr:to>
      <xdr:col>17</xdr:col>
      <xdr:colOff>200</xdr:colOff>
      <xdr:row>47</xdr:row>
      <xdr:rowOff>11904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48B924-8D99-4AEB-BE85-6A68C54F3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69500" y="4207932"/>
          <a:ext cx="4851600" cy="5269705"/>
        </a:xfrm>
        <a:prstGeom prst="rect">
          <a:avLst/>
        </a:prstGeom>
      </xdr:spPr>
    </xdr:pic>
    <xdr:clientData/>
  </xdr:twoCellAnchor>
  <xdr:twoCellAnchor editAs="oneCell">
    <xdr:from>
      <xdr:col>2</xdr:col>
      <xdr:colOff>1562099</xdr:colOff>
      <xdr:row>22</xdr:row>
      <xdr:rowOff>71967</xdr:rowOff>
    </xdr:from>
    <xdr:to>
      <xdr:col>5</xdr:col>
      <xdr:colOff>216279</xdr:colOff>
      <xdr:row>39</xdr:row>
      <xdr:rowOff>85067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F02372-731E-4F93-8204-5E7451E41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45266" y="4986867"/>
          <a:ext cx="2472646" cy="3107667"/>
        </a:xfrm>
        <a:prstGeom prst="rect">
          <a:avLst/>
        </a:prstGeom>
      </xdr:spPr>
    </xdr:pic>
    <xdr:clientData/>
  </xdr:twoCellAnchor>
  <xdr:twoCellAnchor editAs="oneCell">
    <xdr:from>
      <xdr:col>6</xdr:col>
      <xdr:colOff>279400</xdr:colOff>
      <xdr:row>17</xdr:row>
      <xdr:rowOff>139700</xdr:rowOff>
    </xdr:from>
    <xdr:to>
      <xdr:col>13</xdr:col>
      <xdr:colOff>49818</xdr:colOff>
      <xdr:row>43</xdr:row>
      <xdr:rowOff>110386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A6C0AB8-65CB-4D39-9C4D-B8CC26241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17067" y="4144433"/>
          <a:ext cx="4499051" cy="4703553"/>
        </a:xfrm>
        <a:prstGeom prst="rect">
          <a:avLst/>
        </a:prstGeom>
      </xdr:spPr>
    </xdr:pic>
    <xdr:clientData/>
  </xdr:twoCellAnchor>
  <xdr:oneCellAnchor>
    <xdr:from>
      <xdr:col>0</xdr:col>
      <xdr:colOff>254000</xdr:colOff>
      <xdr:row>11</xdr:row>
      <xdr:rowOff>152400</xdr:rowOff>
    </xdr:from>
    <xdr:ext cx="2165080" cy="74988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5E558E5-2E28-4D2E-902E-D4DD229809DE}"/>
            </a:ext>
          </a:extLst>
        </xdr:cNvPr>
        <xdr:cNvSpPr txBox="1"/>
      </xdr:nvSpPr>
      <xdr:spPr>
        <a:xfrm>
          <a:off x="254000" y="3064933"/>
          <a:ext cx="2165080" cy="749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/>
            <a:t>Assumptions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="0"/>
            <a:t>Part 2 is perfectly up-and-down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="0"/>
            <a:t>Ignore gravity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hared%20drives\Cartridge\Manufacturing\MultiCavity%20Tooling_MCT\ECO-1640\ECO-1640_Attachment_2_DRAF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- Current Rev 1 X-dir"/>
      <sheetName val="2- Current Rev 1 Y-dir"/>
      <sheetName val="3 - Ø0.20mm Inlet X-dir"/>
      <sheetName val="4 - Ø0.20mm Inlet Y-dir"/>
      <sheetName val="5 - Occlusion Output"/>
      <sheetName val="ABOUT"/>
    </sheetNames>
    <sheetDataSet>
      <sheetData sheetId="0"/>
      <sheetData sheetId="1"/>
      <sheetData sheetId="2"/>
      <sheetData sheetId="3"/>
      <sheetData sheetId="4">
        <row r="3">
          <cell r="R3">
            <v>0.38</v>
          </cell>
        </row>
        <row r="4">
          <cell r="R4">
            <v>0.67500000000000004</v>
          </cell>
        </row>
      </sheetData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15A53F-7ECB-41A4-A9BE-6B671F142EFE}" name="Table145" displayName="Table145" ref="B2:Q10" totalsRowCount="1">
  <autoFilter ref="B2:Q9" xr:uid="{9C26A97E-EEDC-4878-A431-386D9B97F086}"/>
  <tableColumns count="16">
    <tableColumn id="1" xr3:uid="{F2D35C31-32A6-4AED-AC4D-3A09BB0B927A}" name="ID" dataDxfId="56" totalsRowDxfId="55"/>
    <tableColumn id="2" xr3:uid="{A693393A-1AF5-4643-BBA1-5A31724FCB0E}" name="Description"/>
    <tableColumn id="3" xr3:uid="{E65E477B-17C5-4923-8FBC-4BC8669FE18E}" name="P/N and Revision"/>
    <tableColumn id="7" xr3:uid="{FB3F2151-0939-41EC-898F-4C4AC4E6BE06}" name="Type"/>
    <tableColumn id="15" xr3:uid="{24FB222D-FF9F-4A1E-821D-1F8B5E3CCEF1}" name="a" dataDxfId="54" totalsRowDxfId="53"/>
    <tableColumn id="8" xr3:uid="{CDAB4C6E-F293-4657-95BE-98B899F72BC8}" name="Nom" dataDxfId="52" totalsRowDxfId="51"/>
    <tableColumn id="9" xr3:uid="{1E295DAA-11B5-48A2-8591-BC6C911CC105}" name="T1" dataDxfId="50" totalsRowDxfId="49"/>
    <tableColumn id="14" xr3:uid="{00822417-E95B-453B-AC44-0F5D859B0FC4}" name="T2" dataDxfId="48" totalsRowDxfId="47"/>
    <tableColumn id="11" xr3:uid="{09B32923-2EA1-4F67-861E-B7306979A3F1}" name="Lower" dataDxfId="46" totalsRowDxfId="45">
      <calculatedColumnFormula xml:space="preserve"> IF(Table145[[#This Row],[Type]]="Symmetric", Table145[[#This Row],[Nom]]-Table145[[#This Row],[T1]], IF(OR(Table145[[#This Row],[Type]]="Deviation",Table145[[#This Row],[Type]]="Hole"), Table145[[#This Row],[Nom]]+MIN(Table145[[#This Row],[T1]],Table145[[#This Row],[T2]]), IF(Table145[[#This Row],[Type]]="Limits", MIN(Table145[[#This Row],[T1]],Table145[[#This Row],[T2]]), IF(Table145[[#This Row],[Type]]="Band", Table145[[#This Row],[Nom]] - Table145[[#This Row],[T1]]/2,IF(Table145[[#This Row],[Type]]="Shift",-ABS(Table145[[#This Row],[T1]]-Table145[[#This Row],[T2]])/2,IF(Table145[[#This Row],[Type]]="Basic",Table145[[#This Row],[Nom]],""))))))</calculatedColumnFormula>
    </tableColumn>
    <tableColumn id="12" xr3:uid="{F657F40E-F0BF-4F7E-91AF-F105BC770790}" name="Center" dataDxfId="44" totalsRowDxfId="43">
      <calculatedColumnFormula xml:space="preserve"> IFERROR((Table145[[#This Row],[Upper]] + Table145[[#This Row],[Lower]]) / 2, "")</calculatedColumnFormula>
    </tableColumn>
    <tableColumn id="10" xr3:uid="{3D9EF612-B359-4A0D-9DF6-7335EF18A7C5}" name="Upper" dataDxfId="42" totalsRowDxfId="41">
      <calculatedColumnFormula xml:space="preserve"> IF(Table145[[#This Row],[Type]]="Symmetric", Table145[[#This Row],[Nom]]+Table145[[#This Row],[T1]], IF(OR(Table145[[#This Row],[Type]]="Deviation",Table145[[#This Row],[Type]]="Hole"), Table145[[#This Row],[Nom]]+MAX(Table145[[#This Row],[T1]],Table145[[#This Row],[T2]]), IF(Table145[[#This Row],[Type]]="Limits", MAX(Table145[[#This Row],[T1]],Table145[[#This Row],[T2]]), IF(Table145[[#This Row],[Type]]="Band",Table145[[#This Row],[Nom]] + Table145[[#This Row],[T1]]/2,IF(Table145[[#This Row],[Type]]="Shift",ABS(Table145[[#This Row],[T1]]-Table145[[#This Row],[T2]])/2,IF(Table145[[#This Row],[Type]]="Basic",Table145[[#This Row],[Nom]],""))))))</calculatedColumnFormula>
    </tableColumn>
    <tableColumn id="16" xr3:uid="{B138D110-4AE1-4140-B9C5-E3154F884509}" name="Shift" totalsRowFunction="sum" dataDxfId="40" totalsRowDxfId="39">
      <calculatedColumnFormula xml:space="preserve"> IFERROR(Table145[[#This Row],[a]] * Table145[[#This Row],[Center]], "")</calculatedColumnFormula>
    </tableColumn>
    <tableColumn id="17" xr3:uid="{A9E539BF-A5B2-4FF0-938C-011417B396AB}" name="Tol" totalsRowFunction="sum" dataDxfId="38" totalsRowDxfId="37">
      <calculatedColumnFormula xml:space="preserve"> IFERROR(ABS(Table145[[#This Row],[Upper]] - Table145[[#This Row],[Lower]]) / 2 * ABS(Table145[[#This Row],[a]]), "")</calculatedColumnFormula>
    </tableColumn>
    <tableColumn id="18" xr3:uid="{334A9FEB-1466-48C7-8C92-F88118510D88}" name="Tol^2" totalsRowFunction="sum" dataDxfId="36" totalsRowDxfId="35">
      <calculatedColumnFormula xml:space="preserve"> IFERROR(Table145[[#This Row],[Tol]]^2, "")</calculatedColumnFormula>
    </tableColumn>
    <tableColumn id="20" xr3:uid="{600F0676-79F3-41EE-809B-B67D74AF60D6}" name="%" totalsRowFunction="sum" dataDxfId="34" totalsRowDxfId="33" dataCellStyle="Percent">
      <calculatedColumnFormula xml:space="preserve"> IFERROR(Table145[[#This Row],[Tol]] / Table145[[#Totals],[Tol]], "")</calculatedColumnFormula>
    </tableColumn>
    <tableColumn id="21" xr3:uid="{121A5377-9211-40AD-B2F7-85553970760F}" name="Notes/Source" dataDxfId="32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CF215C-A000-40A2-AF08-C3CDA277A38E}" name="Table14" displayName="Table14" ref="B2:Q10" totalsRowCount="1">
  <autoFilter ref="B2:Q9" xr:uid="{9C26A97E-EEDC-4878-A431-386D9B97F086}"/>
  <tableColumns count="16">
    <tableColumn id="1" xr3:uid="{D95C74EF-2C85-4153-A10B-55CCDBD5BD7D}" name="ID" dataDxfId="24" totalsRowDxfId="23"/>
    <tableColumn id="2" xr3:uid="{85AFA78B-C1B5-4523-9E3F-650499395C14}" name="Description"/>
    <tableColumn id="3" xr3:uid="{7AEE7740-C986-4692-9FBC-F83E16BAB651}" name="P/N and Revision"/>
    <tableColumn id="7" xr3:uid="{A4AEABF4-D402-4000-861E-1D4E3CE11636}" name="Type"/>
    <tableColumn id="15" xr3:uid="{EFAA5345-5149-4659-9652-60D60F67943E}" name="a" dataDxfId="22" totalsRowDxfId="21"/>
    <tableColumn id="8" xr3:uid="{223274CA-1C06-421F-BA6A-65A13BE4B1C5}" name="Nom" dataDxfId="20" totalsRowDxfId="19"/>
    <tableColumn id="9" xr3:uid="{8F7FF99F-0B81-44CE-B2D2-B93A2A4D312F}" name="T1" dataDxfId="18" totalsRowDxfId="17"/>
    <tableColumn id="14" xr3:uid="{FE34E518-CDCF-434B-8A53-225F4AC4E0FF}" name="T2" dataDxfId="16" totalsRowDxfId="15"/>
    <tableColumn id="11" xr3:uid="{15DF233D-1F45-400A-B132-BFABB9ECC584}" name="Lower" dataDxfId="14" totalsRowDxfId="13">
      <calculatedColumnFormula xml:space="preserve"> IF(Table14[[#This Row],[Type]]="Symmetric", Table14[[#This Row],[Nom]]-Table14[[#This Row],[T1]], IF(OR(Table14[[#This Row],[Type]]="Deviation",Table14[[#This Row],[Type]]="Hole"), Table14[[#This Row],[Nom]]+MIN(Table14[[#This Row],[T1]],Table14[[#This Row],[T2]]), IF(Table14[[#This Row],[Type]]="Limits", MIN(Table14[[#This Row],[T1]],Table14[[#This Row],[T2]]), IF(Table14[[#This Row],[Type]]="Band", Table14[[#This Row],[Nom]] - Table14[[#This Row],[T1]]/2,IF(Table14[[#This Row],[Type]]="Shift",-ABS(Table14[[#This Row],[T1]]-Table14[[#This Row],[T2]])/2,IF(Table14[[#This Row],[Type]]="Basic",Table14[[#This Row],[Nom]],""))))))</calculatedColumnFormula>
    </tableColumn>
    <tableColumn id="12" xr3:uid="{B7A35C05-98CD-45A0-BF1D-109608324D75}" name="Center" dataDxfId="12" totalsRowDxfId="11">
      <calculatedColumnFormula xml:space="preserve"> IFERROR((Table14[[#This Row],[Upper]] + Table14[[#This Row],[Lower]]) / 2, "")</calculatedColumnFormula>
    </tableColumn>
    <tableColumn id="10" xr3:uid="{EAD19AC1-EC12-40B8-9BC0-D44B1FCD95DC}" name="Upper" dataDxfId="10" totalsRowDxfId="9">
      <calculatedColumnFormula xml:space="preserve"> IF(Table14[[#This Row],[Type]]="Symmetric", Table14[[#This Row],[Nom]]+Table14[[#This Row],[T1]], IF(OR(Table14[[#This Row],[Type]]="Deviation",Table14[[#This Row],[Type]]="Hole"), Table14[[#This Row],[Nom]]+MAX(Table14[[#This Row],[T1]],Table14[[#This Row],[T2]]), IF(Table14[[#This Row],[Type]]="Limits", MAX(Table14[[#This Row],[T1]],Table14[[#This Row],[T2]]), IF(Table14[[#This Row],[Type]]="Band",Table14[[#This Row],[Nom]] + Table14[[#This Row],[T1]]/2,IF(Table14[[#This Row],[Type]]="Shift",ABS(Table14[[#This Row],[T1]]-Table14[[#This Row],[T2]])/2,IF(Table14[[#This Row],[Type]]="Basic",Table14[[#This Row],[Nom]],""))))))</calculatedColumnFormula>
    </tableColumn>
    <tableColumn id="16" xr3:uid="{70CECF09-531C-4DBA-B1EB-2B6C6542B8BF}" name="Shift" totalsRowFunction="sum" dataDxfId="8" totalsRowDxfId="7">
      <calculatedColumnFormula xml:space="preserve"> IFERROR(Table14[[#This Row],[a]] * Table14[[#This Row],[Center]], "")</calculatedColumnFormula>
    </tableColumn>
    <tableColumn id="17" xr3:uid="{9EFB51F0-70E6-43D8-A21A-82E529FC5B00}" name="Tol" totalsRowFunction="sum" dataDxfId="6" totalsRowDxfId="5">
      <calculatedColumnFormula xml:space="preserve"> IFERROR(ABS(Table14[[#This Row],[Upper]] - Table14[[#This Row],[Lower]]) / 2 * ABS(Table14[[#This Row],[a]]), "")</calculatedColumnFormula>
    </tableColumn>
    <tableColumn id="18" xr3:uid="{BDFBBC62-A88E-4450-9392-AE2C5D7C0D13}" name="Tol^2" totalsRowFunction="sum" dataDxfId="4" totalsRowDxfId="3">
      <calculatedColumnFormula xml:space="preserve"> IFERROR(Table14[[#This Row],[Tol]]^2, "")</calculatedColumnFormula>
    </tableColumn>
    <tableColumn id="20" xr3:uid="{81C9E989-4B30-4EFA-909D-A8E03633F1A2}" name="%" totalsRowFunction="sum" dataDxfId="2" totalsRowDxfId="1" dataCellStyle="Percent">
      <calculatedColumnFormula xml:space="preserve"> IFERROR(Table14[[#This Row],[Tol]] / Table14[[#Totals],[Tol]], "")</calculatedColumnFormula>
    </tableColumn>
    <tableColumn id="21" xr3:uid="{C517D9C6-E07E-4612-9EB3-9B38B0F399A7}" name="Notes/Source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hyperlink" Target="https://cad.onshape.com/documents/2cdf3ec9a48d2dc333b071db/w/962d4b694777873f554dd56f/e/e47ffd0abc92078010ae7423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CDF17-1C82-4AB7-B7EC-18B9495B41DA}">
  <dimension ref="B1:Q23"/>
  <sheetViews>
    <sheetView showGridLines="0" workbookViewId="0">
      <selection activeCell="M3" sqref="M3"/>
    </sheetView>
  </sheetViews>
  <sheetFormatPr defaultRowHeight="14.35" x14ac:dyDescent="0.5"/>
  <cols>
    <col min="1" max="1" width="4" customWidth="1"/>
    <col min="2" max="2" width="6.87890625" bestFit="1" customWidth="1"/>
    <col min="3" max="3" width="25.8203125" customWidth="1"/>
    <col min="4" max="4" width="18.05859375" customWidth="1"/>
    <col min="5" max="5" width="9.17578125" bestFit="1" customWidth="1"/>
    <col min="6" max="6" width="6.05859375" style="1" bestFit="1" customWidth="1"/>
    <col min="7" max="7" width="9.05859375" bestFit="1" customWidth="1"/>
    <col min="8" max="8" width="7.05859375" bestFit="1" customWidth="1"/>
    <col min="9" max="9" width="9.8203125" bestFit="1" customWidth="1"/>
    <col min="10" max="10" width="10.17578125" bestFit="1" customWidth="1"/>
    <col min="11" max="11" width="10.52734375" bestFit="1" customWidth="1"/>
    <col min="12" max="12" width="10.234375" bestFit="1" customWidth="1"/>
    <col min="13" max="13" width="8.8203125" bestFit="1" customWidth="1"/>
    <col min="14" max="14" width="7.5859375" bestFit="1" customWidth="1"/>
    <col min="15" max="15" width="10.52734375" bestFit="1" customWidth="1"/>
    <col min="16" max="16" width="7.76171875" bestFit="1" customWidth="1"/>
    <col min="17" max="17" width="44.3515625" customWidth="1"/>
  </cols>
  <sheetData>
    <row r="1" spans="2:17" ht="86" customHeight="1" x14ac:dyDescent="0.5"/>
    <row r="2" spans="2:17" x14ac:dyDescent="0.5">
      <c r="B2" s="8" t="s">
        <v>0</v>
      </c>
      <c r="C2" s="9" t="s">
        <v>1</v>
      </c>
      <c r="D2" s="9" t="s">
        <v>2</v>
      </c>
      <c r="E2" s="9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10" t="s">
        <v>8</v>
      </c>
      <c r="K2" s="10" t="s">
        <v>9</v>
      </c>
      <c r="L2" s="10" t="s">
        <v>10</v>
      </c>
      <c r="M2" s="11" t="s">
        <v>11</v>
      </c>
      <c r="N2" s="11" t="s">
        <v>12</v>
      </c>
      <c r="O2" s="11" t="s">
        <v>13</v>
      </c>
      <c r="P2" s="12" t="s">
        <v>14</v>
      </c>
      <c r="Q2" s="9" t="s">
        <v>15</v>
      </c>
    </row>
    <row r="3" spans="2:17" x14ac:dyDescent="0.5">
      <c r="B3" s="1">
        <v>1</v>
      </c>
      <c r="G3" s="3"/>
      <c r="H3" s="3"/>
      <c r="I3" s="3"/>
      <c r="J3" s="3" t="str">
        <f xml:space="preserve"> IF(Table145[[#This Row],[Type]]="Symmetric", Table145[[#This Row],[Nom]]-Table145[[#This Row],[T1]], IF(OR(Table145[[#This Row],[Type]]="Deviation",Table145[[#This Row],[Type]]="Hole"), Table145[[#This Row],[Nom]]+MIN(Table145[[#This Row],[T1]],Table145[[#This Row],[T2]]), IF(Table145[[#This Row],[Type]]="Limits", MIN(Table145[[#This Row],[T1]],Table145[[#This Row],[T2]]), IF(Table145[[#This Row],[Type]]="Band", Table145[[#This Row],[Nom]] - Table145[[#This Row],[T1]]/2,IF(Table145[[#This Row],[Type]]="Shift",-ABS(Table145[[#This Row],[T1]]-Table145[[#This Row],[T2]])/2,IF(Table145[[#This Row],[Type]]="Basic",Table145[[#This Row],[Nom]],""))))))</f>
        <v/>
      </c>
      <c r="K3" s="3" t="str">
        <f xml:space="preserve"> IFERROR((Table145[[#This Row],[Upper]] + Table145[[#This Row],[Lower]]) / 2, "")</f>
        <v/>
      </c>
      <c r="L3" s="3" t="str">
        <f xml:space="preserve"> IF(Table145[[#This Row],[Type]]="Symmetric", Table145[[#This Row],[Nom]]+Table145[[#This Row],[T1]], IF(OR(Table145[[#This Row],[Type]]="Deviation",Table145[[#This Row],[Type]]="Hole"), Table145[[#This Row],[Nom]]+MAX(Table145[[#This Row],[T1]],Table145[[#This Row],[T2]]), IF(Table145[[#This Row],[Type]]="Limits", MAX(Table145[[#This Row],[T1]],Table145[[#This Row],[T2]]), IF(Table145[[#This Row],[Type]]="Band",Table145[[#This Row],[Nom]] + Table145[[#This Row],[T1]]/2,IF(Table145[[#This Row],[Type]]="Shift",ABS(Table145[[#This Row],[T1]]-Table145[[#This Row],[T2]])/2,IF(Table145[[#This Row],[Type]]="Basic",Table145[[#This Row],[Nom]],""))))))</f>
        <v/>
      </c>
      <c r="M3" s="2" t="str">
        <f xml:space="preserve"> IFERROR(Table145[[#This Row],[a]] * Table145[[#This Row],[Center]], "")</f>
        <v/>
      </c>
      <c r="N3" s="2" t="str">
        <f xml:space="preserve"> IFERROR(ABS(Table145[[#This Row],[Upper]] - Table145[[#This Row],[Lower]]) / 2 * ABS(Table145[[#This Row],[a]]), "")</f>
        <v/>
      </c>
      <c r="O3" s="4" t="str">
        <f xml:space="preserve"> IFERROR(Table145[[#This Row],[Tol]]^2, "")</f>
        <v/>
      </c>
      <c r="P3" s="20" t="str">
        <f xml:space="preserve"> IFERROR(Table145[[#This Row],[Tol]] / Table145[[#Totals],[Tol]], "")</f>
        <v/>
      </c>
      <c r="Q3" s="19"/>
    </row>
    <row r="4" spans="2:17" x14ac:dyDescent="0.5">
      <c r="B4" s="1">
        <v>2</v>
      </c>
      <c r="G4" s="3"/>
      <c r="H4" s="3"/>
      <c r="I4" s="3"/>
      <c r="J4" s="3" t="str">
        <f xml:space="preserve"> IF(Table145[[#This Row],[Type]]="Symmetric", Table145[[#This Row],[Nom]]-Table145[[#This Row],[T1]], IF(OR(Table145[[#This Row],[Type]]="Deviation",Table145[[#This Row],[Type]]="Hole"), Table145[[#This Row],[Nom]]+MIN(Table145[[#This Row],[T1]],Table145[[#This Row],[T2]]), IF(Table145[[#This Row],[Type]]="Limits", MIN(Table145[[#This Row],[T1]],Table145[[#This Row],[T2]]), IF(Table145[[#This Row],[Type]]="Band", Table145[[#This Row],[Nom]] - Table145[[#This Row],[T1]]/2,IF(Table145[[#This Row],[Type]]="Shift",-ABS(Table145[[#This Row],[T1]]-Table145[[#This Row],[T2]])/2,IF(Table145[[#This Row],[Type]]="Basic",Table145[[#This Row],[Nom]],""))))))</f>
        <v/>
      </c>
      <c r="K4" s="3" t="str">
        <f xml:space="preserve"> IFERROR((Table145[[#This Row],[Upper]] + Table145[[#This Row],[Lower]]) / 2, "")</f>
        <v/>
      </c>
      <c r="L4" s="3" t="str">
        <f xml:space="preserve"> IF(Table145[[#This Row],[Type]]="Symmetric", Table145[[#This Row],[Nom]]+Table145[[#This Row],[T1]], IF(OR(Table145[[#This Row],[Type]]="Deviation",Table145[[#This Row],[Type]]="Hole"), Table145[[#This Row],[Nom]]+MAX(Table145[[#This Row],[T1]],Table145[[#This Row],[T2]]), IF(Table145[[#This Row],[Type]]="Limits", MAX(Table145[[#This Row],[T1]],Table145[[#This Row],[T2]]), IF(Table145[[#This Row],[Type]]="Band",Table145[[#This Row],[Nom]] + Table145[[#This Row],[T1]]/2,IF(Table145[[#This Row],[Type]]="Shift",ABS(Table145[[#This Row],[T1]]-Table145[[#This Row],[T2]])/2,IF(Table145[[#This Row],[Type]]="Basic",Table145[[#This Row],[Nom]],""))))))</f>
        <v/>
      </c>
      <c r="M4" s="2" t="str">
        <f xml:space="preserve"> IFERROR(Table145[[#This Row],[a]] * Table145[[#This Row],[Center]], "")</f>
        <v/>
      </c>
      <c r="N4" s="2" t="str">
        <f xml:space="preserve"> IFERROR(ABS(Table145[[#This Row],[Upper]] - Table145[[#This Row],[Lower]]) / 2 * ABS(Table145[[#This Row],[a]]), "")</f>
        <v/>
      </c>
      <c r="O4" s="4" t="str">
        <f xml:space="preserve"> IFERROR(Table145[[#This Row],[Tol]]^2, "")</f>
        <v/>
      </c>
      <c r="P4" s="20" t="str">
        <f xml:space="preserve"> IFERROR(Table145[[#This Row],[Tol]] / Table145[[#Totals],[Tol]], "")</f>
        <v/>
      </c>
      <c r="Q4" s="19"/>
    </row>
    <row r="5" spans="2:17" x14ac:dyDescent="0.5">
      <c r="B5" s="1">
        <v>3</v>
      </c>
      <c r="G5" s="3"/>
      <c r="H5" s="3"/>
      <c r="I5" s="3"/>
      <c r="J5" s="3" t="str">
        <f xml:space="preserve"> IF(Table145[[#This Row],[Type]]="Symmetric", Table145[[#This Row],[Nom]]-Table145[[#This Row],[T1]], IF(OR(Table145[[#This Row],[Type]]="Deviation",Table145[[#This Row],[Type]]="Hole"), Table145[[#This Row],[Nom]]+MIN(Table145[[#This Row],[T1]],Table145[[#This Row],[T2]]), IF(Table145[[#This Row],[Type]]="Limits", MIN(Table145[[#This Row],[T1]],Table145[[#This Row],[T2]]), IF(Table145[[#This Row],[Type]]="Band", Table145[[#This Row],[Nom]] - Table145[[#This Row],[T1]]/2,IF(Table145[[#This Row],[Type]]="Shift",-ABS(Table145[[#This Row],[T1]]-Table145[[#This Row],[T2]])/2,IF(Table145[[#This Row],[Type]]="Basic",Table145[[#This Row],[Nom]],""))))))</f>
        <v/>
      </c>
      <c r="K5" s="3" t="str">
        <f xml:space="preserve"> IFERROR((Table145[[#This Row],[Upper]] + Table145[[#This Row],[Lower]]) / 2, "")</f>
        <v/>
      </c>
      <c r="L5" s="3" t="str">
        <f xml:space="preserve"> IF(Table145[[#This Row],[Type]]="Symmetric", Table145[[#This Row],[Nom]]+Table145[[#This Row],[T1]], IF(OR(Table145[[#This Row],[Type]]="Deviation",Table145[[#This Row],[Type]]="Hole"), Table145[[#This Row],[Nom]]+MAX(Table145[[#This Row],[T1]],Table145[[#This Row],[T2]]), IF(Table145[[#This Row],[Type]]="Limits", MAX(Table145[[#This Row],[T1]],Table145[[#This Row],[T2]]), IF(Table145[[#This Row],[Type]]="Band",Table145[[#This Row],[Nom]] + Table145[[#This Row],[T1]]/2,IF(Table145[[#This Row],[Type]]="Shift",ABS(Table145[[#This Row],[T1]]-Table145[[#This Row],[T2]])/2,IF(Table145[[#This Row],[Type]]="Basic",Table145[[#This Row],[Nom]],""))))))</f>
        <v/>
      </c>
      <c r="M5" s="2" t="str">
        <f xml:space="preserve"> IFERROR(Table145[[#This Row],[a]] * Table145[[#This Row],[Center]], "")</f>
        <v/>
      </c>
      <c r="N5" s="2" t="str">
        <f xml:space="preserve"> IFERROR(ABS(Table145[[#This Row],[Upper]] - Table145[[#This Row],[Lower]]) / 2 * ABS(Table145[[#This Row],[a]]), "")</f>
        <v/>
      </c>
      <c r="O5" s="4" t="str">
        <f xml:space="preserve"> IFERROR(Table145[[#This Row],[Tol]]^2, "")</f>
        <v/>
      </c>
      <c r="P5" s="20" t="str">
        <f xml:space="preserve"> IFERROR(Table145[[#This Row],[Tol]] / Table145[[#Totals],[Tol]], "")</f>
        <v/>
      </c>
      <c r="Q5" s="19"/>
    </row>
    <row r="6" spans="2:17" x14ac:dyDescent="0.5">
      <c r="B6" s="1">
        <v>4</v>
      </c>
      <c r="G6" s="3"/>
      <c r="H6" s="3"/>
      <c r="I6" s="3"/>
      <c r="J6" s="3" t="str">
        <f xml:space="preserve"> IF(Table145[[#This Row],[Type]]="Symmetric", Table145[[#This Row],[Nom]]-Table145[[#This Row],[T1]], IF(OR(Table145[[#This Row],[Type]]="Deviation",Table145[[#This Row],[Type]]="Hole"), Table145[[#This Row],[Nom]]+MIN(Table145[[#This Row],[T1]],Table145[[#This Row],[T2]]), IF(Table145[[#This Row],[Type]]="Limits", MIN(Table145[[#This Row],[T1]],Table145[[#This Row],[T2]]), IF(Table145[[#This Row],[Type]]="Band", Table145[[#This Row],[Nom]] - Table145[[#This Row],[T1]]/2,IF(Table145[[#This Row],[Type]]="Shift",-ABS(Table145[[#This Row],[T1]]-Table145[[#This Row],[T2]])/2,IF(Table145[[#This Row],[Type]]="Basic",Table145[[#This Row],[Nom]],""))))))</f>
        <v/>
      </c>
      <c r="K6" s="3" t="str">
        <f xml:space="preserve"> IFERROR((Table145[[#This Row],[Upper]] + Table145[[#This Row],[Lower]]) / 2, "")</f>
        <v/>
      </c>
      <c r="L6" s="3" t="str">
        <f xml:space="preserve"> IF(Table145[[#This Row],[Type]]="Symmetric", Table145[[#This Row],[Nom]]+Table145[[#This Row],[T1]], IF(OR(Table145[[#This Row],[Type]]="Deviation",Table145[[#This Row],[Type]]="Hole"), Table145[[#This Row],[Nom]]+MAX(Table145[[#This Row],[T1]],Table145[[#This Row],[T2]]), IF(Table145[[#This Row],[Type]]="Limits", MAX(Table145[[#This Row],[T1]],Table145[[#This Row],[T2]]), IF(Table145[[#This Row],[Type]]="Band",Table145[[#This Row],[Nom]] + Table145[[#This Row],[T1]]/2,IF(Table145[[#This Row],[Type]]="Shift",ABS(Table145[[#This Row],[T1]]-Table145[[#This Row],[T2]])/2,IF(Table145[[#This Row],[Type]]="Basic",Table145[[#This Row],[Nom]],""))))))</f>
        <v/>
      </c>
      <c r="M6" s="2" t="str">
        <f xml:space="preserve"> IFERROR(Table145[[#This Row],[a]] * Table145[[#This Row],[Center]], "")</f>
        <v/>
      </c>
      <c r="N6" s="2" t="str">
        <f xml:space="preserve"> IFERROR(ABS(Table145[[#This Row],[Upper]] - Table145[[#This Row],[Lower]]) / 2 * ABS(Table145[[#This Row],[a]]), "")</f>
        <v/>
      </c>
      <c r="O6" s="4" t="str">
        <f xml:space="preserve"> IFERROR(Table145[[#This Row],[Tol]]^2, "")</f>
        <v/>
      </c>
      <c r="P6" s="20" t="str">
        <f xml:space="preserve"> IFERROR(Table145[[#This Row],[Tol]] / Table145[[#Totals],[Tol]], "")</f>
        <v/>
      </c>
      <c r="Q6" s="19"/>
    </row>
    <row r="7" spans="2:17" x14ac:dyDescent="0.5">
      <c r="B7" s="1">
        <v>5</v>
      </c>
      <c r="G7" s="3"/>
      <c r="H7" s="3"/>
      <c r="I7" s="3"/>
      <c r="J7" s="3" t="str">
        <f xml:space="preserve"> IF(Table145[[#This Row],[Type]]="Symmetric", Table145[[#This Row],[Nom]]-Table145[[#This Row],[T1]], IF(OR(Table145[[#This Row],[Type]]="Deviation",Table145[[#This Row],[Type]]="Hole"), Table145[[#This Row],[Nom]]+MIN(Table145[[#This Row],[T1]],Table145[[#This Row],[T2]]), IF(Table145[[#This Row],[Type]]="Limits", MIN(Table145[[#This Row],[T1]],Table145[[#This Row],[T2]]), IF(Table145[[#This Row],[Type]]="Band", Table145[[#This Row],[Nom]] - Table145[[#This Row],[T1]]/2,IF(Table145[[#This Row],[Type]]="Shift",-ABS(Table145[[#This Row],[T1]]-Table145[[#This Row],[T2]])/2,IF(Table145[[#This Row],[Type]]="Basic",Table145[[#This Row],[Nom]],""))))))</f>
        <v/>
      </c>
      <c r="K7" s="3" t="str">
        <f xml:space="preserve"> IFERROR((Table145[[#This Row],[Upper]] + Table145[[#This Row],[Lower]]) / 2, "")</f>
        <v/>
      </c>
      <c r="L7" s="3" t="str">
        <f xml:space="preserve"> IF(Table145[[#This Row],[Type]]="Symmetric", Table145[[#This Row],[Nom]]+Table145[[#This Row],[T1]], IF(OR(Table145[[#This Row],[Type]]="Deviation",Table145[[#This Row],[Type]]="Hole"), Table145[[#This Row],[Nom]]+MAX(Table145[[#This Row],[T1]],Table145[[#This Row],[T2]]), IF(Table145[[#This Row],[Type]]="Limits", MAX(Table145[[#This Row],[T1]],Table145[[#This Row],[T2]]), IF(Table145[[#This Row],[Type]]="Band",Table145[[#This Row],[Nom]] + Table145[[#This Row],[T1]]/2,IF(Table145[[#This Row],[Type]]="Shift",ABS(Table145[[#This Row],[T1]]-Table145[[#This Row],[T2]])/2,IF(Table145[[#This Row],[Type]]="Basic",Table145[[#This Row],[Nom]],""))))))</f>
        <v/>
      </c>
      <c r="M7" s="2" t="str">
        <f xml:space="preserve"> IFERROR(Table145[[#This Row],[a]] * Table145[[#This Row],[Center]], "")</f>
        <v/>
      </c>
      <c r="N7" s="2" t="str">
        <f xml:space="preserve"> IFERROR(ABS(Table145[[#This Row],[Upper]] - Table145[[#This Row],[Lower]]) / 2 * ABS(Table145[[#This Row],[a]]), "")</f>
        <v/>
      </c>
      <c r="O7" s="4" t="str">
        <f xml:space="preserve"> IFERROR(Table145[[#This Row],[Tol]]^2, "")</f>
        <v/>
      </c>
      <c r="P7" s="20" t="str">
        <f xml:space="preserve"> IFERROR(Table145[[#This Row],[Tol]] / Table145[[#Totals],[Tol]], "")</f>
        <v/>
      </c>
      <c r="Q7" s="19"/>
    </row>
    <row r="8" spans="2:17" x14ac:dyDescent="0.5">
      <c r="B8" s="1">
        <v>6</v>
      </c>
      <c r="G8" s="3"/>
      <c r="H8" s="3"/>
      <c r="I8" s="3"/>
      <c r="J8" s="3" t="str">
        <f xml:space="preserve"> IF(Table145[[#This Row],[Type]]="Symmetric", Table145[[#This Row],[Nom]]-Table145[[#This Row],[T1]], IF(OR(Table145[[#This Row],[Type]]="Deviation",Table145[[#This Row],[Type]]="Hole"), Table145[[#This Row],[Nom]]+MIN(Table145[[#This Row],[T1]],Table145[[#This Row],[T2]]), IF(Table145[[#This Row],[Type]]="Limits", MIN(Table145[[#This Row],[T1]],Table145[[#This Row],[T2]]), IF(Table145[[#This Row],[Type]]="Band", Table145[[#This Row],[Nom]] - Table145[[#This Row],[T1]]/2,IF(Table145[[#This Row],[Type]]="Shift",-ABS(Table145[[#This Row],[T1]]-Table145[[#This Row],[T2]])/2,IF(Table145[[#This Row],[Type]]="Basic",Table145[[#This Row],[Nom]],""))))))</f>
        <v/>
      </c>
      <c r="K8" s="3" t="str">
        <f xml:space="preserve"> IFERROR((Table145[[#This Row],[Upper]] + Table145[[#This Row],[Lower]]) / 2, "")</f>
        <v/>
      </c>
      <c r="L8" s="3" t="str">
        <f xml:space="preserve"> IF(Table145[[#This Row],[Type]]="Symmetric", Table145[[#This Row],[Nom]]+Table145[[#This Row],[T1]], IF(OR(Table145[[#This Row],[Type]]="Deviation",Table145[[#This Row],[Type]]="Hole"), Table145[[#This Row],[Nom]]+MAX(Table145[[#This Row],[T1]],Table145[[#This Row],[T2]]), IF(Table145[[#This Row],[Type]]="Limits", MAX(Table145[[#This Row],[T1]],Table145[[#This Row],[T2]]), IF(Table145[[#This Row],[Type]]="Band",Table145[[#This Row],[Nom]] + Table145[[#This Row],[T1]]/2,IF(Table145[[#This Row],[Type]]="Shift",ABS(Table145[[#This Row],[T1]]-Table145[[#This Row],[T2]])/2,IF(Table145[[#This Row],[Type]]="Basic",Table145[[#This Row],[Nom]],""))))))</f>
        <v/>
      </c>
      <c r="M8" s="2" t="str">
        <f xml:space="preserve"> IFERROR(Table145[[#This Row],[a]] * Table145[[#This Row],[Center]], "")</f>
        <v/>
      </c>
      <c r="N8" s="2" t="str">
        <f xml:space="preserve"> IFERROR(ABS(Table145[[#This Row],[Upper]] - Table145[[#This Row],[Lower]]) / 2 * ABS(Table145[[#This Row],[a]]), "")</f>
        <v/>
      </c>
      <c r="O8" s="4" t="str">
        <f xml:space="preserve"> IFERROR(Table145[[#This Row],[Tol]]^2, "")</f>
        <v/>
      </c>
      <c r="P8" s="20" t="str">
        <f xml:space="preserve"> IFERROR(Table145[[#This Row],[Tol]] / Table145[[#Totals],[Tol]], "")</f>
        <v/>
      </c>
      <c r="Q8" s="19"/>
    </row>
    <row r="9" spans="2:17" x14ac:dyDescent="0.5">
      <c r="B9" s="1">
        <v>7</v>
      </c>
      <c r="G9" s="3"/>
      <c r="H9" s="3"/>
      <c r="I9" s="3"/>
      <c r="J9" s="3" t="str">
        <f xml:space="preserve"> IF(Table145[[#This Row],[Type]]="Symmetric", Table145[[#This Row],[Nom]]-Table145[[#This Row],[T1]], IF(OR(Table145[[#This Row],[Type]]="Deviation",Table145[[#This Row],[Type]]="Hole"), Table145[[#This Row],[Nom]]+MIN(Table145[[#This Row],[T1]],Table145[[#This Row],[T2]]), IF(Table145[[#This Row],[Type]]="Limits", MIN(Table145[[#This Row],[T1]],Table145[[#This Row],[T2]]), IF(Table145[[#This Row],[Type]]="Band", Table145[[#This Row],[Nom]] - Table145[[#This Row],[T1]]/2,IF(Table145[[#This Row],[Type]]="Shift",-ABS(Table145[[#This Row],[T1]]-Table145[[#This Row],[T2]])/2,IF(Table145[[#This Row],[Type]]="Basic",Table145[[#This Row],[Nom]],""))))))</f>
        <v/>
      </c>
      <c r="K9" s="3" t="str">
        <f xml:space="preserve"> IFERROR((Table145[[#This Row],[Upper]] + Table145[[#This Row],[Lower]]) / 2, "")</f>
        <v/>
      </c>
      <c r="L9" s="3" t="str">
        <f xml:space="preserve"> IF(Table145[[#This Row],[Type]]="Symmetric", Table145[[#This Row],[Nom]]+Table145[[#This Row],[T1]], IF(OR(Table145[[#This Row],[Type]]="Deviation",Table145[[#This Row],[Type]]="Hole"), Table145[[#This Row],[Nom]]+MAX(Table145[[#This Row],[T1]],Table145[[#This Row],[T2]]), IF(Table145[[#This Row],[Type]]="Limits", MAX(Table145[[#This Row],[T1]],Table145[[#This Row],[T2]]), IF(Table145[[#This Row],[Type]]="Band",Table145[[#This Row],[Nom]] + Table145[[#This Row],[T1]]/2,IF(Table145[[#This Row],[Type]]="Shift",ABS(Table145[[#This Row],[T1]]-Table145[[#This Row],[T2]])/2,IF(Table145[[#This Row],[Type]]="Basic",Table145[[#This Row],[Nom]],""))))))</f>
        <v/>
      </c>
      <c r="M9" s="2" t="str">
        <f xml:space="preserve"> IFERROR(Table145[[#This Row],[a]] * Table145[[#This Row],[Center]], "")</f>
        <v/>
      </c>
      <c r="N9" s="2" t="str">
        <f xml:space="preserve"> IFERROR(ABS(Table145[[#This Row],[Upper]] - Table145[[#This Row],[Lower]]) / 2 * ABS(Table145[[#This Row],[a]]), "")</f>
        <v/>
      </c>
      <c r="O9" s="4" t="str">
        <f xml:space="preserve"> IFERROR(Table145[[#This Row],[Tol]]^2, "")</f>
        <v/>
      </c>
      <c r="P9" s="20" t="str">
        <f xml:space="preserve"> IFERROR(Table145[[#This Row],[Tol]] / Table145[[#Totals],[Tol]], "")</f>
        <v/>
      </c>
      <c r="Q9" s="19"/>
    </row>
    <row r="10" spans="2:17" x14ac:dyDescent="0.5">
      <c r="B10" s="1"/>
      <c r="G10" s="1"/>
      <c r="H10" s="1"/>
      <c r="I10" s="1"/>
      <c r="J10" s="1"/>
      <c r="K10" s="1"/>
      <c r="L10" s="1"/>
      <c r="M10" s="2">
        <f>SUBTOTAL(109,Table145[Shift])</f>
        <v>0</v>
      </c>
      <c r="N10" s="2">
        <f>SUBTOTAL(109,Table145[Tol])</f>
        <v>0</v>
      </c>
      <c r="O10" s="4">
        <f>SUBTOTAL(109,Table145[Tol^2])</f>
        <v>0</v>
      </c>
      <c r="P10" s="13">
        <f>SUBTOTAL(109,Table145[%])</f>
        <v>0</v>
      </c>
    </row>
    <row r="12" spans="2:17" x14ac:dyDescent="0.5">
      <c r="B12" s="18"/>
    </row>
    <row r="13" spans="2:17" x14ac:dyDescent="0.5">
      <c r="J13" s="6" t="s">
        <v>8</v>
      </c>
      <c r="K13" s="6" t="s">
        <v>9</v>
      </c>
      <c r="L13" s="6" t="s">
        <v>10</v>
      </c>
    </row>
    <row r="14" spans="2:17" x14ac:dyDescent="0.5">
      <c r="I14" s="7" t="s">
        <v>16</v>
      </c>
      <c r="J14" s="5">
        <f xml:space="preserve"> Table145[[#Totals],[Shift]] - Table145[[#Totals],[Tol]]</f>
        <v>0</v>
      </c>
      <c r="K14" s="21">
        <f>Table145[[#Totals],[Shift]]</f>
        <v>0</v>
      </c>
      <c r="L14" s="5">
        <f xml:space="preserve"> Table145[[#Totals],[Shift]] + Table145[[#Totals],[Tol]]</f>
        <v>0</v>
      </c>
    </row>
    <row r="15" spans="2:17" x14ac:dyDescent="0.5">
      <c r="I15" s="7" t="s">
        <v>17</v>
      </c>
      <c r="J15" s="5">
        <f xml:space="preserve"> Table145[[#Totals],[Shift]] - SQRT(Table145[[#Totals],[Tol^2]])</f>
        <v>0</v>
      </c>
      <c r="K15" s="21"/>
      <c r="L15" s="5">
        <f xml:space="preserve"> Table145[[#Totals],[Shift]] + SQRT(Table145[[#Totals],[Tol^2]])</f>
        <v>0</v>
      </c>
      <c r="M15" s="14"/>
    </row>
    <row r="16" spans="2:17" x14ac:dyDescent="0.5">
      <c r="I16" s="7" t="s">
        <v>18</v>
      </c>
      <c r="J16" s="5">
        <f xml:space="preserve"> Table145[[#Totals],[Shift]] - 1.5 * SQRT(Table145[[#Totals],[Tol^2]])</f>
        <v>0</v>
      </c>
      <c r="K16" s="21"/>
      <c r="L16" s="5">
        <f xml:space="preserve"> Table145[[#Totals],[Shift]] + 1.5 * SQRT(Table145[[#Totals],[Tol^2]])</f>
        <v>0</v>
      </c>
    </row>
    <row r="18" spans="9:11" x14ac:dyDescent="0.5">
      <c r="I18" s="14"/>
      <c r="J18" s="16"/>
      <c r="K18" s="16"/>
    </row>
    <row r="19" spans="9:11" x14ac:dyDescent="0.5">
      <c r="J19" s="15"/>
      <c r="K19" s="17"/>
    </row>
    <row r="20" spans="9:11" x14ac:dyDescent="0.5">
      <c r="J20" s="15"/>
      <c r="K20" s="17"/>
    </row>
    <row r="21" spans="9:11" x14ac:dyDescent="0.5">
      <c r="J21" s="15"/>
      <c r="K21" s="17"/>
    </row>
    <row r="22" spans="9:11" x14ac:dyDescent="0.5">
      <c r="J22" s="15"/>
      <c r="K22" s="17"/>
    </row>
    <row r="23" spans="9:11" x14ac:dyDescent="0.5">
      <c r="J23" s="15"/>
      <c r="K23" s="17"/>
    </row>
  </sheetData>
  <mergeCells count="1">
    <mergeCell ref="K14:K16"/>
  </mergeCells>
  <conditionalFormatting sqref="J14:L14 J15:J16 L15:L16">
    <cfRule type="cellIs" dxfId="63" priority="7" operator="lessThan">
      <formula>0</formula>
    </cfRule>
  </conditionalFormatting>
  <conditionalFormatting sqref="I3:I9">
    <cfRule type="expression" dxfId="62" priority="3">
      <formula>OR(E3="Deviation", E3="Limits", E3="Shift")</formula>
    </cfRule>
    <cfRule type="expression" dxfId="61" priority="6">
      <formula>OR(E3="Symmetric",E3="Band", E3="Basic")</formula>
    </cfRule>
  </conditionalFormatting>
  <conditionalFormatting sqref="H3:H9">
    <cfRule type="expression" dxfId="60" priority="1">
      <formula>OR(E3="Basic")</formula>
    </cfRule>
    <cfRule type="expression" dxfId="59" priority="4">
      <formula>OR(E3="Symmetric", E3="Deviation", E3="Band", E3="Limits", E3="Shift")</formula>
    </cfRule>
  </conditionalFormatting>
  <conditionalFormatting sqref="G3:G9">
    <cfRule type="expression" dxfId="58" priority="2">
      <formula>OR(E3="Symmetric", E3="Deviation", E3="Band", E3="Basic")</formula>
    </cfRule>
    <cfRule type="expression" dxfId="57" priority="5">
      <formula>OR(E3="Limits", E3="Shift")</formula>
    </cfRule>
  </conditionalFormatting>
  <dataValidations count="1">
    <dataValidation type="list" allowBlank="1" showInputMessage="1" showErrorMessage="1" sqref="E3:E9" xr:uid="{65F8DD95-B756-470A-914A-3187850697DD}">
      <formula1>"Symmetric,Deviation,Limits,Band,Shift,Basic"</formula1>
    </dataValidation>
  </dataValidations>
  <pageMargins left="0.7" right="0.7" top="0.75" bottom="0.75" header="0.3" footer="0.3"/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ED7B-84D2-4865-92B2-EE36A8CAB620}">
  <dimension ref="B1:Q23"/>
  <sheetViews>
    <sheetView showGridLines="0" tabSelected="1" topLeftCell="A13" zoomScaleNormal="100" workbookViewId="0">
      <selection activeCell="C37" sqref="C37"/>
    </sheetView>
  </sheetViews>
  <sheetFormatPr defaultRowHeight="14.35" x14ac:dyDescent="0.5"/>
  <cols>
    <col min="1" max="1" width="4" customWidth="1"/>
    <col min="2" max="2" width="6.87890625" bestFit="1" customWidth="1"/>
    <col min="3" max="3" width="25.8203125" customWidth="1"/>
    <col min="4" max="4" width="18.05859375" customWidth="1"/>
    <col min="5" max="5" width="9.17578125" bestFit="1" customWidth="1"/>
    <col min="6" max="6" width="6.05859375" style="1" bestFit="1" customWidth="1"/>
    <col min="7" max="7" width="9.05859375" bestFit="1" customWidth="1"/>
    <col min="8" max="8" width="7.05859375" bestFit="1" customWidth="1"/>
    <col min="9" max="9" width="9.8203125" bestFit="1" customWidth="1"/>
    <col min="10" max="10" width="10.17578125" bestFit="1" customWidth="1"/>
    <col min="11" max="11" width="10.52734375" bestFit="1" customWidth="1"/>
    <col min="12" max="12" width="10.234375" bestFit="1" customWidth="1"/>
    <col min="13" max="13" width="8.8203125" bestFit="1" customWidth="1"/>
    <col min="14" max="14" width="7.5859375" bestFit="1" customWidth="1"/>
    <col min="15" max="15" width="10.52734375" bestFit="1" customWidth="1"/>
    <col min="16" max="16" width="7.76171875" bestFit="1" customWidth="1"/>
    <col min="17" max="17" width="44.3515625" customWidth="1"/>
  </cols>
  <sheetData>
    <row r="1" spans="2:17" ht="86" customHeight="1" x14ac:dyDescent="0.5"/>
    <row r="2" spans="2:17" x14ac:dyDescent="0.5">
      <c r="B2" s="8" t="s">
        <v>0</v>
      </c>
      <c r="C2" s="9" t="s">
        <v>1</v>
      </c>
      <c r="D2" s="9" t="s">
        <v>2</v>
      </c>
      <c r="E2" s="9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10" t="s">
        <v>8</v>
      </c>
      <c r="K2" s="10" t="s">
        <v>9</v>
      </c>
      <c r="L2" s="10" t="s">
        <v>10</v>
      </c>
      <c r="M2" s="11" t="s">
        <v>11</v>
      </c>
      <c r="N2" s="11" t="s">
        <v>12</v>
      </c>
      <c r="O2" s="11" t="s">
        <v>13</v>
      </c>
      <c r="P2" s="12" t="s">
        <v>14</v>
      </c>
      <c r="Q2" s="9" t="s">
        <v>15</v>
      </c>
    </row>
    <row r="3" spans="2:17" x14ac:dyDescent="0.5">
      <c r="B3" s="1">
        <v>1</v>
      </c>
      <c r="C3" t="s">
        <v>19</v>
      </c>
      <c r="D3" t="s">
        <v>20</v>
      </c>
      <c r="E3" t="s">
        <v>21</v>
      </c>
      <c r="F3" s="1">
        <v>-1</v>
      </c>
      <c r="G3" s="3">
        <v>0.75</v>
      </c>
      <c r="H3" s="3">
        <v>0.01</v>
      </c>
      <c r="I3" s="3">
        <v>-1.4999999999999999E-2</v>
      </c>
      <c r="J3" s="3">
        <f xml:space="preserve"> IF(Table14[[#This Row],[Type]]="Symmetric", Table14[[#This Row],[Nom]]-Table14[[#This Row],[T1]], IF(OR(Table14[[#This Row],[Type]]="Deviation",Table14[[#This Row],[Type]]="Hole"), Table14[[#This Row],[Nom]]+MIN(Table14[[#This Row],[T1]],Table14[[#This Row],[T2]]), IF(Table14[[#This Row],[Type]]="Limits", MIN(Table14[[#This Row],[T1]],Table14[[#This Row],[T2]]), IF(Table14[[#This Row],[Type]]="Band", Table14[[#This Row],[Nom]] - Table14[[#This Row],[T1]]/2,IF(Table14[[#This Row],[Type]]="Shift",-ABS(Table14[[#This Row],[T1]]-Table14[[#This Row],[T2]])/2,IF(Table14[[#This Row],[Type]]="Basic",Table14[[#This Row],[Nom]],""))))))</f>
        <v>0.73499999999999999</v>
      </c>
      <c r="K3" s="3">
        <f xml:space="preserve"> IFERROR((Table14[[#This Row],[Upper]] + Table14[[#This Row],[Lower]]) / 2, "")</f>
        <v>0.74750000000000005</v>
      </c>
      <c r="L3" s="3">
        <f xml:space="preserve"> IF(Table14[[#This Row],[Type]]="Symmetric", Table14[[#This Row],[Nom]]+Table14[[#This Row],[T1]], IF(OR(Table14[[#This Row],[Type]]="Deviation",Table14[[#This Row],[Type]]="Hole"), Table14[[#This Row],[Nom]]+MAX(Table14[[#This Row],[T1]],Table14[[#This Row],[T2]]), IF(Table14[[#This Row],[Type]]="Limits", MAX(Table14[[#This Row],[T1]],Table14[[#This Row],[T2]]), IF(Table14[[#This Row],[Type]]="Band",Table14[[#This Row],[Nom]] + Table14[[#This Row],[T1]]/2,IF(Table14[[#This Row],[Type]]="Shift",ABS(Table14[[#This Row],[T1]]-Table14[[#This Row],[T2]])/2,IF(Table14[[#This Row],[Type]]="Basic",Table14[[#This Row],[Nom]],""))))))</f>
        <v>0.76</v>
      </c>
      <c r="M3" s="2">
        <f xml:space="preserve"> IFERROR(Table14[[#This Row],[a]] * Table14[[#This Row],[Center]], "")</f>
        <v>-0.74750000000000005</v>
      </c>
      <c r="N3" s="2">
        <f xml:space="preserve"> IFERROR(ABS(Table14[[#This Row],[Upper]] - Table14[[#This Row],[Lower]]) / 2 * ABS(Table14[[#This Row],[a]]), "")</f>
        <v>1.2500000000000011E-2</v>
      </c>
      <c r="O3" s="4">
        <f xml:space="preserve"> IFERROR(Table14[[#This Row],[Tol]]^2, "")</f>
        <v>1.5625000000000027E-4</v>
      </c>
      <c r="P3" s="20">
        <f xml:space="preserve"> IFERROR(Table14[[#This Row],[Tol]] / Table14[[#Totals],[Tol]], "")</f>
        <v>0.10416666666666696</v>
      </c>
      <c r="Q3" s="19"/>
    </row>
    <row r="4" spans="2:17" x14ac:dyDescent="0.5">
      <c r="B4" s="1">
        <v>2</v>
      </c>
      <c r="C4" t="s">
        <v>22</v>
      </c>
      <c r="D4" t="s">
        <v>20</v>
      </c>
      <c r="E4" t="s">
        <v>23</v>
      </c>
      <c r="F4" s="1">
        <v>1</v>
      </c>
      <c r="G4" s="3">
        <v>3.25</v>
      </c>
      <c r="H4" s="3">
        <v>5.0000000000000001E-3</v>
      </c>
      <c r="I4" s="3"/>
      <c r="J4" s="3">
        <f xml:space="preserve"> IF(Table14[[#This Row],[Type]]="Symmetric", Table14[[#This Row],[Nom]]-Table14[[#This Row],[T1]], IF(OR(Table14[[#This Row],[Type]]="Deviation",Table14[[#This Row],[Type]]="Hole"), Table14[[#This Row],[Nom]]+MIN(Table14[[#This Row],[T1]],Table14[[#This Row],[T2]]), IF(Table14[[#This Row],[Type]]="Limits", MIN(Table14[[#This Row],[T1]],Table14[[#This Row],[T2]]), IF(Table14[[#This Row],[Type]]="Band", Table14[[#This Row],[Nom]] - Table14[[#This Row],[T1]]/2,IF(Table14[[#This Row],[Type]]="Shift",-ABS(Table14[[#This Row],[T1]]-Table14[[#This Row],[T2]])/2,IF(Table14[[#This Row],[Type]]="Basic",Table14[[#This Row],[Nom]],""))))))</f>
        <v>3.2475000000000001</v>
      </c>
      <c r="K4" s="3">
        <f xml:space="preserve"> IFERROR((Table14[[#This Row],[Upper]] + Table14[[#This Row],[Lower]]) / 2, "")</f>
        <v>3.25</v>
      </c>
      <c r="L4" s="3">
        <f xml:space="preserve"> IF(Table14[[#This Row],[Type]]="Symmetric", Table14[[#This Row],[Nom]]+Table14[[#This Row],[T1]], IF(OR(Table14[[#This Row],[Type]]="Deviation",Table14[[#This Row],[Type]]="Hole"), Table14[[#This Row],[Nom]]+MAX(Table14[[#This Row],[T1]],Table14[[#This Row],[T2]]), IF(Table14[[#This Row],[Type]]="Limits", MAX(Table14[[#This Row],[T1]],Table14[[#This Row],[T2]]), IF(Table14[[#This Row],[Type]]="Band",Table14[[#This Row],[Nom]] + Table14[[#This Row],[T1]]/2,IF(Table14[[#This Row],[Type]]="Shift",ABS(Table14[[#This Row],[T1]]-Table14[[#This Row],[T2]])/2,IF(Table14[[#This Row],[Type]]="Basic",Table14[[#This Row],[Nom]],""))))))</f>
        <v>3.2524999999999999</v>
      </c>
      <c r="M4" s="2">
        <f xml:space="preserve"> IFERROR(Table14[[#This Row],[a]] * Table14[[#This Row],[Center]], "")</f>
        <v>3.25</v>
      </c>
      <c r="N4" s="2">
        <f xml:space="preserve"> IFERROR(ABS(Table14[[#This Row],[Upper]] - Table14[[#This Row],[Lower]]) / 2 * ABS(Table14[[#This Row],[a]]), "")</f>
        <v>2.4999999999999467E-3</v>
      </c>
      <c r="O4" s="4">
        <f xml:space="preserve"> IFERROR(Table14[[#This Row],[Tol]]^2, "")</f>
        <v>6.2499999999997335E-6</v>
      </c>
      <c r="P4" s="20">
        <f xml:space="preserve"> IFERROR(Table14[[#This Row],[Tol]] / Table14[[#Totals],[Tol]], "")</f>
        <v>2.083333333333293E-2</v>
      </c>
      <c r="Q4" s="19" t="s">
        <v>24</v>
      </c>
    </row>
    <row r="5" spans="2:17" x14ac:dyDescent="0.5">
      <c r="B5" s="1">
        <v>3</v>
      </c>
      <c r="C5" t="s">
        <v>25</v>
      </c>
      <c r="D5" t="s">
        <v>26</v>
      </c>
      <c r="E5" t="s">
        <v>11</v>
      </c>
      <c r="F5" s="1">
        <v>1</v>
      </c>
      <c r="G5" s="3"/>
      <c r="H5" s="3">
        <v>0.61499999999999999</v>
      </c>
      <c r="I5" s="3">
        <v>0.76</v>
      </c>
      <c r="J5" s="3">
        <f xml:space="preserve"> IF(Table14[[#This Row],[Type]]="Symmetric", Table14[[#This Row],[Nom]]-Table14[[#This Row],[T1]], IF(OR(Table14[[#This Row],[Type]]="Deviation",Table14[[#This Row],[Type]]="Hole"), Table14[[#This Row],[Nom]]+MIN(Table14[[#This Row],[T1]],Table14[[#This Row],[T2]]), IF(Table14[[#This Row],[Type]]="Limits", MIN(Table14[[#This Row],[T1]],Table14[[#This Row],[T2]]), IF(Table14[[#This Row],[Type]]="Band", Table14[[#This Row],[Nom]] - Table14[[#This Row],[T1]]/2,IF(Table14[[#This Row],[Type]]="Shift",-ABS(Table14[[#This Row],[T1]]-Table14[[#This Row],[T2]])/2,IF(Table14[[#This Row],[Type]]="Basic",Table14[[#This Row],[Nom]],""))))))</f>
        <v>-7.2500000000000009E-2</v>
      </c>
      <c r="K5" s="3">
        <f xml:space="preserve"> IFERROR((Table14[[#This Row],[Upper]] + Table14[[#This Row],[Lower]]) / 2, "")</f>
        <v>0</v>
      </c>
      <c r="L5" s="3">
        <f xml:space="preserve"> IF(Table14[[#This Row],[Type]]="Symmetric", Table14[[#This Row],[Nom]]+Table14[[#This Row],[T1]], IF(OR(Table14[[#This Row],[Type]]="Deviation",Table14[[#This Row],[Type]]="Hole"), Table14[[#This Row],[Nom]]+MAX(Table14[[#This Row],[T1]],Table14[[#This Row],[T2]]), IF(Table14[[#This Row],[Type]]="Limits", MAX(Table14[[#This Row],[T1]],Table14[[#This Row],[T2]]), IF(Table14[[#This Row],[Type]]="Band",Table14[[#This Row],[Nom]] + Table14[[#This Row],[T1]]/2,IF(Table14[[#This Row],[Type]]="Shift",ABS(Table14[[#This Row],[T1]]-Table14[[#This Row],[T2]])/2,IF(Table14[[#This Row],[Type]]="Basic",Table14[[#This Row],[Nom]],""))))))</f>
        <v>7.2500000000000009E-2</v>
      </c>
      <c r="M5" s="2">
        <f xml:space="preserve"> IFERROR(Table14[[#This Row],[a]] * Table14[[#This Row],[Center]], "")</f>
        <v>0</v>
      </c>
      <c r="N5" s="2">
        <f xml:space="preserve"> IFERROR(ABS(Table14[[#This Row],[Upper]] - Table14[[#This Row],[Lower]]) / 2 * ABS(Table14[[#This Row],[a]]), "")</f>
        <v>7.2500000000000009E-2</v>
      </c>
      <c r="O5" s="4">
        <f xml:space="preserve"> IFERROR(Table14[[#This Row],[Tol]]^2, "")</f>
        <v>5.2562500000000014E-3</v>
      </c>
      <c r="P5" s="20">
        <f xml:space="preserve"> IFERROR(Table14[[#This Row],[Tol]] / Table14[[#Totals],[Tol]], "")</f>
        <v>0.60416666666666785</v>
      </c>
      <c r="Q5" s="19" t="s">
        <v>27</v>
      </c>
    </row>
    <row r="6" spans="2:17" x14ac:dyDescent="0.5">
      <c r="B6" s="1">
        <v>4</v>
      </c>
      <c r="C6" t="s">
        <v>28</v>
      </c>
      <c r="D6" t="s">
        <v>29</v>
      </c>
      <c r="E6" t="s">
        <v>30</v>
      </c>
      <c r="F6" s="1">
        <v>-1</v>
      </c>
      <c r="G6" s="3">
        <v>1.75</v>
      </c>
      <c r="H6" s="3">
        <v>1.4999999999999999E-2</v>
      </c>
      <c r="I6" s="3"/>
      <c r="J6" s="3">
        <f xml:space="preserve"> IF(Table14[[#This Row],[Type]]="Symmetric", Table14[[#This Row],[Nom]]-Table14[[#This Row],[T1]], IF(OR(Table14[[#This Row],[Type]]="Deviation",Table14[[#This Row],[Type]]="Hole"), Table14[[#This Row],[Nom]]+MIN(Table14[[#This Row],[T1]],Table14[[#This Row],[T2]]), IF(Table14[[#This Row],[Type]]="Limits", MIN(Table14[[#This Row],[T1]],Table14[[#This Row],[T2]]), IF(Table14[[#This Row],[Type]]="Band", Table14[[#This Row],[Nom]] - Table14[[#This Row],[T1]]/2,IF(Table14[[#This Row],[Type]]="Shift",-ABS(Table14[[#This Row],[T1]]-Table14[[#This Row],[T2]])/2,IF(Table14[[#This Row],[Type]]="Basic",Table14[[#This Row],[Nom]],""))))))</f>
        <v>1.7350000000000001</v>
      </c>
      <c r="K6" s="3">
        <f xml:space="preserve"> IFERROR((Table14[[#This Row],[Upper]] + Table14[[#This Row],[Lower]]) / 2, "")</f>
        <v>1.75</v>
      </c>
      <c r="L6" s="3">
        <f xml:space="preserve"> IF(Table14[[#This Row],[Type]]="Symmetric", Table14[[#This Row],[Nom]]+Table14[[#This Row],[T1]], IF(OR(Table14[[#This Row],[Type]]="Deviation",Table14[[#This Row],[Type]]="Hole"), Table14[[#This Row],[Nom]]+MAX(Table14[[#This Row],[T1]],Table14[[#This Row],[T2]]), IF(Table14[[#This Row],[Type]]="Limits", MAX(Table14[[#This Row],[T1]],Table14[[#This Row],[T2]]), IF(Table14[[#This Row],[Type]]="Band",Table14[[#This Row],[Nom]] + Table14[[#This Row],[T1]]/2,IF(Table14[[#This Row],[Type]]="Shift",ABS(Table14[[#This Row],[T1]]-Table14[[#This Row],[T2]])/2,IF(Table14[[#This Row],[Type]]="Basic",Table14[[#This Row],[Nom]],""))))))</f>
        <v>1.7649999999999999</v>
      </c>
      <c r="M6" s="2">
        <f xml:space="preserve"> IFERROR(Table14[[#This Row],[a]] * Table14[[#This Row],[Center]], "")</f>
        <v>-1.75</v>
      </c>
      <c r="N6" s="2">
        <f xml:space="preserve"> IFERROR(ABS(Table14[[#This Row],[Upper]] - Table14[[#This Row],[Lower]]) / 2 * ABS(Table14[[#This Row],[a]]), "")</f>
        <v>1.4999999999999902E-2</v>
      </c>
      <c r="O6" s="4">
        <f xml:space="preserve"> IFERROR(Table14[[#This Row],[Tol]]^2, "")</f>
        <v>2.2499999999999707E-4</v>
      </c>
      <c r="P6" s="20">
        <f xml:space="preserve"> IFERROR(Table14[[#This Row],[Tol]] / Table14[[#Totals],[Tol]], "")</f>
        <v>0.12499999999999942</v>
      </c>
      <c r="Q6" s="19"/>
    </row>
    <row r="7" spans="2:17" x14ac:dyDescent="0.5">
      <c r="B7" s="1">
        <v>5</v>
      </c>
      <c r="C7" t="s">
        <v>31</v>
      </c>
      <c r="D7" t="s">
        <v>29</v>
      </c>
      <c r="E7" t="s">
        <v>30</v>
      </c>
      <c r="F7" s="1">
        <v>1</v>
      </c>
      <c r="G7" s="3">
        <v>0.75</v>
      </c>
      <c r="H7" s="3">
        <v>5.0000000000000001E-3</v>
      </c>
      <c r="I7" s="3"/>
      <c r="J7" s="3">
        <f xml:space="preserve"> IF(Table14[[#This Row],[Type]]="Symmetric", Table14[[#This Row],[Nom]]-Table14[[#This Row],[T1]], IF(OR(Table14[[#This Row],[Type]]="Deviation",Table14[[#This Row],[Type]]="Hole"), Table14[[#This Row],[Nom]]+MIN(Table14[[#This Row],[T1]],Table14[[#This Row],[T2]]), IF(Table14[[#This Row],[Type]]="Limits", MIN(Table14[[#This Row],[T1]],Table14[[#This Row],[T2]]), IF(Table14[[#This Row],[Type]]="Band", Table14[[#This Row],[Nom]] - Table14[[#This Row],[T1]]/2,IF(Table14[[#This Row],[Type]]="Shift",-ABS(Table14[[#This Row],[T1]]-Table14[[#This Row],[T2]])/2,IF(Table14[[#This Row],[Type]]="Basic",Table14[[#This Row],[Nom]],""))))))</f>
        <v>0.745</v>
      </c>
      <c r="K7" s="3">
        <f xml:space="preserve"> IFERROR((Table14[[#This Row],[Upper]] + Table14[[#This Row],[Lower]]) / 2, "")</f>
        <v>0.75</v>
      </c>
      <c r="L7" s="3">
        <f xml:space="preserve"> IF(Table14[[#This Row],[Type]]="Symmetric", Table14[[#This Row],[Nom]]+Table14[[#This Row],[T1]], IF(OR(Table14[[#This Row],[Type]]="Deviation",Table14[[#This Row],[Type]]="Hole"), Table14[[#This Row],[Nom]]+MAX(Table14[[#This Row],[T1]],Table14[[#This Row],[T2]]), IF(Table14[[#This Row],[Type]]="Limits", MAX(Table14[[#This Row],[T1]],Table14[[#This Row],[T2]]), IF(Table14[[#This Row],[Type]]="Band",Table14[[#This Row],[Nom]] + Table14[[#This Row],[T1]]/2,IF(Table14[[#This Row],[Type]]="Shift",ABS(Table14[[#This Row],[T1]]-Table14[[#This Row],[T2]])/2,IF(Table14[[#This Row],[Type]]="Basic",Table14[[#This Row],[Nom]],""))))))</f>
        <v>0.755</v>
      </c>
      <c r="M7" s="2">
        <f xml:space="preserve"> IFERROR(Table14[[#This Row],[a]] * Table14[[#This Row],[Center]], "")</f>
        <v>0.75</v>
      </c>
      <c r="N7" s="2">
        <f xml:space="preserve"> IFERROR(ABS(Table14[[#This Row],[Upper]] - Table14[[#This Row],[Lower]]) / 2 * ABS(Table14[[#This Row],[a]]), "")</f>
        <v>5.0000000000000044E-3</v>
      </c>
      <c r="O7" s="4">
        <f xml:space="preserve"> IFERROR(Table14[[#This Row],[Tol]]^2, "")</f>
        <v>2.5000000000000045E-5</v>
      </c>
      <c r="P7" s="20">
        <f xml:space="preserve"> IFERROR(Table14[[#This Row],[Tol]] / Table14[[#Totals],[Tol]], "")</f>
        <v>4.1666666666666782E-2</v>
      </c>
      <c r="Q7" s="19"/>
    </row>
    <row r="8" spans="2:17" x14ac:dyDescent="0.5">
      <c r="B8" s="1">
        <v>6</v>
      </c>
      <c r="C8" t="s">
        <v>32</v>
      </c>
      <c r="D8" t="s">
        <v>33</v>
      </c>
      <c r="E8" t="s">
        <v>34</v>
      </c>
      <c r="F8" s="1">
        <v>1</v>
      </c>
      <c r="G8" s="3"/>
      <c r="H8" s="3">
        <v>0.12</v>
      </c>
      <c r="I8" s="3">
        <v>0.13500000000000001</v>
      </c>
      <c r="J8" s="3">
        <f xml:space="preserve"> IF(Table14[[#This Row],[Type]]="Symmetric", Table14[[#This Row],[Nom]]-Table14[[#This Row],[T1]], IF(OR(Table14[[#This Row],[Type]]="Deviation",Table14[[#This Row],[Type]]="Hole"), Table14[[#This Row],[Nom]]+MIN(Table14[[#This Row],[T1]],Table14[[#This Row],[T2]]), IF(Table14[[#This Row],[Type]]="Limits", MIN(Table14[[#This Row],[T1]],Table14[[#This Row],[T2]]), IF(Table14[[#This Row],[Type]]="Band", Table14[[#This Row],[Nom]] - Table14[[#This Row],[T1]]/2,IF(Table14[[#This Row],[Type]]="Shift",-ABS(Table14[[#This Row],[T1]]-Table14[[#This Row],[T2]])/2,IF(Table14[[#This Row],[Type]]="Basic",Table14[[#This Row],[Nom]],""))))))</f>
        <v>0.12</v>
      </c>
      <c r="K8" s="3">
        <f xml:space="preserve"> IFERROR((Table14[[#This Row],[Upper]] + Table14[[#This Row],[Lower]]) / 2, "")</f>
        <v>0.1275</v>
      </c>
      <c r="L8" s="3">
        <f xml:space="preserve"> IF(Table14[[#This Row],[Type]]="Symmetric", Table14[[#This Row],[Nom]]+Table14[[#This Row],[T1]], IF(OR(Table14[[#This Row],[Type]]="Deviation",Table14[[#This Row],[Type]]="Hole"), Table14[[#This Row],[Nom]]+MAX(Table14[[#This Row],[T1]],Table14[[#This Row],[T2]]), IF(Table14[[#This Row],[Type]]="Limits", MAX(Table14[[#This Row],[T1]],Table14[[#This Row],[T2]]), IF(Table14[[#This Row],[Type]]="Band",Table14[[#This Row],[Nom]] + Table14[[#This Row],[T1]]/2,IF(Table14[[#This Row],[Type]]="Shift",ABS(Table14[[#This Row],[T1]]-Table14[[#This Row],[T2]])/2,IF(Table14[[#This Row],[Type]]="Basic",Table14[[#This Row],[Nom]],""))))))</f>
        <v>0.13500000000000001</v>
      </c>
      <c r="M8" s="2">
        <f xml:space="preserve"> IFERROR(Table14[[#This Row],[a]] * Table14[[#This Row],[Center]], "")</f>
        <v>0.1275</v>
      </c>
      <c r="N8" s="2">
        <f xml:space="preserve"> IFERROR(ABS(Table14[[#This Row],[Upper]] - Table14[[#This Row],[Lower]]) / 2 * ABS(Table14[[#This Row],[a]]), "")</f>
        <v>7.5000000000000067E-3</v>
      </c>
      <c r="O8" s="4">
        <f xml:space="preserve"> IFERROR(Table14[[#This Row],[Tol]]^2, "")</f>
        <v>5.62500000000001E-5</v>
      </c>
      <c r="P8" s="20">
        <f xml:space="preserve"> IFERROR(Table14[[#This Row],[Tol]] / Table14[[#Totals],[Tol]], "")</f>
        <v>6.250000000000018E-2</v>
      </c>
      <c r="Q8" s="19"/>
    </row>
    <row r="9" spans="2:17" x14ac:dyDescent="0.5">
      <c r="B9" s="1">
        <v>7</v>
      </c>
      <c r="C9" t="s">
        <v>35</v>
      </c>
      <c r="D9" t="s">
        <v>36</v>
      </c>
      <c r="E9" t="s">
        <v>30</v>
      </c>
      <c r="F9" s="1">
        <v>-1</v>
      </c>
      <c r="G9" s="3">
        <v>1.25</v>
      </c>
      <c r="H9" s="3">
        <v>5.0000000000000001E-3</v>
      </c>
      <c r="I9" s="3"/>
      <c r="J9" s="3">
        <f xml:space="preserve"> IF(Table14[[#This Row],[Type]]="Symmetric", Table14[[#This Row],[Nom]]-Table14[[#This Row],[T1]], IF(OR(Table14[[#This Row],[Type]]="Deviation",Table14[[#This Row],[Type]]="Hole"), Table14[[#This Row],[Nom]]+MIN(Table14[[#This Row],[T1]],Table14[[#This Row],[T2]]), IF(Table14[[#This Row],[Type]]="Limits", MIN(Table14[[#This Row],[T1]],Table14[[#This Row],[T2]]), IF(Table14[[#This Row],[Type]]="Band", Table14[[#This Row],[Nom]] - Table14[[#This Row],[T1]]/2,IF(Table14[[#This Row],[Type]]="Shift",-ABS(Table14[[#This Row],[T1]]-Table14[[#This Row],[T2]])/2,IF(Table14[[#This Row],[Type]]="Basic",Table14[[#This Row],[Nom]],""))))))</f>
        <v>1.2450000000000001</v>
      </c>
      <c r="K9" s="3">
        <f xml:space="preserve"> IFERROR((Table14[[#This Row],[Upper]] + Table14[[#This Row],[Lower]]) / 2, "")</f>
        <v>1.25</v>
      </c>
      <c r="L9" s="3">
        <f xml:space="preserve"> IF(Table14[[#This Row],[Type]]="Symmetric", Table14[[#This Row],[Nom]]+Table14[[#This Row],[T1]], IF(OR(Table14[[#This Row],[Type]]="Deviation",Table14[[#This Row],[Type]]="Hole"), Table14[[#This Row],[Nom]]+MAX(Table14[[#This Row],[T1]],Table14[[#This Row],[T2]]), IF(Table14[[#This Row],[Type]]="Limits", MAX(Table14[[#This Row],[T1]],Table14[[#This Row],[T2]]), IF(Table14[[#This Row],[Type]]="Band",Table14[[#This Row],[Nom]] + Table14[[#This Row],[T1]]/2,IF(Table14[[#This Row],[Type]]="Shift",ABS(Table14[[#This Row],[T1]]-Table14[[#This Row],[T2]])/2,IF(Table14[[#This Row],[Type]]="Basic",Table14[[#This Row],[Nom]],""))))))</f>
        <v>1.2549999999999999</v>
      </c>
      <c r="M9" s="2">
        <f xml:space="preserve"> IFERROR(Table14[[#This Row],[a]] * Table14[[#This Row],[Center]], "")</f>
        <v>-1.25</v>
      </c>
      <c r="N9" s="2">
        <f xml:space="preserve"> IFERROR(ABS(Table14[[#This Row],[Upper]] - Table14[[#This Row],[Lower]]) / 2 * ABS(Table14[[#This Row],[a]]), "")</f>
        <v>4.9999999999998934E-3</v>
      </c>
      <c r="O9" s="4">
        <f xml:space="preserve"> IFERROR(Table14[[#This Row],[Tol]]^2, "")</f>
        <v>2.4999999999998934E-5</v>
      </c>
      <c r="P9" s="20">
        <f xml:space="preserve"> IFERROR(Table14[[#This Row],[Tol]] / Table14[[#Totals],[Tol]], "")</f>
        <v>4.1666666666665859E-2</v>
      </c>
      <c r="Q9" s="19"/>
    </row>
    <row r="10" spans="2:17" x14ac:dyDescent="0.5">
      <c r="B10" s="1"/>
      <c r="G10" s="1"/>
      <c r="H10" s="1"/>
      <c r="I10" s="1"/>
      <c r="J10" s="1"/>
      <c r="K10" s="1"/>
      <c r="L10" s="1"/>
      <c r="M10" s="2">
        <f>SUBTOTAL(109,Table14[Shift])</f>
        <v>0.37999999999999989</v>
      </c>
      <c r="N10" s="2">
        <f>SUBTOTAL(109,Table14[Tol])</f>
        <v>0.11999999999999977</v>
      </c>
      <c r="O10" s="4">
        <f>SUBTOTAL(109,Table14[Tol^2])</f>
        <v>5.7499999999999973E-3</v>
      </c>
      <c r="P10" s="13">
        <f>SUBTOTAL(109,Table14[%])</f>
        <v>1</v>
      </c>
    </row>
    <row r="12" spans="2:17" x14ac:dyDescent="0.5">
      <c r="B12" s="18" t="s">
        <v>37</v>
      </c>
    </row>
    <row r="13" spans="2:17" x14ac:dyDescent="0.5">
      <c r="J13" s="6" t="s">
        <v>8</v>
      </c>
      <c r="K13" s="6" t="s">
        <v>9</v>
      </c>
      <c r="L13" s="6" t="s">
        <v>10</v>
      </c>
    </row>
    <row r="14" spans="2:17" x14ac:dyDescent="0.5">
      <c r="I14" s="7" t="s">
        <v>16</v>
      </c>
      <c r="J14" s="5">
        <f xml:space="preserve"> Table14[[#Totals],[Shift]] - Table14[[#Totals],[Tol]]</f>
        <v>0.26000000000000012</v>
      </c>
      <c r="K14" s="21">
        <f>Table14[[#Totals],[Shift]]</f>
        <v>0.37999999999999989</v>
      </c>
      <c r="L14" s="5">
        <f xml:space="preserve"> Table14[[#Totals],[Shift]] + Table14[[#Totals],[Tol]]</f>
        <v>0.49999999999999967</v>
      </c>
    </row>
    <row r="15" spans="2:17" x14ac:dyDescent="0.5">
      <c r="I15" s="7" t="s">
        <v>17</v>
      </c>
      <c r="J15" s="5">
        <f xml:space="preserve"> Table14[[#Totals],[Shift]] - SQRT(Table14[[#Totals],[Tol^2]])</f>
        <v>0.30417124555948438</v>
      </c>
      <c r="K15" s="21"/>
      <c r="L15" s="5">
        <f xml:space="preserve"> Table14[[#Totals],[Shift]] + SQRT(Table14[[#Totals],[Tol^2]])</f>
        <v>0.4558287544405154</v>
      </c>
      <c r="M15" s="14"/>
    </row>
    <row r="16" spans="2:17" x14ac:dyDescent="0.5">
      <c r="I16" s="7" t="s">
        <v>18</v>
      </c>
      <c r="J16" s="5">
        <f xml:space="preserve"> Table14[[#Totals],[Shift]] - 1.5 * SQRT(Table14[[#Totals],[Tol^2]])</f>
        <v>0.26625686833922668</v>
      </c>
      <c r="K16" s="21"/>
      <c r="L16" s="5">
        <f xml:space="preserve"> Table14[[#Totals],[Shift]] + 1.5 * SQRT(Table14[[#Totals],[Tol^2]])</f>
        <v>0.4937431316607731</v>
      </c>
    </row>
    <row r="18" spans="9:11" x14ac:dyDescent="0.5">
      <c r="I18" s="14"/>
      <c r="J18" s="16"/>
      <c r="K18" s="16"/>
    </row>
    <row r="19" spans="9:11" x14ac:dyDescent="0.5">
      <c r="J19" s="15"/>
      <c r="K19" s="17"/>
    </row>
    <row r="20" spans="9:11" x14ac:dyDescent="0.5">
      <c r="J20" s="15"/>
      <c r="K20" s="17"/>
    </row>
    <row r="21" spans="9:11" x14ac:dyDescent="0.5">
      <c r="J21" s="15"/>
      <c r="K21" s="17"/>
    </row>
    <row r="22" spans="9:11" x14ac:dyDescent="0.5">
      <c r="J22" s="15"/>
      <c r="K22" s="17"/>
    </row>
    <row r="23" spans="9:11" x14ac:dyDescent="0.5">
      <c r="J23" s="15"/>
      <c r="K23" s="17"/>
    </row>
  </sheetData>
  <mergeCells count="1">
    <mergeCell ref="K14:K16"/>
  </mergeCells>
  <conditionalFormatting sqref="J14:L14 J15:J16 L15:L16">
    <cfRule type="cellIs" dxfId="31" priority="7" operator="lessThan">
      <formula>0</formula>
    </cfRule>
  </conditionalFormatting>
  <conditionalFormatting sqref="I3:I9">
    <cfRule type="expression" dxfId="30" priority="3">
      <formula>OR(E3="Deviation", E3="Limits", E3="Shift")</formula>
    </cfRule>
    <cfRule type="expression" dxfId="29" priority="6">
      <formula>OR(E3="Symmetric",E3="Band", E3="Basic")</formula>
    </cfRule>
  </conditionalFormatting>
  <conditionalFormatting sqref="H3:H9">
    <cfRule type="expression" dxfId="28" priority="1">
      <formula>OR(E3="Basic")</formula>
    </cfRule>
    <cfRule type="expression" dxfId="27" priority="4">
      <formula>OR(E3="Symmetric", E3="Deviation", E3="Band", E3="Limits", E3="Shift")</formula>
    </cfRule>
  </conditionalFormatting>
  <conditionalFormatting sqref="G3:G9">
    <cfRule type="expression" dxfId="26" priority="2">
      <formula>OR(E3="Symmetric", E3="Deviation", E3="Band", E3="Basic")</formula>
    </cfRule>
    <cfRule type="expression" dxfId="25" priority="5">
      <formula>OR(E3="Limits", E3="Shift")</formula>
    </cfRule>
  </conditionalFormatting>
  <dataValidations count="1">
    <dataValidation type="list" allowBlank="1" showInputMessage="1" showErrorMessage="1" sqref="E3:E9" xr:uid="{6A3C150C-AA02-4BC8-BD20-F8B75BBF87F1}">
      <formula1>"Symmetric,Deviation,Limits,Band,Shift,Basic"</formula1>
    </dataValidation>
  </dataValidations>
  <hyperlinks>
    <hyperlink ref="B12" r:id="rId1" xr:uid="{FE3FA86E-FCA0-421A-A26B-10FDF9D60946}"/>
  </hyperlinks>
  <pageMargins left="0.7" right="0.7" top="0.75" bottom="0.75" header="0.3" footer="0.3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662C7-E07B-4BDC-B228-EEBDA0FC4D64}">
  <dimension ref="A1:A2"/>
  <sheetViews>
    <sheetView showGridLines="0" workbookViewId="0">
      <selection activeCell="D10" sqref="D10"/>
    </sheetView>
  </sheetViews>
  <sheetFormatPr defaultRowHeight="14.35" x14ac:dyDescent="0.5"/>
  <sheetData>
    <row r="1" spans="1:1" x14ac:dyDescent="0.5">
      <c r="A1" t="s">
        <v>38</v>
      </c>
    </row>
    <row r="2" spans="1:1" x14ac:dyDescent="0.5">
      <c r="A2" s="18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EXAMPLE</vt:lpstr>
      <vt:lpstr>ABOUT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Petty</dc:creator>
  <cp:keywords/>
  <dc:description/>
  <cp:lastModifiedBy>Christian Petty</cp:lastModifiedBy>
  <cp:revision/>
  <dcterms:created xsi:type="dcterms:W3CDTF">2022-05-13T16:55:21Z</dcterms:created>
  <dcterms:modified xsi:type="dcterms:W3CDTF">2022-07-01T00:38:21Z</dcterms:modified>
  <cp:category/>
  <cp:contentStatus/>
</cp:coreProperties>
</file>