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9669c\Desktop\calavaro1\"/>
    </mc:Choice>
  </mc:AlternateContent>
  <xr:revisionPtr revIDLastSave="0" documentId="13_ncr:1_{4AA1AC98-299F-4B03-9A23-B3821FC9C692}" xr6:coauthVersionLast="46" xr6:coauthVersionMax="46" xr10:uidLastSave="{00000000-0000-0000-0000-000000000000}"/>
  <bookViews>
    <workbookView xWindow="-108" yWindow="-108" windowWidth="23256" windowHeight="12576" xr2:uid="{00000000-000D-0000-FFFF-FFFF00000000}"/>
  </bookViews>
  <sheets>
    <sheet name="sizing" sheetId="10" r:id="rId1"/>
    <sheet name="x86 TCO" sheetId="11" r:id="rId2"/>
    <sheet name="LinuxONE TCO" sheetId="14" r:id="rId3"/>
    <sheet name="TCO comparison" sheetId="1" r:id="rId4"/>
    <sheet name="Result" sheetId="15"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 i="10" l="1"/>
  <c r="J5" i="10" s="1"/>
  <c r="D23" i="11"/>
  <c r="P9" i="1" l="1"/>
  <c r="E37" i="11"/>
  <c r="E47" i="11" s="1"/>
  <c r="E57" i="11" s="1"/>
  <c r="E67" i="11" s="1"/>
  <c r="D29" i="11" l="1"/>
  <c r="D34" i="11"/>
  <c r="D33" i="11"/>
  <c r="D31" i="11"/>
  <c r="D30" i="11"/>
  <c r="D7" i="11"/>
  <c r="D8" i="11"/>
  <c r="D9" i="11"/>
  <c r="D6"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I4" i="10"/>
  <c r="E20" i="11" s="1"/>
  <c r="K104" i="14"/>
  <c r="K105" i="14" s="1"/>
  <c r="J4" i="10" l="1"/>
  <c r="D13" i="14"/>
  <c r="D11" i="14"/>
  <c r="D22" i="11"/>
  <c r="D20" i="11"/>
  <c r="G16" i="11"/>
  <c r="G15" i="11"/>
  <c r="B20" i="1"/>
  <c r="A16" i="1"/>
  <c r="B21" i="1"/>
  <c r="A17" i="1"/>
  <c r="D30" i="14"/>
  <c r="D29" i="14"/>
  <c r="D33" i="14"/>
  <c r="C33" i="14"/>
  <c r="D12" i="14" l="1"/>
  <c r="D21" i="1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6" i="14"/>
  <c r="D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D100"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61" i="11"/>
  <c r="W39" i="11"/>
  <c r="W41" i="11"/>
  <c r="W69" i="11"/>
  <c r="W63" i="11"/>
  <c r="U77" i="11"/>
  <c r="W49" i="11"/>
  <c r="W53" i="11"/>
  <c r="W74" i="11"/>
  <c r="W54" i="11"/>
  <c r="W59" i="11"/>
  <c r="W60" i="11"/>
  <c r="W64" i="11"/>
  <c r="V77" i="11"/>
  <c r="W71" i="11"/>
  <c r="S77" i="11"/>
  <c r="T77" i="11"/>
  <c r="W51"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Z71" i="14"/>
  <c r="X71" i="14"/>
  <c r="AA71" i="14"/>
  <c r="AB69" i="14"/>
  <c r="AB70" i="14"/>
  <c r="R71" i="14"/>
  <c r="Y71" i="14"/>
  <c r="AB71" i="14" l="1"/>
  <c r="P6" i="1" l="1"/>
  <c r="G14" i="11"/>
  <c r="G13" i="11"/>
  <c r="G12" i="11"/>
  <c r="G11" i="11" l="1"/>
  <c r="W34" i="11" l="1"/>
  <c r="W33" i="11"/>
  <c r="W31" i="11"/>
  <c r="W30" i="11"/>
  <c r="W29" i="11"/>
  <c r="V24" i="11"/>
  <c r="V124" i="11" s="1"/>
  <c r="U24" i="11"/>
  <c r="U124" i="11" s="1"/>
  <c r="T24" i="11"/>
  <c r="T124" i="11" s="1"/>
  <c r="S24" i="11"/>
  <c r="S124" i="11" s="1"/>
  <c r="G10" i="11"/>
  <c r="I5" i="10" l="1"/>
  <c r="K5" i="10"/>
  <c r="M5" i="10"/>
  <c r="C19" i="11"/>
  <c r="Q20" i="11" s="1"/>
  <c r="L38" i="11" s="1"/>
  <c r="L39" i="11" s="1"/>
  <c r="L40" i="11" s="1"/>
  <c r="K4" i="10"/>
  <c r="E21" i="11" s="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F2" i="10" l="1"/>
  <c r="Q21" i="11"/>
  <c r="L48" i="11" s="1"/>
  <c r="L49" i="11" s="1"/>
  <c r="L50" i="11" s="1"/>
  <c r="L51" i="11" s="1"/>
  <c r="C10" i="14"/>
  <c r="F5" i="10"/>
  <c r="P5" i="10" s="1"/>
  <c r="L41" i="11"/>
  <c r="O40" i="11"/>
  <c r="Q40" i="11" s="1"/>
  <c r="K20" i="11"/>
  <c r="P20" i="11" s="1"/>
  <c r="K38" i="11" s="1"/>
  <c r="F21" i="11"/>
  <c r="F22" i="11"/>
  <c r="F23" i="11"/>
  <c r="F19" i="11"/>
  <c r="F20" i="11"/>
  <c r="F4" i="10" l="1"/>
  <c r="O4" i="10" s="1"/>
  <c r="E23" i="11" s="1"/>
  <c r="E13" i="14"/>
  <c r="G13" i="14"/>
  <c r="H13" i="14" s="1"/>
  <c r="H14" i="14" s="1"/>
  <c r="H15" i="14" s="1"/>
  <c r="E10" i="14"/>
  <c r="F10" i="14" s="1"/>
  <c r="O50" i="11"/>
  <c r="Q50" i="11" s="1"/>
  <c r="AA50" i="11" s="1"/>
  <c r="E11" i="14"/>
  <c r="E12" i="14"/>
  <c r="K21" i="11"/>
  <c r="P21" i="11" s="1"/>
  <c r="K48" i="11" s="1"/>
  <c r="K49" i="11" s="1"/>
  <c r="L42" i="11"/>
  <c r="L52" i="11"/>
  <c r="O38" i="11"/>
  <c r="Q38" i="11" s="1"/>
  <c r="W38" i="11" s="1"/>
  <c r="K39" i="11"/>
  <c r="G21" i="11"/>
  <c r="O21" i="11" s="1"/>
  <c r="G20" i="11"/>
  <c r="O20" i="11" s="1"/>
  <c r="R40" i="11"/>
  <c r="Z40" i="11"/>
  <c r="Y40" i="11"/>
  <c r="AA40" i="11"/>
  <c r="X40" i="11"/>
  <c r="Y20" i="11" l="1"/>
  <c r="W20" i="11"/>
  <c r="X20" i="11"/>
  <c r="X21" i="11"/>
  <c r="Y21" i="11"/>
  <c r="W21" i="11"/>
  <c r="T4" i="10"/>
  <c r="R4" i="10"/>
  <c r="V4" i="10" s="1"/>
  <c r="E19" i="11"/>
  <c r="Q19" i="11" s="1"/>
  <c r="L28" i="11" s="1"/>
  <c r="L29" i="11" s="1"/>
  <c r="L30" i="11" s="1"/>
  <c r="L31" i="11" s="1"/>
  <c r="L32" i="11" s="1"/>
  <c r="Q23" i="11"/>
  <c r="L68" i="11" s="1"/>
  <c r="L69" i="11" s="1"/>
  <c r="L70" i="11" s="1"/>
  <c r="L71" i="11" s="1"/>
  <c r="L72" i="11" s="1"/>
  <c r="Q22" i="11"/>
  <c r="L58" i="11" s="1"/>
  <c r="L59" i="11" s="1"/>
  <c r="L60" i="11" s="1"/>
  <c r="L61" i="11" s="1"/>
  <c r="L62" i="11" s="1"/>
  <c r="L63" i="11" s="1"/>
  <c r="L64" i="11" s="1"/>
  <c r="G22" i="11"/>
  <c r="O22" i="11" s="1"/>
  <c r="K22" i="11"/>
  <c r="P22" i="11" s="1"/>
  <c r="K58" i="11" s="1"/>
  <c r="O58" i="11" s="1"/>
  <c r="Q58" i="11" s="1"/>
  <c r="R58" i="11" s="1"/>
  <c r="J48" i="11"/>
  <c r="J49" i="11" s="1"/>
  <c r="J50" i="11" s="1"/>
  <c r="J51" i="11" s="1"/>
  <c r="J38" i="11"/>
  <c r="J39" i="11" s="1"/>
  <c r="J40" i="11" s="1"/>
  <c r="J41" i="11" s="1"/>
  <c r="Q13" i="14"/>
  <c r="L54" i="14" s="1"/>
  <c r="L55" i="14" s="1"/>
  <c r="L56" i="14" s="1"/>
  <c r="O56" i="14" s="1"/>
  <c r="Q56" i="14" s="1"/>
  <c r="G12" i="14"/>
  <c r="F12" i="14" s="1"/>
  <c r="Q12" i="14" s="1"/>
  <c r="F11" i="14"/>
  <c r="G11" i="14" s="1"/>
  <c r="Q11" i="14" s="1"/>
  <c r="X50" i="11"/>
  <c r="E15" i="14"/>
  <c r="K13" i="14" s="1"/>
  <c r="O13" i="14" s="1"/>
  <c r="O98" i="14" s="1"/>
  <c r="P98" i="14" s="1"/>
  <c r="Q98" i="14" s="1"/>
  <c r="Y50" i="11"/>
  <c r="Z50" i="11"/>
  <c r="O48" i="11"/>
  <c r="Q48" i="11" s="1"/>
  <c r="X48" i="11" s="1"/>
  <c r="I10" i="14"/>
  <c r="I14" i="14" s="1"/>
  <c r="I15" i="14" s="1"/>
  <c r="R50" i="11"/>
  <c r="L53" i="11"/>
  <c r="L54" i="11" s="1"/>
  <c r="O52" i="11"/>
  <c r="Q52" i="11" s="1"/>
  <c r="L43" i="11"/>
  <c r="L44" i="11" s="1"/>
  <c r="O42" i="11"/>
  <c r="Q42" i="11" s="1"/>
  <c r="AA38" i="11"/>
  <c r="R38" i="11"/>
  <c r="X38" i="11"/>
  <c r="Y38" i="11"/>
  <c r="Z38" i="11"/>
  <c r="O49" i="11"/>
  <c r="Q49" i="11" s="1"/>
  <c r="R49" i="11" s="1"/>
  <c r="K50" i="11"/>
  <c r="K51" i="11" s="1"/>
  <c r="K52" i="11" s="1"/>
  <c r="K53" i="11" s="1"/>
  <c r="K54" i="11" s="1"/>
  <c r="O39" i="11"/>
  <c r="Q39" i="11" s="1"/>
  <c r="R39" i="11" s="1"/>
  <c r="K40" i="11"/>
  <c r="K41" i="11" s="1"/>
  <c r="K42" i="11" s="1"/>
  <c r="K43" i="11" s="1"/>
  <c r="K44" i="11" s="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T5" i="10"/>
  <c r="R5" i="10"/>
  <c r="V5" i="10" s="1"/>
  <c r="AB40" i="11"/>
  <c r="W4" i="10" l="1"/>
  <c r="J58" i="11"/>
  <c r="J59" i="11" s="1"/>
  <c r="J60" i="11" s="1"/>
  <c r="J61" i="11" s="1"/>
  <c r="J62" i="11" s="1"/>
  <c r="J63" i="11" s="1"/>
  <c r="J64" i="11" s="1"/>
  <c r="O64" i="11" s="1"/>
  <c r="Q64" i="11" s="1"/>
  <c r="Y22" i="11"/>
  <c r="W22" i="11"/>
  <c r="X22" i="11"/>
  <c r="K19" i="11"/>
  <c r="P19" i="11" s="1"/>
  <c r="K28" i="11" s="1"/>
  <c r="K29" i="11" s="1"/>
  <c r="K30" i="11" s="1"/>
  <c r="K31" i="11" s="1"/>
  <c r="K32" i="11" s="1"/>
  <c r="K33" i="11" s="1"/>
  <c r="K34" i="11" s="1"/>
  <c r="O30" i="11"/>
  <c r="Q30" i="11" s="1"/>
  <c r="Z30" i="11" s="1"/>
  <c r="G19" i="11"/>
  <c r="O19" i="11" s="1"/>
  <c r="U4" i="10"/>
  <c r="O60" i="11"/>
  <c r="Q60" i="11" s="1"/>
  <c r="Z60" i="11" s="1"/>
  <c r="O62" i="11"/>
  <c r="Q62" i="11" s="1"/>
  <c r="Z62" i="11" s="1"/>
  <c r="O70" i="11"/>
  <c r="Q70" i="11" s="1"/>
  <c r="Z70" i="11" s="1"/>
  <c r="O111" i="11"/>
  <c r="P111" i="11" s="1"/>
  <c r="X111" i="11" s="1"/>
  <c r="O84" i="11"/>
  <c r="P84" i="11" s="1"/>
  <c r="AA84" i="11" s="1"/>
  <c r="H22" i="11"/>
  <c r="I22" i="11" s="1"/>
  <c r="J22" i="11" s="1"/>
  <c r="O102" i="11"/>
  <c r="P102" i="11" s="1"/>
  <c r="Q102" i="11" s="1"/>
  <c r="X102" i="11" s="1"/>
  <c r="K23" i="11"/>
  <c r="P23" i="11" s="1"/>
  <c r="K68" i="11" s="1"/>
  <c r="O68" i="11" s="1"/>
  <c r="Q68" i="11" s="1"/>
  <c r="AA68" i="11" s="1"/>
  <c r="E24" i="11"/>
  <c r="Q24" i="11"/>
  <c r="R22" i="11"/>
  <c r="Z22" i="11"/>
  <c r="AA22" i="11"/>
  <c r="P93" i="11"/>
  <c r="AA93" i="11" s="1"/>
  <c r="W58" i="11"/>
  <c r="K59" i="11"/>
  <c r="K60" i="11" s="1"/>
  <c r="K61" i="11" s="1"/>
  <c r="K62" i="11" s="1"/>
  <c r="K63" i="11" s="1"/>
  <c r="K64" i="11" s="1"/>
  <c r="Y58" i="11"/>
  <c r="X58" i="11"/>
  <c r="AA58" i="11"/>
  <c r="Z58" i="11"/>
  <c r="J52" i="11"/>
  <c r="J53" i="11" s="1"/>
  <c r="O53" i="11" s="1"/>
  <c r="Q53" i="11" s="1"/>
  <c r="AA53" i="11" s="1"/>
  <c r="O51" i="11"/>
  <c r="Q51" i="11" s="1"/>
  <c r="O61" i="11"/>
  <c r="Q61" i="11" s="1"/>
  <c r="J42" i="11"/>
  <c r="J43" i="11" s="1"/>
  <c r="J44" i="11" s="1"/>
  <c r="O44" i="11" s="1"/>
  <c r="Q44" i="11" s="1"/>
  <c r="O41" i="11"/>
  <c r="Q41" i="11" s="1"/>
  <c r="P13" i="14"/>
  <c r="K54" i="14" s="1"/>
  <c r="K55" i="14" s="1"/>
  <c r="K56" i="14" s="1"/>
  <c r="K57" i="14" s="1"/>
  <c r="K58" i="14" s="1"/>
  <c r="K59" i="14" s="1"/>
  <c r="K60" i="14" s="1"/>
  <c r="L34" i="14"/>
  <c r="L35" i="14" s="1"/>
  <c r="L36" i="14" s="1"/>
  <c r="O36" i="14" s="1"/>
  <c r="Q36" i="14" s="1"/>
  <c r="P11" i="14"/>
  <c r="K34" i="14" s="1"/>
  <c r="K35" i="14" s="1"/>
  <c r="G15" i="14"/>
  <c r="G16" i="14" s="1"/>
  <c r="S4" i="10"/>
  <c r="K11" i="14"/>
  <c r="O11" i="14" s="1"/>
  <c r="H16" i="14"/>
  <c r="P89" i="14"/>
  <c r="Y89" i="14" s="1"/>
  <c r="K10" i="14"/>
  <c r="O107" i="14"/>
  <c r="K12" i="14"/>
  <c r="O12" i="14" s="1"/>
  <c r="O80" i="14"/>
  <c r="I16" i="14"/>
  <c r="J54" i="14"/>
  <c r="J55" i="14" s="1"/>
  <c r="J56" i="14" s="1"/>
  <c r="J57" i="14" s="1"/>
  <c r="J58" i="14" s="1"/>
  <c r="J59" i="14" s="1"/>
  <c r="O59" i="14" s="1"/>
  <c r="Q59" i="14" s="1"/>
  <c r="AB50" i="11"/>
  <c r="F15" i="14"/>
  <c r="Q10" i="14"/>
  <c r="Q15" i="14" s="1"/>
  <c r="W48" i="11"/>
  <c r="R48" i="11"/>
  <c r="Y48" i="11"/>
  <c r="AA48" i="11"/>
  <c r="Z48" i="11"/>
  <c r="L57" i="14"/>
  <c r="L58" i="14" s="1"/>
  <c r="O54" i="14"/>
  <c r="Q54" i="14" s="1"/>
  <c r="W54" i="14" s="1"/>
  <c r="R56" i="14"/>
  <c r="Y56" i="14"/>
  <c r="X56" i="14"/>
  <c r="AA56" i="14"/>
  <c r="Z56" i="14"/>
  <c r="O72" i="11"/>
  <c r="Q72" i="11" s="1"/>
  <c r="W72" i="11" s="1"/>
  <c r="L73" i="11"/>
  <c r="L74" i="11" s="1"/>
  <c r="O55" i="14"/>
  <c r="Q55" i="14" s="1"/>
  <c r="P12" i="14"/>
  <c r="K44" i="14" s="1"/>
  <c r="L44" i="14"/>
  <c r="L45" i="14" s="1"/>
  <c r="L46" i="14" s="1"/>
  <c r="X98" i="14"/>
  <c r="AA98" i="14"/>
  <c r="W98" i="14"/>
  <c r="Y98" i="14"/>
  <c r="Z98" i="14"/>
  <c r="L33" i="11"/>
  <c r="L34" i="11" s="1"/>
  <c r="O32" i="11"/>
  <c r="Q32" i="11" s="1"/>
  <c r="AA32" i="11" s="1"/>
  <c r="X49" i="11"/>
  <c r="Y49" i="11"/>
  <c r="Z49" i="11"/>
  <c r="AA49" i="11"/>
  <c r="AB38" i="11"/>
  <c r="Z39" i="11"/>
  <c r="X39" i="11"/>
  <c r="AA39" i="11"/>
  <c r="Y39" i="11"/>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Z52" i="11"/>
  <c r="W52" i="11"/>
  <c r="Y52" i="11"/>
  <c r="AA52" i="11"/>
  <c r="X52" i="11"/>
  <c r="R52" i="11"/>
  <c r="Y42" i="11"/>
  <c r="AA42" i="11"/>
  <c r="Z42" i="11"/>
  <c r="R42" i="11"/>
  <c r="X42" i="11"/>
  <c r="W42" i="11"/>
  <c r="W45" i="11" s="1"/>
  <c r="W19" i="11" l="1"/>
  <c r="Y19" i="11"/>
  <c r="X19" i="11"/>
  <c r="O29" i="11"/>
  <c r="Q29" i="11" s="1"/>
  <c r="Y29" i="11" s="1"/>
  <c r="AA30" i="11"/>
  <c r="H19" i="11"/>
  <c r="I19" i="11" s="1"/>
  <c r="J19" i="11" s="1"/>
  <c r="Y30" i="11"/>
  <c r="O28" i="11"/>
  <c r="Q28" i="11" s="1"/>
  <c r="Y28" i="11" s="1"/>
  <c r="X30" i="11"/>
  <c r="R30" i="11"/>
  <c r="R19" i="11"/>
  <c r="P90" i="11"/>
  <c r="X90" i="11" s="1"/>
  <c r="Z19" i="11"/>
  <c r="J28" i="11"/>
  <c r="J29" i="11" s="1"/>
  <c r="J30" i="11" s="1"/>
  <c r="J31" i="11" s="1"/>
  <c r="J32" i="11" s="1"/>
  <c r="J33" i="11" s="1"/>
  <c r="O33" i="11" s="1"/>
  <c r="Q33" i="11" s="1"/>
  <c r="R33" i="11" s="1"/>
  <c r="AA19" i="11"/>
  <c r="O81" i="11"/>
  <c r="P81" i="11" s="1"/>
  <c r="AA81" i="11" s="1"/>
  <c r="O108" i="11"/>
  <c r="P108" i="11" s="1"/>
  <c r="O99" i="11"/>
  <c r="P99" i="11" s="1"/>
  <c r="Q99" i="11" s="1"/>
  <c r="G23" i="11"/>
  <c r="O23" i="11" s="1"/>
  <c r="R62" i="11"/>
  <c r="Y62" i="11"/>
  <c r="W62" i="11"/>
  <c r="W65" i="11" s="1"/>
  <c r="X62" i="11"/>
  <c r="AA62" i="11"/>
  <c r="AA111" i="11"/>
  <c r="Z111" i="11"/>
  <c r="Y111" i="11"/>
  <c r="W111" i="11"/>
  <c r="Y60" i="11"/>
  <c r="X60" i="11"/>
  <c r="AA60" i="11"/>
  <c r="R60" i="11"/>
  <c r="Y70" i="11"/>
  <c r="AA102" i="11"/>
  <c r="W84" i="11"/>
  <c r="X70" i="11"/>
  <c r="K24" i="11"/>
  <c r="R70" i="11"/>
  <c r="AA70" i="11"/>
  <c r="X84" i="11"/>
  <c r="Y84" i="11"/>
  <c r="Z93" i="11"/>
  <c r="Z84" i="11"/>
  <c r="Y93" i="11"/>
  <c r="W68" i="11"/>
  <c r="W75" i="11" s="1"/>
  <c r="X68" i="11"/>
  <c r="W102" i="11"/>
  <c r="Z102" i="11"/>
  <c r="Y102" i="11"/>
  <c r="R93" i="11"/>
  <c r="P24" i="11"/>
  <c r="X93" i="11"/>
  <c r="K69" i="11"/>
  <c r="K70" i="11" s="1"/>
  <c r="K71" i="11" s="1"/>
  <c r="K72" i="11" s="1"/>
  <c r="K73" i="11" s="1"/>
  <c r="K74" i="11" s="1"/>
  <c r="Y68" i="11"/>
  <c r="Z68" i="11"/>
  <c r="R68" i="11"/>
  <c r="AB22" i="11"/>
  <c r="F5" i="1" s="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Z41" i="11"/>
  <c r="R41" i="11"/>
  <c r="AA41" i="11"/>
  <c r="Y41" i="11"/>
  <c r="X41" i="11"/>
  <c r="O31" i="11"/>
  <c r="Q31" i="11" s="1"/>
  <c r="Z61" i="11"/>
  <c r="AA61" i="11"/>
  <c r="R61" i="11"/>
  <c r="X61" i="11"/>
  <c r="Y61" i="11"/>
  <c r="O71" i="11"/>
  <c r="Q71" i="11" s="1"/>
  <c r="R51" i="11"/>
  <c r="AA51" i="11"/>
  <c r="Z51" i="11"/>
  <c r="Y51" i="11"/>
  <c r="X51" i="11"/>
  <c r="Y117" i="11"/>
  <c r="F16" i="14"/>
  <c r="R10" i="14" s="1"/>
  <c r="K107" i="14"/>
  <c r="D106" i="14" s="1"/>
  <c r="X118" i="11"/>
  <c r="W118" i="11"/>
  <c r="X117" i="11"/>
  <c r="AA117" i="11"/>
  <c r="X119" i="11"/>
  <c r="W117" i="11"/>
  <c r="Z118" i="11"/>
  <c r="Z117" i="11"/>
  <c r="AA118" i="11"/>
  <c r="Y118" i="11"/>
  <c r="L37" i="14"/>
  <c r="L38" i="14" s="1"/>
  <c r="O34" i="14"/>
  <c r="Q34" i="14" s="1"/>
  <c r="W34" i="14" s="1"/>
  <c r="P80" i="14"/>
  <c r="Z80" i="14" s="1"/>
  <c r="R89" i="14"/>
  <c r="K15" i="14"/>
  <c r="P10" i="14"/>
  <c r="P15" i="14" s="1"/>
  <c r="R14" i="14"/>
  <c r="Z14" i="14" s="1"/>
  <c r="Z89" i="14"/>
  <c r="AA89" i="14"/>
  <c r="E5" i="1"/>
  <c r="L24" i="14"/>
  <c r="L25" i="14" s="1"/>
  <c r="L26" i="14" s="1"/>
  <c r="O26" i="14" s="1"/>
  <c r="Q26" i="14" s="1"/>
  <c r="X89" i="14"/>
  <c r="D5" i="1"/>
  <c r="J60" i="14"/>
  <c r="O60" i="14" s="1"/>
  <c r="Q60" i="14" s="1"/>
  <c r="Y60" i="14" s="1"/>
  <c r="W55" i="11"/>
  <c r="AB48" i="11"/>
  <c r="O57" i="14"/>
  <c r="Q57" i="14" s="1"/>
  <c r="R57" i="14" s="1"/>
  <c r="Y54" i="14"/>
  <c r="Z54" i="14"/>
  <c r="AA54" i="14"/>
  <c r="X54" i="14"/>
  <c r="R54" i="14"/>
  <c r="X32" i="11"/>
  <c r="Y32" i="11"/>
  <c r="W32" i="11"/>
  <c r="R32" i="11"/>
  <c r="Z32" i="11"/>
  <c r="AB56" i="14"/>
  <c r="Y72" i="11"/>
  <c r="X72" i="11"/>
  <c r="Z72" i="11"/>
  <c r="R72" i="11"/>
  <c r="AA72" i="11"/>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Z55" i="14"/>
  <c r="Y55" i="14"/>
  <c r="AA55" i="14"/>
  <c r="X55" i="14"/>
  <c r="R55" i="14"/>
  <c r="Y59" i="14"/>
  <c r="R59" i="14"/>
  <c r="AA59" i="14"/>
  <c r="X59" i="14"/>
  <c r="Z59" i="14"/>
  <c r="R36" i="14"/>
  <c r="AA36" i="14"/>
  <c r="Y36" i="14"/>
  <c r="X36" i="14"/>
  <c r="Z36" i="14"/>
  <c r="AB98" i="14"/>
  <c r="O9" i="1" s="1"/>
  <c r="L59" i="14"/>
  <c r="L60" i="14" s="1"/>
  <c r="O58" i="14"/>
  <c r="Q58" i="14" s="1"/>
  <c r="O46" i="14"/>
  <c r="Q46" i="14" s="1"/>
  <c r="L47" i="14"/>
  <c r="K36" i="14"/>
  <c r="K37" i="14" s="1"/>
  <c r="K38" i="14" s="1"/>
  <c r="K39" i="14" s="1"/>
  <c r="K40" i="14" s="1"/>
  <c r="O35" i="14"/>
  <c r="Q35" i="14" s="1"/>
  <c r="O44" i="14"/>
  <c r="Q44" i="14" s="1"/>
  <c r="K45" i="14"/>
  <c r="AB49" i="11"/>
  <c r="AB39" i="11"/>
  <c r="AB91" i="11"/>
  <c r="D8" i="1" s="1"/>
  <c r="AB110" i="11"/>
  <c r="E10" i="1" s="1"/>
  <c r="AB109" i="11"/>
  <c r="D10" i="1" s="1"/>
  <c r="AB100" i="11"/>
  <c r="D9" i="1" s="1"/>
  <c r="AB82" i="11"/>
  <c r="AB92" i="11"/>
  <c r="E8" i="1" s="1"/>
  <c r="AB101" i="11"/>
  <c r="E9" i="1" s="1"/>
  <c r="R64" i="11"/>
  <c r="Y64" i="11"/>
  <c r="X64" i="11"/>
  <c r="AA64" i="11"/>
  <c r="Z64" i="11"/>
  <c r="R44" i="11"/>
  <c r="Z44" i="11"/>
  <c r="Y44" i="11"/>
  <c r="AA44" i="11"/>
  <c r="X44" i="11"/>
  <c r="AB83" i="11"/>
  <c r="AB42" i="11"/>
  <c r="AB52" i="11"/>
  <c r="Y90" i="11" l="1"/>
  <c r="X29" i="11"/>
  <c r="P94" i="11"/>
  <c r="R94" i="11" s="1"/>
  <c r="X23" i="11"/>
  <c r="X24" i="11" s="1"/>
  <c r="W23" i="11"/>
  <c r="W24" i="11" s="1"/>
  <c r="Y23" i="11"/>
  <c r="Y24" i="11" s="1"/>
  <c r="R90" i="11"/>
  <c r="AA29" i="11"/>
  <c r="Z29" i="11"/>
  <c r="Z90" i="11"/>
  <c r="R29" i="11"/>
  <c r="W28" i="11"/>
  <c r="W35" i="11" s="1"/>
  <c r="W77" i="11" s="1"/>
  <c r="X28" i="11"/>
  <c r="R28" i="11"/>
  <c r="W119" i="11"/>
  <c r="AA90" i="11"/>
  <c r="Z28" i="11"/>
  <c r="AA28" i="11"/>
  <c r="AB30" i="11"/>
  <c r="G24" i="11"/>
  <c r="Y81" i="11"/>
  <c r="X81" i="11"/>
  <c r="W81" i="11"/>
  <c r="Z81" i="11"/>
  <c r="AB19" i="11"/>
  <c r="C5" i="1" s="1"/>
  <c r="B16" i="1" s="1"/>
  <c r="O85" i="11"/>
  <c r="P85" i="11" s="1"/>
  <c r="W85" i="11" s="1"/>
  <c r="AA94" i="11"/>
  <c r="R23" i="11"/>
  <c r="R24" i="11" s="1"/>
  <c r="C32" i="1" s="1"/>
  <c r="H23" i="11"/>
  <c r="I23" i="11" s="1"/>
  <c r="J23" i="11" s="1"/>
  <c r="J68" i="11"/>
  <c r="J69" i="11" s="1"/>
  <c r="J70" i="11" s="1"/>
  <c r="J71" i="11" s="1"/>
  <c r="J72" i="11" s="1"/>
  <c r="J73" i="11" s="1"/>
  <c r="J74" i="11" s="1"/>
  <c r="O74" i="11" s="1"/>
  <c r="Q74" i="11" s="1"/>
  <c r="R74" i="11" s="1"/>
  <c r="Z23" i="11"/>
  <c r="Z24" i="11" s="1"/>
  <c r="O103" i="11"/>
  <c r="P103" i="11" s="1"/>
  <c r="Q103" i="11" s="1"/>
  <c r="X103" i="11" s="1"/>
  <c r="O112" i="11"/>
  <c r="P112" i="11" s="1"/>
  <c r="Z112" i="11" s="1"/>
  <c r="O24" i="11"/>
  <c r="AA23" i="11"/>
  <c r="AA24" i="11" s="1"/>
  <c r="AB111" i="11"/>
  <c r="F10" i="1" s="1"/>
  <c r="AA119" i="11"/>
  <c r="AB60" i="11"/>
  <c r="AB62" i="11"/>
  <c r="Z119" i="11"/>
  <c r="Y119" i="11"/>
  <c r="AB70" i="11"/>
  <c r="AB84" i="11"/>
  <c r="AB93" i="11"/>
  <c r="F8" i="1" s="1"/>
  <c r="AB102" i="11"/>
  <c r="F9" i="1" s="1"/>
  <c r="O69" i="11"/>
  <c r="Q69" i="11" s="1"/>
  <c r="X69" i="11" s="1"/>
  <c r="AB68" i="11"/>
  <c r="R59" i="11"/>
  <c r="Y59" i="11"/>
  <c r="Z59" i="11"/>
  <c r="X59" i="11"/>
  <c r="X65" i="11" s="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X45" i="11" s="1"/>
  <c r="AA54" i="11"/>
  <c r="AA55" i="11" s="1"/>
  <c r="R54" i="11"/>
  <c r="R55" i="11" s="1"/>
  <c r="Z63" i="11"/>
  <c r="AA63" i="11"/>
  <c r="AA65" i="11" s="1"/>
  <c r="J34" i="11"/>
  <c r="O34" i="11" s="1"/>
  <c r="Q34" i="11" s="1"/>
  <c r="Z34" i="11" s="1"/>
  <c r="Z43" i="11"/>
  <c r="Y43" i="11"/>
  <c r="Y45" i="11" s="1"/>
  <c r="AA43" i="11"/>
  <c r="AA45" i="11" s="1"/>
  <c r="X33" i="11"/>
  <c r="X54" i="11"/>
  <c r="X55" i="11" s="1"/>
  <c r="Y54" i="11"/>
  <c r="Y55" i="11" s="1"/>
  <c r="AB53" i="11"/>
  <c r="Y33" i="11"/>
  <c r="Z33" i="11"/>
  <c r="AA33" i="11"/>
  <c r="AB51" i="11"/>
  <c r="AA31" i="11"/>
  <c r="Z31" i="11"/>
  <c r="X31" i="11"/>
  <c r="Z55" i="11"/>
  <c r="Z71" i="11"/>
  <c r="X71" i="11"/>
  <c r="R71" i="11"/>
  <c r="Y71" i="11"/>
  <c r="AA71" i="11"/>
  <c r="Y31" i="11"/>
  <c r="R31" i="11"/>
  <c r="AB61" i="11"/>
  <c r="AB41" i="11"/>
  <c r="AB118" i="11"/>
  <c r="AB117" i="11"/>
  <c r="D107" i="14"/>
  <c r="P108" i="14" s="1"/>
  <c r="O37" i="14"/>
  <c r="Q37" i="14" s="1"/>
  <c r="Z37" i="14" s="1"/>
  <c r="Z34" i="14"/>
  <c r="X34" i="14"/>
  <c r="AA34" i="14"/>
  <c r="R34" i="14"/>
  <c r="Y34" i="14"/>
  <c r="Y80" i="14"/>
  <c r="AA80" i="14"/>
  <c r="X80" i="14"/>
  <c r="W80" i="14"/>
  <c r="L27" i="14"/>
  <c r="O27" i="14" s="1"/>
  <c r="Q27" i="14" s="1"/>
  <c r="R13" i="14"/>
  <c r="AA13" i="14" s="1"/>
  <c r="AA14" i="14"/>
  <c r="AB14" i="14" s="1"/>
  <c r="R12" i="14"/>
  <c r="AA12" i="14" s="1"/>
  <c r="Z60" i="14"/>
  <c r="K24" i="14"/>
  <c r="K25" i="14" s="1"/>
  <c r="Z10" i="14"/>
  <c r="R11" i="14"/>
  <c r="Z11" i="14" s="1"/>
  <c r="AB89" i="14"/>
  <c r="O8" i="1" s="1"/>
  <c r="X60" i="14"/>
  <c r="R60" i="14"/>
  <c r="AA60" i="14"/>
  <c r="Y57" i="14"/>
  <c r="Z57" i="14"/>
  <c r="X57" i="14"/>
  <c r="AA57" i="14"/>
  <c r="AB54" i="14"/>
  <c r="AB32" i="11"/>
  <c r="AB72" i="11"/>
  <c r="P82" i="14"/>
  <c r="K46" i="14"/>
  <c r="K47" i="14" s="1"/>
  <c r="K48" i="14" s="1"/>
  <c r="K49" i="14" s="1"/>
  <c r="K50" i="14" s="1"/>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O47" i="14"/>
  <c r="Q47" i="14" s="1"/>
  <c r="AB55" i="14"/>
  <c r="Z96" i="14"/>
  <c r="Y96" i="14"/>
  <c r="X96" i="14"/>
  <c r="W96" i="14"/>
  <c r="AA96" i="14"/>
  <c r="AA35" i="14"/>
  <c r="R35" i="14"/>
  <c r="Y35" i="14"/>
  <c r="X35" i="14"/>
  <c r="Z35" i="14"/>
  <c r="X46" i="14"/>
  <c r="R46" i="14"/>
  <c r="Z46" i="14"/>
  <c r="AA46" i="14"/>
  <c r="Y46" i="14"/>
  <c r="AB36" i="14"/>
  <c r="O24" i="14"/>
  <c r="Q24" i="14" s="1"/>
  <c r="Z97" i="14"/>
  <c r="W97" i="14"/>
  <c r="AA97" i="14"/>
  <c r="Y97" i="14"/>
  <c r="X97" i="14"/>
  <c r="X58" i="14"/>
  <c r="R58" i="14"/>
  <c r="W58" i="14"/>
  <c r="W61" i="14" s="1"/>
  <c r="Y58" i="14"/>
  <c r="AA58" i="14"/>
  <c r="Z58" i="14"/>
  <c r="R26" i="14"/>
  <c r="X26" i="14"/>
  <c r="AA26" i="14"/>
  <c r="Y26" i="14"/>
  <c r="Z26" i="14"/>
  <c r="AB44" i="11"/>
  <c r="AB64" i="11"/>
  <c r="AA108" i="11"/>
  <c r="X108" i="11"/>
  <c r="Y108" i="11"/>
  <c r="W108" i="11"/>
  <c r="Z108" i="11"/>
  <c r="R45" i="11"/>
  <c r="R95" i="11" l="1"/>
  <c r="AB29" i="11"/>
  <c r="P95" i="11"/>
  <c r="X94" i="11"/>
  <c r="X95" i="11" s="1"/>
  <c r="Z94" i="11"/>
  <c r="Z95" i="11" s="1"/>
  <c r="Y94" i="11"/>
  <c r="Y95" i="11" s="1"/>
  <c r="AB90" i="11"/>
  <c r="C8" i="1" s="1"/>
  <c r="AB28" i="11"/>
  <c r="AA95" i="11"/>
  <c r="W86" i="11"/>
  <c r="O73" i="11"/>
  <c r="Q73" i="11" s="1"/>
  <c r="Z73" i="11" s="1"/>
  <c r="Z74" i="11"/>
  <c r="AB81" i="11"/>
  <c r="AA74" i="11"/>
  <c r="X74" i="11"/>
  <c r="Z103" i="11"/>
  <c r="Z120" i="11" s="1"/>
  <c r="Z85" i="11"/>
  <c r="Z86" i="11" s="1"/>
  <c r="Y112" i="11"/>
  <c r="Y113" i="11" s="1"/>
  <c r="AB23" i="11"/>
  <c r="G5" i="1" s="1"/>
  <c r="H5" i="1" s="1"/>
  <c r="I24" i="11"/>
  <c r="H24" i="11"/>
  <c r="W103" i="11"/>
  <c r="X112" i="11"/>
  <c r="X120" i="11" s="1"/>
  <c r="AA112" i="11"/>
  <c r="AA113" i="11" s="1"/>
  <c r="O113" i="11"/>
  <c r="AA85" i="11"/>
  <c r="AA86" i="11" s="1"/>
  <c r="Y74" i="11"/>
  <c r="P104" i="11"/>
  <c r="Q105" i="11" s="1"/>
  <c r="Y85" i="11"/>
  <c r="Y86" i="11" s="1"/>
  <c r="P86" i="11"/>
  <c r="Z113" i="11"/>
  <c r="P113" i="11"/>
  <c r="AA103" i="11"/>
  <c r="Y103" i="11"/>
  <c r="W112" i="11"/>
  <c r="W113" i="11" s="1"/>
  <c r="O104" i="11"/>
  <c r="X85" i="11"/>
  <c r="X86" i="11" s="1"/>
  <c r="Z65" i="11"/>
  <c r="AB119" i="11"/>
  <c r="Z69" i="11"/>
  <c r="Y69" i="11"/>
  <c r="AA69" i="11"/>
  <c r="R69" i="11"/>
  <c r="AB59" i="11"/>
  <c r="Y65" i="11"/>
  <c r="R65" i="11"/>
  <c r="Y86" i="14"/>
  <c r="Y91" i="14" s="1"/>
  <c r="P91" i="14"/>
  <c r="R86" i="14"/>
  <c r="R91" i="14" s="1"/>
  <c r="AA86" i="14"/>
  <c r="AA91" i="14" s="1"/>
  <c r="X86" i="14"/>
  <c r="AB77" i="14"/>
  <c r="Q95" i="14"/>
  <c r="Y95" i="14" s="1"/>
  <c r="O100" i="14"/>
  <c r="Z30" i="14"/>
  <c r="X30" i="14"/>
  <c r="R30" i="14"/>
  <c r="O29" i="14"/>
  <c r="Q29" i="14" s="1"/>
  <c r="X29" i="14" s="1"/>
  <c r="Y30" i="14"/>
  <c r="X34" i="11"/>
  <c r="X35" i="11" s="1"/>
  <c r="AA34" i="11"/>
  <c r="AA35" i="11" s="1"/>
  <c r="R34" i="11"/>
  <c r="AB63" i="11"/>
  <c r="Y34" i="11"/>
  <c r="Y35" i="11" s="1"/>
  <c r="AB43" i="11"/>
  <c r="AB45" i="11" s="1"/>
  <c r="D6" i="1" s="1"/>
  <c r="Z45" i="11"/>
  <c r="Z35" i="11"/>
  <c r="AB33" i="11"/>
  <c r="AB54" i="11"/>
  <c r="AB55" i="11" s="1"/>
  <c r="E6" i="1" s="1"/>
  <c r="AB71" i="11"/>
  <c r="AB31" i="1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O28" i="14" s="1"/>
  <c r="Q28" i="14" s="1"/>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AB26" i="14"/>
  <c r="Y27" i="14"/>
  <c r="X27" i="14"/>
  <c r="Z27" i="14"/>
  <c r="R27" i="14"/>
  <c r="AA27" i="14"/>
  <c r="Z39" i="14"/>
  <c r="X39" i="14"/>
  <c r="AA39" i="14"/>
  <c r="Y39" i="14"/>
  <c r="R39" i="14"/>
  <c r="X50" i="14"/>
  <c r="Y50" i="14"/>
  <c r="R50" i="14"/>
  <c r="Z50" i="14"/>
  <c r="AA50" i="14"/>
  <c r="R61" i="14"/>
  <c r="AB35" i="14"/>
  <c r="O25" i="14"/>
  <c r="Q25" i="14" s="1"/>
  <c r="K26" i="14"/>
  <c r="K27" i="14" s="1"/>
  <c r="K28" i="14" s="1"/>
  <c r="K29" i="14" s="1"/>
  <c r="K30" i="14" s="1"/>
  <c r="AB87" i="14"/>
  <c r="M8" i="1" s="1"/>
  <c r="L49" i="14"/>
  <c r="L50" i="14" s="1"/>
  <c r="O48" i="14"/>
  <c r="Q48" i="14" s="1"/>
  <c r="W82" i="14"/>
  <c r="Z24" i="14"/>
  <c r="Y24" i="14"/>
  <c r="X24" i="14"/>
  <c r="W24" i="14"/>
  <c r="R24" i="14"/>
  <c r="AA24" i="14"/>
  <c r="AB46" i="14"/>
  <c r="Y47" i="14"/>
  <c r="AA47" i="14"/>
  <c r="X47" i="14"/>
  <c r="R47" i="14"/>
  <c r="Z47" i="14"/>
  <c r="Y45" i="14"/>
  <c r="X45" i="14"/>
  <c r="Z45" i="14"/>
  <c r="R45" i="14"/>
  <c r="AA45" i="14"/>
  <c r="AB108" i="11"/>
  <c r="C10" i="1" s="1"/>
  <c r="Z99" i="11"/>
  <c r="Z116" i="11" s="1"/>
  <c r="X99" i="11"/>
  <c r="X116" i="11" s="1"/>
  <c r="W99" i="11"/>
  <c r="W116" i="11" s="1"/>
  <c r="Y99" i="11"/>
  <c r="Y116" i="11" s="1"/>
  <c r="AA99" i="11"/>
  <c r="AA116" i="11" s="1"/>
  <c r="Q104" i="11"/>
  <c r="W105" i="11" s="1"/>
  <c r="AB94" i="11" l="1"/>
  <c r="G8" i="1" s="1"/>
  <c r="H8" i="1" s="1"/>
  <c r="R73" i="11"/>
  <c r="R75" i="11" s="1"/>
  <c r="AA73" i="11"/>
  <c r="AA75" i="11" s="1"/>
  <c r="AA77" i="11" s="1"/>
  <c r="X73" i="11"/>
  <c r="X75" i="11" s="1"/>
  <c r="X77" i="11" s="1"/>
  <c r="Y73" i="11"/>
  <c r="Z75" i="11"/>
  <c r="Z77" i="11" s="1"/>
  <c r="AB74" i="11"/>
  <c r="Y120" i="11"/>
  <c r="AA120" i="11"/>
  <c r="AB24" i="11"/>
  <c r="AB112" i="11"/>
  <c r="G10" i="1" s="1"/>
  <c r="H10" i="1" s="1"/>
  <c r="J24" i="11"/>
  <c r="AB103" i="11"/>
  <c r="G9" i="1" s="1"/>
  <c r="X113" i="11"/>
  <c r="W120" i="11"/>
  <c r="AB85" i="11"/>
  <c r="AB86" i="11" s="1"/>
  <c r="C7" i="1" s="1"/>
  <c r="D16" i="1" s="1"/>
  <c r="AB69" i="11"/>
  <c r="AB65" i="11"/>
  <c r="F6" i="1" s="1"/>
  <c r="F11" i="1" s="1"/>
  <c r="AB86" i="14"/>
  <c r="L8" i="1" s="1"/>
  <c r="Q8" i="1" s="1"/>
  <c r="X91" i="14"/>
  <c r="AA95" i="14"/>
  <c r="AA100" i="14" s="1"/>
  <c r="X95" i="14"/>
  <c r="X121" i="14" s="1"/>
  <c r="Q100" i="14"/>
  <c r="AB30" i="14"/>
  <c r="Z95" i="14"/>
  <c r="Z100" i="14" s="1"/>
  <c r="R29" i="14"/>
  <c r="AA29" i="14"/>
  <c r="W95" i="14"/>
  <c r="W100" i="14" s="1"/>
  <c r="Z29" i="14"/>
  <c r="Y29" i="14"/>
  <c r="M9" i="1"/>
  <c r="AB34" i="11"/>
  <c r="AB35" i="11" s="1"/>
  <c r="C6" i="1" s="1"/>
  <c r="R35" i="11"/>
  <c r="D32" i="1" s="1"/>
  <c r="E32" i="1" s="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E11" i="1"/>
  <c r="D11" i="1"/>
  <c r="O5" i="1"/>
  <c r="AB61" i="14"/>
  <c r="AB24" i="14"/>
  <c r="AB45" i="14"/>
  <c r="AB47" i="14"/>
  <c r="AB39" i="14"/>
  <c r="X41" i="14"/>
  <c r="AB49" i="14"/>
  <c r="Z41" i="14"/>
  <c r="Y100" i="14"/>
  <c r="R41" i="14"/>
  <c r="AB38" i="14"/>
  <c r="AA48" i="14"/>
  <c r="AA51" i="14" s="1"/>
  <c r="X48" i="14"/>
  <c r="X51" i="14" s="1"/>
  <c r="W48" i="14"/>
  <c r="W51" i="14" s="1"/>
  <c r="Z48" i="14"/>
  <c r="Z51" i="14" s="1"/>
  <c r="R48" i="14"/>
  <c r="Y48" i="14"/>
  <c r="Y51" i="14" s="1"/>
  <c r="AB50" i="14"/>
  <c r="AB27" i="14"/>
  <c r="AA41" i="14"/>
  <c r="R28" i="14"/>
  <c r="Z28" i="14"/>
  <c r="Y28" i="14"/>
  <c r="AA28" i="14"/>
  <c r="W28" i="14"/>
  <c r="W31" i="14" s="1"/>
  <c r="X28" i="14"/>
  <c r="Z25" i="14"/>
  <c r="Y25" i="14"/>
  <c r="AA25" i="14"/>
  <c r="X25" i="14"/>
  <c r="R25" i="14"/>
  <c r="AB82" i="14"/>
  <c r="L7" i="1" s="1"/>
  <c r="Y41" i="14"/>
  <c r="AB40" i="14"/>
  <c r="X104" i="11"/>
  <c r="Y104" i="11"/>
  <c r="Z104" i="11"/>
  <c r="AA104" i="11"/>
  <c r="AB99" i="11"/>
  <c r="C9" i="1" s="1"/>
  <c r="W104" i="11"/>
  <c r="AB95" i="11" l="1"/>
  <c r="E16" i="1" s="1"/>
  <c r="AB73" i="11"/>
  <c r="AB75" i="11" s="1"/>
  <c r="AB77" i="11" s="1"/>
  <c r="Y75" i="11"/>
  <c r="Y77" i="11" s="1"/>
  <c r="AB120" i="11"/>
  <c r="AB113" i="11"/>
  <c r="H7" i="1"/>
  <c r="AB91" i="14"/>
  <c r="H9" i="1"/>
  <c r="X100" i="14"/>
  <c r="Z121" i="14"/>
  <c r="AB95" i="14"/>
  <c r="L9" i="1" s="1"/>
  <c r="Q9" i="1" s="1"/>
  <c r="W121" i="14"/>
  <c r="AB29" i="14"/>
  <c r="AB125" i="14"/>
  <c r="P10" i="1"/>
  <c r="R77" i="11"/>
  <c r="R124" i="11" s="1"/>
  <c r="X109" i="14"/>
  <c r="Z121" i="11"/>
  <c r="Z124" i="11" s="1"/>
  <c r="Z125" i="11" s="1"/>
  <c r="X121" i="11"/>
  <c r="X124" i="11" s="1"/>
  <c r="X125" i="11" s="1"/>
  <c r="AA121" i="11"/>
  <c r="AA124" i="11" s="1"/>
  <c r="AA125" i="11" s="1"/>
  <c r="Y121" i="11"/>
  <c r="W121" i="11"/>
  <c r="W124" i="11" s="1"/>
  <c r="AB104" i="11"/>
  <c r="AB116" i="11"/>
  <c r="AB104" i="14"/>
  <c r="AA121" i="14"/>
  <c r="AB107" i="14"/>
  <c r="Z109" i="14"/>
  <c r="Z126" i="14" s="1"/>
  <c r="AA109" i="14"/>
  <c r="AA126" i="14" s="1"/>
  <c r="AB105" i="14"/>
  <c r="X123" i="14"/>
  <c r="Y109" i="14"/>
  <c r="Y126" i="14" s="1"/>
  <c r="AB106" i="14"/>
  <c r="W109" i="14"/>
  <c r="W126" i="14" s="1"/>
  <c r="E17" i="1"/>
  <c r="N5" i="1"/>
  <c r="B17" i="1" s="1"/>
  <c r="D17" i="1"/>
  <c r="Q7" i="1"/>
  <c r="O6" i="1"/>
  <c r="Y31" i="14"/>
  <c r="Y73" i="14" s="1"/>
  <c r="Z31" i="14"/>
  <c r="Z73" i="14" s="1"/>
  <c r="AB25" i="14"/>
  <c r="AB41" i="14"/>
  <c r="X31" i="14"/>
  <c r="X73" i="14" s="1"/>
  <c r="AB48" i="14"/>
  <c r="AB51" i="14" s="1"/>
  <c r="AA31" i="14"/>
  <c r="AA73" i="14" s="1"/>
  <c r="R51" i="14"/>
  <c r="W73" i="14"/>
  <c r="R31" i="14"/>
  <c r="D33" i="1" s="1"/>
  <c r="E33" i="1" s="1"/>
  <c r="F33" i="1" s="1"/>
  <c r="AB28" i="14"/>
  <c r="C16" i="1"/>
  <c r="AB121" i="11" l="1"/>
  <c r="AB124" i="11" s="1"/>
  <c r="Y124" i="11"/>
  <c r="Y125" i="11" s="1"/>
  <c r="G6" i="1"/>
  <c r="H6" i="1" s="1"/>
  <c r="X126" i="14"/>
  <c r="X129" i="14" s="1"/>
  <c r="X130" i="14" s="1"/>
  <c r="AB100" i="14"/>
  <c r="P11" i="1"/>
  <c r="G17" i="1" s="1"/>
  <c r="AB121" i="14"/>
  <c r="L10" i="1"/>
  <c r="AB123" i="14"/>
  <c r="N10" i="1"/>
  <c r="AB124" i="14"/>
  <c r="O10" i="1"/>
  <c r="O11" i="1" s="1"/>
  <c r="M10" i="1"/>
  <c r="AB122" i="14"/>
  <c r="W125" i="11"/>
  <c r="W126" i="11" s="1"/>
  <c r="C20" i="1" s="1"/>
  <c r="F16" i="1"/>
  <c r="AB109" i="14"/>
  <c r="W129" i="14"/>
  <c r="AA129" i="14"/>
  <c r="AA130" i="14" s="1"/>
  <c r="Y129" i="14"/>
  <c r="Y130" i="14" s="1"/>
  <c r="Z129" i="14"/>
  <c r="Z130" i="14" s="1"/>
  <c r="Q5" i="1"/>
  <c r="R73" i="14"/>
  <c r="R129" i="14" s="1"/>
  <c r="M6" i="1"/>
  <c r="N6" i="1"/>
  <c r="AB31" i="14"/>
  <c r="L6" i="1" s="1"/>
  <c r="G11" i="1" l="1"/>
  <c r="G16" i="1" s="1"/>
  <c r="AB126" i="14"/>
  <c r="F17" i="1" s="1"/>
  <c r="M11" i="1"/>
  <c r="Q10" i="1"/>
  <c r="AB125" i="11"/>
  <c r="H16" i="1"/>
  <c r="W130" i="14"/>
  <c r="W131" i="14" s="1"/>
  <c r="C21" i="1" s="1"/>
  <c r="H11" i="1"/>
  <c r="C11" i="1"/>
  <c r="N11" i="1"/>
  <c r="AB73" i="14"/>
  <c r="X126" i="11"/>
  <c r="D20" i="1" s="1"/>
  <c r="C17" i="1"/>
  <c r="H17" i="1" s="1"/>
  <c r="Q6" i="1"/>
  <c r="L11" i="1"/>
  <c r="AB129" i="14" l="1"/>
  <c r="AB130" i="14"/>
  <c r="Q11" i="1"/>
  <c r="Q12" i="1" s="1"/>
  <c r="Y126" i="11"/>
  <c r="E20" i="1" s="1"/>
  <c r="X131" i="14"/>
  <c r="Y131" i="14" s="1"/>
  <c r="Z126" i="11" l="1"/>
  <c r="F20" i="1" s="1"/>
  <c r="D21" i="1"/>
  <c r="Z131" i="14"/>
  <c r="E21" i="1"/>
  <c r="AA126" i="11" l="1"/>
  <c r="G20" i="1" s="1"/>
  <c r="AA131" i="14"/>
  <c r="G21" i="1" s="1"/>
  <c r="F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<sst xmlns="http://schemas.openxmlformats.org/spreadsheetml/2006/main" count="713" uniqueCount="189">
  <si>
    <t>Components</t>
  </si>
  <si>
    <t>Hardware</t>
  </si>
  <si>
    <t>Software</t>
  </si>
  <si>
    <t>People</t>
  </si>
  <si>
    <t>Network</t>
  </si>
  <si>
    <t>Facilities</t>
  </si>
  <si>
    <t>Prod</t>
  </si>
  <si>
    <t>Dev</t>
  </si>
  <si>
    <t>Test</t>
  </si>
  <si>
    <t>QA</t>
  </si>
  <si>
    <t>DR</t>
  </si>
  <si>
    <t>Environments</t>
  </si>
  <si>
    <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</si>
  <si>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</si>
  <si>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</si>
  <si>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</si>
  <si>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</si>
  <si>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</si>
  <si>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</si>
  <si>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</si>
  <si>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</si>
  <si>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</si>
  <si>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</si>
  <si>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</si>
  <si>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</si>
  <si>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</si>
  <si>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</si>
  <si>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</si>
  <si>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DB</t>
  </si>
  <si>
    <t>VM</t>
  </si>
  <si>
    <t>Application Server</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</si>
  <si>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</si>
  <si>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</si>
  <si>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</si>
  <si>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</si>
  <si>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</si>
  <si>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</si>
  <si>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</si>
  <si>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</si>
  <si>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</si>
  <si>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</si>
  <si>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</si>
  <si>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</si>
  <si>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</si>
  <si>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</si>
  <si>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</si>
  <si>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</si>
  <si>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</si>
  <si>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</si>
  <si>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</si>
  <si>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</si>
  <si>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</si>
  <si>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</si>
  <si>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</si>
  <si>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</si>
  <si>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</si>
  <si>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</si>
  <si>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</si>
  <si>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</si>
  <si>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</si>
  <si>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</si>
  <si>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</si>
  <si>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</si>
  <si>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</si>
  <si>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</si>
  <si>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</si>
  <si>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</si>
  <si>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</si>
  <si>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</si>
  <si>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</si>
  <si>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</si>
  <si>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</si>
  <si>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</si>
  <si>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</si>
  <si>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</si>
  <si>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</si>
  <si>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</si>
  <si>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</si>
  <si>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</si>
  <si>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</si>
  <si>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</si>
  <si>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</si>
  <si>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</si>
  <si>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</si>
  <si>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</si>
  <si>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</si>
  <si>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</si>
  <si>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</si>
  <si>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</si>
  <si>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</si>
  <si>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</si>
  <si>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</si>
  <si>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</si>
  <si>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</si>
  <si>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</si>
  <si>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</si>
  <si>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</si>
  <si>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</si>
  <si>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</si>
  <si>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</si>
  <si>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</si>
  <si>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</si>
  <si>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</si>
  <si>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</si>
  <si>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</si>
  <si>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</si>
  <si>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</si>
  <si>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</si>
  <si>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</si>
  <si>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</si>
  <si>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</si>
  <si>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</si>
  <si>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Data Replication Tools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</si>
  <si>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</si>
  <si>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</si>
  <si>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</si>
  <si>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</si>
  <si>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</si>
  <si>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</si>
  <si>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</si>
  <si>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</si>
  <si>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</si>
  <si>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</si>
  <si>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</si>
  <si>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</si>
  <si>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</si>
  <si>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</si>
  <si>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</si>
  <si>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</si>
  <si>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</si>
  <si>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</si>
  <si>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</si>
  <si>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</si>
  <si>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</si>
  <si>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</si>
  <si>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</si>
  <si>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</si>
  <si>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</si>
  <si>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</si>
  <si>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</si>
  <si>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</si>
  <si>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</si>
  <si>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</si>
  <si>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</si>
  <si>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</si>
  <si>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Workload (TPS)</t>
  </si>
  <si>
    <t>Simplicistic model to build a price example</t>
  </si>
  <si>
    <t>LinuxONE</t>
  </si>
  <si>
    <t>core cost</t>
  </si>
  <si>
    <t># of Cores (core) for bare workload</t>
  </si>
  <si>
    <t>Site 1
core</t>
  </si>
  <si>
    <t>Site 2
core</t>
  </si>
  <si>
    <t>Electricity by core</t>
  </si>
  <si>
    <t>Included cores</t>
  </si>
  <si>
    <t>Rack server w Xeon Gold 6146 12C 3.20GHz (4 Chips, 48 Cores)</t>
  </si>
  <si>
    <t>Rack server w Xeon Gold 5115 10C 2.40GHz (2 Chips, 20 Cores)</t>
  </si>
  <si>
    <t>Rack server w  Xeon Gold 6244 8C 3.60GHz (2 Chips, 16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</si>
  <si>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</si>
  <si>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</si>
  <si>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</si>
  <si>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</si>
  <si>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</si>
  <si>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</si>
  <si>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</si>
  <si>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</si>
  <si>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</si>
  <si>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</si>
  <si>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</si>
  <si>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</si>
  <si>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</si>
  <si>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</si>
  <si>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</si>
  <si>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</si>
  <si>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</si>
  <si>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</si>
  <si>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Rack server w Xeon Gold 6146 12C 3.20GHz (2 Chips, 24 Cores)</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</si>
  <si>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</si>
  <si>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</si>
  <si>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</si>
  <si>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</si>
  <si>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</si>
  <si>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</si>
  <si>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</si>
  <si>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</si>
  <si>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</si>
  <si>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</si>
  <si>
    <t>TPS SISTEMA</t>
  </si>
  <si>
    <t>TCO x86 (€)</t>
  </si>
  <si>
    <t>TCO linuxOne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</si>
</sst>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43" formatCode="_-* #,##0.00_-;\-* #,##0.00_-;_-* &quot;-&quot;??_-;_-@_-"/>
    <numFmt numFmtId="164" formatCode="0.0"/>
    <numFmt numFmtId="165" formatCode="#,##0_ ;\-#,##0\ "/>
    <numFmt numFmtId="166" formatCode="_-* #,##0\ _€_-;\-* #,##0\ _€_-;_-* &quot;-&quot;\ _€_-;_-@_-"/>
    <numFmt numFmtId="167" formatCode="_-* #,##0.00\ _€_-;\-* #,##0.00\ _€_-;_-* &quot;-&quot;\ _€_-;_-@_-"/>
    <numFmt numFmtId="168" formatCode="_-* #,##0_-;\-* #,##0_-;_-* &quot;-&quot;??_-;_-@_-"/>
    <numFmt numFmtId="169" formatCode="#,##0.0_ ;\-#,##0.0\ "/>
    <numFmt numFmtId="170" formatCode="#,##0.000_ ;\-#,##0.000\ "/>
    <numFmt numFmtId="171" formatCode="0.000"/>
  </numFmts>
  <fonts count="17"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
      <u/>
      <sz val="11"/>
      <color theme="1"/>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76">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5"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6" fontId="0" fillId="7" borderId="1" xfId="2" applyNumberFormat="1" applyFont="1" applyFill="1" applyBorder="1"/>
    <xf numFmtId="166" fontId="0" fillId="9" borderId="1" xfId="2" applyNumberFormat="1" applyFont="1" applyFill="1" applyBorder="1"/>
    <xf numFmtId="166" fontId="1" fillId="7" borderId="1" xfId="2" applyNumberFormat="1" applyFont="1" applyFill="1" applyBorder="1"/>
    <xf numFmtId="165"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6" fontId="0" fillId="6" borderId="1" xfId="2" applyNumberFormat="1" applyFont="1" applyFill="1" applyBorder="1"/>
    <xf numFmtId="166" fontId="0" fillId="10" borderId="1" xfId="2" applyNumberFormat="1" applyFont="1" applyFill="1" applyBorder="1"/>
    <xf numFmtId="165" fontId="0" fillId="10" borderId="1" xfId="2" applyNumberFormat="1" applyFont="1" applyFill="1" applyBorder="1" applyAlignment="1">
      <alignment horizontal="center"/>
    </xf>
    <xf numFmtId="9" fontId="0" fillId="10" borderId="1" xfId="3" applyFont="1" applyFill="1" applyBorder="1" applyAlignment="1">
      <alignment horizontal="center"/>
    </xf>
    <xf numFmtId="165"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6"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4"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5" fontId="0" fillId="11" borderId="1" xfId="1" applyNumberFormat="1" applyFont="1" applyFill="1" applyBorder="1" applyAlignment="1">
      <alignment horizontal="center" vertical="center"/>
    </xf>
    <xf numFmtId="165" fontId="0" fillId="0" borderId="1" xfId="1" applyNumberFormat="1" applyFont="1" applyFill="1" applyBorder="1" applyAlignment="1">
      <alignment horizontal="center" vertical="center"/>
    </xf>
    <xf numFmtId="165"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5" fontId="0" fillId="11" borderId="1" xfId="2" applyNumberFormat="1" applyFont="1" applyFill="1" applyBorder="1" applyAlignment="1">
      <alignment horizontal="center"/>
    </xf>
    <xf numFmtId="166"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6"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6" fontId="1" fillId="9" borderId="1" xfId="2" applyNumberFormat="1" applyFont="1" applyFill="1" applyBorder="1"/>
    <xf numFmtId="166" fontId="1" fillId="12" borderId="1" xfId="2" applyNumberFormat="1" applyFont="1" applyFill="1" applyBorder="1"/>
    <xf numFmtId="0" fontId="8" fillId="0" borderId="0" xfId="0" applyFont="1"/>
    <xf numFmtId="0" fontId="1" fillId="0" borderId="0" xfId="0" applyFont="1" applyAlignment="1">
      <alignment horizontal="right"/>
    </xf>
    <xf numFmtId="164"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166" fontId="0" fillId="0" borderId="1" xfId="2" applyNumberFormat="1" applyFont="1" applyBorder="1" applyAlignment="1">
      <alignment vertical="center"/>
    </xf>
    <xf numFmtId="166" fontId="1" fillId="3" borderId="0" xfId="0" applyNumberFormat="1" applyFont="1" applyFill="1" applyAlignment="1">
      <alignment vertical="center"/>
    </xf>
    <xf numFmtId="166" fontId="0" fillId="0" borderId="0" xfId="0" applyNumberFormat="1"/>
    <xf numFmtId="166"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166" fontId="0" fillId="7" borderId="1" xfId="2" applyNumberFormat="1" applyFont="1" applyFill="1" applyBorder="1" applyAlignment="1">
      <alignment vertical="center"/>
    </xf>
    <xf numFmtId="0" fontId="0" fillId="2" borderId="0" xfId="0" applyFill="1" applyAlignment="1">
      <alignment horizontal="right" vertical="center"/>
    </xf>
    <xf numFmtId="166"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6"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166"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4"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5" fontId="1" fillId="0" borderId="1" xfId="1" applyNumberFormat="1" applyFont="1" applyFill="1" applyBorder="1" applyAlignment="1">
      <alignment horizontal="center" vertical="center"/>
    </xf>
    <xf numFmtId="164" fontId="1" fillId="0" borderId="1" xfId="0" applyNumberFormat="1" applyFont="1" applyFill="1" applyBorder="1" applyAlignment="1">
      <alignment horizontal="center"/>
    </xf>
    <xf numFmtId="165"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166"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166"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5"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5" fontId="0" fillId="10" borderId="1" xfId="0" applyNumberFormat="1" applyFill="1" applyBorder="1" applyAlignment="1">
      <alignment horizontal="center"/>
    </xf>
    <xf numFmtId="166" fontId="8" fillId="0" borderId="1" xfId="2" applyNumberFormat="1" applyFont="1" applyBorder="1" applyAlignment="1">
      <alignment vertical="center"/>
    </xf>
    <xf numFmtId="166"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5"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3" fontId="0" fillId="0" borderId="0" xfId="0" applyNumberFormat="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5" fontId="0" fillId="0" borderId="2" xfId="2" applyNumberFormat="1" applyFont="1" applyBorder="1" applyAlignment="1">
      <alignment horizontal="center" vertical="center"/>
    </xf>
    <xf numFmtId="165" fontId="0" fillId="0" borderId="3" xfId="2" applyNumberFormat="1" applyFont="1" applyBorder="1" applyAlignment="1">
      <alignment horizontal="center" vertical="center"/>
    </xf>
    <xf numFmtId="165" fontId="0" fillId="0" borderId="4" xfId="2" applyNumberFormat="1" applyFont="1" applyBorder="1" applyAlignment="1">
      <alignment horizontal="center" vertical="center"/>
    </xf>
    <xf numFmtId="0" fontId="16" fillId="0" borderId="0" xfId="0" applyFont="1"/>
  </cellXfs>
  <cellStyles count="5">
    <cellStyle name="Collegamento ipertestuale" xfId="4" builtinId="8"/>
    <cellStyle name="Migliaia" xfId="1" builtinId="3"/>
    <cellStyle name="Normale" xfId="0" builtinId="0"/>
    <cellStyle name="Percentuale" xfId="3" builtinId="5"/>
    <cellStyle name="Valuta" xfId="2" builtin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695800</c:v>
                </c:pt>
                <c:pt idx="1">
                  <c:v>5544000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22529800</c:v>
                </c:pt>
                <c:pt idx="1">
                  <c:v>9417600</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1933333.3333333335</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15396460</c:v>
                </c:pt>
                <c:pt idx="1">
                  <c:v>336000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20228101.600000001</c:v>
                </c:pt>
                <c:pt idx="1">
                  <c:v>25419843.200000003</c:v>
                </c:pt>
                <c:pt idx="2">
                  <c:v>30611584.800000004</c:v>
                </c:pt>
                <c:pt idx="3">
                  <c:v>35965726.400000006</c:v>
                </c:pt>
                <c:pt idx="4">
                  <c:v>41319868.000000007</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8850458.9473684207</c:v>
                </c:pt>
                <c:pt idx="1">
                  <c:v>10277677.894736841</c:v>
                </c:pt>
                <c:pt idx="2">
                  <c:v>11704896.842105262</c:v>
                </c:pt>
                <c:pt idx="3">
                  <c:v>13622115.789473683</c:v>
                </c:pt>
                <c:pt idx="4">
                  <c:v>15539334.736842103</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it-IT"/>
              <a:t>TCO</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Result!$F$1</c:f>
              <c:strCache>
                <c:ptCount val="1"/>
                <c:pt idx="0">
                  <c:v>TCO x86 (€)</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Result!$C$2:$C$7</c:f>
              <c:numCache>
                <c:formatCode>General</c:formatCode>
                <c:ptCount val="6"/>
                <c:pt idx="0">
                  <c:v>50</c:v>
                </c:pt>
                <c:pt idx="1">
                  <c:v>100</c:v>
                </c:pt>
                <c:pt idx="2">
                  <c:v>250</c:v>
                </c:pt>
                <c:pt idx="3">
                  <c:v>1000</c:v>
                </c:pt>
                <c:pt idx="4">
                  <c:v>4000</c:v>
                </c:pt>
                <c:pt idx="5">
                  <c:v>8000</c:v>
                </c:pt>
              </c:numCache>
            </c:numRef>
          </c:cat>
          <c:val>
            <c:numRef>
              <c:f>Result!$F$2:$F$7</c:f>
              <c:numCache>
                <c:formatCode>General</c:formatCode>
                <c:ptCount val="6"/>
                <c:pt idx="0">
                  <c:v>694458</c:v>
                </c:pt>
                <c:pt idx="1">
                  <c:v>934058</c:v>
                </c:pt>
                <c:pt idx="2">
                  <c:v>1917017.3333333333</c:v>
                </c:pt>
                <c:pt idx="3">
                  <c:v>6651680</c:v>
                </c:pt>
                <c:pt idx="4">
                  <c:v>22530788.666666668</c:v>
                </c:pt>
                <c:pt idx="5">
                  <c:v>41319868</c:v>
                </c:pt>
              </c:numCache>
            </c:numRef>
          </c:val>
          <c:smooth val="0"/>
          <c:extLst>
            <c:ext xmlns:c16="http://schemas.microsoft.com/office/drawing/2014/chart" uri="{C3380CC4-5D6E-409C-BE32-E72D297353CC}">
              <c16:uniqueId val="{00000000-6581-4C6E-B9F0-70F872FFE171}"/>
            </c:ext>
          </c:extLst>
        </c:ser>
        <c:ser>
          <c:idx val="1"/>
          <c:order val="1"/>
          <c:tx>
            <c:strRef>
              <c:f>Result!$G$1</c:f>
              <c:strCache>
                <c:ptCount val="1"/>
                <c:pt idx="0">
                  <c:v>TCO linuxOne (€)</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numRef>
              <c:f>Result!$C$2:$C$7</c:f>
              <c:numCache>
                <c:formatCode>General</c:formatCode>
                <c:ptCount val="6"/>
                <c:pt idx="0">
                  <c:v>50</c:v>
                </c:pt>
                <c:pt idx="1">
                  <c:v>100</c:v>
                </c:pt>
                <c:pt idx="2">
                  <c:v>250</c:v>
                </c:pt>
                <c:pt idx="3">
                  <c:v>1000</c:v>
                </c:pt>
                <c:pt idx="4">
                  <c:v>4000</c:v>
                </c:pt>
                <c:pt idx="5">
                  <c:v>8000</c:v>
                </c:pt>
              </c:numCache>
            </c:numRef>
          </c:cat>
          <c:val>
            <c:numRef>
              <c:f>Result!$G$2:$G$7</c:f>
              <c:numCache>
                <c:formatCode>General</c:formatCode>
                <c:ptCount val="6"/>
                <c:pt idx="0" formatCode="#,##0">
                  <c:v>1552823.1578947369</c:v>
                </c:pt>
                <c:pt idx="1">
                  <c:v>1552823.1578947369</c:v>
                </c:pt>
                <c:pt idx="2">
                  <c:v>1718514.7368421052</c:v>
                </c:pt>
                <c:pt idx="3">
                  <c:v>2698172.6315789474</c:v>
                </c:pt>
                <c:pt idx="4">
                  <c:v>8132587.3684210526</c:v>
                </c:pt>
                <c:pt idx="5">
                  <c:v>15539334.736842105</c:v>
                </c:pt>
              </c:numCache>
            </c:numRef>
          </c:val>
          <c:smooth val="0"/>
          <c:extLst>
            <c:ext xmlns:c16="http://schemas.microsoft.com/office/drawing/2014/chart" uri="{C3380CC4-5D6E-409C-BE32-E72D297353CC}">
              <c16:uniqueId val="{00000001-6581-4C6E-B9F0-70F872FFE171}"/>
            </c:ext>
          </c:extLst>
        </c:ser>
        <c:dLbls>
          <c:showLegendKey val="0"/>
          <c:showVal val="0"/>
          <c:showCatName val="0"/>
          <c:showSerName val="0"/>
          <c:showPercent val="0"/>
          <c:showBubbleSize val="0"/>
        </c:dLbls>
        <c:marker val="1"/>
        <c:smooth val="0"/>
        <c:axId val="1660476047"/>
        <c:axId val="1660482703"/>
      </c:lineChart>
      <c:catAx>
        <c:axId val="16604760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it-IT"/>
          </a:p>
        </c:txPr>
        <c:crossAx val="1660482703"/>
        <c:crosses val="autoZero"/>
        <c:auto val="1"/>
        <c:lblAlgn val="ctr"/>
        <c:lblOffset val="100"/>
        <c:noMultiLvlLbl val="0"/>
      </c:catAx>
      <c:valAx>
        <c:axId val="1660482703"/>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660476047"/>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6</xdr:colOff>
      <xdr:row>12</xdr:row>
      <xdr:rowOff>47625</xdr:rowOff>
    </xdr:from>
    <xdr:to>
      <xdr:col>7</xdr:col>
      <xdr:colOff>819150</xdr:colOff>
      <xdr:row>27</xdr:row>
      <xdr:rowOff>142875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12</xdr:row>
      <xdr:rowOff>57150</xdr:rowOff>
    </xdr:from>
    <xdr:to>
      <xdr:col>15</xdr:col>
      <xdr:colOff>666750</xdr:colOff>
      <xdr:row>27</xdr:row>
      <xdr:rowOff>152400</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135255</xdr:colOff>
      <xdr:row>8</xdr:row>
      <xdr:rowOff>1904</xdr:rowOff>
    </xdr:from>
    <xdr:to>
      <xdr:col>18</xdr:col>
      <xdr:colOff>76200</xdr:colOff>
      <xdr:row>45</xdr:row>
      <xdr:rowOff>102869</xdr:rowOff>
    </xdr:to>
    <xdr:graphicFrame macro="">
      <xdr:nvGraphicFramePr>
        <xdr:cNvPr id="2" name="Chart 1">
          <a:extLst>
            <a:ext uri="{FF2B5EF4-FFF2-40B4-BE49-F238E27FC236}">
              <a16:creationId xmlns:a16="http://schemas.microsoft.com/office/drawing/2014/main" id="{B5FB2861-B540-4A8B-9AD7-DFE6399703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W23"/>
  <sheetViews>
    <sheetView tabSelected="1" workbookViewId="0">
      <selection activeCell="M4" sqref="M4"/>
    </sheetView>
  </sheetViews>
  <sheetFormatPr defaultRowHeight="14.4" x14ac:dyDescent="0.3"/>
  <cols>
    <col min="1" max="1" width="14.33203125" customWidth="1"/>
    <col min="2" max="2" width="9.88671875" bestFit="1" customWidth="1"/>
    <col min="3" max="3" width="11.33203125" bestFit="1" customWidth="1"/>
    <col min="4" max="4" width="12.33203125" bestFit="1" customWidth="1"/>
    <col min="6" max="6" width="9.109375" style="39"/>
    <col min="7" max="7" width="1.88671875" customWidth="1"/>
    <col min="8" max="8" width="8.6640625" style="10" customWidth="1"/>
    <col min="9" max="11" width="9.109375" style="10"/>
    <col min="12" max="12" width="9.6640625" style="10" customWidth="1"/>
    <col min="13" max="13" width="8.109375" style="10" bestFit="1" customWidth="1"/>
    <col min="14" max="14" width="9.44140625" style="10" bestFit="1" customWidth="1"/>
    <col min="15" max="15" width="7" style="10" customWidth="1"/>
    <col min="16" max="16" width="7.44140625" style="10" bestFit="1" customWidth="1"/>
    <col min="17" max="17" width="1.44140625" customWidth="1"/>
  </cols>
  <sheetData>
    <row r="1" spans="1:23" ht="44.25" customHeight="1" x14ac:dyDescent="0.3">
      <c r="C1" s="6" t="s">
        <v>145</v>
      </c>
      <c r="D1" s="6" t="s">
        <v>180</v>
      </c>
      <c r="E1" s="6" t="s">
        <v>184</v>
      </c>
      <c r="F1" s="6" t="s">
        <v>185</v>
      </c>
      <c r="I1" s="6"/>
    </row>
    <row r="2" spans="1:23" x14ac:dyDescent="0.3">
      <c r="C2" s="157">
        <v>8000</v>
      </c>
      <c r="D2" s="160">
        <f>'x86 TCO'!G5</f>
        <v>20</v>
      </c>
      <c r="E2" s="162">
        <v>5</v>
      </c>
      <c r="F2" s="159">
        <f>E4/D4</f>
        <v>0.25</v>
      </c>
      <c r="I2" s="163"/>
    </row>
    <row r="3" spans="1:23" s="10" customFormat="1" ht="69" x14ac:dyDescent="0.3">
      <c r="B3" s="18" t="s">
        <v>54</v>
      </c>
      <c r="C3" s="10" t="s">
        <v>53</v>
      </c>
      <c r="D3" s="6" t="s">
        <v>143</v>
      </c>
      <c r="E3" s="18" t="s">
        <v>56</v>
      </c>
      <c r="F3" s="134" t="s">
        <v>55</v>
      </c>
      <c r="H3" s="110" t="s">
        <v>130</v>
      </c>
      <c r="I3" s="18" t="s">
        <v>58</v>
      </c>
      <c r="J3" s="110" t="s">
        <v>131</v>
      </c>
      <c r="K3" s="18" t="s">
        <v>59</v>
      </c>
      <c r="L3" s="110" t="s">
        <v>181</v>
      </c>
      <c r="M3" s="18" t="s">
        <v>61</v>
      </c>
      <c r="N3" s="110" t="s">
        <v>182</v>
      </c>
      <c r="O3" s="18" t="s">
        <v>57</v>
      </c>
      <c r="P3" s="18" t="s">
        <v>178</v>
      </c>
      <c r="R3" s="134" t="s">
        <v>179</v>
      </c>
      <c r="S3" s="6" t="s">
        <v>176</v>
      </c>
      <c r="T3" s="18" t="s">
        <v>177</v>
      </c>
      <c r="U3" s="18" t="s">
        <v>132</v>
      </c>
      <c r="V3" s="18" t="s">
        <v>62</v>
      </c>
      <c r="W3" s="18" t="s">
        <v>133</v>
      </c>
    </row>
    <row r="4" spans="1:23" x14ac:dyDescent="0.3">
      <c r="A4" s="39" t="s">
        <v>108</v>
      </c>
      <c r="B4" s="43">
        <v>10</v>
      </c>
      <c r="C4" s="45">
        <v>20</v>
      </c>
      <c r="D4" s="119">
        <f>ROUNDUP($C$2/$C4,0)</f>
        <v>400</v>
      </c>
      <c r="E4" s="44">
        <f>IF(E2*D2&gt;D4,D4,E2*D2)</f>
        <v>100</v>
      </c>
      <c r="F4" s="135">
        <f>D4+E4</f>
        <v>500</v>
      </c>
      <c r="H4" s="158">
        <v>0.625</v>
      </c>
      <c r="I4" s="119">
        <f>ROUNDUP($D4*H4,0)</f>
        <v>250</v>
      </c>
      <c r="J4" s="158">
        <f>H4</f>
        <v>0.625</v>
      </c>
      <c r="K4" s="119">
        <f>ROUNDUP($D4*J4,0)</f>
        <v>250</v>
      </c>
      <c r="L4" s="158">
        <v>1</v>
      </c>
      <c r="M4" s="119">
        <f>ROUNDUP($D4*L4,0)</f>
        <v>400</v>
      </c>
      <c r="N4" s="158">
        <v>1</v>
      </c>
      <c r="O4" s="119">
        <f>ROUNDUP(($F4+M4)*N4,0)</f>
        <v>900</v>
      </c>
      <c r="P4" s="115"/>
      <c r="R4" s="135">
        <f>F4+I4+K4+M4+O4</f>
        <v>2300</v>
      </c>
      <c r="S4" s="120">
        <f>R$4/R5</f>
        <v>19.166666666666668</v>
      </c>
      <c r="T4" s="121">
        <f>F4+I4+K4+M4</f>
        <v>1400</v>
      </c>
      <c r="U4" s="116">
        <f>T$4/T5</f>
        <v>11.666666666666666</v>
      </c>
      <c r="V4" s="121">
        <f>R4</f>
        <v>2300</v>
      </c>
      <c r="W4" s="116">
        <f>V$4/V5</f>
        <v>11.5</v>
      </c>
    </row>
    <row r="5" spans="1:23" x14ac:dyDescent="0.3">
      <c r="A5" s="39" t="s">
        <v>147</v>
      </c>
      <c r="B5" s="43">
        <v>1</v>
      </c>
      <c r="C5" s="44">
        <f>$C$4*B4</f>
        <v>200</v>
      </c>
      <c r="D5" s="119">
        <f>ROUNDUP($C$2/$C5,0)</f>
        <v>40</v>
      </c>
      <c r="E5" s="115"/>
      <c r="F5" s="135">
        <f>D5+E5</f>
        <v>40</v>
      </c>
      <c r="H5" s="158">
        <f>50%</f>
        <v>0.5</v>
      </c>
      <c r="I5" s="126">
        <f>ROUNDUP($D5*H5,0)</f>
        <v>20</v>
      </c>
      <c r="J5" s="158">
        <f>H5</f>
        <v>0.5</v>
      </c>
      <c r="K5" s="126">
        <f>ROUNDUP($D5*J5,0)</f>
        <v>20</v>
      </c>
      <c r="L5" s="158">
        <v>1</v>
      </c>
      <c r="M5" s="119">
        <f>ROUNDUP($D5*L5,0)</f>
        <v>40</v>
      </c>
      <c r="N5" s="115"/>
      <c r="O5" s="156"/>
      <c r="P5" s="119">
        <f>F5+M5</f>
        <v>80</v>
      </c>
      <c r="R5" s="135">
        <f>F5+I5+K5+M5+O5</f>
        <v>120</v>
      </c>
      <c r="T5" s="121">
        <f>F5+I5+K5+M5</f>
        <v>120</v>
      </c>
      <c r="V5" s="121">
        <f>R5+P5</f>
        <v>200</v>
      </c>
    </row>
    <row r="6" spans="1:23" x14ac:dyDescent="0.3">
      <c r="L6" s="117" t="s">
        <v>137</v>
      </c>
    </row>
    <row r="7" spans="1:23" ht="21" x14ac:dyDescent="0.4">
      <c r="A7" s="41" t="s">
        <v>162</v>
      </c>
      <c r="H7" s="46"/>
    </row>
    <row r="8" spans="1:23" x14ac:dyDescent="0.3">
      <c r="A8" t="s">
        <v>168</v>
      </c>
      <c r="H8" s="46"/>
    </row>
    <row r="9" spans="1:23" x14ac:dyDescent="0.3">
      <c r="A9" t="s">
        <v>138</v>
      </c>
    </row>
    <row r="10" spans="1:23" x14ac:dyDescent="0.3">
      <c r="A10" t="s">
        <v>63</v>
      </c>
    </row>
    <row r="11" spans="1:23" x14ac:dyDescent="0.3">
      <c r="A11" t="s">
        <v>134</v>
      </c>
    </row>
    <row r="12" spans="1:23" x14ac:dyDescent="0.3">
      <c r="A12" t="s">
        <v>141</v>
      </c>
    </row>
    <row r="13" spans="1:23" x14ac:dyDescent="0.3">
      <c r="A13" t="s">
        <v>159</v>
      </c>
    </row>
    <row r="14" spans="1:23" x14ac:dyDescent="0.3">
      <c r="A14" t="s">
        <v>160</v>
      </c>
      <c r="B14" s="130" t="s">
        <v>161</v>
      </c>
    </row>
    <row r="16" spans="1:23" x14ac:dyDescent="0.3">
      <c r="A16" s="39" t="s">
        <v>166</v>
      </c>
    </row>
    <row r="17" spans="1:2" x14ac:dyDescent="0.3">
      <c r="A17" s="12"/>
      <c r="B17" t="s">
        <v>173</v>
      </c>
    </row>
    <row r="18" spans="1:2" x14ac:dyDescent="0.3">
      <c r="A18" s="107"/>
      <c r="B18" t="s">
        <v>167</v>
      </c>
    </row>
    <row r="19" spans="1:2" x14ac:dyDescent="0.3">
      <c r="A19" s="45"/>
      <c r="B19" t="s">
        <v>174</v>
      </c>
    </row>
    <row r="20" spans="1:2" x14ac:dyDescent="0.3">
      <c r="A20" s="38"/>
      <c r="B20" t="s">
        <v>169</v>
      </c>
    </row>
    <row r="21" spans="1:2" x14ac:dyDescent="0.3">
      <c r="A21" s="136"/>
      <c r="B21" t="s">
        <v>172</v>
      </c>
    </row>
    <row r="22" spans="1:2" x14ac:dyDescent="0.3">
      <c r="A22" s="19"/>
      <c r="B22" t="s">
        <v>171</v>
      </c>
    </row>
    <row r="23" spans="1:2" x14ac:dyDescent="0.3">
      <c r="A23" s="43"/>
      <c r="B23" t="s">
        <v>170</v>
      </c>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zoomScale="73" zoomScaleNormal="73" workbookViewId="0">
      <pane xSplit="1" ySplit="2" topLeftCell="B6" activePane="bottomRight" state="frozen"/>
      <selection pane="topRight" activeCell="B1" sqref="B1"/>
      <selection pane="bottomLeft" activeCell="A3" sqref="A3"/>
      <selection pane="bottomRight" activeCell="P7" sqref="P7"/>
    </sheetView>
  </sheetViews>
  <sheetFormatPr defaultRowHeight="14.4" outlineLevelRow="2" outlineLevelCol="1" x14ac:dyDescent="0.3"/>
  <cols>
    <col min="1" max="1" width="60.21875" bestFit="1" customWidth="1"/>
    <col min="2" max="2" width="4.33203125" customWidth="1" outlineLevel="1"/>
    <col min="3" max="3" width="12" customWidth="1" outlineLevel="1"/>
    <col min="4" max="9" width="13.109375" customWidth="1" outlineLevel="1"/>
    <col min="10" max="12" width="12.88671875" customWidth="1" outlineLevel="1"/>
    <col min="13" max="13" width="4.5546875" customWidth="1"/>
    <col min="14" max="14" width="6" customWidth="1" outlineLevel="1"/>
    <col min="15" max="16" width="9.88671875" customWidth="1" outlineLevel="1"/>
    <col min="17" max="17" width="11.33203125" customWidth="1" outlineLevel="1"/>
    <col min="18" max="27" width="14.6640625" customWidth="1" outlineLevel="1"/>
    <col min="28" max="28" width="14.6640625" customWidth="1"/>
  </cols>
  <sheetData>
    <row r="1" spans="1:28" ht="24" customHeight="1" x14ac:dyDescent="0.4">
      <c r="A1" s="41" t="s">
        <v>14</v>
      </c>
      <c r="B1" s="41"/>
      <c r="R1" s="166" t="s">
        <v>21</v>
      </c>
      <c r="S1" s="167"/>
      <c r="T1" s="167"/>
      <c r="U1" s="167"/>
      <c r="V1" s="168"/>
      <c r="W1" s="166" t="s">
        <v>22</v>
      </c>
      <c r="X1" s="167"/>
      <c r="Y1" s="167"/>
      <c r="Z1" s="167"/>
      <c r="AA1" s="168"/>
      <c r="AB1" s="1" t="s">
        <v>68</v>
      </c>
    </row>
    <row r="2" spans="1:28" ht="18" x14ac:dyDescent="0.35">
      <c r="A2" s="40" t="s">
        <v>13</v>
      </c>
      <c r="B2" s="40"/>
      <c r="R2" s="10">
        <v>1</v>
      </c>
      <c r="S2" s="10">
        <v>2</v>
      </c>
      <c r="T2" s="10">
        <v>3</v>
      </c>
      <c r="U2" s="10">
        <v>4</v>
      </c>
      <c r="V2" s="10">
        <v>5</v>
      </c>
      <c r="W2" s="10">
        <v>1</v>
      </c>
      <c r="X2" s="10">
        <v>2</v>
      </c>
      <c r="Y2" s="10">
        <v>3</v>
      </c>
      <c r="Z2" s="10">
        <v>4</v>
      </c>
      <c r="AA2" s="10">
        <v>5</v>
      </c>
    </row>
    <row r="3" spans="1:28" s="59" customFormat="1" ht="30.75" customHeight="1" x14ac:dyDescent="0.3">
      <c r="A3" s="58" t="s">
        <v>1</v>
      </c>
      <c r="B3" s="58"/>
    </row>
    <row r="4" spans="1:28" s="10" customFormat="1" ht="36" customHeight="1" outlineLevel="1" x14ac:dyDescent="0.3">
      <c r="A4" s="10" t="s">
        <v>15</v>
      </c>
      <c r="C4" s="11" t="s">
        <v>21</v>
      </c>
      <c r="D4" s="11" t="s">
        <v>22</v>
      </c>
      <c r="E4" s="11" t="s">
        <v>16</v>
      </c>
      <c r="F4" s="11" t="s">
        <v>23</v>
      </c>
      <c r="G4" s="11" t="s">
        <v>25</v>
      </c>
      <c r="H4" s="11" t="s">
        <v>19</v>
      </c>
      <c r="I4" s="11" t="s">
        <v>24</v>
      </c>
      <c r="J4" s="11" t="s">
        <v>38</v>
      </c>
      <c r="K4" s="11"/>
      <c r="L4" s="11" t="s">
        <v>17</v>
      </c>
    </row>
    <row r="5" spans="1:28" s="39" customFormat="1" outlineLevel="1" x14ac:dyDescent="0.3">
      <c r="A5" s="31" t="str" cm="1">
        <f t="array" ref="A5">INDEX(A6:A16,$B$5)</f>
        <v>Rack server w Xeon Gold 5115 10C 2.40GHz (2 Chips, 20 Cores)</v>
      </c>
      <c r="B5" s="22">
        <f>MATCH("S",B6:B16)</f>
        <v>2</v>
      </c>
      <c r="C5" s="21" cm="1">
        <f t="array" ref="C5">INDEX(C6:C16,$B$5)</f>
        <v>10000</v>
      </c>
      <c r="D5" s="21" cm="1">
        <f t="array" ref="D5">INDEX(D6:D16,$B$5)</f>
        <v>2000</v>
      </c>
      <c r="E5" s="22" cm="1">
        <f t="array" ref="E5">INDEX(E6:E16,$B$5)</f>
        <v>4</v>
      </c>
      <c r="F5" s="23" cm="1">
        <f t="array" ref="F5">INDEX(F6:F16,$B$5)</f>
        <v>0.3</v>
      </c>
      <c r="G5" s="32" cm="1">
        <f t="array" ref="G5">INDEX(G6:G16,$B$5)</f>
        <v>20</v>
      </c>
      <c r="H5" s="22" cm="1">
        <f t="array" ref="H5">INDEX(H6:H16,$B$5)</f>
        <v>2</v>
      </c>
      <c r="I5" s="22" cm="1">
        <f t="array" ref="I5">INDEX(I6:I16,$B$5)</f>
        <v>10</v>
      </c>
      <c r="J5" s="22" cm="1">
        <f t="array" ref="J5">INDEX(J6:J16,$B$5)</f>
        <v>30</v>
      </c>
      <c r="K5" s="22"/>
      <c r="L5" s="49" cm="1">
        <f t="array" ref="L5">INDEX(L6:L16,$B$5)</f>
        <v>0.6</v>
      </c>
    </row>
    <row r="6" spans="1:28" outlineLevel="2" x14ac:dyDescent="0.3">
      <c r="A6" s="47" t="s">
        <v>156</v>
      </c>
      <c r="B6" s="13">
        <v>0</v>
      </c>
      <c r="C6" s="127">
        <v>8000</v>
      </c>
      <c r="D6" s="127">
        <f>C6*0.2</f>
        <v>1600</v>
      </c>
      <c r="E6" s="30">
        <v>4</v>
      </c>
      <c r="F6" s="128">
        <v>0.3</v>
      </c>
      <c r="G6" s="15">
        <f t="shared" ref="G6" si="0">H6*I6</f>
        <v>16</v>
      </c>
      <c r="H6" s="30">
        <v>2</v>
      </c>
      <c r="I6" s="30">
        <v>8</v>
      </c>
      <c r="J6" s="51">
        <v>30</v>
      </c>
      <c r="K6" s="51"/>
      <c r="L6" s="137">
        <v>0.5</v>
      </c>
    </row>
    <row r="7" spans="1:28" outlineLevel="2" x14ac:dyDescent="0.3">
      <c r="A7" s="47" t="s">
        <v>155</v>
      </c>
      <c r="B7" s="13" t="s">
        <v>12</v>
      </c>
      <c r="C7" s="127">
        <v>10000</v>
      </c>
      <c r="D7" s="127">
        <f t="shared" ref="D7:D9" si="1">C7*0.2</f>
        <v>2000</v>
      </c>
      <c r="E7" s="30">
        <v>4</v>
      </c>
      <c r="F7" s="128">
        <v>0.3</v>
      </c>
      <c r="G7" s="15">
        <f t="shared" ref="G7:G8" si="2">H7*I7</f>
        <v>20</v>
      </c>
      <c r="H7" s="30">
        <v>2</v>
      </c>
      <c r="I7" s="30">
        <v>10</v>
      </c>
      <c r="J7" s="51">
        <v>30</v>
      </c>
      <c r="K7" s="51"/>
      <c r="L7" s="137">
        <v>0.6</v>
      </c>
      <c r="P7" s="175"/>
    </row>
    <row r="8" spans="1:28" outlineLevel="2" x14ac:dyDescent="0.3">
      <c r="A8" s="47" t="s">
        <v>175</v>
      </c>
      <c r="B8" s="13">
        <v>0</v>
      </c>
      <c r="C8" s="127">
        <v>12000</v>
      </c>
      <c r="D8" s="127">
        <f t="shared" si="1"/>
        <v>2400</v>
      </c>
      <c r="E8" s="30">
        <v>4</v>
      </c>
      <c r="F8" s="128">
        <v>0.3</v>
      </c>
      <c r="G8" s="15">
        <f t="shared" si="2"/>
        <v>24</v>
      </c>
      <c r="H8" s="30">
        <v>2</v>
      </c>
      <c r="I8" s="30">
        <v>12</v>
      </c>
      <c r="J8" s="51">
        <v>15</v>
      </c>
      <c r="K8" s="51"/>
      <c r="L8" s="137">
        <v>1.2</v>
      </c>
    </row>
    <row r="9" spans="1:28" outlineLevel="2" x14ac:dyDescent="0.3">
      <c r="A9" s="47" t="s">
        <v>154</v>
      </c>
      <c r="B9" s="13">
        <v>0</v>
      </c>
      <c r="C9" s="127">
        <v>24000</v>
      </c>
      <c r="D9" s="127">
        <f t="shared" si="1"/>
        <v>4800</v>
      </c>
      <c r="E9" s="30">
        <v>4</v>
      </c>
      <c r="F9" s="128">
        <v>0.3</v>
      </c>
      <c r="G9" s="15">
        <f t="shared" ref="G9" si="3">H9*I9</f>
        <v>48</v>
      </c>
      <c r="H9" s="30">
        <v>4</v>
      </c>
      <c r="I9" s="30">
        <v>12</v>
      </c>
      <c r="J9" s="51">
        <v>15</v>
      </c>
      <c r="K9" s="51"/>
      <c r="L9" s="137">
        <v>1.2</v>
      </c>
    </row>
    <row r="10" spans="1:28" outlineLevel="2" x14ac:dyDescent="0.3">
      <c r="A10" s="12"/>
      <c r="B10" s="13">
        <v>0</v>
      </c>
      <c r="C10" s="26"/>
      <c r="D10" s="26"/>
      <c r="E10" s="16"/>
      <c r="F10" s="17"/>
      <c r="G10" s="15">
        <f t="shared" ref="G10:G16" si="4">H10*I10</f>
        <v>0</v>
      </c>
      <c r="H10" s="16"/>
      <c r="I10" s="16"/>
      <c r="J10" s="51"/>
      <c r="K10" s="51"/>
      <c r="L10" s="133"/>
    </row>
    <row r="11" spans="1:28" outlineLevel="2" x14ac:dyDescent="0.3">
      <c r="A11" s="12"/>
      <c r="B11" s="13">
        <v>0</v>
      </c>
      <c r="C11" s="26"/>
      <c r="D11" s="26"/>
      <c r="E11" s="16"/>
      <c r="F11" s="17"/>
      <c r="G11" s="15">
        <f t="shared" si="4"/>
        <v>0</v>
      </c>
      <c r="H11" s="16"/>
      <c r="I11" s="16"/>
      <c r="J11" s="51"/>
      <c r="K11" s="51"/>
      <c r="L11" s="133"/>
    </row>
    <row r="12" spans="1:28" outlineLevel="2" x14ac:dyDescent="0.3">
      <c r="A12" s="12"/>
      <c r="B12" s="13">
        <v>0</v>
      </c>
      <c r="C12" s="26"/>
      <c r="D12" s="26"/>
      <c r="E12" s="16"/>
      <c r="F12" s="17"/>
      <c r="G12" s="15">
        <f t="shared" si="4"/>
        <v>0</v>
      </c>
      <c r="H12" s="16"/>
      <c r="I12" s="16"/>
      <c r="J12" s="51"/>
      <c r="K12" s="51"/>
      <c r="L12" s="133"/>
    </row>
    <row r="13" spans="1:28" outlineLevel="2" x14ac:dyDescent="0.3">
      <c r="A13" s="12"/>
      <c r="B13" s="13">
        <v>0</v>
      </c>
      <c r="C13" s="26"/>
      <c r="D13" s="26"/>
      <c r="E13" s="16"/>
      <c r="F13" s="17"/>
      <c r="G13" s="15">
        <f t="shared" si="4"/>
        <v>0</v>
      </c>
      <c r="H13" s="16"/>
      <c r="I13" s="16"/>
      <c r="J13" s="51"/>
      <c r="K13" s="51"/>
      <c r="L13" s="133"/>
    </row>
    <row r="14" spans="1:28" outlineLevel="2" x14ac:dyDescent="0.3">
      <c r="A14" s="12"/>
      <c r="B14" s="13">
        <v>0</v>
      </c>
      <c r="C14" s="26"/>
      <c r="D14" s="26"/>
      <c r="E14" s="16"/>
      <c r="F14" s="17"/>
      <c r="G14" s="15">
        <f t="shared" si="4"/>
        <v>0</v>
      </c>
      <c r="H14" s="16"/>
      <c r="I14" s="16"/>
      <c r="J14" s="51"/>
      <c r="K14" s="51"/>
      <c r="L14" s="133"/>
    </row>
    <row r="15" spans="1:28" outlineLevel="2" x14ac:dyDescent="0.3">
      <c r="A15" s="12"/>
      <c r="B15" s="13">
        <v>0</v>
      </c>
      <c r="C15" s="26"/>
      <c r="D15" s="26"/>
      <c r="E15" s="16"/>
      <c r="F15" s="17"/>
      <c r="G15" s="15">
        <f t="shared" si="4"/>
        <v>0</v>
      </c>
      <c r="H15" s="16"/>
      <c r="I15" s="16"/>
      <c r="J15" s="51"/>
      <c r="K15" s="51"/>
      <c r="L15" s="133"/>
    </row>
    <row r="16" spans="1:28" outlineLevel="2" x14ac:dyDescent="0.3">
      <c r="A16" s="12"/>
      <c r="B16" s="13">
        <v>0</v>
      </c>
      <c r="C16" s="26" t="s">
        <v>70</v>
      </c>
      <c r="D16" s="26"/>
      <c r="E16" s="16"/>
      <c r="F16" s="17"/>
      <c r="G16" s="15">
        <f t="shared" si="4"/>
        <v>0</v>
      </c>
      <c r="H16" s="16"/>
      <c r="I16" s="16"/>
      <c r="J16" s="51"/>
      <c r="K16" s="51"/>
      <c r="L16" s="133"/>
    </row>
    <row r="17" spans="1:29" ht="15" outlineLevel="1" thickBot="1" x14ac:dyDescent="0.35"/>
    <row r="18" spans="1:29" s="10" customFormat="1" ht="43.8" outlineLevel="1" thickBot="1" x14ac:dyDescent="0.35">
      <c r="A18" s="10" t="s">
        <v>69</v>
      </c>
      <c r="C18" s="94" t="s">
        <v>86</v>
      </c>
      <c r="D18" s="96" t="s">
        <v>88</v>
      </c>
      <c r="E18" s="95" t="s">
        <v>87</v>
      </c>
      <c r="F18" s="73" t="s">
        <v>89</v>
      </c>
      <c r="G18" s="74" t="s">
        <v>93</v>
      </c>
      <c r="H18" s="73" t="s">
        <v>91</v>
      </c>
      <c r="I18" s="73" t="s">
        <v>90</v>
      </c>
      <c r="J18" s="73" t="s">
        <v>92</v>
      </c>
      <c r="K18" s="74" t="s">
        <v>94</v>
      </c>
      <c r="O18" s="83" t="s">
        <v>18</v>
      </c>
      <c r="P18" s="83" t="s">
        <v>26</v>
      </c>
      <c r="Q18" s="83" t="s">
        <v>27</v>
      </c>
      <c r="R18" s="53">
        <v>1</v>
      </c>
      <c r="S18" s="54">
        <v>2</v>
      </c>
      <c r="T18" s="54">
        <v>3</v>
      </c>
      <c r="U18" s="54">
        <v>4</v>
      </c>
      <c r="V18" s="55">
        <v>5</v>
      </c>
      <c r="W18" s="53">
        <v>1</v>
      </c>
      <c r="X18" s="54">
        <v>2</v>
      </c>
      <c r="Y18" s="54">
        <v>3</v>
      </c>
      <c r="Z18" s="54">
        <v>4</v>
      </c>
      <c r="AA18" s="55">
        <v>5</v>
      </c>
      <c r="AB18" s="57" t="s">
        <v>20</v>
      </c>
    </row>
    <row r="19" spans="1:29" outlineLevel="1" x14ac:dyDescent="0.3">
      <c r="A19" s="14" t="s">
        <v>6</v>
      </c>
      <c r="B19" s="14"/>
      <c r="C19" s="10">
        <f>sizing!D4</f>
        <v>400</v>
      </c>
      <c r="D19" s="1" t="s">
        <v>136</v>
      </c>
      <c r="E19" s="92">
        <f>sizing!F4</f>
        <v>500</v>
      </c>
      <c r="F19" s="75">
        <f>$G$5</f>
        <v>20</v>
      </c>
      <c r="G19" s="72">
        <f>ROUNDUP(E19/F19,0)</f>
        <v>25</v>
      </c>
      <c r="H19" s="76">
        <f>F19*G19</f>
        <v>500</v>
      </c>
      <c r="I19" s="76">
        <f>H19-E19</f>
        <v>0</v>
      </c>
      <c r="J19" s="77">
        <f>I19/H19</f>
        <v>0</v>
      </c>
      <c r="K19" s="72">
        <f>ROUNDUP(E19/$I$5,0)</f>
        <v>50</v>
      </c>
      <c r="N19" s="14" t="s">
        <v>6</v>
      </c>
      <c r="O19" s="84">
        <f>G19</f>
        <v>25</v>
      </c>
      <c r="P19" s="84">
        <f>K19</f>
        <v>50</v>
      </c>
      <c r="Q19" s="84">
        <f>E19</f>
        <v>500</v>
      </c>
      <c r="R19" s="52">
        <f>$O19*$C$5*(1-$F$5)</f>
        <v>175000</v>
      </c>
      <c r="S19" s="52"/>
      <c r="T19" s="52"/>
      <c r="U19" s="52"/>
      <c r="V19" s="52"/>
      <c r="W19" s="52">
        <f t="shared" ref="W19:AA23" si="5">IF(W$18&lt;$E$5,0,$O19*$D$5)*(1-$F$5)</f>
        <v>0</v>
      </c>
      <c r="X19" s="52">
        <f t="shared" si="5"/>
        <v>0</v>
      </c>
      <c r="Y19" s="52">
        <f t="shared" si="5"/>
        <v>0</v>
      </c>
      <c r="Z19" s="52">
        <f t="shared" si="5"/>
        <v>35000</v>
      </c>
      <c r="AA19" s="52">
        <f t="shared" si="5"/>
        <v>35000</v>
      </c>
      <c r="AB19" s="56">
        <f>SUM(R19:AA19)</f>
        <v>245000</v>
      </c>
      <c r="AC19" s="1" t="s">
        <v>6</v>
      </c>
    </row>
    <row r="20" spans="1:29" outlineLevel="1" x14ac:dyDescent="0.3">
      <c r="A20" s="14" t="s">
        <v>7</v>
      </c>
      <c r="B20" s="14"/>
      <c r="D20" s="111">
        <f>sizing!H4</f>
        <v>0.625</v>
      </c>
      <c r="E20" s="92">
        <f>sizing!I4</f>
        <v>250</v>
      </c>
      <c r="F20" s="75">
        <f t="shared" ref="F20:F23" si="6">$G$5</f>
        <v>20</v>
      </c>
      <c r="G20" s="72">
        <f t="shared" ref="G20:G22" si="7">ROUNDUP(E20/F20,0)</f>
        <v>13</v>
      </c>
      <c r="H20" s="76">
        <f t="shared" ref="H20:H23" si="8">F20*G20</f>
        <v>260</v>
      </c>
      <c r="I20" s="76">
        <f t="shared" ref="I20:I23" si="9">H20-E20</f>
        <v>10</v>
      </c>
      <c r="J20" s="77">
        <f t="shared" ref="J20:J24" si="10">I20/H20</f>
        <v>3.8461538461538464E-2</v>
      </c>
      <c r="K20" s="72">
        <f t="shared" ref="K20:K23" si="11">ROUNDUP(E20/$I$5,0)</f>
        <v>25</v>
      </c>
      <c r="N20" s="14" t="s">
        <v>7</v>
      </c>
      <c r="O20" s="84">
        <f t="shared" ref="O20:O23" si="12">G20</f>
        <v>13</v>
      </c>
      <c r="P20" s="84">
        <f t="shared" ref="P20:P23" si="13">K20</f>
        <v>25</v>
      </c>
      <c r="Q20" s="84">
        <f t="shared" ref="Q20:Q23" si="14">E20</f>
        <v>250</v>
      </c>
      <c r="R20" s="19">
        <f>$O20*$C$5*(1-$F$5)</f>
        <v>91000</v>
      </c>
      <c r="S20" s="19"/>
      <c r="T20" s="19"/>
      <c r="U20" s="19"/>
      <c r="V20" s="19"/>
      <c r="W20" s="19">
        <f t="shared" si="5"/>
        <v>0</v>
      </c>
      <c r="X20" s="19">
        <f t="shared" si="5"/>
        <v>0</v>
      </c>
      <c r="Y20" s="19">
        <f t="shared" si="5"/>
        <v>0</v>
      </c>
      <c r="Z20" s="19">
        <f t="shared" si="5"/>
        <v>18200</v>
      </c>
      <c r="AA20" s="19">
        <f t="shared" si="5"/>
        <v>18200</v>
      </c>
      <c r="AB20" s="20">
        <f>SUM(R20:AA20)</f>
        <v>127400</v>
      </c>
      <c r="AC20" s="1" t="s">
        <v>7</v>
      </c>
    </row>
    <row r="21" spans="1:29" outlineLevel="1" x14ac:dyDescent="0.3">
      <c r="A21" s="14" t="s">
        <v>8</v>
      </c>
      <c r="B21" s="14"/>
      <c r="D21" s="111">
        <f>sizing!J4</f>
        <v>0.625</v>
      </c>
      <c r="E21" s="92">
        <f>sizing!K4</f>
        <v>250</v>
      </c>
      <c r="F21" s="75">
        <f t="shared" si="6"/>
        <v>20</v>
      </c>
      <c r="G21" s="72">
        <f t="shared" si="7"/>
        <v>13</v>
      </c>
      <c r="H21" s="76">
        <f t="shared" si="8"/>
        <v>260</v>
      </c>
      <c r="I21" s="76">
        <f t="shared" si="9"/>
        <v>10</v>
      </c>
      <c r="J21" s="77">
        <f t="shared" si="10"/>
        <v>3.8461538461538464E-2</v>
      </c>
      <c r="K21" s="72">
        <f t="shared" si="11"/>
        <v>25</v>
      </c>
      <c r="N21" s="14" t="s">
        <v>8</v>
      </c>
      <c r="O21" s="84">
        <f t="shared" si="12"/>
        <v>13</v>
      </c>
      <c r="P21" s="84">
        <f t="shared" si="13"/>
        <v>25</v>
      </c>
      <c r="Q21" s="84">
        <f t="shared" si="14"/>
        <v>250</v>
      </c>
      <c r="R21" s="19">
        <f>$O21*$C$5*(1-$F$5)</f>
        <v>91000</v>
      </c>
      <c r="S21" s="19"/>
      <c r="T21" s="19"/>
      <c r="U21" s="19"/>
      <c r="V21" s="19"/>
      <c r="W21" s="19">
        <f t="shared" si="5"/>
        <v>0</v>
      </c>
      <c r="X21" s="19">
        <f t="shared" si="5"/>
        <v>0</v>
      </c>
      <c r="Y21" s="19">
        <f t="shared" si="5"/>
        <v>0</v>
      </c>
      <c r="Z21" s="19">
        <f t="shared" si="5"/>
        <v>18200</v>
      </c>
      <c r="AA21" s="19">
        <f t="shared" si="5"/>
        <v>18200</v>
      </c>
      <c r="AB21" s="20">
        <f>SUM(R21:AA21)</f>
        <v>127400</v>
      </c>
      <c r="AC21" s="1" t="s">
        <v>8</v>
      </c>
    </row>
    <row r="22" spans="1:29" ht="15" outlineLevel="1" thickBot="1" x14ac:dyDescent="0.35">
      <c r="A22" s="14" t="s">
        <v>135</v>
      </c>
      <c r="B22" s="14"/>
      <c r="D22" s="112">
        <f>sizing!L4</f>
        <v>1</v>
      </c>
      <c r="E22" s="92">
        <f>sizing!M4</f>
        <v>400</v>
      </c>
      <c r="F22" s="75">
        <f t="shared" si="6"/>
        <v>20</v>
      </c>
      <c r="G22" s="72">
        <f t="shared" si="7"/>
        <v>20</v>
      </c>
      <c r="H22" s="76">
        <f t="shared" si="8"/>
        <v>400</v>
      </c>
      <c r="I22" s="76">
        <f t="shared" si="9"/>
        <v>0</v>
      </c>
      <c r="J22" s="77">
        <f t="shared" si="10"/>
        <v>0</v>
      </c>
      <c r="K22" s="72">
        <f t="shared" si="11"/>
        <v>40</v>
      </c>
      <c r="N22" s="14" t="s">
        <v>135</v>
      </c>
      <c r="O22" s="84">
        <f t="shared" si="12"/>
        <v>20</v>
      </c>
      <c r="P22" s="84">
        <f t="shared" si="13"/>
        <v>40</v>
      </c>
      <c r="Q22" s="84">
        <f t="shared" si="14"/>
        <v>400</v>
      </c>
      <c r="R22" s="19">
        <f>$O22*$C$5*(1-$F$5)</f>
        <v>140000</v>
      </c>
      <c r="S22" s="19"/>
      <c r="T22" s="19"/>
      <c r="U22" s="19"/>
      <c r="V22" s="19"/>
      <c r="W22" s="19">
        <f t="shared" si="5"/>
        <v>0</v>
      </c>
      <c r="X22" s="19">
        <f t="shared" si="5"/>
        <v>0</v>
      </c>
      <c r="Y22" s="19">
        <f t="shared" si="5"/>
        <v>0</v>
      </c>
      <c r="Z22" s="19">
        <f t="shared" si="5"/>
        <v>28000</v>
      </c>
      <c r="AA22" s="19">
        <f t="shared" si="5"/>
        <v>28000</v>
      </c>
      <c r="AB22" s="20">
        <f>SUM(R22:AA22)</f>
        <v>196000</v>
      </c>
      <c r="AC22" s="1" t="s">
        <v>9</v>
      </c>
    </row>
    <row r="23" spans="1:29" ht="15" outlineLevel="1" thickBot="1" x14ac:dyDescent="0.35">
      <c r="A23" s="14" t="s">
        <v>10</v>
      </c>
      <c r="B23" s="14"/>
      <c r="C23" s="164"/>
      <c r="D23" s="113">
        <f>sizing!N4</f>
        <v>1</v>
      </c>
      <c r="E23" s="92">
        <f>sizing!O4</f>
        <v>900</v>
      </c>
      <c r="F23" s="75">
        <f t="shared" si="6"/>
        <v>20</v>
      </c>
      <c r="G23" s="72">
        <f>G19+G22</f>
        <v>45</v>
      </c>
      <c r="H23" s="76">
        <f t="shared" si="8"/>
        <v>900</v>
      </c>
      <c r="I23" s="76">
        <f t="shared" si="9"/>
        <v>0</v>
      </c>
      <c r="J23" s="77">
        <f t="shared" si="10"/>
        <v>0</v>
      </c>
      <c r="K23" s="72">
        <f t="shared" si="11"/>
        <v>90</v>
      </c>
      <c r="N23" s="14" t="s">
        <v>10</v>
      </c>
      <c r="O23" s="84">
        <f t="shared" si="12"/>
        <v>45</v>
      </c>
      <c r="P23" s="84">
        <f t="shared" si="13"/>
        <v>90</v>
      </c>
      <c r="Q23" s="84">
        <f t="shared" si="14"/>
        <v>900</v>
      </c>
      <c r="R23" s="19">
        <f>$O23*$C$5*(1-$F$5)</f>
        <v>315000</v>
      </c>
      <c r="S23" s="19"/>
      <c r="T23" s="19"/>
      <c r="U23" s="19"/>
      <c r="V23" s="19"/>
      <c r="W23" s="19">
        <f t="shared" si="5"/>
        <v>0</v>
      </c>
      <c r="X23" s="19">
        <f t="shared" si="5"/>
        <v>0</v>
      </c>
      <c r="Y23" s="19">
        <f t="shared" si="5"/>
        <v>0</v>
      </c>
      <c r="Z23" s="19">
        <f t="shared" si="5"/>
        <v>62999.999999999993</v>
      </c>
      <c r="AA23" s="19">
        <f t="shared" si="5"/>
        <v>62999.999999999993</v>
      </c>
      <c r="AB23" s="20">
        <f>SUM(R23:AA23)</f>
        <v>441000</v>
      </c>
      <c r="AC23" s="1" t="s">
        <v>10</v>
      </c>
    </row>
    <row r="24" spans="1:29" x14ac:dyDescent="0.3">
      <c r="A24" s="64" t="s">
        <v>20</v>
      </c>
      <c r="B24" s="64"/>
      <c r="C24" s="39"/>
      <c r="D24" s="93"/>
      <c r="E24" s="78">
        <f>SUM(E19:E23)</f>
        <v>2300</v>
      </c>
      <c r="F24" s="79"/>
      <c r="G24" s="80">
        <f>SUM(G19:G23)</f>
        <v>116</v>
      </c>
      <c r="H24" s="81">
        <f>SUM(H19:H23)</f>
        <v>2320</v>
      </c>
      <c r="I24" s="81">
        <f>SUM(I19:I23)</f>
        <v>20</v>
      </c>
      <c r="J24" s="82">
        <f t="shared" si="10"/>
        <v>8.6206896551724137E-3</v>
      </c>
      <c r="K24" s="80">
        <f>SUM(K19:K23)</f>
        <v>230</v>
      </c>
      <c r="N24" s="5"/>
      <c r="O24" s="50">
        <f>SUM(O19:O23)</f>
        <v>116</v>
      </c>
      <c r="P24" s="50">
        <f>SUM(P19:P23)</f>
        <v>230</v>
      </c>
      <c r="Q24" s="50">
        <f>SUM(Q19:Q23)</f>
        <v>2300</v>
      </c>
      <c r="R24" s="71">
        <f t="shared" ref="R24:AB24" si="15">SUM(R19:R23)</f>
        <v>812000</v>
      </c>
      <c r="S24" s="71">
        <f t="shared" si="15"/>
        <v>0</v>
      </c>
      <c r="T24" s="71">
        <f t="shared" si="15"/>
        <v>0</v>
      </c>
      <c r="U24" s="71">
        <f t="shared" si="15"/>
        <v>0</v>
      </c>
      <c r="V24" s="71">
        <f t="shared" si="15"/>
        <v>0</v>
      </c>
      <c r="W24" s="71">
        <f t="shared" si="15"/>
        <v>0</v>
      </c>
      <c r="X24" s="71">
        <f t="shared" si="15"/>
        <v>0</v>
      </c>
      <c r="Y24" s="71">
        <f t="shared" si="15"/>
        <v>0</v>
      </c>
      <c r="Z24" s="71">
        <f t="shared" si="15"/>
        <v>162400</v>
      </c>
      <c r="AA24" s="71">
        <f t="shared" si="15"/>
        <v>162400</v>
      </c>
      <c r="AB24" s="71">
        <f t="shared" si="15"/>
        <v>1136800</v>
      </c>
      <c r="AC24" s="5" t="s">
        <v>20</v>
      </c>
    </row>
    <row r="25" spans="1:29" ht="28.8" x14ac:dyDescent="0.3">
      <c r="O25" s="18" t="s">
        <v>18</v>
      </c>
      <c r="P25" s="18" t="s">
        <v>26</v>
      </c>
      <c r="Q25" s="18" t="s">
        <v>27</v>
      </c>
    </row>
    <row r="26" spans="1:29" s="60" customFormat="1" ht="28.5" customHeight="1" thickBot="1" x14ac:dyDescent="0.35">
      <c r="A26" s="58" t="s">
        <v>32</v>
      </c>
      <c r="B26" s="58"/>
      <c r="R26" s="59"/>
      <c r="S26" s="59"/>
      <c r="T26" s="59"/>
      <c r="U26" s="59"/>
      <c r="V26" s="59"/>
      <c r="W26" s="59"/>
      <c r="X26" s="59"/>
      <c r="Y26" s="59"/>
      <c r="Z26" s="59"/>
      <c r="AA26" s="59"/>
      <c r="AB26" s="59"/>
      <c r="AC26" s="59"/>
    </row>
    <row r="27" spans="1:29" ht="38.25" customHeight="1" outlineLevel="1" thickBot="1" x14ac:dyDescent="0.35">
      <c r="A27" s="48" t="s">
        <v>71</v>
      </c>
      <c r="C27" s="11" t="s">
        <v>65</v>
      </c>
      <c r="D27" s="11" t="s">
        <v>22</v>
      </c>
      <c r="E27" s="11" t="s">
        <v>165</v>
      </c>
      <c r="F27" s="11" t="s">
        <v>23</v>
      </c>
      <c r="G27" s="11" t="s">
        <v>66</v>
      </c>
      <c r="H27" s="131" t="s">
        <v>95</v>
      </c>
      <c r="I27" s="83" t="s">
        <v>96</v>
      </c>
      <c r="J27" s="83" t="s">
        <v>35</v>
      </c>
      <c r="K27" s="83" t="s">
        <v>33</v>
      </c>
      <c r="L27" s="83" t="s">
        <v>34</v>
      </c>
      <c r="O27" s="5" t="s">
        <v>98</v>
      </c>
      <c r="P27" s="11" t="s">
        <v>66</v>
      </c>
      <c r="Q27" s="10" t="s">
        <v>67</v>
      </c>
      <c r="R27" s="53">
        <v>1</v>
      </c>
      <c r="S27" s="54">
        <v>2</v>
      </c>
      <c r="T27" s="54">
        <v>3</v>
      </c>
      <c r="U27" s="54">
        <v>4</v>
      </c>
      <c r="V27" s="55">
        <v>5</v>
      </c>
      <c r="W27" s="53">
        <v>1</v>
      </c>
      <c r="X27" s="54">
        <v>2</v>
      </c>
      <c r="Y27" s="54">
        <v>3</v>
      </c>
      <c r="Z27" s="54">
        <v>4</v>
      </c>
      <c r="AA27" s="55">
        <v>5</v>
      </c>
      <c r="AB27" s="57" t="s">
        <v>20</v>
      </c>
      <c r="AC27" s="10"/>
    </row>
    <row r="28" spans="1:29" outlineLevel="2" x14ac:dyDescent="0.3">
      <c r="A28" s="12" t="s">
        <v>31</v>
      </c>
      <c r="B28" s="12"/>
      <c r="C28" s="26"/>
      <c r="D28" s="26">
        <v>2000</v>
      </c>
      <c r="E28" s="16">
        <v>1</v>
      </c>
      <c r="F28" s="17">
        <v>0.2</v>
      </c>
      <c r="G28" s="85" t="s">
        <v>33</v>
      </c>
      <c r="H28" s="132" t="s">
        <v>33</v>
      </c>
      <c r="I28" s="85">
        <v>1</v>
      </c>
      <c r="J28" s="36">
        <f>$O$19</f>
        <v>25</v>
      </c>
      <c r="K28" s="36">
        <f>$P$19</f>
        <v>50</v>
      </c>
      <c r="L28" s="36">
        <f>$Q$19</f>
        <v>500</v>
      </c>
      <c r="O28">
        <f>_xlfn.XLOOKUP($H28,$J$27:$L$27,$J28:$L28)</f>
        <v>50</v>
      </c>
      <c r="P28" s="10" t="s">
        <v>33</v>
      </c>
      <c r="Q28" s="86">
        <f>I28*O28</f>
        <v>50</v>
      </c>
      <c r="R28" s="19">
        <f t="shared" ref="R28:R34" si="16">$Q28*$C28*(1-$F28)</f>
        <v>0</v>
      </c>
      <c r="S28" s="19"/>
      <c r="T28" s="19"/>
      <c r="U28" s="19"/>
      <c r="V28" s="19"/>
      <c r="W28" s="19">
        <f t="shared" ref="W28:AA34" si="17">IF(W$18&lt;$E28,0,$Q28*$D28)*(1-$F28)</f>
        <v>80000</v>
      </c>
      <c r="X28" s="19">
        <f t="shared" si="17"/>
        <v>80000</v>
      </c>
      <c r="Y28" s="19">
        <f t="shared" si="17"/>
        <v>80000</v>
      </c>
      <c r="Z28" s="19">
        <f t="shared" si="17"/>
        <v>80000</v>
      </c>
      <c r="AA28" s="19">
        <f t="shared" si="17"/>
        <v>80000</v>
      </c>
      <c r="AB28" s="20">
        <f>SUM(R28:AA28)</f>
        <v>400000</v>
      </c>
    </row>
    <row r="29" spans="1:29" outlineLevel="2" x14ac:dyDescent="0.3">
      <c r="A29" s="12" t="s">
        <v>29</v>
      </c>
      <c r="B29" s="12"/>
      <c r="C29" s="26">
        <v>5000</v>
      </c>
      <c r="D29" s="27">
        <f>C29*0.2</f>
        <v>1000</v>
      </c>
      <c r="E29" s="16">
        <v>2</v>
      </c>
      <c r="F29" s="17">
        <v>0.2</v>
      </c>
      <c r="G29" s="85" t="s">
        <v>33</v>
      </c>
      <c r="H29" s="132" t="s">
        <v>33</v>
      </c>
      <c r="I29" s="85">
        <v>1</v>
      </c>
      <c r="J29" s="1">
        <f>J28</f>
        <v>25</v>
      </c>
      <c r="K29" s="1">
        <f t="shared" ref="K29:L29" si="18">K28</f>
        <v>50</v>
      </c>
      <c r="L29" s="1">
        <f t="shared" si="18"/>
        <v>500</v>
      </c>
      <c r="O29">
        <f t="shared" ref="O29:O34" si="19">_xlfn.XLOOKUP($H29,$J$27:$L$27,$J29:$L29)</f>
        <v>50</v>
      </c>
      <c r="P29" s="10" t="s">
        <v>33</v>
      </c>
      <c r="Q29" s="86">
        <f t="shared" ref="Q29:Q34" si="20">I29*O29</f>
        <v>50</v>
      </c>
      <c r="R29" s="19">
        <f t="shared" si="16"/>
        <v>200000</v>
      </c>
      <c r="S29" s="19"/>
      <c r="T29" s="19"/>
      <c r="U29" s="19"/>
      <c r="V29" s="19"/>
      <c r="W29" s="19">
        <f t="shared" si="17"/>
        <v>0</v>
      </c>
      <c r="X29" s="19">
        <f t="shared" si="17"/>
        <v>40000</v>
      </c>
      <c r="Y29" s="19">
        <f t="shared" si="17"/>
        <v>40000</v>
      </c>
      <c r="Z29" s="19">
        <f t="shared" si="17"/>
        <v>40000</v>
      </c>
      <c r="AA29" s="19">
        <f t="shared" si="17"/>
        <v>40000</v>
      </c>
      <c r="AB29" s="20">
        <f t="shared" ref="AB29:AB30" si="21">SUM(R29:AA29)</f>
        <v>360000</v>
      </c>
    </row>
    <row r="30" spans="1:29" outlineLevel="2" x14ac:dyDescent="0.3">
      <c r="A30" s="12" t="s">
        <v>30</v>
      </c>
      <c r="B30" s="12"/>
      <c r="C30" s="26">
        <v>100</v>
      </c>
      <c r="D30" s="27">
        <f>C30*0.2</f>
        <v>20</v>
      </c>
      <c r="E30" s="16">
        <v>2</v>
      </c>
      <c r="F30" s="138">
        <v>0.75</v>
      </c>
      <c r="G30" s="85" t="s">
        <v>97</v>
      </c>
      <c r="H30" s="132" t="s">
        <v>34</v>
      </c>
      <c r="I30" s="139">
        <v>70</v>
      </c>
      <c r="J30" s="1">
        <f t="shared" ref="J30:J34" si="22">J29</f>
        <v>25</v>
      </c>
      <c r="K30" s="1">
        <f t="shared" ref="K30:K34" si="23">K29</f>
        <v>50</v>
      </c>
      <c r="L30" s="1">
        <f t="shared" ref="L30:L34" si="24">L29</f>
        <v>500</v>
      </c>
      <c r="O30">
        <f t="shared" si="19"/>
        <v>500</v>
      </c>
      <c r="P30" s="10" t="s">
        <v>97</v>
      </c>
      <c r="Q30" s="86">
        <f t="shared" si="20"/>
        <v>35000</v>
      </c>
      <c r="R30" s="19">
        <f t="shared" si="16"/>
        <v>875000</v>
      </c>
      <c r="S30" s="19"/>
      <c r="T30" s="19"/>
      <c r="U30" s="19"/>
      <c r="V30" s="19"/>
      <c r="W30" s="19">
        <f t="shared" si="17"/>
        <v>0</v>
      </c>
      <c r="X30" s="19">
        <f t="shared" si="17"/>
        <v>175000</v>
      </c>
      <c r="Y30" s="19">
        <f t="shared" si="17"/>
        <v>175000</v>
      </c>
      <c r="Z30" s="19">
        <f t="shared" si="17"/>
        <v>175000</v>
      </c>
      <c r="AA30" s="19">
        <f t="shared" si="17"/>
        <v>175000</v>
      </c>
      <c r="AB30" s="20">
        <f t="shared" si="21"/>
        <v>1575000</v>
      </c>
    </row>
    <row r="31" spans="1:29" outlineLevel="2" x14ac:dyDescent="0.3">
      <c r="A31" s="12" t="s">
        <v>28</v>
      </c>
      <c r="B31" s="12"/>
      <c r="C31" s="26">
        <v>40000</v>
      </c>
      <c r="D31" s="27">
        <f>C31*0.2</f>
        <v>8000</v>
      </c>
      <c r="E31" s="16">
        <v>2</v>
      </c>
      <c r="F31" s="138">
        <v>0.75</v>
      </c>
      <c r="G31" s="85" t="s">
        <v>34</v>
      </c>
      <c r="H31" s="132" t="s">
        <v>34</v>
      </c>
      <c r="I31" s="139">
        <v>0.5</v>
      </c>
      <c r="J31" s="1">
        <f t="shared" si="22"/>
        <v>25</v>
      </c>
      <c r="K31" s="1">
        <f t="shared" si="23"/>
        <v>50</v>
      </c>
      <c r="L31" s="1">
        <f t="shared" si="24"/>
        <v>500</v>
      </c>
      <c r="O31">
        <f t="shared" si="19"/>
        <v>500</v>
      </c>
      <c r="P31" s="10" t="s">
        <v>34</v>
      </c>
      <c r="Q31" s="86">
        <f>I31*O31</f>
        <v>250</v>
      </c>
      <c r="R31" s="19">
        <f t="shared" si="16"/>
        <v>2500000</v>
      </c>
      <c r="S31" s="19"/>
      <c r="T31" s="19"/>
      <c r="U31" s="19"/>
      <c r="V31" s="19"/>
      <c r="W31" s="19">
        <f t="shared" si="17"/>
        <v>0</v>
      </c>
      <c r="X31" s="19">
        <f t="shared" si="17"/>
        <v>500000</v>
      </c>
      <c r="Y31" s="19">
        <f t="shared" si="17"/>
        <v>500000</v>
      </c>
      <c r="Z31" s="19">
        <f t="shared" si="17"/>
        <v>500000</v>
      </c>
      <c r="AA31" s="19">
        <f t="shared" si="17"/>
        <v>500000</v>
      </c>
      <c r="AB31" s="20">
        <f>SUM(R31:AA31)</f>
        <v>4500000</v>
      </c>
    </row>
    <row r="32" spans="1:29" outlineLevel="2" x14ac:dyDescent="0.3">
      <c r="A32" s="12" t="s">
        <v>112</v>
      </c>
      <c r="B32" s="12"/>
      <c r="C32" s="26"/>
      <c r="D32" s="26">
        <v>3000</v>
      </c>
      <c r="E32" s="16">
        <v>1</v>
      </c>
      <c r="F32" s="138">
        <v>0.75</v>
      </c>
      <c r="G32" s="85" t="s">
        <v>34</v>
      </c>
      <c r="H32" s="132" t="s">
        <v>34</v>
      </c>
      <c r="I32" s="139">
        <v>0.5</v>
      </c>
      <c r="J32" s="1">
        <f t="shared" si="22"/>
        <v>25</v>
      </c>
      <c r="K32" s="1">
        <f t="shared" si="23"/>
        <v>50</v>
      </c>
      <c r="L32" s="1">
        <f t="shared" si="24"/>
        <v>500</v>
      </c>
      <c r="O32">
        <f t="shared" si="19"/>
        <v>500</v>
      </c>
      <c r="P32" s="10" t="s">
        <v>34</v>
      </c>
      <c r="Q32" s="86">
        <f t="shared" si="20"/>
        <v>250</v>
      </c>
      <c r="R32" s="19">
        <f t="shared" si="16"/>
        <v>0</v>
      </c>
      <c r="S32" s="19"/>
      <c r="T32" s="19"/>
      <c r="U32" s="19"/>
      <c r="V32" s="19"/>
      <c r="W32" s="19">
        <f t="shared" si="17"/>
        <v>187500</v>
      </c>
      <c r="X32" s="19">
        <f t="shared" si="17"/>
        <v>187500</v>
      </c>
      <c r="Y32" s="19">
        <f t="shared" si="17"/>
        <v>187500</v>
      </c>
      <c r="Z32" s="19">
        <f t="shared" si="17"/>
        <v>187500</v>
      </c>
      <c r="AA32" s="19">
        <f t="shared" si="17"/>
        <v>187500</v>
      </c>
      <c r="AB32" s="20">
        <f>SUM(R32:AA32)</f>
        <v>937500</v>
      </c>
    </row>
    <row r="33" spans="1:29" outlineLevel="2" x14ac:dyDescent="0.3">
      <c r="A33" s="12" t="s">
        <v>128</v>
      </c>
      <c r="B33" s="12"/>
      <c r="C33" s="26">
        <v>5000</v>
      </c>
      <c r="D33" s="27">
        <f>C33*0.2</f>
        <v>1000</v>
      </c>
      <c r="E33" s="16">
        <v>2</v>
      </c>
      <c r="F33" s="17">
        <v>0.4</v>
      </c>
      <c r="G33" s="85" t="s">
        <v>35</v>
      </c>
      <c r="H33" s="132" t="s">
        <v>35</v>
      </c>
      <c r="I33" s="85">
        <v>1</v>
      </c>
      <c r="J33" s="1">
        <f t="shared" si="22"/>
        <v>25</v>
      </c>
      <c r="K33" s="1">
        <f t="shared" si="23"/>
        <v>50</v>
      </c>
      <c r="L33" s="1">
        <f t="shared" si="24"/>
        <v>500</v>
      </c>
      <c r="O33">
        <f t="shared" si="19"/>
        <v>25</v>
      </c>
      <c r="P33" s="10" t="s">
        <v>35</v>
      </c>
      <c r="Q33" s="86">
        <f t="shared" si="20"/>
        <v>25</v>
      </c>
      <c r="R33" s="19">
        <f t="shared" si="16"/>
        <v>75000</v>
      </c>
      <c r="S33" s="19"/>
      <c r="T33" s="19"/>
      <c r="U33" s="19"/>
      <c r="V33" s="19"/>
      <c r="W33" s="19">
        <f t="shared" si="17"/>
        <v>0</v>
      </c>
      <c r="X33" s="19">
        <f t="shared" si="17"/>
        <v>15000</v>
      </c>
      <c r="Y33" s="19">
        <f t="shared" si="17"/>
        <v>15000</v>
      </c>
      <c r="Z33" s="19">
        <f t="shared" si="17"/>
        <v>15000</v>
      </c>
      <c r="AA33" s="19">
        <f t="shared" si="17"/>
        <v>15000</v>
      </c>
      <c r="AB33" s="20">
        <f t="shared" ref="AB33:AB34" si="25">SUM(R33:AA33)</f>
        <v>135000</v>
      </c>
    </row>
    <row r="34" spans="1:29" outlineLevel="2" x14ac:dyDescent="0.3">
      <c r="A34" s="12" t="s">
        <v>129</v>
      </c>
      <c r="B34" s="12"/>
      <c r="C34" s="26">
        <v>5000</v>
      </c>
      <c r="D34" s="27">
        <f>C34*0.2</f>
        <v>1000</v>
      </c>
      <c r="E34" s="16">
        <v>2</v>
      </c>
      <c r="F34" s="17">
        <v>0.4</v>
      </c>
      <c r="G34" s="85" t="s">
        <v>35</v>
      </c>
      <c r="H34" s="132" t="s">
        <v>35</v>
      </c>
      <c r="I34" s="85">
        <v>1</v>
      </c>
      <c r="J34" s="1">
        <f t="shared" si="22"/>
        <v>25</v>
      </c>
      <c r="K34" s="1">
        <f t="shared" si="23"/>
        <v>50</v>
      </c>
      <c r="L34" s="1">
        <f t="shared" si="24"/>
        <v>500</v>
      </c>
      <c r="O34">
        <f t="shared" si="19"/>
        <v>25</v>
      </c>
      <c r="P34" s="10" t="s">
        <v>35</v>
      </c>
      <c r="Q34" s="86">
        <f t="shared" si="20"/>
        <v>25</v>
      </c>
      <c r="R34" s="19">
        <f t="shared" si="16"/>
        <v>75000</v>
      </c>
      <c r="S34" s="19"/>
      <c r="T34" s="19"/>
      <c r="U34" s="19"/>
      <c r="V34" s="19"/>
      <c r="W34" s="19">
        <f t="shared" si="17"/>
        <v>0</v>
      </c>
      <c r="X34" s="19">
        <f t="shared" si="17"/>
        <v>15000</v>
      </c>
      <c r="Y34" s="19">
        <f t="shared" si="17"/>
        <v>15000</v>
      </c>
      <c r="Z34" s="19">
        <f t="shared" si="17"/>
        <v>15000</v>
      </c>
      <c r="AA34" s="19">
        <f t="shared" si="17"/>
        <v>15000</v>
      </c>
      <c r="AB34" s="20">
        <f t="shared" si="25"/>
        <v>135000</v>
      </c>
    </row>
    <row r="35" spans="1:29" s="39" customFormat="1" outlineLevel="1" x14ac:dyDescent="0.3">
      <c r="Q35" s="64" t="s">
        <v>99</v>
      </c>
      <c r="R35" s="61">
        <f>SUM(R28:R34)</f>
        <v>3725000</v>
      </c>
      <c r="S35" s="61">
        <f t="shared" ref="S35:AB35" si="26">SUM(S28:S34)</f>
        <v>0</v>
      </c>
      <c r="T35" s="61">
        <f t="shared" si="26"/>
        <v>0</v>
      </c>
      <c r="U35" s="61">
        <f t="shared" si="26"/>
        <v>0</v>
      </c>
      <c r="V35" s="61">
        <f t="shared" si="26"/>
        <v>0</v>
      </c>
      <c r="W35" s="61">
        <f t="shared" si="26"/>
        <v>267500</v>
      </c>
      <c r="X35" s="61">
        <f t="shared" si="26"/>
        <v>1012500</v>
      </c>
      <c r="Y35" s="61">
        <f t="shared" si="26"/>
        <v>1012500</v>
      </c>
      <c r="Z35" s="61">
        <f t="shared" si="26"/>
        <v>1012500</v>
      </c>
      <c r="AA35" s="61">
        <f t="shared" si="26"/>
        <v>1012500</v>
      </c>
      <c r="AB35" s="62">
        <f t="shared" si="26"/>
        <v>8042500</v>
      </c>
    </row>
    <row r="36" spans="1:29" ht="15" outlineLevel="1" thickBot="1" x14ac:dyDescent="0.35"/>
    <row r="37" spans="1:29" ht="42" customHeight="1" outlineLevel="1" thickBot="1" x14ac:dyDescent="0.35">
      <c r="A37" s="48" t="s">
        <v>7</v>
      </c>
      <c r="C37" s="11" t="s">
        <v>65</v>
      </c>
      <c r="D37" s="11" t="s">
        <v>22</v>
      </c>
      <c r="E37" s="11" t="str">
        <f>E27</f>
        <v>Starting Year of yearly charges</v>
      </c>
      <c r="F37" s="11" t="s">
        <v>23</v>
      </c>
      <c r="G37" s="11" t="s">
        <v>66</v>
      </c>
      <c r="H37" s="11" t="s">
        <v>95</v>
      </c>
      <c r="I37" s="83" t="s">
        <v>96</v>
      </c>
      <c r="J37" s="83" t="s">
        <v>35</v>
      </c>
      <c r="K37" s="83" t="s">
        <v>33</v>
      </c>
      <c r="L37" s="83" t="s">
        <v>34</v>
      </c>
      <c r="O37" s="5" t="s">
        <v>98</v>
      </c>
      <c r="P37" s="11" t="s">
        <v>66</v>
      </c>
      <c r="Q37" s="10" t="s">
        <v>67</v>
      </c>
      <c r="R37" s="53">
        <v>1</v>
      </c>
      <c r="S37" s="54">
        <v>2</v>
      </c>
      <c r="T37" s="54">
        <v>3</v>
      </c>
      <c r="U37" s="54">
        <v>4</v>
      </c>
      <c r="V37" s="55">
        <v>5</v>
      </c>
      <c r="W37" s="53">
        <v>1</v>
      </c>
      <c r="X37" s="54">
        <v>2</v>
      </c>
      <c r="Y37" s="54">
        <v>3</v>
      </c>
      <c r="Z37" s="54">
        <v>4</v>
      </c>
      <c r="AA37" s="55">
        <v>5</v>
      </c>
      <c r="AB37" s="57" t="s">
        <v>20</v>
      </c>
      <c r="AC37" s="10"/>
    </row>
    <row r="38" spans="1:29" outlineLevel="2" x14ac:dyDescent="0.3">
      <c r="A38" s="24" t="str">
        <f t="shared" ref="A38:A44" si="27">A28</f>
        <v>OS</v>
      </c>
      <c r="B38" s="24"/>
      <c r="C38" s="27">
        <f t="shared" ref="C38:I38" si="28">C28</f>
        <v>0</v>
      </c>
      <c r="D38" s="27">
        <f t="shared" si="28"/>
        <v>2000</v>
      </c>
      <c r="E38" s="28">
        <f t="shared" si="28"/>
        <v>1</v>
      </c>
      <c r="F38" s="29">
        <f t="shared" si="28"/>
        <v>0.2</v>
      </c>
      <c r="G38" s="87" t="str">
        <f t="shared" si="28"/>
        <v>socket</v>
      </c>
      <c r="H38" s="87" t="str">
        <f t="shared" si="28"/>
        <v>socket</v>
      </c>
      <c r="I38" s="85">
        <f t="shared" si="28"/>
        <v>1</v>
      </c>
      <c r="J38" s="36">
        <f>$O$20</f>
        <v>13</v>
      </c>
      <c r="K38" s="36">
        <f>$P$20</f>
        <v>25</v>
      </c>
      <c r="L38" s="36">
        <f>$Q$20</f>
        <v>250</v>
      </c>
      <c r="O38">
        <f>_xlfn.XLOOKUP($H38,$J$27:$L$27,$J38:$L38)</f>
        <v>25</v>
      </c>
      <c r="P38" s="10" t="s">
        <v>33</v>
      </c>
      <c r="Q38" s="86">
        <f>I38*O38</f>
        <v>25</v>
      </c>
      <c r="R38" s="19">
        <f t="shared" ref="R38:R44" si="29">$Q38*$C38*(1-$F38)</f>
        <v>0</v>
      </c>
      <c r="S38" s="19"/>
      <c r="T38" s="19"/>
      <c r="U38" s="19"/>
      <c r="V38" s="19"/>
      <c r="W38" s="19">
        <f t="shared" ref="W38:AA44" si="30">IF(W$18&lt;$E38,0,$Q38*$D38)*(1-$F38)</f>
        <v>40000</v>
      </c>
      <c r="X38" s="19">
        <f t="shared" si="30"/>
        <v>40000</v>
      </c>
      <c r="Y38" s="19">
        <f t="shared" si="30"/>
        <v>40000</v>
      </c>
      <c r="Z38" s="19">
        <f t="shared" si="30"/>
        <v>40000</v>
      </c>
      <c r="AA38" s="19">
        <f t="shared" si="30"/>
        <v>40000</v>
      </c>
      <c r="AB38" s="20">
        <f>SUM(R38:AA38)</f>
        <v>200000</v>
      </c>
    </row>
    <row r="39" spans="1:29" outlineLevel="2" x14ac:dyDescent="0.3">
      <c r="A39" s="24" t="str">
        <f t="shared" si="27"/>
        <v>VM</v>
      </c>
      <c r="B39" s="24"/>
      <c r="C39" s="27">
        <f t="shared" ref="C39:F44" si="31">C29</f>
        <v>5000</v>
      </c>
      <c r="D39" s="27">
        <f t="shared" si="31"/>
        <v>1000</v>
      </c>
      <c r="E39" s="28">
        <f t="shared" si="31"/>
        <v>2</v>
      </c>
      <c r="F39" s="29">
        <f t="shared" si="31"/>
        <v>0.2</v>
      </c>
      <c r="G39" s="87" t="str">
        <f t="shared" ref="G39:I44" si="32">G29</f>
        <v>socket</v>
      </c>
      <c r="H39" s="87" t="str">
        <f t="shared" si="32"/>
        <v>socket</v>
      </c>
      <c r="I39" s="85">
        <f t="shared" si="32"/>
        <v>1</v>
      </c>
      <c r="J39" s="1">
        <f>J38</f>
        <v>13</v>
      </c>
      <c r="K39" s="1">
        <f t="shared" ref="K39:K44" si="33">K38</f>
        <v>25</v>
      </c>
      <c r="L39" s="1">
        <f t="shared" ref="L39:L44" si="34">L38</f>
        <v>250</v>
      </c>
      <c r="O39">
        <f t="shared" ref="O39:O44" si="35">_xlfn.XLOOKUP($H39,$J$27:$L$27,$J39:$L39)</f>
        <v>25</v>
      </c>
      <c r="P39" s="10" t="s">
        <v>33</v>
      </c>
      <c r="Q39" s="86">
        <f t="shared" ref="Q39:Q44" si="36">I39*O39</f>
        <v>25</v>
      </c>
      <c r="R39" s="19">
        <f t="shared" si="29"/>
        <v>100000</v>
      </c>
      <c r="S39" s="19"/>
      <c r="T39" s="19"/>
      <c r="U39" s="19"/>
      <c r="V39" s="19"/>
      <c r="W39" s="19">
        <f t="shared" si="30"/>
        <v>0</v>
      </c>
      <c r="X39" s="19">
        <f t="shared" si="30"/>
        <v>20000</v>
      </c>
      <c r="Y39" s="19">
        <f t="shared" si="30"/>
        <v>20000</v>
      </c>
      <c r="Z39" s="19">
        <f t="shared" si="30"/>
        <v>20000</v>
      </c>
      <c r="AA39" s="19">
        <f t="shared" si="30"/>
        <v>20000</v>
      </c>
      <c r="AB39" s="20">
        <f t="shared" ref="AB39:AB40" si="37">SUM(R39:AA39)</f>
        <v>180000</v>
      </c>
    </row>
    <row r="40" spans="1:29" outlineLevel="2" x14ac:dyDescent="0.3">
      <c r="A40" s="24" t="str">
        <f t="shared" si="27"/>
        <v>Application Server</v>
      </c>
      <c r="B40" s="24"/>
      <c r="C40" s="27">
        <f t="shared" si="31"/>
        <v>100</v>
      </c>
      <c r="D40" s="27">
        <f t="shared" si="31"/>
        <v>20</v>
      </c>
      <c r="E40" s="28">
        <f t="shared" si="31"/>
        <v>2</v>
      </c>
      <c r="F40" s="29">
        <f t="shared" si="31"/>
        <v>0.75</v>
      </c>
      <c r="G40" s="87" t="str">
        <f t="shared" si="32"/>
        <v>PVU</v>
      </c>
      <c r="H40" s="87" t="str">
        <f t="shared" si="32"/>
        <v>core</v>
      </c>
      <c r="I40" s="85">
        <f t="shared" si="32"/>
        <v>70</v>
      </c>
      <c r="J40" s="1">
        <f t="shared" ref="J40:J44" si="38">J39</f>
        <v>13</v>
      </c>
      <c r="K40" s="1">
        <f t="shared" si="33"/>
        <v>25</v>
      </c>
      <c r="L40" s="1">
        <f t="shared" si="34"/>
        <v>250</v>
      </c>
      <c r="O40">
        <f t="shared" si="35"/>
        <v>250</v>
      </c>
      <c r="P40" s="10" t="s">
        <v>97</v>
      </c>
      <c r="Q40" s="86">
        <f t="shared" si="36"/>
        <v>17500</v>
      </c>
      <c r="R40" s="19">
        <f t="shared" si="29"/>
        <v>437500</v>
      </c>
      <c r="S40" s="19"/>
      <c r="T40" s="19"/>
      <c r="U40" s="19"/>
      <c r="V40" s="19"/>
      <c r="W40" s="19">
        <f t="shared" si="30"/>
        <v>0</v>
      </c>
      <c r="X40" s="19">
        <f t="shared" si="30"/>
        <v>87500</v>
      </c>
      <c r="Y40" s="19">
        <f t="shared" si="30"/>
        <v>87500</v>
      </c>
      <c r="Z40" s="19">
        <f t="shared" si="30"/>
        <v>87500</v>
      </c>
      <c r="AA40" s="19">
        <f t="shared" si="30"/>
        <v>87500</v>
      </c>
      <c r="AB40" s="20">
        <f t="shared" si="37"/>
        <v>787500</v>
      </c>
    </row>
    <row r="41" spans="1:29" outlineLevel="2" x14ac:dyDescent="0.3">
      <c r="A41" s="24" t="str">
        <f t="shared" si="27"/>
        <v>DB</v>
      </c>
      <c r="B41" s="24"/>
      <c r="C41" s="27">
        <f t="shared" si="31"/>
        <v>40000</v>
      </c>
      <c r="D41" s="27">
        <f t="shared" si="31"/>
        <v>8000</v>
      </c>
      <c r="E41" s="28">
        <f t="shared" si="31"/>
        <v>2</v>
      </c>
      <c r="F41" s="29">
        <f t="shared" si="31"/>
        <v>0.75</v>
      </c>
      <c r="G41" s="87" t="str">
        <f t="shared" si="32"/>
        <v>core</v>
      </c>
      <c r="H41" s="87" t="str">
        <f t="shared" si="32"/>
        <v>core</v>
      </c>
      <c r="I41" s="85">
        <f t="shared" si="32"/>
        <v>0.5</v>
      </c>
      <c r="J41" s="1">
        <f t="shared" si="38"/>
        <v>13</v>
      </c>
      <c r="K41" s="1">
        <f t="shared" si="33"/>
        <v>25</v>
      </c>
      <c r="L41" s="1">
        <f t="shared" si="34"/>
        <v>250</v>
      </c>
      <c r="O41">
        <f t="shared" si="35"/>
        <v>250</v>
      </c>
      <c r="P41" s="10" t="s">
        <v>34</v>
      </c>
      <c r="Q41" s="86">
        <f t="shared" si="36"/>
        <v>125</v>
      </c>
      <c r="R41" s="19">
        <f t="shared" si="29"/>
        <v>1250000</v>
      </c>
      <c r="S41" s="19"/>
      <c r="T41" s="19"/>
      <c r="U41" s="19"/>
      <c r="V41" s="19"/>
      <c r="W41" s="19">
        <f t="shared" si="30"/>
        <v>0</v>
      </c>
      <c r="X41" s="19">
        <f t="shared" si="30"/>
        <v>250000</v>
      </c>
      <c r="Y41" s="19">
        <f t="shared" si="30"/>
        <v>250000</v>
      </c>
      <c r="Z41" s="19">
        <f t="shared" si="30"/>
        <v>250000</v>
      </c>
      <c r="AA41" s="19">
        <f t="shared" si="30"/>
        <v>250000</v>
      </c>
      <c r="AB41" s="20">
        <f>SUM(R41:AA41)</f>
        <v>2250000</v>
      </c>
    </row>
    <row r="42" spans="1:29" outlineLevel="2" x14ac:dyDescent="0.3">
      <c r="A42" s="24" t="str">
        <f t="shared" si="27"/>
        <v>Data Replication Tools</v>
      </c>
      <c r="B42" s="24"/>
      <c r="C42" s="27">
        <f t="shared" si="31"/>
        <v>0</v>
      </c>
      <c r="D42" s="27">
        <f t="shared" si="31"/>
        <v>3000</v>
      </c>
      <c r="E42" s="28">
        <f t="shared" si="31"/>
        <v>1</v>
      </c>
      <c r="F42" s="29">
        <f t="shared" si="31"/>
        <v>0.75</v>
      </c>
      <c r="G42" s="87" t="str">
        <f t="shared" si="32"/>
        <v>core</v>
      </c>
      <c r="H42" s="87" t="str">
        <f t="shared" si="32"/>
        <v>core</v>
      </c>
      <c r="I42" s="85">
        <f t="shared" si="32"/>
        <v>0.5</v>
      </c>
      <c r="J42" s="1">
        <f t="shared" si="38"/>
        <v>13</v>
      </c>
      <c r="K42" s="1">
        <f t="shared" si="33"/>
        <v>25</v>
      </c>
      <c r="L42" s="1">
        <f t="shared" si="34"/>
        <v>250</v>
      </c>
      <c r="O42">
        <f t="shared" si="35"/>
        <v>250</v>
      </c>
      <c r="P42" s="10" t="s">
        <v>34</v>
      </c>
      <c r="Q42" s="86">
        <f t="shared" si="36"/>
        <v>125</v>
      </c>
      <c r="R42" s="19">
        <f t="shared" si="29"/>
        <v>0</v>
      </c>
      <c r="S42" s="19"/>
      <c r="T42" s="19"/>
      <c r="U42" s="19"/>
      <c r="V42" s="19"/>
      <c r="W42" s="19">
        <f t="shared" si="30"/>
        <v>93750</v>
      </c>
      <c r="X42" s="19">
        <f t="shared" si="30"/>
        <v>93750</v>
      </c>
      <c r="Y42" s="19">
        <f t="shared" si="30"/>
        <v>93750</v>
      </c>
      <c r="Z42" s="19">
        <f t="shared" si="30"/>
        <v>93750</v>
      </c>
      <c r="AA42" s="19">
        <f t="shared" si="30"/>
        <v>93750</v>
      </c>
      <c r="AB42" s="20">
        <f>SUM(R42:AA42)</f>
        <v>468750</v>
      </c>
    </row>
    <row r="43" spans="1:29" outlineLevel="2" x14ac:dyDescent="0.3">
      <c r="A43" s="24" t="str">
        <f t="shared" si="27"/>
        <v>Monitoring Tools</v>
      </c>
      <c r="B43" s="24"/>
      <c r="C43" s="27">
        <f t="shared" si="31"/>
        <v>5000</v>
      </c>
      <c r="D43" s="27">
        <f t="shared" si="31"/>
        <v>1000</v>
      </c>
      <c r="E43" s="28">
        <f t="shared" si="31"/>
        <v>2</v>
      </c>
      <c r="F43" s="29">
        <f t="shared" si="31"/>
        <v>0.4</v>
      </c>
      <c r="G43" s="87" t="str">
        <f t="shared" si="32"/>
        <v>server</v>
      </c>
      <c r="H43" s="87" t="str">
        <f t="shared" si="32"/>
        <v>server</v>
      </c>
      <c r="I43" s="85">
        <f t="shared" si="32"/>
        <v>1</v>
      </c>
      <c r="J43" s="1">
        <f t="shared" si="38"/>
        <v>13</v>
      </c>
      <c r="K43" s="1">
        <f t="shared" si="33"/>
        <v>25</v>
      </c>
      <c r="L43" s="1">
        <f t="shared" si="34"/>
        <v>250</v>
      </c>
      <c r="O43">
        <f t="shared" si="35"/>
        <v>13</v>
      </c>
      <c r="P43" s="10" t="s">
        <v>35</v>
      </c>
      <c r="Q43" s="86">
        <f t="shared" si="36"/>
        <v>13</v>
      </c>
      <c r="R43" s="19">
        <f t="shared" si="29"/>
        <v>39000</v>
      </c>
      <c r="S43" s="19"/>
      <c r="T43" s="19"/>
      <c r="U43" s="19"/>
      <c r="V43" s="19"/>
      <c r="W43" s="19">
        <f t="shared" si="30"/>
        <v>0</v>
      </c>
      <c r="X43" s="19">
        <f t="shared" si="30"/>
        <v>7800</v>
      </c>
      <c r="Y43" s="19">
        <f t="shared" si="30"/>
        <v>7800</v>
      </c>
      <c r="Z43" s="19">
        <f t="shared" si="30"/>
        <v>7800</v>
      </c>
      <c r="AA43" s="19">
        <f t="shared" si="30"/>
        <v>7800</v>
      </c>
      <c r="AB43" s="20">
        <f t="shared" ref="AB43:AB44" si="39">SUM(R43:AA43)</f>
        <v>70200</v>
      </c>
    </row>
    <row r="44" spans="1:29" outlineLevel="2" x14ac:dyDescent="0.3">
      <c r="A44" s="24" t="str">
        <f t="shared" si="27"/>
        <v>Security Tools</v>
      </c>
      <c r="B44" s="24"/>
      <c r="C44" s="27">
        <f t="shared" si="31"/>
        <v>5000</v>
      </c>
      <c r="D44" s="27">
        <f t="shared" si="31"/>
        <v>1000</v>
      </c>
      <c r="E44" s="28">
        <f t="shared" si="31"/>
        <v>2</v>
      </c>
      <c r="F44" s="29">
        <f t="shared" si="31"/>
        <v>0.4</v>
      </c>
      <c r="G44" s="87" t="str">
        <f t="shared" si="32"/>
        <v>server</v>
      </c>
      <c r="H44" s="87" t="str">
        <f t="shared" si="32"/>
        <v>server</v>
      </c>
      <c r="I44" s="85">
        <f t="shared" si="32"/>
        <v>1</v>
      </c>
      <c r="J44" s="1">
        <f t="shared" si="38"/>
        <v>13</v>
      </c>
      <c r="K44" s="1">
        <f t="shared" si="33"/>
        <v>25</v>
      </c>
      <c r="L44" s="1">
        <f t="shared" si="34"/>
        <v>250</v>
      </c>
      <c r="O44">
        <f t="shared" si="35"/>
        <v>13</v>
      </c>
      <c r="P44" s="10" t="s">
        <v>35</v>
      </c>
      <c r="Q44" s="86">
        <f t="shared" si="36"/>
        <v>13</v>
      </c>
      <c r="R44" s="19">
        <f t="shared" si="29"/>
        <v>39000</v>
      </c>
      <c r="S44" s="19"/>
      <c r="T44" s="19"/>
      <c r="U44" s="19"/>
      <c r="V44" s="19"/>
      <c r="W44" s="19">
        <f t="shared" si="30"/>
        <v>0</v>
      </c>
      <c r="X44" s="19">
        <f t="shared" si="30"/>
        <v>7800</v>
      </c>
      <c r="Y44" s="19">
        <f t="shared" si="30"/>
        <v>7800</v>
      </c>
      <c r="Z44" s="19">
        <f t="shared" si="30"/>
        <v>7800</v>
      </c>
      <c r="AA44" s="19">
        <f t="shared" si="30"/>
        <v>7800</v>
      </c>
      <c r="AB44" s="20">
        <f t="shared" si="39"/>
        <v>70200</v>
      </c>
    </row>
    <row r="45" spans="1:29" s="39" customFormat="1" outlineLevel="1" x14ac:dyDescent="0.3">
      <c r="Q45" s="64" t="s">
        <v>100</v>
      </c>
      <c r="R45" s="61">
        <f>SUM(R38:R44)</f>
        <v>1865500</v>
      </c>
      <c r="S45" s="61">
        <f t="shared" ref="S45" si="40">SUM(S38:S44)</f>
        <v>0</v>
      </c>
      <c r="T45" s="61">
        <f t="shared" ref="T45" si="41">SUM(T38:T44)</f>
        <v>0</v>
      </c>
      <c r="U45" s="61">
        <f t="shared" ref="U45" si="42">SUM(U38:U44)</f>
        <v>0</v>
      </c>
      <c r="V45" s="61">
        <f t="shared" ref="V45" si="43">SUM(V38:V44)</f>
        <v>0</v>
      </c>
      <c r="W45" s="61">
        <f t="shared" ref="W45" si="44">SUM(W38:W44)</f>
        <v>133750</v>
      </c>
      <c r="X45" s="61">
        <f t="shared" ref="X45" si="45">SUM(X38:X44)</f>
        <v>506850</v>
      </c>
      <c r="Y45" s="61">
        <f t="shared" ref="Y45" si="46">SUM(Y38:Y44)</f>
        <v>506850</v>
      </c>
      <c r="Z45" s="61">
        <f t="shared" ref="Z45" si="47">SUM(Z38:Z44)</f>
        <v>506850</v>
      </c>
      <c r="AA45" s="61">
        <f t="shared" ref="AA45" si="48">SUM(AA38:AA44)</f>
        <v>506850</v>
      </c>
      <c r="AB45" s="62">
        <f t="shared" ref="AB45" si="49">SUM(AB38:AB44)</f>
        <v>4026650</v>
      </c>
    </row>
    <row r="46" spans="1:29" ht="15" outlineLevel="1" thickBot="1" x14ac:dyDescent="0.35"/>
    <row r="47" spans="1:29" ht="37.5" customHeight="1" outlineLevel="1" thickBot="1" x14ac:dyDescent="0.35">
      <c r="A47" s="48" t="s">
        <v>8</v>
      </c>
      <c r="C47" s="11" t="s">
        <v>65</v>
      </c>
      <c r="D47" s="11" t="s">
        <v>22</v>
      </c>
      <c r="E47" s="11" t="str">
        <f>E37</f>
        <v>Starting Year of yearly charges</v>
      </c>
      <c r="F47" s="11" t="s">
        <v>23</v>
      </c>
      <c r="G47" s="11" t="s">
        <v>66</v>
      </c>
      <c r="H47" s="11" t="s">
        <v>95</v>
      </c>
      <c r="I47" s="83" t="s">
        <v>96</v>
      </c>
      <c r="J47" s="83" t="s">
        <v>35</v>
      </c>
      <c r="K47" s="83" t="s">
        <v>33</v>
      </c>
      <c r="L47" s="83" t="s">
        <v>34</v>
      </c>
      <c r="O47" s="5" t="s">
        <v>98</v>
      </c>
      <c r="P47" s="11" t="s">
        <v>66</v>
      </c>
      <c r="Q47" s="10" t="s">
        <v>67</v>
      </c>
      <c r="R47" s="53">
        <v>1</v>
      </c>
      <c r="S47" s="54">
        <v>2</v>
      </c>
      <c r="T47" s="54">
        <v>3</v>
      </c>
      <c r="U47" s="54">
        <v>4</v>
      </c>
      <c r="V47" s="55">
        <v>5</v>
      </c>
      <c r="W47" s="53">
        <v>1</v>
      </c>
      <c r="X47" s="54">
        <v>2</v>
      </c>
      <c r="Y47" s="54">
        <v>3</v>
      </c>
      <c r="Z47" s="54">
        <v>4</v>
      </c>
      <c r="AA47" s="55">
        <v>5</v>
      </c>
      <c r="AB47" s="57" t="s">
        <v>20</v>
      </c>
      <c r="AC47" s="10"/>
    </row>
    <row r="48" spans="1:29" outlineLevel="2" x14ac:dyDescent="0.3">
      <c r="A48" s="24" t="str">
        <f t="shared" ref="A48:A54" si="50">A28</f>
        <v>OS</v>
      </c>
      <c r="B48" s="24"/>
      <c r="C48" s="27">
        <f t="shared" ref="C48:F54" si="51">C28</f>
        <v>0</v>
      </c>
      <c r="D48" s="27">
        <f t="shared" si="51"/>
        <v>2000</v>
      </c>
      <c r="E48" s="28">
        <f t="shared" si="51"/>
        <v>1</v>
      </c>
      <c r="F48" s="29">
        <f t="shared" si="51"/>
        <v>0.2</v>
      </c>
      <c r="G48" s="87" t="str">
        <f>G38</f>
        <v>socket</v>
      </c>
      <c r="H48" s="87" t="str">
        <f>H38</f>
        <v>socket</v>
      </c>
      <c r="I48" s="87">
        <f>I38</f>
        <v>1</v>
      </c>
      <c r="J48" s="36">
        <f>$O$21</f>
        <v>13</v>
      </c>
      <c r="K48" s="36">
        <f>$P$21</f>
        <v>25</v>
      </c>
      <c r="L48" s="36">
        <f>$Q$21</f>
        <v>250</v>
      </c>
      <c r="O48">
        <f>_xlfn.XLOOKUP($H48,$J$27:$L$27,$J48:$L48)</f>
        <v>25</v>
      </c>
      <c r="P48" s="10" t="s">
        <v>33</v>
      </c>
      <c r="Q48" s="86">
        <f>I48*O48</f>
        <v>25</v>
      </c>
      <c r="R48" s="19">
        <f t="shared" ref="R48:R54" si="52">$Q48*$C48*(1-$F48)</f>
        <v>0</v>
      </c>
      <c r="S48" s="19"/>
      <c r="T48" s="19"/>
      <c r="U48" s="19"/>
      <c r="V48" s="19"/>
      <c r="W48" s="19">
        <f t="shared" ref="W48:AA54" si="53">IF(W$18&lt;$E48,0,$Q48*$D48)*(1-$F48)</f>
        <v>40000</v>
      </c>
      <c r="X48" s="19">
        <f t="shared" si="53"/>
        <v>40000</v>
      </c>
      <c r="Y48" s="19">
        <f t="shared" si="53"/>
        <v>40000</v>
      </c>
      <c r="Z48" s="19">
        <f t="shared" si="53"/>
        <v>40000</v>
      </c>
      <c r="AA48" s="19">
        <f t="shared" si="53"/>
        <v>40000</v>
      </c>
      <c r="AB48" s="20">
        <f>SUM(R48:AA48)</f>
        <v>200000</v>
      </c>
    </row>
    <row r="49" spans="1:29" outlineLevel="2" x14ac:dyDescent="0.3">
      <c r="A49" s="24" t="str">
        <f t="shared" si="50"/>
        <v>VM</v>
      </c>
      <c r="B49" s="24"/>
      <c r="C49" s="27">
        <f t="shared" si="51"/>
        <v>5000</v>
      </c>
      <c r="D49" s="27">
        <f t="shared" si="51"/>
        <v>1000</v>
      </c>
      <c r="E49" s="28">
        <f t="shared" si="51"/>
        <v>2</v>
      </c>
      <c r="F49" s="29">
        <f t="shared" si="51"/>
        <v>0.2</v>
      </c>
      <c r="G49" s="87" t="str">
        <f t="shared" ref="G49:I49" si="54">G39</f>
        <v>socket</v>
      </c>
      <c r="H49" s="87" t="str">
        <f t="shared" si="54"/>
        <v>socket</v>
      </c>
      <c r="I49" s="87">
        <f t="shared" si="54"/>
        <v>1</v>
      </c>
      <c r="J49" s="1">
        <f>J48</f>
        <v>13</v>
      </c>
      <c r="K49" s="1">
        <f t="shared" ref="K49:K54" si="55">K48</f>
        <v>25</v>
      </c>
      <c r="L49" s="1">
        <f t="shared" ref="L49:L54" si="56">L48</f>
        <v>250</v>
      </c>
      <c r="O49">
        <f t="shared" ref="O49:O54" si="57">_xlfn.XLOOKUP($H49,$J$27:$L$27,$J49:$L49)</f>
        <v>25</v>
      </c>
      <c r="P49" s="10" t="s">
        <v>33</v>
      </c>
      <c r="Q49" s="86">
        <f t="shared" ref="Q49:Q54" si="58">I49*O49</f>
        <v>25</v>
      </c>
      <c r="R49" s="19">
        <f t="shared" si="52"/>
        <v>100000</v>
      </c>
      <c r="S49" s="19"/>
      <c r="T49" s="19"/>
      <c r="U49" s="19"/>
      <c r="V49" s="19"/>
      <c r="W49" s="19">
        <f t="shared" si="53"/>
        <v>0</v>
      </c>
      <c r="X49" s="19">
        <f t="shared" si="53"/>
        <v>20000</v>
      </c>
      <c r="Y49" s="19">
        <f t="shared" si="53"/>
        <v>20000</v>
      </c>
      <c r="Z49" s="19">
        <f t="shared" si="53"/>
        <v>20000</v>
      </c>
      <c r="AA49" s="19">
        <f t="shared" si="53"/>
        <v>20000</v>
      </c>
      <c r="AB49" s="20">
        <f t="shared" ref="AB49:AB50" si="59">SUM(R49:AA49)</f>
        <v>180000</v>
      </c>
    </row>
    <row r="50" spans="1:29" outlineLevel="2" x14ac:dyDescent="0.3">
      <c r="A50" s="24" t="str">
        <f t="shared" si="50"/>
        <v>Application Server</v>
      </c>
      <c r="B50" s="24"/>
      <c r="C50" s="27">
        <f t="shared" si="51"/>
        <v>100</v>
      </c>
      <c r="D50" s="27">
        <f t="shared" si="51"/>
        <v>20</v>
      </c>
      <c r="E50" s="28">
        <f t="shared" si="51"/>
        <v>2</v>
      </c>
      <c r="F50" s="29">
        <f t="shared" si="51"/>
        <v>0.75</v>
      </c>
      <c r="G50" s="87" t="str">
        <f t="shared" ref="G50:I50" si="60">G40</f>
        <v>PVU</v>
      </c>
      <c r="H50" s="87" t="str">
        <f t="shared" si="60"/>
        <v>core</v>
      </c>
      <c r="I50" s="87">
        <f t="shared" si="60"/>
        <v>70</v>
      </c>
      <c r="J50" s="1">
        <f t="shared" ref="J50:J54" si="61">J49</f>
        <v>13</v>
      </c>
      <c r="K50" s="1">
        <f t="shared" si="55"/>
        <v>25</v>
      </c>
      <c r="L50" s="1">
        <f t="shared" si="56"/>
        <v>250</v>
      </c>
      <c r="O50">
        <f t="shared" si="57"/>
        <v>250</v>
      </c>
      <c r="P50" s="10" t="s">
        <v>97</v>
      </c>
      <c r="Q50" s="86">
        <f t="shared" si="58"/>
        <v>17500</v>
      </c>
      <c r="R50" s="19">
        <f t="shared" si="52"/>
        <v>437500</v>
      </c>
      <c r="S50" s="19"/>
      <c r="T50" s="19"/>
      <c r="U50" s="19"/>
      <c r="V50" s="19"/>
      <c r="W50" s="19">
        <f t="shared" si="53"/>
        <v>0</v>
      </c>
      <c r="X50" s="19">
        <f t="shared" si="53"/>
        <v>87500</v>
      </c>
      <c r="Y50" s="19">
        <f t="shared" si="53"/>
        <v>87500</v>
      </c>
      <c r="Z50" s="19">
        <f t="shared" si="53"/>
        <v>87500</v>
      </c>
      <c r="AA50" s="19">
        <f t="shared" si="53"/>
        <v>87500</v>
      </c>
      <c r="AB50" s="20">
        <f t="shared" si="59"/>
        <v>787500</v>
      </c>
    </row>
    <row r="51" spans="1:29" outlineLevel="2" x14ac:dyDescent="0.3">
      <c r="A51" s="24" t="str">
        <f t="shared" si="50"/>
        <v>DB</v>
      </c>
      <c r="B51" s="24"/>
      <c r="C51" s="27">
        <f t="shared" si="51"/>
        <v>40000</v>
      </c>
      <c r="D51" s="27">
        <f t="shared" si="51"/>
        <v>8000</v>
      </c>
      <c r="E51" s="28">
        <f t="shared" si="51"/>
        <v>2</v>
      </c>
      <c r="F51" s="29">
        <f t="shared" si="51"/>
        <v>0.75</v>
      </c>
      <c r="G51" s="87" t="str">
        <f t="shared" ref="G51:I51" si="62">G41</f>
        <v>core</v>
      </c>
      <c r="H51" s="87" t="str">
        <f t="shared" si="62"/>
        <v>core</v>
      </c>
      <c r="I51" s="87">
        <f t="shared" si="62"/>
        <v>0.5</v>
      </c>
      <c r="J51" s="1">
        <f t="shared" si="61"/>
        <v>13</v>
      </c>
      <c r="K51" s="1">
        <f t="shared" si="55"/>
        <v>25</v>
      </c>
      <c r="L51" s="1">
        <f t="shared" si="56"/>
        <v>250</v>
      </c>
      <c r="O51">
        <f t="shared" si="57"/>
        <v>250</v>
      </c>
      <c r="P51" s="10" t="s">
        <v>34</v>
      </c>
      <c r="Q51" s="86">
        <f t="shared" si="58"/>
        <v>125</v>
      </c>
      <c r="R51" s="19">
        <f t="shared" si="52"/>
        <v>1250000</v>
      </c>
      <c r="S51" s="19"/>
      <c r="T51" s="19"/>
      <c r="U51" s="19"/>
      <c r="V51" s="19"/>
      <c r="W51" s="19">
        <f t="shared" si="53"/>
        <v>0</v>
      </c>
      <c r="X51" s="19">
        <f t="shared" si="53"/>
        <v>250000</v>
      </c>
      <c r="Y51" s="19">
        <f t="shared" si="53"/>
        <v>250000</v>
      </c>
      <c r="Z51" s="19">
        <f t="shared" si="53"/>
        <v>250000</v>
      </c>
      <c r="AA51" s="19">
        <f t="shared" si="53"/>
        <v>250000</v>
      </c>
      <c r="AB51" s="20">
        <f>SUM(R51:AA51)</f>
        <v>2250000</v>
      </c>
    </row>
    <row r="52" spans="1:29" outlineLevel="2" x14ac:dyDescent="0.3">
      <c r="A52" s="24" t="str">
        <f t="shared" si="50"/>
        <v>Data Replication Tools</v>
      </c>
      <c r="B52" s="24"/>
      <c r="C52" s="27">
        <f t="shared" si="51"/>
        <v>0</v>
      </c>
      <c r="D52" s="27">
        <f t="shared" si="51"/>
        <v>3000</v>
      </c>
      <c r="E52" s="28">
        <f t="shared" si="51"/>
        <v>1</v>
      </c>
      <c r="F52" s="29">
        <f t="shared" si="51"/>
        <v>0.75</v>
      </c>
      <c r="G52" s="87" t="str">
        <f t="shared" ref="G52:I52" si="63">G42</f>
        <v>core</v>
      </c>
      <c r="H52" s="87" t="str">
        <f t="shared" si="63"/>
        <v>core</v>
      </c>
      <c r="I52" s="87">
        <f t="shared" si="63"/>
        <v>0.5</v>
      </c>
      <c r="J52" s="1">
        <f t="shared" si="61"/>
        <v>13</v>
      </c>
      <c r="K52" s="1">
        <f t="shared" si="55"/>
        <v>25</v>
      </c>
      <c r="L52" s="1">
        <f t="shared" si="56"/>
        <v>250</v>
      </c>
      <c r="O52">
        <f t="shared" si="57"/>
        <v>250</v>
      </c>
      <c r="P52" s="10" t="s">
        <v>34</v>
      </c>
      <c r="Q52" s="86">
        <f t="shared" si="58"/>
        <v>125</v>
      </c>
      <c r="R52" s="19">
        <f t="shared" si="52"/>
        <v>0</v>
      </c>
      <c r="S52" s="19"/>
      <c r="T52" s="19"/>
      <c r="U52" s="19"/>
      <c r="V52" s="19"/>
      <c r="W52" s="19">
        <f t="shared" si="53"/>
        <v>93750</v>
      </c>
      <c r="X52" s="19">
        <f t="shared" si="53"/>
        <v>93750</v>
      </c>
      <c r="Y52" s="19">
        <f t="shared" si="53"/>
        <v>93750</v>
      </c>
      <c r="Z52" s="19">
        <f t="shared" si="53"/>
        <v>93750</v>
      </c>
      <c r="AA52" s="19">
        <f t="shared" si="53"/>
        <v>93750</v>
      </c>
      <c r="AB52" s="20">
        <f>SUM(R52:AA52)</f>
        <v>468750</v>
      </c>
    </row>
    <row r="53" spans="1:29" outlineLevel="2" x14ac:dyDescent="0.3">
      <c r="A53" s="24" t="str">
        <f t="shared" si="50"/>
        <v>Monitoring Tools</v>
      </c>
      <c r="B53" s="24"/>
      <c r="C53" s="27">
        <f t="shared" si="51"/>
        <v>5000</v>
      </c>
      <c r="D53" s="27">
        <f t="shared" si="51"/>
        <v>1000</v>
      </c>
      <c r="E53" s="28">
        <f t="shared" si="51"/>
        <v>2</v>
      </c>
      <c r="F53" s="29">
        <f t="shared" si="51"/>
        <v>0.4</v>
      </c>
      <c r="G53" s="87" t="str">
        <f t="shared" ref="G53:I53" si="64">G43</f>
        <v>server</v>
      </c>
      <c r="H53" s="87" t="str">
        <f t="shared" si="64"/>
        <v>server</v>
      </c>
      <c r="I53" s="87">
        <f t="shared" si="64"/>
        <v>1</v>
      </c>
      <c r="J53" s="1">
        <f t="shared" si="61"/>
        <v>13</v>
      </c>
      <c r="K53" s="1">
        <f t="shared" si="55"/>
        <v>25</v>
      </c>
      <c r="L53" s="1">
        <f t="shared" si="56"/>
        <v>250</v>
      </c>
      <c r="O53">
        <f t="shared" si="57"/>
        <v>13</v>
      </c>
      <c r="P53" s="10" t="s">
        <v>35</v>
      </c>
      <c r="Q53" s="86">
        <f t="shared" si="58"/>
        <v>13</v>
      </c>
      <c r="R53" s="19">
        <f t="shared" si="52"/>
        <v>39000</v>
      </c>
      <c r="S53" s="19"/>
      <c r="T53" s="19"/>
      <c r="U53" s="19"/>
      <c r="V53" s="19"/>
      <c r="W53" s="19">
        <f t="shared" si="53"/>
        <v>0</v>
      </c>
      <c r="X53" s="19">
        <f t="shared" si="53"/>
        <v>7800</v>
      </c>
      <c r="Y53" s="19">
        <f t="shared" si="53"/>
        <v>7800</v>
      </c>
      <c r="Z53" s="19">
        <f t="shared" si="53"/>
        <v>7800</v>
      </c>
      <c r="AA53" s="19">
        <f t="shared" si="53"/>
        <v>7800</v>
      </c>
      <c r="AB53" s="20">
        <f t="shared" ref="AB53:AB54" si="65">SUM(R53:AA53)</f>
        <v>70200</v>
      </c>
    </row>
    <row r="54" spans="1:29" outlineLevel="2" x14ac:dyDescent="0.3">
      <c r="A54" s="24" t="str">
        <f t="shared" si="50"/>
        <v>Security Tools</v>
      </c>
      <c r="B54" s="24"/>
      <c r="C54" s="27">
        <f t="shared" si="51"/>
        <v>5000</v>
      </c>
      <c r="D54" s="27">
        <f t="shared" si="51"/>
        <v>1000</v>
      </c>
      <c r="E54" s="28">
        <f t="shared" si="51"/>
        <v>2</v>
      </c>
      <c r="F54" s="29">
        <f t="shared" si="51"/>
        <v>0.4</v>
      </c>
      <c r="G54" s="87" t="str">
        <f t="shared" ref="G54:I54" si="66">G44</f>
        <v>server</v>
      </c>
      <c r="H54" s="87" t="str">
        <f t="shared" si="66"/>
        <v>server</v>
      </c>
      <c r="I54" s="87">
        <f t="shared" si="66"/>
        <v>1</v>
      </c>
      <c r="J54" s="1">
        <f t="shared" si="61"/>
        <v>13</v>
      </c>
      <c r="K54" s="1">
        <f t="shared" si="55"/>
        <v>25</v>
      </c>
      <c r="L54" s="1">
        <f t="shared" si="56"/>
        <v>250</v>
      </c>
      <c r="O54">
        <f t="shared" si="57"/>
        <v>13</v>
      </c>
      <c r="P54" s="10" t="s">
        <v>35</v>
      </c>
      <c r="Q54" s="86">
        <f t="shared" si="58"/>
        <v>13</v>
      </c>
      <c r="R54" s="19">
        <f t="shared" si="52"/>
        <v>39000</v>
      </c>
      <c r="S54" s="19"/>
      <c r="T54" s="19"/>
      <c r="U54" s="19"/>
      <c r="V54" s="19"/>
      <c r="W54" s="19">
        <f t="shared" si="53"/>
        <v>0</v>
      </c>
      <c r="X54" s="19">
        <f t="shared" si="53"/>
        <v>7800</v>
      </c>
      <c r="Y54" s="19">
        <f t="shared" si="53"/>
        <v>7800</v>
      </c>
      <c r="Z54" s="19">
        <f t="shared" si="53"/>
        <v>7800</v>
      </c>
      <c r="AA54" s="19">
        <f t="shared" si="53"/>
        <v>7800</v>
      </c>
      <c r="AB54" s="20">
        <f t="shared" si="65"/>
        <v>70200</v>
      </c>
    </row>
    <row r="55" spans="1:29" s="39" customFormat="1" outlineLevel="1" x14ac:dyDescent="0.3">
      <c r="Q55" s="64" t="s">
        <v>8</v>
      </c>
      <c r="R55" s="61">
        <f>SUM(R48:R54)</f>
        <v>1865500</v>
      </c>
      <c r="S55" s="61">
        <f t="shared" ref="S55" si="67">SUM(S48:S54)</f>
        <v>0</v>
      </c>
      <c r="T55" s="61">
        <f t="shared" ref="T55" si="68">SUM(T48:T54)</f>
        <v>0</v>
      </c>
      <c r="U55" s="61">
        <f t="shared" ref="U55" si="69">SUM(U48:U54)</f>
        <v>0</v>
      </c>
      <c r="V55" s="61">
        <f t="shared" ref="V55" si="70">SUM(V48:V54)</f>
        <v>0</v>
      </c>
      <c r="W55" s="61">
        <f t="shared" ref="W55" si="71">SUM(W48:W54)</f>
        <v>133750</v>
      </c>
      <c r="X55" s="61">
        <f t="shared" ref="X55" si="72">SUM(X48:X54)</f>
        <v>506850</v>
      </c>
      <c r="Y55" s="61">
        <f t="shared" ref="Y55" si="73">SUM(Y48:Y54)</f>
        <v>506850</v>
      </c>
      <c r="Z55" s="61">
        <f t="shared" ref="Z55" si="74">SUM(Z48:Z54)</f>
        <v>506850</v>
      </c>
      <c r="AA55" s="61">
        <f t="shared" ref="AA55" si="75">SUM(AA48:AA54)</f>
        <v>506850</v>
      </c>
      <c r="AB55" s="62">
        <f t="shared" ref="AB55" si="76">SUM(AB48:AB54)</f>
        <v>4026650</v>
      </c>
    </row>
    <row r="56" spans="1:29" ht="15" outlineLevel="1" thickBot="1" x14ac:dyDescent="0.35"/>
    <row r="57" spans="1:29" ht="38.25" customHeight="1" outlineLevel="1" thickBot="1" x14ac:dyDescent="0.35">
      <c r="A57" s="48" t="s">
        <v>72</v>
      </c>
      <c r="C57" s="11" t="s">
        <v>65</v>
      </c>
      <c r="D57" s="11" t="s">
        <v>22</v>
      </c>
      <c r="E57" s="11" t="str">
        <f>E47</f>
        <v>Starting Year of yearly charges</v>
      </c>
      <c r="F57" s="11" t="s">
        <v>23</v>
      </c>
      <c r="G57" s="11" t="s">
        <v>66</v>
      </c>
      <c r="H57" s="11" t="s">
        <v>95</v>
      </c>
      <c r="I57" s="83" t="s">
        <v>96</v>
      </c>
      <c r="J57" s="83" t="s">
        <v>35</v>
      </c>
      <c r="K57" s="83" t="s">
        <v>33</v>
      </c>
      <c r="L57" s="83" t="s">
        <v>34</v>
      </c>
      <c r="O57" s="5" t="s">
        <v>98</v>
      </c>
      <c r="P57" s="11" t="s">
        <v>66</v>
      </c>
      <c r="Q57" s="10" t="s">
        <v>67</v>
      </c>
      <c r="R57" s="53">
        <v>1</v>
      </c>
      <c r="S57" s="54">
        <v>2</v>
      </c>
      <c r="T57" s="54">
        <v>3</v>
      </c>
      <c r="U57" s="54">
        <v>4</v>
      </c>
      <c r="V57" s="55">
        <v>5</v>
      </c>
      <c r="W57" s="53">
        <v>1</v>
      </c>
      <c r="X57" s="54">
        <v>2</v>
      </c>
      <c r="Y57" s="54">
        <v>3</v>
      </c>
      <c r="Z57" s="54">
        <v>4</v>
      </c>
      <c r="AA57" s="55">
        <v>5</v>
      </c>
      <c r="AB57" s="57" t="s">
        <v>20</v>
      </c>
      <c r="AC57" s="10"/>
    </row>
    <row r="58" spans="1:29" outlineLevel="2" x14ac:dyDescent="0.3">
      <c r="A58" s="24" t="str">
        <f t="shared" ref="A58:A64" si="77">A28</f>
        <v>OS</v>
      </c>
      <c r="B58" s="24"/>
      <c r="C58" s="27">
        <f t="shared" ref="C58:F64" si="78">C28</f>
        <v>0</v>
      </c>
      <c r="D58" s="27">
        <f t="shared" si="78"/>
        <v>2000</v>
      </c>
      <c r="E58" s="28">
        <f t="shared" si="78"/>
        <v>1</v>
      </c>
      <c r="F58" s="29">
        <f t="shared" si="78"/>
        <v>0.2</v>
      </c>
      <c r="G58" s="87" t="str">
        <f>G48</f>
        <v>socket</v>
      </c>
      <c r="H58" s="87" t="str">
        <f>H48</f>
        <v>socket</v>
      </c>
      <c r="I58" s="87">
        <f>I48</f>
        <v>1</v>
      </c>
      <c r="J58" s="36">
        <f>$O$22</f>
        <v>20</v>
      </c>
      <c r="K58" s="36">
        <f>$P$22</f>
        <v>40</v>
      </c>
      <c r="L58" s="36">
        <f>$Q$22</f>
        <v>400</v>
      </c>
      <c r="O58">
        <f>_xlfn.XLOOKUP($H58,$J$27:$L$27,$J58:$L58)</f>
        <v>40</v>
      </c>
      <c r="P58" s="10" t="s">
        <v>33</v>
      </c>
      <c r="Q58" s="86">
        <f>I58*O58</f>
        <v>40</v>
      </c>
      <c r="R58" s="19">
        <f t="shared" ref="R58:R64" si="79">$Q58*$C58*(1-$F58)</f>
        <v>0</v>
      </c>
      <c r="S58" s="19"/>
      <c r="T58" s="19"/>
      <c r="U58" s="19"/>
      <c r="V58" s="19"/>
      <c r="W58" s="19">
        <f t="shared" ref="W58:AA64" si="80">IF(W$18&lt;$E58,0,$Q58*$D58)*(1-$F58)</f>
        <v>64000</v>
      </c>
      <c r="X58" s="19">
        <f t="shared" si="80"/>
        <v>64000</v>
      </c>
      <c r="Y58" s="19">
        <f t="shared" si="80"/>
        <v>64000</v>
      </c>
      <c r="Z58" s="19">
        <f t="shared" si="80"/>
        <v>64000</v>
      </c>
      <c r="AA58" s="19">
        <f t="shared" si="80"/>
        <v>64000</v>
      </c>
      <c r="AB58" s="20">
        <f>SUM(R58:AA58)</f>
        <v>320000</v>
      </c>
    </row>
    <row r="59" spans="1:29" outlineLevel="2" x14ac:dyDescent="0.3">
      <c r="A59" s="24" t="str">
        <f t="shared" si="77"/>
        <v>VM</v>
      </c>
      <c r="B59" s="24"/>
      <c r="C59" s="27">
        <f t="shared" si="78"/>
        <v>5000</v>
      </c>
      <c r="D59" s="27">
        <f t="shared" si="78"/>
        <v>1000</v>
      </c>
      <c r="E59" s="28">
        <f t="shared" si="78"/>
        <v>2</v>
      </c>
      <c r="F59" s="29">
        <f t="shared" si="78"/>
        <v>0.2</v>
      </c>
      <c r="G59" s="87" t="str">
        <f t="shared" ref="G59:I59" si="81">G49</f>
        <v>socket</v>
      </c>
      <c r="H59" s="87" t="str">
        <f t="shared" si="81"/>
        <v>socket</v>
      </c>
      <c r="I59" s="87">
        <f t="shared" si="81"/>
        <v>1</v>
      </c>
      <c r="J59" s="1">
        <f>J58</f>
        <v>20</v>
      </c>
      <c r="K59" s="1">
        <f t="shared" ref="K59:K64" si="82">K58</f>
        <v>40</v>
      </c>
      <c r="L59" s="1">
        <f t="shared" ref="L59:L64" si="83">L58</f>
        <v>400</v>
      </c>
      <c r="O59">
        <f t="shared" ref="O59:O64" si="84">_xlfn.XLOOKUP($H59,$J$27:$L$27,$J59:$L59)</f>
        <v>40</v>
      </c>
      <c r="P59" s="10" t="s">
        <v>33</v>
      </c>
      <c r="Q59" s="86">
        <f t="shared" ref="Q59:Q64" si="85">I59*O59</f>
        <v>40</v>
      </c>
      <c r="R59" s="19">
        <f t="shared" si="79"/>
        <v>160000</v>
      </c>
      <c r="S59" s="19"/>
      <c r="T59" s="19"/>
      <c r="U59" s="19"/>
      <c r="V59" s="19"/>
      <c r="W59" s="19">
        <f t="shared" si="80"/>
        <v>0</v>
      </c>
      <c r="X59" s="19">
        <f t="shared" si="80"/>
        <v>32000</v>
      </c>
      <c r="Y59" s="19">
        <f t="shared" si="80"/>
        <v>32000</v>
      </c>
      <c r="Z59" s="19">
        <f t="shared" si="80"/>
        <v>32000</v>
      </c>
      <c r="AA59" s="19">
        <f t="shared" si="80"/>
        <v>32000</v>
      </c>
      <c r="AB59" s="20">
        <f t="shared" ref="AB59:AB60" si="86">SUM(R59:AA59)</f>
        <v>288000</v>
      </c>
    </row>
    <row r="60" spans="1:29" outlineLevel="2" x14ac:dyDescent="0.3">
      <c r="A60" s="24" t="str">
        <f t="shared" si="77"/>
        <v>Application Server</v>
      </c>
      <c r="B60" s="24"/>
      <c r="C60" s="27">
        <f t="shared" si="78"/>
        <v>100</v>
      </c>
      <c r="D60" s="27">
        <f t="shared" si="78"/>
        <v>20</v>
      </c>
      <c r="E60" s="28">
        <f t="shared" si="78"/>
        <v>2</v>
      </c>
      <c r="F60" s="29">
        <f t="shared" si="78"/>
        <v>0.75</v>
      </c>
      <c r="G60" s="87" t="str">
        <f t="shared" ref="G60:I60" si="87">G50</f>
        <v>PVU</v>
      </c>
      <c r="H60" s="87" t="str">
        <f t="shared" si="87"/>
        <v>core</v>
      </c>
      <c r="I60" s="87">
        <f t="shared" si="87"/>
        <v>70</v>
      </c>
      <c r="J60" s="1">
        <f t="shared" ref="J60:J64" si="88">J59</f>
        <v>20</v>
      </c>
      <c r="K60" s="1">
        <f t="shared" si="82"/>
        <v>40</v>
      </c>
      <c r="L60" s="1">
        <f t="shared" si="83"/>
        <v>400</v>
      </c>
      <c r="O60">
        <f t="shared" si="84"/>
        <v>400</v>
      </c>
      <c r="P60" s="10" t="s">
        <v>97</v>
      </c>
      <c r="Q60" s="86">
        <f t="shared" si="85"/>
        <v>28000</v>
      </c>
      <c r="R60" s="19">
        <f t="shared" si="79"/>
        <v>700000</v>
      </c>
      <c r="S60" s="19"/>
      <c r="T60" s="19"/>
      <c r="U60" s="19"/>
      <c r="V60" s="19"/>
      <c r="W60" s="19">
        <f t="shared" si="80"/>
        <v>0</v>
      </c>
      <c r="X60" s="19">
        <f t="shared" si="80"/>
        <v>140000</v>
      </c>
      <c r="Y60" s="19">
        <f t="shared" si="80"/>
        <v>140000</v>
      </c>
      <c r="Z60" s="19">
        <f t="shared" si="80"/>
        <v>140000</v>
      </c>
      <c r="AA60" s="19">
        <f t="shared" si="80"/>
        <v>140000</v>
      </c>
      <c r="AB60" s="20">
        <f t="shared" si="86"/>
        <v>1260000</v>
      </c>
    </row>
    <row r="61" spans="1:29" outlineLevel="2" x14ac:dyDescent="0.3">
      <c r="A61" s="24" t="str">
        <f t="shared" si="77"/>
        <v>DB</v>
      </c>
      <c r="B61" s="24"/>
      <c r="C61" s="27">
        <f t="shared" si="78"/>
        <v>40000</v>
      </c>
      <c r="D61" s="27">
        <f t="shared" si="78"/>
        <v>8000</v>
      </c>
      <c r="E61" s="28">
        <f t="shared" si="78"/>
        <v>2</v>
      </c>
      <c r="F61" s="29">
        <f t="shared" si="78"/>
        <v>0.75</v>
      </c>
      <c r="G61" s="87" t="str">
        <f t="shared" ref="G61:I61" si="89">G51</f>
        <v>core</v>
      </c>
      <c r="H61" s="87" t="str">
        <f t="shared" si="89"/>
        <v>core</v>
      </c>
      <c r="I61" s="87">
        <f t="shared" si="89"/>
        <v>0.5</v>
      </c>
      <c r="J61" s="1">
        <f t="shared" si="88"/>
        <v>20</v>
      </c>
      <c r="K61" s="1">
        <f t="shared" si="82"/>
        <v>40</v>
      </c>
      <c r="L61" s="1">
        <f t="shared" si="83"/>
        <v>400</v>
      </c>
      <c r="O61">
        <f t="shared" si="84"/>
        <v>400</v>
      </c>
      <c r="P61" s="10" t="s">
        <v>34</v>
      </c>
      <c r="Q61" s="86">
        <f t="shared" si="85"/>
        <v>200</v>
      </c>
      <c r="R61" s="19">
        <f t="shared" si="79"/>
        <v>2000000</v>
      </c>
      <c r="S61" s="19"/>
      <c r="T61" s="19"/>
      <c r="U61" s="19"/>
      <c r="V61" s="19"/>
      <c r="W61" s="19">
        <f t="shared" si="80"/>
        <v>0</v>
      </c>
      <c r="X61" s="19">
        <f t="shared" si="80"/>
        <v>400000</v>
      </c>
      <c r="Y61" s="19">
        <f t="shared" si="80"/>
        <v>400000</v>
      </c>
      <c r="Z61" s="19">
        <f t="shared" si="80"/>
        <v>400000</v>
      </c>
      <c r="AA61" s="19">
        <f t="shared" si="80"/>
        <v>400000</v>
      </c>
      <c r="AB61" s="20">
        <f>SUM(R61:AA61)</f>
        <v>3600000</v>
      </c>
    </row>
    <row r="62" spans="1:29" outlineLevel="2" x14ac:dyDescent="0.3">
      <c r="A62" s="24" t="str">
        <f t="shared" si="77"/>
        <v>Data Replication Tools</v>
      </c>
      <c r="B62" s="24"/>
      <c r="C62" s="27">
        <f t="shared" si="78"/>
        <v>0</v>
      </c>
      <c r="D62" s="27">
        <f t="shared" si="78"/>
        <v>3000</v>
      </c>
      <c r="E62" s="28">
        <f t="shared" si="78"/>
        <v>1</v>
      </c>
      <c r="F62" s="29">
        <f t="shared" si="78"/>
        <v>0.75</v>
      </c>
      <c r="G62" s="87" t="str">
        <f t="shared" ref="G62:I62" si="90">G52</f>
        <v>core</v>
      </c>
      <c r="H62" s="87" t="str">
        <f t="shared" si="90"/>
        <v>core</v>
      </c>
      <c r="I62" s="87">
        <f t="shared" si="90"/>
        <v>0.5</v>
      </c>
      <c r="J62" s="1">
        <f t="shared" si="88"/>
        <v>20</v>
      </c>
      <c r="K62" s="1">
        <f t="shared" si="82"/>
        <v>40</v>
      </c>
      <c r="L62" s="1">
        <f t="shared" si="83"/>
        <v>400</v>
      </c>
      <c r="O62">
        <f t="shared" si="84"/>
        <v>400</v>
      </c>
      <c r="P62" s="10" t="s">
        <v>34</v>
      </c>
      <c r="Q62" s="86">
        <f t="shared" si="85"/>
        <v>200</v>
      </c>
      <c r="R62" s="19">
        <f t="shared" si="79"/>
        <v>0</v>
      </c>
      <c r="S62" s="19"/>
      <c r="T62" s="19"/>
      <c r="U62" s="19"/>
      <c r="V62" s="19"/>
      <c r="W62" s="19">
        <f t="shared" si="80"/>
        <v>150000</v>
      </c>
      <c r="X62" s="19">
        <f t="shared" si="80"/>
        <v>150000</v>
      </c>
      <c r="Y62" s="19">
        <f t="shared" si="80"/>
        <v>150000</v>
      </c>
      <c r="Z62" s="19">
        <f t="shared" si="80"/>
        <v>150000</v>
      </c>
      <c r="AA62" s="19">
        <f t="shared" si="80"/>
        <v>150000</v>
      </c>
      <c r="AB62" s="20">
        <f>SUM(R62:AA62)</f>
        <v>750000</v>
      </c>
    </row>
    <row r="63" spans="1:29" outlineLevel="2" x14ac:dyDescent="0.3">
      <c r="A63" s="24" t="str">
        <f t="shared" si="77"/>
        <v>Monitoring Tools</v>
      </c>
      <c r="B63" s="24"/>
      <c r="C63" s="27">
        <f t="shared" si="78"/>
        <v>5000</v>
      </c>
      <c r="D63" s="27">
        <f t="shared" si="78"/>
        <v>1000</v>
      </c>
      <c r="E63" s="28">
        <f t="shared" si="78"/>
        <v>2</v>
      </c>
      <c r="F63" s="29">
        <f t="shared" si="78"/>
        <v>0.4</v>
      </c>
      <c r="G63" s="87" t="str">
        <f t="shared" ref="G63:I63" si="91">G53</f>
        <v>server</v>
      </c>
      <c r="H63" s="87" t="str">
        <f t="shared" si="91"/>
        <v>server</v>
      </c>
      <c r="I63" s="87">
        <f t="shared" si="91"/>
        <v>1</v>
      </c>
      <c r="J63" s="1">
        <f t="shared" si="88"/>
        <v>20</v>
      </c>
      <c r="K63" s="1">
        <f t="shared" si="82"/>
        <v>40</v>
      </c>
      <c r="L63" s="1">
        <f t="shared" si="83"/>
        <v>400</v>
      </c>
      <c r="O63">
        <f t="shared" si="84"/>
        <v>20</v>
      </c>
      <c r="P63" s="10" t="s">
        <v>35</v>
      </c>
      <c r="Q63" s="86">
        <f t="shared" si="85"/>
        <v>20</v>
      </c>
      <c r="R63" s="19">
        <f t="shared" si="79"/>
        <v>60000</v>
      </c>
      <c r="S63" s="19"/>
      <c r="T63" s="19"/>
      <c r="U63" s="19"/>
      <c r="V63" s="19"/>
      <c r="W63" s="19">
        <f t="shared" si="80"/>
        <v>0</v>
      </c>
      <c r="X63" s="19">
        <f t="shared" si="80"/>
        <v>12000</v>
      </c>
      <c r="Y63" s="19">
        <f t="shared" si="80"/>
        <v>12000</v>
      </c>
      <c r="Z63" s="19">
        <f t="shared" si="80"/>
        <v>12000</v>
      </c>
      <c r="AA63" s="19">
        <f t="shared" si="80"/>
        <v>12000</v>
      </c>
      <c r="AB63" s="20">
        <f t="shared" ref="AB63:AB64" si="92">SUM(R63:AA63)</f>
        <v>108000</v>
      </c>
    </row>
    <row r="64" spans="1:29" outlineLevel="2" x14ac:dyDescent="0.3">
      <c r="A64" s="24" t="str">
        <f t="shared" si="77"/>
        <v>Security Tools</v>
      </c>
      <c r="B64" s="24"/>
      <c r="C64" s="27">
        <f t="shared" si="78"/>
        <v>5000</v>
      </c>
      <c r="D64" s="27">
        <f t="shared" si="78"/>
        <v>1000</v>
      </c>
      <c r="E64" s="28">
        <f t="shared" si="78"/>
        <v>2</v>
      </c>
      <c r="F64" s="29">
        <f t="shared" si="78"/>
        <v>0.4</v>
      </c>
      <c r="G64" s="87" t="str">
        <f t="shared" ref="G64:I64" si="93">G54</f>
        <v>server</v>
      </c>
      <c r="H64" s="87" t="str">
        <f t="shared" si="93"/>
        <v>server</v>
      </c>
      <c r="I64" s="87">
        <f t="shared" si="93"/>
        <v>1</v>
      </c>
      <c r="J64" s="1">
        <f t="shared" si="88"/>
        <v>20</v>
      </c>
      <c r="K64" s="1">
        <f t="shared" si="82"/>
        <v>40</v>
      </c>
      <c r="L64" s="1">
        <f t="shared" si="83"/>
        <v>400</v>
      </c>
      <c r="O64">
        <f t="shared" si="84"/>
        <v>20</v>
      </c>
      <c r="P64" s="10" t="s">
        <v>35</v>
      </c>
      <c r="Q64" s="86">
        <f t="shared" si="85"/>
        <v>20</v>
      </c>
      <c r="R64" s="19">
        <f t="shared" si="79"/>
        <v>60000</v>
      </c>
      <c r="S64" s="19"/>
      <c r="T64" s="19"/>
      <c r="U64" s="19"/>
      <c r="V64" s="19"/>
      <c r="W64" s="19">
        <f t="shared" si="80"/>
        <v>0</v>
      </c>
      <c r="X64" s="19">
        <f t="shared" si="80"/>
        <v>12000</v>
      </c>
      <c r="Y64" s="19">
        <f t="shared" si="80"/>
        <v>12000</v>
      </c>
      <c r="Z64" s="19">
        <f t="shared" si="80"/>
        <v>12000</v>
      </c>
      <c r="AA64" s="19">
        <f t="shared" si="80"/>
        <v>12000</v>
      </c>
      <c r="AB64" s="20">
        <f t="shared" si="92"/>
        <v>108000</v>
      </c>
    </row>
    <row r="65" spans="1:29" s="39" customFormat="1" outlineLevel="1" x14ac:dyDescent="0.3">
      <c r="Q65" s="64" t="s">
        <v>101</v>
      </c>
      <c r="R65" s="61">
        <f>SUM(R58:R64)</f>
        <v>2980000</v>
      </c>
      <c r="S65" s="61">
        <f t="shared" ref="S65" si="94">SUM(S58:S64)</f>
        <v>0</v>
      </c>
      <c r="T65" s="61">
        <f t="shared" ref="T65" si="95">SUM(T58:T64)</f>
        <v>0</v>
      </c>
      <c r="U65" s="61">
        <f t="shared" ref="U65" si="96">SUM(U58:U64)</f>
        <v>0</v>
      </c>
      <c r="V65" s="61">
        <f t="shared" ref="V65" si="97">SUM(V58:V64)</f>
        <v>0</v>
      </c>
      <c r="W65" s="61">
        <f t="shared" ref="W65" si="98">SUM(W58:W64)</f>
        <v>214000</v>
      </c>
      <c r="X65" s="61">
        <f t="shared" ref="X65" si="99">SUM(X58:X64)</f>
        <v>810000</v>
      </c>
      <c r="Y65" s="61">
        <f t="shared" ref="Y65" si="100">SUM(Y58:Y64)</f>
        <v>810000</v>
      </c>
      <c r="Z65" s="61">
        <f t="shared" ref="Z65" si="101">SUM(Z58:Z64)</f>
        <v>810000</v>
      </c>
      <c r="AA65" s="61">
        <f t="shared" ref="AA65" si="102">SUM(AA58:AA64)</f>
        <v>810000</v>
      </c>
      <c r="AB65" s="62">
        <f t="shared" ref="AB65" si="103">SUM(AB58:AB64)</f>
        <v>6434000</v>
      </c>
    </row>
    <row r="66" spans="1:29" ht="15" outlineLevel="1" thickBot="1" x14ac:dyDescent="0.35"/>
    <row r="67" spans="1:29" ht="41.25" customHeight="1" outlineLevel="1" thickBot="1" x14ac:dyDescent="0.35">
      <c r="A67" s="48" t="s">
        <v>10</v>
      </c>
      <c r="C67" s="11" t="s">
        <v>65</v>
      </c>
      <c r="D67" s="11" t="s">
        <v>22</v>
      </c>
      <c r="E67" s="11" t="str">
        <f>E57</f>
        <v>Starting Year of yearly charges</v>
      </c>
      <c r="F67" s="11" t="s">
        <v>23</v>
      </c>
      <c r="G67" s="11" t="s">
        <v>66</v>
      </c>
      <c r="H67" s="11" t="s">
        <v>95</v>
      </c>
      <c r="I67" s="83" t="s">
        <v>96</v>
      </c>
      <c r="J67" s="83" t="s">
        <v>35</v>
      </c>
      <c r="K67" s="83" t="s">
        <v>33</v>
      </c>
      <c r="L67" s="83" t="s">
        <v>34</v>
      </c>
      <c r="O67" s="5" t="s">
        <v>98</v>
      </c>
      <c r="P67" s="11" t="s">
        <v>66</v>
      </c>
      <c r="Q67" s="10" t="s">
        <v>67</v>
      </c>
      <c r="R67" s="53">
        <v>1</v>
      </c>
      <c r="S67" s="54">
        <v>2</v>
      </c>
      <c r="T67" s="54">
        <v>3</v>
      </c>
      <c r="U67" s="54">
        <v>4</v>
      </c>
      <c r="V67" s="55">
        <v>5</v>
      </c>
      <c r="W67" s="53">
        <v>1</v>
      </c>
      <c r="X67" s="54">
        <v>2</v>
      </c>
      <c r="Y67" s="54">
        <v>3</v>
      </c>
      <c r="Z67" s="54">
        <v>4</v>
      </c>
      <c r="AA67" s="55">
        <v>5</v>
      </c>
      <c r="AB67" s="57" t="s">
        <v>20</v>
      </c>
      <c r="AC67" s="10"/>
    </row>
    <row r="68" spans="1:29" outlineLevel="2" x14ac:dyDescent="0.3">
      <c r="A68" s="24" t="str">
        <f t="shared" ref="A68:A74" si="104">A28</f>
        <v>OS</v>
      </c>
      <c r="B68" s="24"/>
      <c r="C68" s="27">
        <f t="shared" ref="C68:F74" si="105">C28</f>
        <v>0</v>
      </c>
      <c r="D68" s="27">
        <f t="shared" si="105"/>
        <v>2000</v>
      </c>
      <c r="E68" s="28">
        <f t="shared" si="105"/>
        <v>1</v>
      </c>
      <c r="F68" s="29">
        <f t="shared" si="105"/>
        <v>0.2</v>
      </c>
      <c r="G68" s="87" t="str">
        <f>G58</f>
        <v>socket</v>
      </c>
      <c r="H68" s="87" t="str">
        <f>H58</f>
        <v>socket</v>
      </c>
      <c r="I68" s="87">
        <f>I58</f>
        <v>1</v>
      </c>
      <c r="J68" s="36">
        <f>$O$23</f>
        <v>45</v>
      </c>
      <c r="K68" s="36">
        <f>$P$23</f>
        <v>90</v>
      </c>
      <c r="L68" s="36">
        <f>$Q$23</f>
        <v>900</v>
      </c>
      <c r="O68">
        <f>_xlfn.XLOOKUP($H68,$J$27:$L$27,$J68:$L68)</f>
        <v>90</v>
      </c>
      <c r="P68" s="10" t="s">
        <v>33</v>
      </c>
      <c r="Q68" s="86">
        <f>I68*O68</f>
        <v>90</v>
      </c>
      <c r="R68" s="19">
        <f t="shared" ref="R68:R74" si="106">$Q68*$C68*(1-$F68)</f>
        <v>0</v>
      </c>
      <c r="S68" s="19"/>
      <c r="T68" s="19"/>
      <c r="U68" s="19"/>
      <c r="V68" s="19"/>
      <c r="W68" s="19">
        <f t="shared" ref="W68:AA74" si="107">IF(W$18&lt;$E68,0,$Q68*$D68)*(1-$F68)</f>
        <v>144000</v>
      </c>
      <c r="X68" s="19">
        <f t="shared" si="107"/>
        <v>144000</v>
      </c>
      <c r="Y68" s="19">
        <f t="shared" si="107"/>
        <v>144000</v>
      </c>
      <c r="Z68" s="19">
        <f t="shared" si="107"/>
        <v>144000</v>
      </c>
      <c r="AA68" s="19">
        <f t="shared" si="107"/>
        <v>144000</v>
      </c>
      <c r="AB68" s="20">
        <f>SUM(R68:AA68)</f>
        <v>720000</v>
      </c>
    </row>
    <row r="69" spans="1:29" outlineLevel="2" x14ac:dyDescent="0.3">
      <c r="A69" s="24" t="str">
        <f t="shared" si="104"/>
        <v>VM</v>
      </c>
      <c r="B69" s="24"/>
      <c r="C69" s="27">
        <f t="shared" si="105"/>
        <v>5000</v>
      </c>
      <c r="D69" s="27">
        <f t="shared" si="105"/>
        <v>1000</v>
      </c>
      <c r="E69" s="28">
        <f t="shared" si="105"/>
        <v>2</v>
      </c>
      <c r="F69" s="29">
        <f t="shared" si="105"/>
        <v>0.2</v>
      </c>
      <c r="G69" s="87" t="str">
        <f t="shared" ref="G69:I69" si="108">G59</f>
        <v>socket</v>
      </c>
      <c r="H69" s="87" t="str">
        <f t="shared" si="108"/>
        <v>socket</v>
      </c>
      <c r="I69" s="87">
        <f t="shared" si="108"/>
        <v>1</v>
      </c>
      <c r="J69" s="1">
        <f>J68</f>
        <v>45</v>
      </c>
      <c r="K69" s="1">
        <f t="shared" ref="K69:K74" si="109">K68</f>
        <v>90</v>
      </c>
      <c r="L69" s="1">
        <f t="shared" ref="L69:L74" si="110">L68</f>
        <v>900</v>
      </c>
      <c r="O69">
        <f t="shared" ref="O69:O74" si="111">_xlfn.XLOOKUP($H69,$J$27:$L$27,$J69:$L69)</f>
        <v>90</v>
      </c>
      <c r="P69" s="10" t="s">
        <v>33</v>
      </c>
      <c r="Q69" s="86">
        <f t="shared" ref="Q69:Q74" si="112">I69*O69</f>
        <v>90</v>
      </c>
      <c r="R69" s="19">
        <f t="shared" si="106"/>
        <v>360000</v>
      </c>
      <c r="S69" s="19"/>
      <c r="T69" s="19"/>
      <c r="U69" s="19"/>
      <c r="V69" s="19"/>
      <c r="W69" s="19">
        <f t="shared" si="107"/>
        <v>0</v>
      </c>
      <c r="X69" s="19">
        <f t="shared" si="107"/>
        <v>72000</v>
      </c>
      <c r="Y69" s="19">
        <f t="shared" si="107"/>
        <v>72000</v>
      </c>
      <c r="Z69" s="19">
        <f t="shared" si="107"/>
        <v>72000</v>
      </c>
      <c r="AA69" s="19">
        <f t="shared" si="107"/>
        <v>72000</v>
      </c>
      <c r="AB69" s="20">
        <f t="shared" ref="AB69:AB70" si="113">SUM(R69:AA69)</f>
        <v>648000</v>
      </c>
    </row>
    <row r="70" spans="1:29" outlineLevel="2" x14ac:dyDescent="0.3">
      <c r="A70" s="24" t="str">
        <f t="shared" si="104"/>
        <v>Application Server</v>
      </c>
      <c r="B70" s="24"/>
      <c r="C70" s="27">
        <f t="shared" si="105"/>
        <v>100</v>
      </c>
      <c r="D70" s="27">
        <f t="shared" si="105"/>
        <v>20</v>
      </c>
      <c r="E70" s="28">
        <f t="shared" si="105"/>
        <v>2</v>
      </c>
      <c r="F70" s="29">
        <f t="shared" si="105"/>
        <v>0.75</v>
      </c>
      <c r="G70" s="87" t="str">
        <f t="shared" ref="G70:I70" si="114">G60</f>
        <v>PVU</v>
      </c>
      <c r="H70" s="87" t="str">
        <f t="shared" si="114"/>
        <v>core</v>
      </c>
      <c r="I70" s="87">
        <f t="shared" si="114"/>
        <v>70</v>
      </c>
      <c r="J70" s="1">
        <f t="shared" ref="J70:J74" si="115">J69</f>
        <v>45</v>
      </c>
      <c r="K70" s="1">
        <f t="shared" si="109"/>
        <v>90</v>
      </c>
      <c r="L70" s="1">
        <f t="shared" si="110"/>
        <v>900</v>
      </c>
      <c r="O70">
        <f t="shared" si="111"/>
        <v>900</v>
      </c>
      <c r="P70" s="10" t="s">
        <v>97</v>
      </c>
      <c r="Q70" s="86">
        <f t="shared" si="112"/>
        <v>63000</v>
      </c>
      <c r="R70" s="19">
        <f t="shared" si="106"/>
        <v>1575000</v>
      </c>
      <c r="S70" s="19"/>
      <c r="T70" s="19"/>
      <c r="U70" s="19"/>
      <c r="V70" s="19"/>
      <c r="W70" s="19">
        <f t="shared" si="107"/>
        <v>0</v>
      </c>
      <c r="X70" s="19">
        <f t="shared" si="107"/>
        <v>315000</v>
      </c>
      <c r="Y70" s="19">
        <f t="shared" si="107"/>
        <v>315000</v>
      </c>
      <c r="Z70" s="19">
        <f t="shared" si="107"/>
        <v>315000</v>
      </c>
      <c r="AA70" s="19">
        <f t="shared" si="107"/>
        <v>315000</v>
      </c>
      <c r="AB70" s="20">
        <f t="shared" si="113"/>
        <v>2835000</v>
      </c>
    </row>
    <row r="71" spans="1:29" outlineLevel="2" x14ac:dyDescent="0.3">
      <c r="A71" s="24" t="str">
        <f t="shared" si="104"/>
        <v>DB</v>
      </c>
      <c r="B71" s="24"/>
      <c r="C71" s="27">
        <f t="shared" si="105"/>
        <v>40000</v>
      </c>
      <c r="D71" s="27">
        <f t="shared" si="105"/>
        <v>8000</v>
      </c>
      <c r="E71" s="28">
        <f t="shared" si="105"/>
        <v>2</v>
      </c>
      <c r="F71" s="29">
        <f t="shared" si="105"/>
        <v>0.75</v>
      </c>
      <c r="G71" s="87" t="str">
        <f t="shared" ref="G71:I71" si="116">G61</f>
        <v>core</v>
      </c>
      <c r="H71" s="87" t="str">
        <f t="shared" si="116"/>
        <v>core</v>
      </c>
      <c r="I71" s="87">
        <f t="shared" si="116"/>
        <v>0.5</v>
      </c>
      <c r="J71" s="1">
        <f t="shared" si="115"/>
        <v>45</v>
      </c>
      <c r="K71" s="1">
        <f t="shared" si="109"/>
        <v>90</v>
      </c>
      <c r="L71" s="1">
        <f t="shared" si="110"/>
        <v>900</v>
      </c>
      <c r="O71">
        <f t="shared" si="111"/>
        <v>900</v>
      </c>
      <c r="P71" s="10" t="s">
        <v>34</v>
      </c>
      <c r="Q71" s="86">
        <f t="shared" si="112"/>
        <v>450</v>
      </c>
      <c r="R71" s="19">
        <f t="shared" si="106"/>
        <v>4500000</v>
      </c>
      <c r="S71" s="19"/>
      <c r="T71" s="19"/>
      <c r="U71" s="19"/>
      <c r="V71" s="19"/>
      <c r="W71" s="19">
        <f t="shared" si="107"/>
        <v>0</v>
      </c>
      <c r="X71" s="19">
        <f t="shared" si="107"/>
        <v>900000</v>
      </c>
      <c r="Y71" s="19">
        <f t="shared" si="107"/>
        <v>900000</v>
      </c>
      <c r="Z71" s="19">
        <f t="shared" si="107"/>
        <v>900000</v>
      </c>
      <c r="AA71" s="19">
        <f t="shared" si="107"/>
        <v>900000</v>
      </c>
      <c r="AB71" s="20">
        <f>SUM(R71:AA71)</f>
        <v>8100000</v>
      </c>
    </row>
    <row r="72" spans="1:29" outlineLevel="2" x14ac:dyDescent="0.3">
      <c r="A72" s="24" t="str">
        <f t="shared" si="104"/>
        <v>Data Replication Tools</v>
      </c>
      <c r="B72" s="24"/>
      <c r="C72" s="27">
        <f t="shared" si="105"/>
        <v>0</v>
      </c>
      <c r="D72" s="27">
        <f t="shared" si="105"/>
        <v>3000</v>
      </c>
      <c r="E72" s="28">
        <f t="shared" si="105"/>
        <v>1</v>
      </c>
      <c r="F72" s="29">
        <f t="shared" si="105"/>
        <v>0.75</v>
      </c>
      <c r="G72" s="87" t="str">
        <f t="shared" ref="G72:I72" si="117">G62</f>
        <v>core</v>
      </c>
      <c r="H72" s="87" t="str">
        <f t="shared" si="117"/>
        <v>core</v>
      </c>
      <c r="I72" s="87">
        <f t="shared" si="117"/>
        <v>0.5</v>
      </c>
      <c r="J72" s="1">
        <f t="shared" si="115"/>
        <v>45</v>
      </c>
      <c r="K72" s="1">
        <f t="shared" si="109"/>
        <v>90</v>
      </c>
      <c r="L72" s="1">
        <f t="shared" si="110"/>
        <v>900</v>
      </c>
      <c r="O72">
        <f t="shared" si="111"/>
        <v>900</v>
      </c>
      <c r="P72" s="10" t="s">
        <v>34</v>
      </c>
      <c r="Q72" s="86">
        <f t="shared" si="112"/>
        <v>450</v>
      </c>
      <c r="R72" s="19">
        <f t="shared" si="106"/>
        <v>0</v>
      </c>
      <c r="S72" s="19"/>
      <c r="T72" s="19"/>
      <c r="U72" s="19"/>
      <c r="V72" s="19"/>
      <c r="W72" s="19">
        <f t="shared" si="107"/>
        <v>337500</v>
      </c>
      <c r="X72" s="19">
        <f t="shared" si="107"/>
        <v>337500</v>
      </c>
      <c r="Y72" s="19">
        <f t="shared" si="107"/>
        <v>337500</v>
      </c>
      <c r="Z72" s="19">
        <f t="shared" si="107"/>
        <v>337500</v>
      </c>
      <c r="AA72" s="19">
        <f t="shared" si="107"/>
        <v>337500</v>
      </c>
      <c r="AB72" s="20">
        <f>SUM(R72:AA72)</f>
        <v>1687500</v>
      </c>
    </row>
    <row r="73" spans="1:29" outlineLevel="2" x14ac:dyDescent="0.3">
      <c r="A73" s="24" t="str">
        <f t="shared" si="104"/>
        <v>Monitoring Tools</v>
      </c>
      <c r="B73" s="24"/>
      <c r="C73" s="27">
        <f t="shared" si="105"/>
        <v>5000</v>
      </c>
      <c r="D73" s="27">
        <f t="shared" si="105"/>
        <v>1000</v>
      </c>
      <c r="E73" s="28">
        <f t="shared" si="105"/>
        <v>2</v>
      </c>
      <c r="F73" s="29">
        <f t="shared" si="105"/>
        <v>0.4</v>
      </c>
      <c r="G73" s="87" t="str">
        <f t="shared" ref="G73:I73" si="118">G63</f>
        <v>server</v>
      </c>
      <c r="H73" s="87" t="str">
        <f t="shared" si="118"/>
        <v>server</v>
      </c>
      <c r="I73" s="87">
        <f t="shared" si="118"/>
        <v>1</v>
      </c>
      <c r="J73" s="1">
        <f t="shared" si="115"/>
        <v>45</v>
      </c>
      <c r="K73" s="1">
        <f t="shared" si="109"/>
        <v>90</v>
      </c>
      <c r="L73" s="1">
        <f t="shared" si="110"/>
        <v>900</v>
      </c>
      <c r="O73">
        <f t="shared" si="111"/>
        <v>45</v>
      </c>
      <c r="P73" s="10" t="s">
        <v>35</v>
      </c>
      <c r="Q73" s="86">
        <f t="shared" si="112"/>
        <v>45</v>
      </c>
      <c r="R73" s="19">
        <f t="shared" si="106"/>
        <v>135000</v>
      </c>
      <c r="S73" s="19"/>
      <c r="T73" s="19"/>
      <c r="U73" s="19"/>
      <c r="V73" s="19"/>
      <c r="W73" s="19">
        <f t="shared" si="107"/>
        <v>0</v>
      </c>
      <c r="X73" s="19">
        <f t="shared" si="107"/>
        <v>27000</v>
      </c>
      <c r="Y73" s="19">
        <f t="shared" si="107"/>
        <v>27000</v>
      </c>
      <c r="Z73" s="19">
        <f t="shared" si="107"/>
        <v>27000</v>
      </c>
      <c r="AA73" s="19">
        <f t="shared" si="107"/>
        <v>27000</v>
      </c>
      <c r="AB73" s="20">
        <f t="shared" ref="AB73:AB74" si="119">SUM(R73:AA73)</f>
        <v>243000</v>
      </c>
    </row>
    <row r="74" spans="1:29" outlineLevel="2" x14ac:dyDescent="0.3">
      <c r="A74" s="24" t="str">
        <f t="shared" si="104"/>
        <v>Security Tools</v>
      </c>
      <c r="B74" s="24"/>
      <c r="C74" s="27">
        <f t="shared" si="105"/>
        <v>5000</v>
      </c>
      <c r="D74" s="27">
        <f t="shared" si="105"/>
        <v>1000</v>
      </c>
      <c r="E74" s="28">
        <f t="shared" si="105"/>
        <v>2</v>
      </c>
      <c r="F74" s="29">
        <f t="shared" si="105"/>
        <v>0.4</v>
      </c>
      <c r="G74" s="87" t="str">
        <f t="shared" ref="G74:I74" si="120">G64</f>
        <v>server</v>
      </c>
      <c r="H74" s="87" t="str">
        <f t="shared" si="120"/>
        <v>server</v>
      </c>
      <c r="I74" s="87">
        <f t="shared" si="120"/>
        <v>1</v>
      </c>
      <c r="J74" s="1">
        <f t="shared" si="115"/>
        <v>45</v>
      </c>
      <c r="K74" s="1">
        <f t="shared" si="109"/>
        <v>90</v>
      </c>
      <c r="L74" s="1">
        <f t="shared" si="110"/>
        <v>900</v>
      </c>
      <c r="O74">
        <f t="shared" si="111"/>
        <v>45</v>
      </c>
      <c r="P74" s="10" t="s">
        <v>35</v>
      </c>
      <c r="Q74" s="86">
        <f t="shared" si="112"/>
        <v>45</v>
      </c>
      <c r="R74" s="19">
        <f t="shared" si="106"/>
        <v>135000</v>
      </c>
      <c r="S74" s="19"/>
      <c r="T74" s="19"/>
      <c r="U74" s="19"/>
      <c r="V74" s="19"/>
      <c r="W74" s="19">
        <f t="shared" si="107"/>
        <v>0</v>
      </c>
      <c r="X74" s="19">
        <f t="shared" si="107"/>
        <v>27000</v>
      </c>
      <c r="Y74" s="19">
        <f t="shared" si="107"/>
        <v>27000</v>
      </c>
      <c r="Z74" s="19">
        <f t="shared" si="107"/>
        <v>27000</v>
      </c>
      <c r="AA74" s="19">
        <f t="shared" si="107"/>
        <v>27000</v>
      </c>
      <c r="AB74" s="20">
        <f t="shared" si="119"/>
        <v>243000</v>
      </c>
    </row>
    <row r="75" spans="1:29" s="39" customFormat="1" outlineLevel="1" x14ac:dyDescent="0.3">
      <c r="Q75" s="64" t="s">
        <v>10</v>
      </c>
      <c r="R75" s="61">
        <f>SUM(R68:R74)</f>
        <v>6705000</v>
      </c>
      <c r="S75" s="61">
        <f t="shared" ref="S75" si="121">SUM(S68:S74)</f>
        <v>0</v>
      </c>
      <c r="T75" s="61">
        <f t="shared" ref="T75" si="122">SUM(T68:T74)</f>
        <v>0</v>
      </c>
      <c r="U75" s="61">
        <f t="shared" ref="U75" si="123">SUM(U68:U74)</f>
        <v>0</v>
      </c>
      <c r="V75" s="61">
        <f t="shared" ref="V75" si="124">SUM(V68:V74)</f>
        <v>0</v>
      </c>
      <c r="W75" s="61">
        <f t="shared" ref="W75" si="125">SUM(W68:W74)</f>
        <v>481500</v>
      </c>
      <c r="X75" s="61">
        <f t="shared" ref="X75" si="126">SUM(X68:X74)</f>
        <v>1822500</v>
      </c>
      <c r="Y75" s="61">
        <f t="shared" ref="Y75" si="127">SUM(Y68:Y74)</f>
        <v>1822500</v>
      </c>
      <c r="Z75" s="61">
        <f t="shared" ref="Z75" si="128">SUM(Z68:Z74)</f>
        <v>1822500</v>
      </c>
      <c r="AA75" s="61">
        <f t="shared" ref="AA75" si="129">SUM(AA68:AA74)</f>
        <v>1822500</v>
      </c>
      <c r="AB75" s="62">
        <f t="shared" ref="AB75" si="130">SUM(AB68:AB74)</f>
        <v>14476500</v>
      </c>
    </row>
    <row r="76" spans="1:29" outlineLevel="1" x14ac:dyDescent="0.3"/>
    <row r="77" spans="1:29" x14ac:dyDescent="0.3">
      <c r="O77" s="64" t="s">
        <v>73</v>
      </c>
      <c r="P77" s="8"/>
      <c r="R77" s="62">
        <f>R35+R45+R55+R65+R75</f>
        <v>17141000</v>
      </c>
      <c r="S77" s="62">
        <f t="shared" ref="S77:AB77" si="131">S35+S45+S55+S65+S75</f>
        <v>0</v>
      </c>
      <c r="T77" s="62">
        <f t="shared" si="131"/>
        <v>0</v>
      </c>
      <c r="U77" s="62">
        <f t="shared" si="131"/>
        <v>0</v>
      </c>
      <c r="V77" s="62">
        <f t="shared" si="131"/>
        <v>0</v>
      </c>
      <c r="W77" s="62">
        <f t="shared" si="131"/>
        <v>1230500</v>
      </c>
      <c r="X77" s="62">
        <f t="shared" si="131"/>
        <v>4658700</v>
      </c>
      <c r="Y77" s="62">
        <f t="shared" si="131"/>
        <v>4658700</v>
      </c>
      <c r="Z77" s="62">
        <f t="shared" si="131"/>
        <v>4658700</v>
      </c>
      <c r="AA77" s="62">
        <f t="shared" si="131"/>
        <v>4658700</v>
      </c>
      <c r="AB77" s="62">
        <f t="shared" si="131"/>
        <v>37006300</v>
      </c>
      <c r="AC77" s="5" t="s">
        <v>20</v>
      </c>
    </row>
    <row r="79" spans="1:29" s="60" customFormat="1" ht="28.5" customHeight="1" thickBot="1" x14ac:dyDescent="0.35">
      <c r="A79" s="58" t="s">
        <v>3</v>
      </c>
      <c r="B79" s="58"/>
      <c r="R79" s="59"/>
      <c r="S79" s="59"/>
      <c r="T79" s="59"/>
      <c r="U79" s="59"/>
      <c r="V79" s="59"/>
      <c r="W79" s="59"/>
      <c r="X79" s="59"/>
      <c r="Y79" s="59"/>
      <c r="Z79" s="59"/>
      <c r="AA79" s="59"/>
      <c r="AB79" s="59"/>
      <c r="AC79" s="59"/>
    </row>
    <row r="80" spans="1:29" ht="29.4" outlineLevel="1" thickBot="1" x14ac:dyDescent="0.35">
      <c r="A80" s="5" t="s">
        <v>3</v>
      </c>
      <c r="B80" s="5"/>
      <c r="N80" s="10"/>
      <c r="O80" s="18" t="s">
        <v>18</v>
      </c>
      <c r="P80" s="7" t="s">
        <v>79</v>
      </c>
      <c r="R80" s="53">
        <v>1</v>
      </c>
      <c r="S80" s="54">
        <v>2</v>
      </c>
      <c r="T80" s="54">
        <v>3</v>
      </c>
      <c r="U80" s="54">
        <v>4</v>
      </c>
      <c r="V80" s="55">
        <v>5</v>
      </c>
      <c r="W80" s="53">
        <v>1</v>
      </c>
      <c r="X80" s="54">
        <v>2</v>
      </c>
      <c r="Y80" s="54">
        <v>3</v>
      </c>
      <c r="Z80" s="54">
        <v>4</v>
      </c>
      <c r="AA80" s="55">
        <v>5</v>
      </c>
      <c r="AB80" s="57" t="s">
        <v>20</v>
      </c>
    </row>
    <row r="81" spans="1:29" outlineLevel="1" x14ac:dyDescent="0.3">
      <c r="A81" t="s">
        <v>81</v>
      </c>
      <c r="D81" s="13">
        <v>30</v>
      </c>
      <c r="E81" t="s">
        <v>74</v>
      </c>
      <c r="N81" s="14" t="s">
        <v>6</v>
      </c>
      <c r="O81" s="33">
        <f>$O$19</f>
        <v>25</v>
      </c>
      <c r="P81" s="9">
        <f>$O81/$D$81</f>
        <v>0.83333333333333337</v>
      </c>
      <c r="R81" s="19"/>
      <c r="S81" s="19"/>
      <c r="T81" s="19"/>
      <c r="U81" s="19"/>
      <c r="V81" s="19"/>
      <c r="W81" s="19">
        <f>$D$82*$P81</f>
        <v>83333.333333333343</v>
      </c>
      <c r="X81" s="19">
        <f t="shared" ref="X81:AA85" si="132">$D$82*$P81</f>
        <v>83333.333333333343</v>
      </c>
      <c r="Y81" s="19">
        <f t="shared" si="132"/>
        <v>83333.333333333343</v>
      </c>
      <c r="Z81" s="19">
        <f t="shared" si="132"/>
        <v>83333.333333333343</v>
      </c>
      <c r="AA81" s="19">
        <f t="shared" si="132"/>
        <v>83333.333333333343</v>
      </c>
      <c r="AB81" s="20">
        <f>SUM(R81:AA81)</f>
        <v>416666.66666666674</v>
      </c>
      <c r="AC81" s="1" t="s">
        <v>6</v>
      </c>
    </row>
    <row r="82" spans="1:29" outlineLevel="1" x14ac:dyDescent="0.3">
      <c r="A82" t="s">
        <v>36</v>
      </c>
      <c r="D82" s="26">
        <v>100000</v>
      </c>
      <c r="N82" s="14" t="s">
        <v>7</v>
      </c>
      <c r="O82" s="33">
        <f>$O$20</f>
        <v>13</v>
      </c>
      <c r="P82" s="9">
        <f t="shared" ref="P82:P85" si="133">$O82/$D$81</f>
        <v>0.43333333333333335</v>
      </c>
      <c r="R82" s="19"/>
      <c r="S82" s="19"/>
      <c r="T82" s="19"/>
      <c r="U82" s="19"/>
      <c r="V82" s="19"/>
      <c r="W82" s="19">
        <f t="shared" ref="W82:W85" si="134">$D$82*$P82</f>
        <v>43333.333333333336</v>
      </c>
      <c r="X82" s="19">
        <f t="shared" si="132"/>
        <v>43333.333333333336</v>
      </c>
      <c r="Y82" s="19">
        <f t="shared" si="132"/>
        <v>43333.333333333336</v>
      </c>
      <c r="Z82" s="19">
        <f t="shared" si="132"/>
        <v>43333.333333333336</v>
      </c>
      <c r="AA82" s="19">
        <f t="shared" si="132"/>
        <v>43333.333333333336</v>
      </c>
      <c r="AB82" s="20">
        <f t="shared" ref="AB82:AB85" si="135">SUM(R82:AA82)</f>
        <v>216666.66666666669</v>
      </c>
      <c r="AC82" s="1" t="s">
        <v>7</v>
      </c>
    </row>
    <row r="83" spans="1:29" outlineLevel="1" x14ac:dyDescent="0.3">
      <c r="J83" s="63"/>
      <c r="N83" s="14" t="s">
        <v>8</v>
      </c>
      <c r="O83" s="33">
        <f>$O$21</f>
        <v>13</v>
      </c>
      <c r="P83" s="9">
        <f t="shared" si="133"/>
        <v>0.43333333333333335</v>
      </c>
      <c r="R83" s="19"/>
      <c r="S83" s="19"/>
      <c r="T83" s="19"/>
      <c r="U83" s="19"/>
      <c r="V83" s="19"/>
      <c r="W83" s="19">
        <f t="shared" si="134"/>
        <v>43333.333333333336</v>
      </c>
      <c r="X83" s="19">
        <f t="shared" si="132"/>
        <v>43333.333333333336</v>
      </c>
      <c r="Y83" s="19">
        <f t="shared" si="132"/>
        <v>43333.333333333336</v>
      </c>
      <c r="Z83" s="19">
        <f t="shared" si="132"/>
        <v>43333.333333333336</v>
      </c>
      <c r="AA83" s="19">
        <f t="shared" si="132"/>
        <v>43333.333333333336</v>
      </c>
      <c r="AB83" s="20">
        <f t="shared" si="135"/>
        <v>216666.66666666669</v>
      </c>
      <c r="AC83" s="1" t="s">
        <v>8</v>
      </c>
    </row>
    <row r="84" spans="1:29" outlineLevel="1" x14ac:dyDescent="0.3">
      <c r="N84" s="14" t="s">
        <v>9</v>
      </c>
      <c r="O84" s="33">
        <f>$O$22</f>
        <v>20</v>
      </c>
      <c r="P84" s="9">
        <f t="shared" si="133"/>
        <v>0.66666666666666663</v>
      </c>
      <c r="R84" s="19"/>
      <c r="S84" s="19"/>
      <c r="T84" s="19"/>
      <c r="U84" s="19"/>
      <c r="V84" s="19"/>
      <c r="W84" s="19">
        <f t="shared" si="134"/>
        <v>66666.666666666657</v>
      </c>
      <c r="X84" s="19">
        <f t="shared" si="132"/>
        <v>66666.666666666657</v>
      </c>
      <c r="Y84" s="19">
        <f t="shared" si="132"/>
        <v>66666.666666666657</v>
      </c>
      <c r="Z84" s="19">
        <f t="shared" si="132"/>
        <v>66666.666666666657</v>
      </c>
      <c r="AA84" s="19">
        <f t="shared" si="132"/>
        <v>66666.666666666657</v>
      </c>
      <c r="AB84" s="20">
        <f t="shared" si="135"/>
        <v>333333.33333333326</v>
      </c>
      <c r="AC84" s="1" t="s">
        <v>9</v>
      </c>
    </row>
    <row r="85" spans="1:29" outlineLevel="1" x14ac:dyDescent="0.3">
      <c r="N85" s="14" t="s">
        <v>10</v>
      </c>
      <c r="O85" s="33">
        <f>$O$23</f>
        <v>45</v>
      </c>
      <c r="P85" s="9">
        <f t="shared" si="133"/>
        <v>1.5</v>
      </c>
      <c r="R85" s="19"/>
      <c r="S85" s="19"/>
      <c r="T85" s="19"/>
      <c r="U85" s="19"/>
      <c r="V85" s="19"/>
      <c r="W85" s="19">
        <f t="shared" si="134"/>
        <v>150000</v>
      </c>
      <c r="X85" s="19">
        <f t="shared" si="132"/>
        <v>150000</v>
      </c>
      <c r="Y85" s="19">
        <f t="shared" si="132"/>
        <v>150000</v>
      </c>
      <c r="Z85" s="19">
        <f t="shared" si="132"/>
        <v>150000</v>
      </c>
      <c r="AA85" s="19">
        <f t="shared" si="132"/>
        <v>150000</v>
      </c>
      <c r="AB85" s="20">
        <f t="shared" si="135"/>
        <v>750000</v>
      </c>
      <c r="AC85" s="1" t="s">
        <v>10</v>
      </c>
    </row>
    <row r="86" spans="1:29" x14ac:dyDescent="0.3">
      <c r="N86" s="14"/>
      <c r="O86" s="64" t="s">
        <v>80</v>
      </c>
      <c r="P86" s="118">
        <f>SUM(P81:P85)</f>
        <v>3.8666666666666667</v>
      </c>
      <c r="R86" s="62">
        <f>SUM(R81:R85)</f>
        <v>0</v>
      </c>
      <c r="S86" s="62">
        <f t="shared" ref="S86:AB86" si="136">SUM(S81:S85)</f>
        <v>0</v>
      </c>
      <c r="T86" s="62">
        <f t="shared" si="136"/>
        <v>0</v>
      </c>
      <c r="U86" s="62">
        <f t="shared" si="136"/>
        <v>0</v>
      </c>
      <c r="V86" s="62">
        <f t="shared" si="136"/>
        <v>0</v>
      </c>
      <c r="W86" s="62">
        <f t="shared" si="136"/>
        <v>386666.66666666669</v>
      </c>
      <c r="X86" s="62">
        <f t="shared" si="136"/>
        <v>386666.66666666669</v>
      </c>
      <c r="Y86" s="62">
        <f t="shared" si="136"/>
        <v>386666.66666666669</v>
      </c>
      <c r="Z86" s="62">
        <f t="shared" si="136"/>
        <v>386666.66666666669</v>
      </c>
      <c r="AA86" s="62">
        <f t="shared" si="136"/>
        <v>386666.66666666669</v>
      </c>
      <c r="AB86" s="62">
        <f t="shared" si="136"/>
        <v>1933333.3333333335</v>
      </c>
      <c r="AC86" s="5" t="s">
        <v>20</v>
      </c>
    </row>
    <row r="88" spans="1:29" s="60" customFormat="1" ht="28.5" customHeight="1" thickBot="1" x14ac:dyDescent="0.35">
      <c r="A88" s="58" t="s">
        <v>4</v>
      </c>
      <c r="B88" s="58"/>
      <c r="R88" s="59"/>
      <c r="S88" s="59"/>
      <c r="T88" s="59"/>
      <c r="U88" s="59"/>
      <c r="V88" s="59"/>
      <c r="W88" s="59"/>
      <c r="X88" s="59"/>
      <c r="Y88" s="59"/>
      <c r="Z88" s="59"/>
      <c r="AA88" s="59"/>
      <c r="AB88" s="59"/>
      <c r="AC88" s="59"/>
    </row>
    <row r="89" spans="1:29" ht="15" outlineLevel="1" thickBot="1" x14ac:dyDescent="0.35">
      <c r="A89" s="5" t="s">
        <v>4</v>
      </c>
      <c r="B89" s="5"/>
      <c r="O89" s="10"/>
      <c r="P89" s="18" t="s">
        <v>18</v>
      </c>
      <c r="R89" s="53">
        <v>1</v>
      </c>
      <c r="S89" s="54">
        <v>2</v>
      </c>
      <c r="T89" s="54">
        <v>3</v>
      </c>
      <c r="U89" s="54">
        <v>4</v>
      </c>
      <c r="V89" s="55">
        <v>5</v>
      </c>
      <c r="W89" s="53">
        <v>1</v>
      </c>
      <c r="X89" s="54">
        <v>2</v>
      </c>
      <c r="Y89" s="54">
        <v>3</v>
      </c>
      <c r="Z89" s="54">
        <v>4</v>
      </c>
      <c r="AA89" s="55">
        <v>5</v>
      </c>
      <c r="AB89" s="57" t="s">
        <v>20</v>
      </c>
    </row>
    <row r="90" spans="1:29" outlineLevel="1" x14ac:dyDescent="0.3">
      <c r="A90" t="s">
        <v>37</v>
      </c>
      <c r="D90" s="26">
        <v>7000</v>
      </c>
      <c r="O90" s="14" t="s">
        <v>6</v>
      </c>
      <c r="P90" s="33">
        <f>$O$19</f>
        <v>25</v>
      </c>
      <c r="R90" s="19">
        <f>$P90*($D$90*(1-$D$91))</f>
        <v>122500</v>
      </c>
      <c r="S90" s="19"/>
      <c r="T90" s="19"/>
      <c r="U90" s="19"/>
      <c r="V90" s="19"/>
      <c r="W90" s="19">
        <f t="shared" ref="W90:AA94" si="137">IF(W$89&gt;=$D$94,$P90*($D$93*(1-$D$91)),0)</f>
        <v>0</v>
      </c>
      <c r="X90" s="19">
        <f t="shared" si="137"/>
        <v>12249.999999999998</v>
      </c>
      <c r="Y90" s="19">
        <f t="shared" si="137"/>
        <v>12249.999999999998</v>
      </c>
      <c r="Z90" s="19">
        <f t="shared" si="137"/>
        <v>12249.999999999998</v>
      </c>
      <c r="AA90" s="19">
        <f t="shared" si="137"/>
        <v>12249.999999999998</v>
      </c>
      <c r="AB90" s="20">
        <f>SUM(R90:AA90)</f>
        <v>171500</v>
      </c>
      <c r="AC90" s="1" t="s">
        <v>6</v>
      </c>
    </row>
    <row r="91" spans="1:29" outlineLevel="1" x14ac:dyDescent="0.3">
      <c r="A91" t="s">
        <v>75</v>
      </c>
      <c r="D91" s="17">
        <v>0.3</v>
      </c>
      <c r="O91" s="14" t="s">
        <v>7</v>
      </c>
      <c r="P91" s="33">
        <f>$O$20</f>
        <v>13</v>
      </c>
      <c r="R91" s="19">
        <f>$P91*($D$90*(1-$D$91))</f>
        <v>63700</v>
      </c>
      <c r="S91" s="19"/>
      <c r="T91" s="19"/>
      <c r="U91" s="19"/>
      <c r="V91" s="19"/>
      <c r="W91" s="19">
        <f t="shared" si="137"/>
        <v>0</v>
      </c>
      <c r="X91" s="19">
        <f t="shared" si="137"/>
        <v>6369.9999999999991</v>
      </c>
      <c r="Y91" s="19">
        <f t="shared" si="137"/>
        <v>6369.9999999999991</v>
      </c>
      <c r="Z91" s="19">
        <f t="shared" si="137"/>
        <v>6369.9999999999991</v>
      </c>
      <c r="AA91" s="19">
        <f t="shared" si="137"/>
        <v>6369.9999999999991</v>
      </c>
      <c r="AB91" s="20">
        <f t="shared" ref="AB91:AB94" si="138">SUM(R91:AA91)</f>
        <v>89180</v>
      </c>
      <c r="AC91" s="1" t="s">
        <v>7</v>
      </c>
    </row>
    <row r="92" spans="1:29" outlineLevel="1" x14ac:dyDescent="0.3">
      <c r="A92" t="s">
        <v>76</v>
      </c>
      <c r="D92" s="17">
        <v>0.1</v>
      </c>
      <c r="J92" s="63"/>
      <c r="O92" s="14" t="s">
        <v>8</v>
      </c>
      <c r="P92" s="33">
        <f>$O$21</f>
        <v>13</v>
      </c>
      <c r="R92" s="19">
        <f>$P92*($D$90*(1-$D$91))</f>
        <v>63700</v>
      </c>
      <c r="S92" s="19"/>
      <c r="T92" s="19"/>
      <c r="U92" s="19"/>
      <c r="V92" s="19"/>
      <c r="W92" s="19">
        <f t="shared" si="137"/>
        <v>0</v>
      </c>
      <c r="X92" s="19">
        <f t="shared" si="137"/>
        <v>6369.9999999999991</v>
      </c>
      <c r="Y92" s="19">
        <f t="shared" si="137"/>
        <v>6369.9999999999991</v>
      </c>
      <c r="Z92" s="19">
        <f t="shared" si="137"/>
        <v>6369.9999999999991</v>
      </c>
      <c r="AA92" s="19">
        <f t="shared" si="137"/>
        <v>6369.9999999999991</v>
      </c>
      <c r="AB92" s="20">
        <f t="shared" si="138"/>
        <v>89180</v>
      </c>
      <c r="AC92" s="1" t="s">
        <v>8</v>
      </c>
    </row>
    <row r="93" spans="1:29" outlineLevel="1" x14ac:dyDescent="0.3">
      <c r="A93" t="s">
        <v>77</v>
      </c>
      <c r="D93" s="19">
        <f>D90*D92</f>
        <v>700</v>
      </c>
      <c r="O93" s="14" t="s">
        <v>9</v>
      </c>
      <c r="P93" s="33">
        <f>$O$22</f>
        <v>20</v>
      </c>
      <c r="R93" s="19">
        <f>$P93*($D$90*(1-$D$91))</f>
        <v>98000</v>
      </c>
      <c r="S93" s="19"/>
      <c r="T93" s="19"/>
      <c r="U93" s="19"/>
      <c r="V93" s="19"/>
      <c r="W93" s="19">
        <f t="shared" si="137"/>
        <v>0</v>
      </c>
      <c r="X93" s="19">
        <f t="shared" si="137"/>
        <v>9799.9999999999982</v>
      </c>
      <c r="Y93" s="19">
        <f t="shared" si="137"/>
        <v>9799.9999999999982</v>
      </c>
      <c r="Z93" s="19">
        <f t="shared" si="137"/>
        <v>9799.9999999999982</v>
      </c>
      <c r="AA93" s="19">
        <f t="shared" si="137"/>
        <v>9799.9999999999982</v>
      </c>
      <c r="AB93" s="20">
        <f t="shared" si="138"/>
        <v>137200</v>
      </c>
      <c r="AC93" s="1" t="s">
        <v>9</v>
      </c>
    </row>
    <row r="94" spans="1:29" outlineLevel="1" x14ac:dyDescent="0.3">
      <c r="A94" t="s">
        <v>16</v>
      </c>
      <c r="D94" s="13">
        <v>2</v>
      </c>
      <c r="O94" s="14" t="s">
        <v>10</v>
      </c>
      <c r="P94" s="33">
        <f>$O$23</f>
        <v>45</v>
      </c>
      <c r="R94" s="19">
        <f>$P94*($D$90*(1-$D$91))</f>
        <v>220500</v>
      </c>
      <c r="S94" s="19"/>
      <c r="T94" s="19"/>
      <c r="U94" s="19"/>
      <c r="V94" s="19"/>
      <c r="W94" s="19">
        <f t="shared" si="137"/>
        <v>0</v>
      </c>
      <c r="X94" s="19">
        <f t="shared" si="137"/>
        <v>22049.999999999996</v>
      </c>
      <c r="Y94" s="19">
        <f t="shared" si="137"/>
        <v>22049.999999999996</v>
      </c>
      <c r="Z94" s="19">
        <f t="shared" si="137"/>
        <v>22049.999999999996</v>
      </c>
      <c r="AA94" s="19">
        <f t="shared" si="137"/>
        <v>22049.999999999996</v>
      </c>
      <c r="AB94" s="20">
        <f t="shared" si="138"/>
        <v>308700</v>
      </c>
      <c r="AC94" s="1" t="s">
        <v>10</v>
      </c>
    </row>
    <row r="95" spans="1:29" x14ac:dyDescent="0.3">
      <c r="O95" s="64" t="s">
        <v>78</v>
      </c>
      <c r="P95" s="50">
        <f>SUM(P90:P94)</f>
        <v>116</v>
      </c>
      <c r="R95" s="62">
        <f>SUM(R90:R94)</f>
        <v>568400</v>
      </c>
      <c r="S95" s="62">
        <f t="shared" ref="S95" si="139">SUM(S90:S94)</f>
        <v>0</v>
      </c>
      <c r="T95" s="62">
        <f t="shared" ref="T95" si="140">SUM(T90:T94)</f>
        <v>0</v>
      </c>
      <c r="U95" s="62">
        <f t="shared" ref="U95" si="141">SUM(U90:U94)</f>
        <v>0</v>
      </c>
      <c r="V95" s="62">
        <f t="shared" ref="V95" si="142">SUM(V90:V94)</f>
        <v>0</v>
      </c>
      <c r="W95" s="62">
        <f t="shared" ref="W95" si="143">SUM(W90:W94)</f>
        <v>0</v>
      </c>
      <c r="X95" s="62">
        <f t="shared" ref="X95" si="144">SUM(X90:X94)</f>
        <v>56839.999999999985</v>
      </c>
      <c r="Y95" s="62">
        <f t="shared" ref="Y95" si="145">SUM(Y90:Y94)</f>
        <v>56839.999999999985</v>
      </c>
      <c r="Z95" s="62">
        <f t="shared" ref="Z95" si="146">SUM(Z90:Z94)</f>
        <v>56839.999999999985</v>
      </c>
      <c r="AA95" s="62">
        <f t="shared" ref="AA95" si="147">SUM(AA90:AA94)</f>
        <v>56839.999999999985</v>
      </c>
      <c r="AB95" s="62">
        <f t="shared" ref="AB95" si="148">SUM(AB90:AB94)</f>
        <v>795760</v>
      </c>
      <c r="AC95" s="5" t="s">
        <v>20</v>
      </c>
    </row>
    <row r="97" spans="1:29" s="60" customFormat="1" ht="28.5" customHeight="1" thickBot="1" x14ac:dyDescent="0.35">
      <c r="A97" s="58" t="s">
        <v>5</v>
      </c>
      <c r="B97" s="58"/>
      <c r="R97" s="59"/>
      <c r="S97" s="59"/>
      <c r="T97" s="59"/>
      <c r="U97" s="59"/>
      <c r="V97" s="59"/>
      <c r="W97" s="59"/>
      <c r="X97" s="59"/>
      <c r="Y97" s="59"/>
      <c r="Z97" s="59"/>
      <c r="AA97" s="59"/>
      <c r="AB97" s="59"/>
      <c r="AC97" s="59"/>
    </row>
    <row r="98" spans="1:29" ht="29.4" outlineLevel="1" thickBot="1" x14ac:dyDescent="0.35">
      <c r="A98" s="5" t="s">
        <v>49</v>
      </c>
      <c r="B98" s="5"/>
      <c r="N98" s="10"/>
      <c r="O98" s="18" t="s">
        <v>18</v>
      </c>
      <c r="P98" s="18" t="s">
        <v>47</v>
      </c>
      <c r="Q98" s="18" t="s">
        <v>48</v>
      </c>
      <c r="R98" s="53">
        <v>1</v>
      </c>
      <c r="S98" s="54">
        <v>2</v>
      </c>
      <c r="T98" s="54">
        <v>3</v>
      </c>
      <c r="U98" s="54">
        <v>4</v>
      </c>
      <c r="V98" s="55">
        <v>5</v>
      </c>
      <c r="W98" s="53">
        <v>1</v>
      </c>
      <c r="X98" s="54">
        <v>2</v>
      </c>
      <c r="Y98" s="54">
        <v>3</v>
      </c>
      <c r="Z98" s="54">
        <v>4</v>
      </c>
      <c r="AA98" s="55">
        <v>5</v>
      </c>
      <c r="AB98" s="57" t="s">
        <v>20</v>
      </c>
    </row>
    <row r="99" spans="1:29" outlineLevel="2" x14ac:dyDescent="0.3">
      <c r="A99" t="s">
        <v>39</v>
      </c>
      <c r="C99" s="1" t="s">
        <v>45</v>
      </c>
      <c r="D99" s="25">
        <v>2.6</v>
      </c>
      <c r="N99" s="14" t="s">
        <v>6</v>
      </c>
      <c r="O99" s="33">
        <f>$O$19</f>
        <v>25</v>
      </c>
      <c r="P99" s="37">
        <f>$O99/$D$100</f>
        <v>0.83333333333333337</v>
      </c>
      <c r="Q99" s="37">
        <f>ROUNDUP($P99*$D$99,0)</f>
        <v>3</v>
      </c>
      <c r="R99" s="19"/>
      <c r="S99" s="19"/>
      <c r="T99" s="19"/>
      <c r="U99" s="19"/>
      <c r="V99" s="19"/>
      <c r="W99" s="19">
        <f>$Q99*$D$101</f>
        <v>7800</v>
      </c>
      <c r="X99" s="19">
        <f t="shared" ref="X99:AA99" si="149">$Q99*$D$101</f>
        <v>7800</v>
      </c>
      <c r="Y99" s="19">
        <f t="shared" si="149"/>
        <v>7800</v>
      </c>
      <c r="Z99" s="19">
        <f t="shared" si="149"/>
        <v>7800</v>
      </c>
      <c r="AA99" s="19">
        <f t="shared" si="149"/>
        <v>7800</v>
      </c>
      <c r="AB99" s="20">
        <f>SUM(R99:AA99)</f>
        <v>39000</v>
      </c>
      <c r="AC99" s="1" t="s">
        <v>6</v>
      </c>
    </row>
    <row r="100" spans="1:29" outlineLevel="2" x14ac:dyDescent="0.3">
      <c r="A100" s="4" t="s">
        <v>38</v>
      </c>
      <c r="B100" s="4"/>
      <c r="C100" s="1"/>
      <c r="D100" s="140">
        <f>$J$5</f>
        <v>30</v>
      </c>
      <c r="N100" s="14" t="s">
        <v>7</v>
      </c>
      <c r="O100" s="33">
        <f>$O$20</f>
        <v>13</v>
      </c>
      <c r="P100" s="37">
        <f t="shared" ref="P100:P103" si="150">$O100/$D$100</f>
        <v>0.43333333333333335</v>
      </c>
      <c r="Q100" s="37">
        <f t="shared" ref="Q100:Q102" si="151">$P100*$D$99</f>
        <v>1.1266666666666667</v>
      </c>
      <c r="R100" s="19"/>
      <c r="S100" s="19"/>
      <c r="T100" s="19"/>
      <c r="U100" s="19"/>
      <c r="V100" s="19"/>
      <c r="W100" s="19">
        <f t="shared" ref="W100:AA103" si="152">$Q100*$D$101</f>
        <v>2929.3333333333335</v>
      </c>
      <c r="X100" s="19">
        <f t="shared" si="152"/>
        <v>2929.3333333333335</v>
      </c>
      <c r="Y100" s="19">
        <f t="shared" si="152"/>
        <v>2929.3333333333335</v>
      </c>
      <c r="Z100" s="19">
        <f t="shared" si="152"/>
        <v>2929.3333333333335</v>
      </c>
      <c r="AA100" s="19">
        <f t="shared" si="152"/>
        <v>2929.3333333333335</v>
      </c>
      <c r="AB100" s="20">
        <f t="shared" ref="AB100:AB103" si="153">SUM(R100:AA100)</f>
        <v>14646.666666666668</v>
      </c>
      <c r="AC100" s="1" t="s">
        <v>7</v>
      </c>
    </row>
    <row r="101" spans="1:29" outlineLevel="2" x14ac:dyDescent="0.3">
      <c r="A101" t="s">
        <v>40</v>
      </c>
      <c r="C101" s="1" t="s">
        <v>44</v>
      </c>
      <c r="D101" s="34">
        <v>2600</v>
      </c>
      <c r="N101" s="14" t="s">
        <v>8</v>
      </c>
      <c r="O101" s="33">
        <f>$O$21</f>
        <v>13</v>
      </c>
      <c r="P101" s="37">
        <f t="shared" si="150"/>
        <v>0.43333333333333335</v>
      </c>
      <c r="Q101" s="37">
        <f t="shared" si="151"/>
        <v>1.1266666666666667</v>
      </c>
      <c r="R101" s="19"/>
      <c r="S101" s="19"/>
      <c r="T101" s="19"/>
      <c r="U101" s="19"/>
      <c r="V101" s="19"/>
      <c r="W101" s="19">
        <f t="shared" si="152"/>
        <v>2929.3333333333335</v>
      </c>
      <c r="X101" s="19">
        <f t="shared" si="152"/>
        <v>2929.3333333333335</v>
      </c>
      <c r="Y101" s="19">
        <f t="shared" si="152"/>
        <v>2929.3333333333335</v>
      </c>
      <c r="Z101" s="19">
        <f t="shared" si="152"/>
        <v>2929.3333333333335</v>
      </c>
      <c r="AA101" s="19">
        <f t="shared" si="152"/>
        <v>2929.3333333333335</v>
      </c>
      <c r="AB101" s="20">
        <f t="shared" si="153"/>
        <v>14646.666666666668</v>
      </c>
      <c r="AC101" s="1" t="s">
        <v>8</v>
      </c>
    </row>
    <row r="102" spans="1:29" outlineLevel="2" x14ac:dyDescent="0.3">
      <c r="N102" s="14" t="s">
        <v>9</v>
      </c>
      <c r="O102" s="33">
        <f>$O$22</f>
        <v>20</v>
      </c>
      <c r="P102" s="37">
        <f t="shared" si="150"/>
        <v>0.66666666666666663</v>
      </c>
      <c r="Q102" s="37">
        <f t="shared" si="151"/>
        <v>1.7333333333333334</v>
      </c>
      <c r="R102" s="19"/>
      <c r="S102" s="19"/>
      <c r="T102" s="19"/>
      <c r="U102" s="19"/>
      <c r="V102" s="19"/>
      <c r="W102" s="19">
        <f t="shared" si="152"/>
        <v>4506.666666666667</v>
      </c>
      <c r="X102" s="19">
        <f t="shared" si="152"/>
        <v>4506.666666666667</v>
      </c>
      <c r="Y102" s="19">
        <f t="shared" si="152"/>
        <v>4506.666666666667</v>
      </c>
      <c r="Z102" s="19">
        <f t="shared" si="152"/>
        <v>4506.666666666667</v>
      </c>
      <c r="AA102" s="19">
        <f t="shared" si="152"/>
        <v>4506.666666666667</v>
      </c>
      <c r="AB102" s="20">
        <f t="shared" si="153"/>
        <v>22533.333333333336</v>
      </c>
      <c r="AC102" s="1" t="s">
        <v>9</v>
      </c>
    </row>
    <row r="103" spans="1:29" outlineLevel="2" x14ac:dyDescent="0.3">
      <c r="N103" s="14" t="s">
        <v>10</v>
      </c>
      <c r="O103" s="33">
        <f>$O$23</f>
        <v>45</v>
      </c>
      <c r="P103" s="37">
        <f t="shared" si="150"/>
        <v>1.5</v>
      </c>
      <c r="Q103" s="37">
        <f>ROUNDUP($P103*$D$99,0)</f>
        <v>4</v>
      </c>
      <c r="R103" s="19"/>
      <c r="S103" s="19"/>
      <c r="T103" s="19"/>
      <c r="U103" s="19"/>
      <c r="V103" s="19"/>
      <c r="W103" s="19">
        <f t="shared" si="152"/>
        <v>10400</v>
      </c>
      <c r="X103" s="19">
        <f t="shared" si="152"/>
        <v>10400</v>
      </c>
      <c r="Y103" s="19">
        <f t="shared" si="152"/>
        <v>10400</v>
      </c>
      <c r="Z103" s="19">
        <f t="shared" si="152"/>
        <v>10400</v>
      </c>
      <c r="AA103" s="19">
        <f t="shared" si="152"/>
        <v>10400</v>
      </c>
      <c r="AB103" s="20">
        <f t="shared" si="153"/>
        <v>52000</v>
      </c>
      <c r="AC103" s="1" t="s">
        <v>10</v>
      </c>
    </row>
    <row r="104" spans="1:29" outlineLevel="1" x14ac:dyDescent="0.3">
      <c r="N104" s="14"/>
      <c r="O104" s="50">
        <f>SUM(O99:O103)</f>
        <v>116</v>
      </c>
      <c r="P104" s="65">
        <f>SUM(P99:P103)</f>
        <v>3.8666666666666667</v>
      </c>
      <c r="Q104" s="65">
        <f>SUM(Q99:Q103)</f>
        <v>10.986666666666668</v>
      </c>
      <c r="R104" s="61">
        <f t="shared" ref="R104" si="154">SUM(R99:R103)</f>
        <v>0</v>
      </c>
      <c r="S104" s="61">
        <f t="shared" ref="S104" si="155">SUM(S99:S103)</f>
        <v>0</v>
      </c>
      <c r="T104" s="61">
        <f t="shared" ref="T104" si="156">SUM(T99:T103)</f>
        <v>0</v>
      </c>
      <c r="U104" s="61">
        <f t="shared" ref="U104" si="157">SUM(U99:U103)</f>
        <v>0</v>
      </c>
      <c r="V104" s="61">
        <f t="shared" ref="V104" si="158">SUM(V99:V103)</f>
        <v>0</v>
      </c>
      <c r="W104" s="61">
        <f t="shared" ref="W104" si="159">SUM(W99:W103)</f>
        <v>28565.333333333336</v>
      </c>
      <c r="X104" s="61">
        <f t="shared" ref="X104" si="160">SUM(X99:X103)</f>
        <v>28565.333333333336</v>
      </c>
      <c r="Y104" s="61">
        <f t="shared" ref="Y104" si="161">SUM(Y99:Y103)</f>
        <v>28565.333333333336</v>
      </c>
      <c r="Z104" s="61">
        <f t="shared" ref="Z104" si="162">SUM(Z99:Z103)</f>
        <v>28565.333333333336</v>
      </c>
      <c r="AA104" s="61">
        <f t="shared" ref="AA104" si="163">SUM(AA99:AA103)</f>
        <v>28565.333333333336</v>
      </c>
      <c r="AB104" s="62">
        <f t="shared" ref="AB104" si="164">SUM(AB99:AB103)</f>
        <v>142826.66666666669</v>
      </c>
      <c r="AC104" s="5" t="s">
        <v>20</v>
      </c>
    </row>
    <row r="105" spans="1:29" ht="28.8" outlineLevel="1" x14ac:dyDescent="0.3">
      <c r="O105" s="18" t="s">
        <v>18</v>
      </c>
      <c r="P105" s="18" t="s">
        <v>47</v>
      </c>
      <c r="Q105" s="37">
        <f>ROUNDUP($P104*$D$99,0)</f>
        <v>11</v>
      </c>
      <c r="W105" s="19">
        <f>$Q104*$D$101</f>
        <v>28565.333333333336</v>
      </c>
    </row>
    <row r="106" spans="1:29" ht="15" outlineLevel="1" thickBot="1" x14ac:dyDescent="0.35"/>
    <row r="107" spans="1:29" ht="29.4" outlineLevel="1" thickBot="1" x14ac:dyDescent="0.35">
      <c r="A107" s="5" t="s">
        <v>52</v>
      </c>
      <c r="O107" s="18" t="s">
        <v>46</v>
      </c>
      <c r="P107" s="18" t="s">
        <v>84</v>
      </c>
      <c r="R107" s="53">
        <v>1</v>
      </c>
      <c r="S107" s="54">
        <v>2</v>
      </c>
      <c r="T107" s="54">
        <v>3</v>
      </c>
      <c r="U107" s="54">
        <v>4</v>
      </c>
      <c r="V107" s="55">
        <v>5</v>
      </c>
      <c r="W107" s="53">
        <v>1</v>
      </c>
      <c r="X107" s="54">
        <v>2</v>
      </c>
      <c r="Y107" s="54">
        <v>3</v>
      </c>
      <c r="Z107" s="54">
        <v>4</v>
      </c>
      <c r="AA107" s="55">
        <v>5</v>
      </c>
      <c r="AB107" s="57" t="s">
        <v>20</v>
      </c>
    </row>
    <row r="108" spans="1:29" outlineLevel="2" x14ac:dyDescent="0.3">
      <c r="A108" t="s">
        <v>82</v>
      </c>
      <c r="C108" s="1" t="s">
        <v>43</v>
      </c>
      <c r="D108" s="35">
        <v>0.1</v>
      </c>
      <c r="N108" s="14" t="s">
        <v>6</v>
      </c>
      <c r="O108" s="33">
        <f>$O$19</f>
        <v>25</v>
      </c>
      <c r="P108" s="42">
        <f>$D$111*O108</f>
        <v>131399.99999999997</v>
      </c>
      <c r="R108" s="19"/>
      <c r="S108" s="19"/>
      <c r="T108" s="19"/>
      <c r="U108" s="19"/>
      <c r="V108" s="19"/>
      <c r="W108" s="19">
        <f>$P108*$D$108</f>
        <v>13139.999999999998</v>
      </c>
      <c r="X108" s="19">
        <f t="shared" ref="X108:AA108" si="165">$P108*$D$108</f>
        <v>13139.999999999998</v>
      </c>
      <c r="Y108" s="19">
        <f t="shared" si="165"/>
        <v>13139.999999999998</v>
      </c>
      <c r="Z108" s="19">
        <f t="shared" si="165"/>
        <v>13139.999999999998</v>
      </c>
      <c r="AA108" s="19">
        <f t="shared" si="165"/>
        <v>13139.999999999998</v>
      </c>
      <c r="AB108" s="20">
        <f>SUM(R108:AA108)</f>
        <v>65699.999999999985</v>
      </c>
      <c r="AC108" s="1" t="s">
        <v>6</v>
      </c>
    </row>
    <row r="109" spans="1:29" outlineLevel="2" x14ac:dyDescent="0.3">
      <c r="A109" t="s">
        <v>41</v>
      </c>
      <c r="C109" s="1" t="s">
        <v>42</v>
      </c>
      <c r="D109" s="17">
        <v>0.66</v>
      </c>
      <c r="N109" s="14" t="s">
        <v>7</v>
      </c>
      <c r="O109" s="33">
        <f>$O$20</f>
        <v>13</v>
      </c>
      <c r="P109" s="42">
        <f t="shared" ref="P109:P112" si="166">$D$111*O109</f>
        <v>68327.999999999985</v>
      </c>
      <c r="R109" s="19"/>
      <c r="S109" s="19"/>
      <c r="T109" s="19"/>
      <c r="U109" s="19"/>
      <c r="V109" s="19"/>
      <c r="W109" s="19">
        <f t="shared" ref="W109:AA112" si="167">$P109*$D$108</f>
        <v>6832.7999999999993</v>
      </c>
      <c r="X109" s="19">
        <f t="shared" si="167"/>
        <v>6832.7999999999993</v>
      </c>
      <c r="Y109" s="19">
        <f t="shared" si="167"/>
        <v>6832.7999999999993</v>
      </c>
      <c r="Z109" s="19">
        <f t="shared" si="167"/>
        <v>6832.7999999999993</v>
      </c>
      <c r="AA109" s="19">
        <f t="shared" si="167"/>
        <v>6832.7999999999993</v>
      </c>
      <c r="AB109" s="20">
        <f t="shared" ref="AB109:AB112" si="168">SUM(R109:AA109)</f>
        <v>34164</v>
      </c>
      <c r="AC109" s="1" t="s">
        <v>7</v>
      </c>
    </row>
    <row r="110" spans="1:29" outlineLevel="2" x14ac:dyDescent="0.3">
      <c r="A110" t="s">
        <v>50</v>
      </c>
      <c r="C110" s="1" t="s">
        <v>51</v>
      </c>
      <c r="D110" s="101">
        <f>L5</f>
        <v>0.6</v>
      </c>
      <c r="H110" s="38"/>
      <c r="N110" s="14" t="s">
        <v>8</v>
      </c>
      <c r="O110" s="33">
        <f>$O$21</f>
        <v>13</v>
      </c>
      <c r="P110" s="42">
        <f t="shared" si="166"/>
        <v>68327.999999999985</v>
      </c>
      <c r="R110" s="19"/>
      <c r="S110" s="19"/>
      <c r="T110" s="19"/>
      <c r="U110" s="19"/>
      <c r="V110" s="19"/>
      <c r="W110" s="19">
        <f t="shared" si="167"/>
        <v>6832.7999999999993</v>
      </c>
      <c r="X110" s="19">
        <f t="shared" si="167"/>
        <v>6832.7999999999993</v>
      </c>
      <c r="Y110" s="19">
        <f t="shared" si="167"/>
        <v>6832.7999999999993</v>
      </c>
      <c r="Z110" s="19">
        <f t="shared" si="167"/>
        <v>6832.7999999999993</v>
      </c>
      <c r="AA110" s="19">
        <f t="shared" si="167"/>
        <v>6832.7999999999993</v>
      </c>
      <c r="AB110" s="20">
        <f t="shared" si="168"/>
        <v>34164</v>
      </c>
      <c r="AC110" s="1" t="s">
        <v>8</v>
      </c>
    </row>
    <row r="111" spans="1:29" outlineLevel="2" x14ac:dyDescent="0.3">
      <c r="A111" t="s">
        <v>83</v>
      </c>
      <c r="C111" s="1" t="s">
        <v>51</v>
      </c>
      <c r="D111" s="37">
        <f>$D$110*24*365</f>
        <v>5255.9999999999991</v>
      </c>
      <c r="H111" s="37"/>
      <c r="N111" s="14" t="s">
        <v>9</v>
      </c>
      <c r="O111" s="33">
        <f>$O$22</f>
        <v>20</v>
      </c>
      <c r="P111" s="42">
        <f t="shared" si="166"/>
        <v>105119.99999999999</v>
      </c>
      <c r="R111" s="19"/>
      <c r="S111" s="19"/>
      <c r="T111" s="19"/>
      <c r="U111" s="19"/>
      <c r="V111" s="19"/>
      <c r="W111" s="19">
        <f t="shared" si="167"/>
        <v>10512</v>
      </c>
      <c r="X111" s="19">
        <f t="shared" si="167"/>
        <v>10512</v>
      </c>
      <c r="Y111" s="19">
        <f t="shared" si="167"/>
        <v>10512</v>
      </c>
      <c r="Z111" s="19">
        <f t="shared" si="167"/>
        <v>10512</v>
      </c>
      <c r="AA111" s="19">
        <f t="shared" si="167"/>
        <v>10512</v>
      </c>
      <c r="AB111" s="20">
        <f t="shared" si="168"/>
        <v>52560</v>
      </c>
      <c r="AC111" s="1" t="s">
        <v>9</v>
      </c>
    </row>
    <row r="112" spans="1:29" outlineLevel="2" x14ac:dyDescent="0.3">
      <c r="H112" s="1"/>
      <c r="N112" s="14" t="s">
        <v>10</v>
      </c>
      <c r="O112" s="33">
        <f>$O$23</f>
        <v>45</v>
      </c>
      <c r="P112" s="42">
        <f t="shared" si="166"/>
        <v>236519.99999999997</v>
      </c>
      <c r="R112" s="19"/>
      <c r="S112" s="19"/>
      <c r="T112" s="19"/>
      <c r="U112" s="19"/>
      <c r="V112" s="19"/>
      <c r="W112" s="19">
        <f t="shared" si="167"/>
        <v>23652</v>
      </c>
      <c r="X112" s="19">
        <f t="shared" si="167"/>
        <v>23652</v>
      </c>
      <c r="Y112" s="19">
        <f t="shared" si="167"/>
        <v>23652</v>
      </c>
      <c r="Z112" s="19">
        <f t="shared" si="167"/>
        <v>23652</v>
      </c>
      <c r="AA112" s="19">
        <f t="shared" si="167"/>
        <v>23652</v>
      </c>
      <c r="AB112" s="20">
        <f t="shared" si="168"/>
        <v>118260</v>
      </c>
      <c r="AC112" s="1" t="s">
        <v>10</v>
      </c>
    </row>
    <row r="113" spans="1:29" outlineLevel="1" x14ac:dyDescent="0.3">
      <c r="N113" s="14"/>
      <c r="O113" s="50">
        <f>SUM(O108:O112)</f>
        <v>116</v>
      </c>
      <c r="P113" s="66">
        <f>SUM(P108:P112)</f>
        <v>609695.99999999988</v>
      </c>
      <c r="R113" s="61">
        <f t="shared" ref="R113" si="169">SUM(R108:R112)</f>
        <v>0</v>
      </c>
      <c r="S113" s="61">
        <f t="shared" ref="S113" si="170">SUM(S108:S112)</f>
        <v>0</v>
      </c>
      <c r="T113" s="61">
        <f t="shared" ref="T113" si="171">SUM(T108:T112)</f>
        <v>0</v>
      </c>
      <c r="U113" s="61">
        <f t="shared" ref="U113" si="172">SUM(U108:U112)</f>
        <v>0</v>
      </c>
      <c r="V113" s="61">
        <f t="shared" ref="V113" si="173">SUM(V108:V112)</f>
        <v>0</v>
      </c>
      <c r="W113" s="61">
        <f t="shared" ref="W113" si="174">SUM(W108:W112)</f>
        <v>60969.599999999991</v>
      </c>
      <c r="X113" s="61">
        <f t="shared" ref="X113" si="175">SUM(X108:X112)</f>
        <v>60969.599999999991</v>
      </c>
      <c r="Y113" s="61">
        <f t="shared" ref="Y113" si="176">SUM(Y108:Y112)</f>
        <v>60969.599999999991</v>
      </c>
      <c r="Z113" s="61">
        <f t="shared" ref="Z113" si="177">SUM(Z108:Z112)</f>
        <v>60969.599999999991</v>
      </c>
      <c r="AA113" s="61">
        <f t="shared" ref="AA113" si="178">SUM(AA108:AA112)</f>
        <v>60969.599999999991</v>
      </c>
      <c r="AB113" s="62">
        <f t="shared" ref="AB113" si="179">SUM(AB108:AB112)</f>
        <v>304848</v>
      </c>
      <c r="AC113" s="5" t="s">
        <v>20</v>
      </c>
    </row>
    <row r="114" spans="1:29" ht="28.8" outlineLevel="1" x14ac:dyDescent="0.3">
      <c r="O114" s="18" t="s">
        <v>46</v>
      </c>
      <c r="P114" s="18" t="s">
        <v>84</v>
      </c>
    </row>
    <row r="115" spans="1:29" outlineLevel="1" x14ac:dyDescent="0.3"/>
    <row r="116" spans="1:29" outlineLevel="1" x14ac:dyDescent="0.3">
      <c r="N116" s="14" t="s">
        <v>6</v>
      </c>
      <c r="R116" s="21">
        <f t="shared" ref="R116:AB116" si="180">R99+R108</f>
        <v>0</v>
      </c>
      <c r="S116" s="21">
        <f t="shared" si="180"/>
        <v>0</v>
      </c>
      <c r="T116" s="21">
        <f t="shared" si="180"/>
        <v>0</v>
      </c>
      <c r="U116" s="21">
        <f t="shared" si="180"/>
        <v>0</v>
      </c>
      <c r="V116" s="21">
        <f t="shared" si="180"/>
        <v>0</v>
      </c>
      <c r="W116" s="21">
        <f t="shared" si="180"/>
        <v>20940</v>
      </c>
      <c r="X116" s="21">
        <f t="shared" si="180"/>
        <v>20940</v>
      </c>
      <c r="Y116" s="21">
        <f t="shared" si="180"/>
        <v>20940</v>
      </c>
      <c r="Z116" s="21">
        <f t="shared" si="180"/>
        <v>20940</v>
      </c>
      <c r="AA116" s="21">
        <f t="shared" si="180"/>
        <v>20940</v>
      </c>
      <c r="AB116" s="20">
        <f t="shared" si="180"/>
        <v>104699.99999999999</v>
      </c>
      <c r="AC116" s="1" t="s">
        <v>6</v>
      </c>
    </row>
    <row r="117" spans="1:29" outlineLevel="1" x14ac:dyDescent="0.3">
      <c r="N117" s="14" t="s">
        <v>7</v>
      </c>
      <c r="R117" s="21">
        <f t="shared" ref="R117:AB117" si="181">R100+R109</f>
        <v>0</v>
      </c>
      <c r="S117" s="21">
        <f t="shared" si="181"/>
        <v>0</v>
      </c>
      <c r="T117" s="21">
        <f t="shared" si="181"/>
        <v>0</v>
      </c>
      <c r="U117" s="21">
        <f t="shared" si="181"/>
        <v>0</v>
      </c>
      <c r="V117" s="21">
        <f t="shared" si="181"/>
        <v>0</v>
      </c>
      <c r="W117" s="21">
        <f t="shared" si="181"/>
        <v>9762.1333333333332</v>
      </c>
      <c r="X117" s="21">
        <f t="shared" si="181"/>
        <v>9762.1333333333332</v>
      </c>
      <c r="Y117" s="21">
        <f t="shared" si="181"/>
        <v>9762.1333333333332</v>
      </c>
      <c r="Z117" s="21">
        <f t="shared" si="181"/>
        <v>9762.1333333333332</v>
      </c>
      <c r="AA117" s="21">
        <f t="shared" si="181"/>
        <v>9762.1333333333332</v>
      </c>
      <c r="AB117" s="20">
        <f t="shared" si="181"/>
        <v>48810.666666666672</v>
      </c>
      <c r="AC117" s="1" t="s">
        <v>7</v>
      </c>
    </row>
    <row r="118" spans="1:29" outlineLevel="1" x14ac:dyDescent="0.3">
      <c r="N118" s="14" t="s">
        <v>8</v>
      </c>
      <c r="R118" s="21">
        <f t="shared" ref="R118:AB118" si="182">R101+R110</f>
        <v>0</v>
      </c>
      <c r="S118" s="21">
        <f t="shared" si="182"/>
        <v>0</v>
      </c>
      <c r="T118" s="21">
        <f t="shared" si="182"/>
        <v>0</v>
      </c>
      <c r="U118" s="21">
        <f t="shared" si="182"/>
        <v>0</v>
      </c>
      <c r="V118" s="21">
        <f t="shared" si="182"/>
        <v>0</v>
      </c>
      <c r="W118" s="21">
        <f t="shared" si="182"/>
        <v>9762.1333333333332</v>
      </c>
      <c r="X118" s="21">
        <f t="shared" si="182"/>
        <v>9762.1333333333332</v>
      </c>
      <c r="Y118" s="21">
        <f t="shared" si="182"/>
        <v>9762.1333333333332</v>
      </c>
      <c r="Z118" s="21">
        <f t="shared" si="182"/>
        <v>9762.1333333333332</v>
      </c>
      <c r="AA118" s="21">
        <f t="shared" si="182"/>
        <v>9762.1333333333332</v>
      </c>
      <c r="AB118" s="20">
        <f t="shared" si="182"/>
        <v>48810.666666666672</v>
      </c>
      <c r="AC118" s="1" t="s">
        <v>8</v>
      </c>
    </row>
    <row r="119" spans="1:29" outlineLevel="1" x14ac:dyDescent="0.3">
      <c r="N119" s="14" t="s">
        <v>9</v>
      </c>
      <c r="R119" s="21">
        <f t="shared" ref="R119:AB119" si="183">R102+R111</f>
        <v>0</v>
      </c>
      <c r="S119" s="21">
        <f t="shared" si="183"/>
        <v>0</v>
      </c>
      <c r="T119" s="21">
        <f t="shared" si="183"/>
        <v>0</v>
      </c>
      <c r="U119" s="21">
        <f t="shared" si="183"/>
        <v>0</v>
      </c>
      <c r="V119" s="21">
        <f t="shared" si="183"/>
        <v>0</v>
      </c>
      <c r="W119" s="21">
        <f t="shared" si="183"/>
        <v>15018.666666666668</v>
      </c>
      <c r="X119" s="21">
        <f t="shared" si="183"/>
        <v>15018.666666666668</v>
      </c>
      <c r="Y119" s="21">
        <f t="shared" si="183"/>
        <v>15018.666666666668</v>
      </c>
      <c r="Z119" s="21">
        <f t="shared" si="183"/>
        <v>15018.666666666668</v>
      </c>
      <c r="AA119" s="21">
        <f t="shared" si="183"/>
        <v>15018.666666666668</v>
      </c>
      <c r="AB119" s="20">
        <f t="shared" si="183"/>
        <v>75093.333333333343</v>
      </c>
      <c r="AC119" s="1" t="s">
        <v>9</v>
      </c>
    </row>
    <row r="120" spans="1:29" outlineLevel="1" x14ac:dyDescent="0.3">
      <c r="N120" s="14" t="s">
        <v>10</v>
      </c>
      <c r="R120" s="21">
        <f t="shared" ref="R120:AB120" si="184">R103+R112</f>
        <v>0</v>
      </c>
      <c r="S120" s="21">
        <f t="shared" si="184"/>
        <v>0</v>
      </c>
      <c r="T120" s="21">
        <f t="shared" si="184"/>
        <v>0</v>
      </c>
      <c r="U120" s="21">
        <f t="shared" si="184"/>
        <v>0</v>
      </c>
      <c r="V120" s="21">
        <f t="shared" si="184"/>
        <v>0</v>
      </c>
      <c r="W120" s="21">
        <f t="shared" si="184"/>
        <v>34052</v>
      </c>
      <c r="X120" s="21">
        <f t="shared" si="184"/>
        <v>34052</v>
      </c>
      <c r="Y120" s="21">
        <f t="shared" si="184"/>
        <v>34052</v>
      </c>
      <c r="Z120" s="21">
        <f t="shared" si="184"/>
        <v>34052</v>
      </c>
      <c r="AA120" s="21">
        <f t="shared" si="184"/>
        <v>34052</v>
      </c>
      <c r="AB120" s="20">
        <f t="shared" si="184"/>
        <v>170260</v>
      </c>
      <c r="AC120" s="1" t="s">
        <v>10</v>
      </c>
    </row>
    <row r="121" spans="1:29" x14ac:dyDescent="0.3">
      <c r="O121" s="39" t="s">
        <v>85</v>
      </c>
      <c r="R121" s="62">
        <f t="shared" ref="R121:AB121" si="185">R104+R113</f>
        <v>0</v>
      </c>
      <c r="S121" s="62">
        <f t="shared" si="185"/>
        <v>0</v>
      </c>
      <c r="T121" s="62">
        <f t="shared" si="185"/>
        <v>0</v>
      </c>
      <c r="U121" s="62">
        <f t="shared" si="185"/>
        <v>0</v>
      </c>
      <c r="V121" s="62">
        <f t="shared" si="185"/>
        <v>0</v>
      </c>
      <c r="W121" s="62">
        <f t="shared" si="185"/>
        <v>89534.93333333332</v>
      </c>
      <c r="X121" s="62">
        <f t="shared" si="185"/>
        <v>89534.93333333332</v>
      </c>
      <c r="Y121" s="62">
        <f t="shared" si="185"/>
        <v>89534.93333333332</v>
      </c>
      <c r="Z121" s="62">
        <f t="shared" si="185"/>
        <v>89534.93333333332</v>
      </c>
      <c r="AA121" s="62">
        <f t="shared" si="185"/>
        <v>89534.93333333332</v>
      </c>
      <c r="AB121" s="62">
        <f t="shared" si="185"/>
        <v>447674.66666666669</v>
      </c>
      <c r="AC121" s="5" t="s">
        <v>20</v>
      </c>
    </row>
    <row r="123" spans="1:29" s="60" customFormat="1" ht="28.5" customHeight="1" x14ac:dyDescent="0.3">
      <c r="A123" s="58"/>
      <c r="B123" s="58"/>
      <c r="R123" s="59"/>
      <c r="S123" s="59"/>
      <c r="T123" s="59"/>
      <c r="U123" s="59"/>
      <c r="V123" s="59"/>
      <c r="W123" s="59"/>
      <c r="X123" s="59"/>
      <c r="Y123" s="59"/>
      <c r="Z123" s="59"/>
      <c r="AA123" s="59"/>
      <c r="AB123" s="59"/>
      <c r="AC123" s="59"/>
    </row>
    <row r="124" spans="1:29" x14ac:dyDescent="0.3">
      <c r="P124" s="64" t="s">
        <v>109</v>
      </c>
      <c r="R124" s="62">
        <f t="shared" ref="R124:AB124" si="186">R24+R77+R86+R95+R121</f>
        <v>18521400</v>
      </c>
      <c r="S124" s="62">
        <f t="shared" si="186"/>
        <v>0</v>
      </c>
      <c r="T124" s="62">
        <f t="shared" si="186"/>
        <v>0</v>
      </c>
      <c r="U124" s="62">
        <f t="shared" si="186"/>
        <v>0</v>
      </c>
      <c r="V124" s="62">
        <f t="shared" si="186"/>
        <v>0</v>
      </c>
      <c r="W124" s="62">
        <f t="shared" si="186"/>
        <v>1706701.6</v>
      </c>
      <c r="X124" s="62">
        <f t="shared" si="186"/>
        <v>5191741.6000000006</v>
      </c>
      <c r="Y124" s="62">
        <f t="shared" si="186"/>
        <v>5191741.6000000006</v>
      </c>
      <c r="Z124" s="62">
        <f t="shared" si="186"/>
        <v>5354141.6000000006</v>
      </c>
      <c r="AA124" s="62">
        <f t="shared" si="186"/>
        <v>5354141.6000000006</v>
      </c>
      <c r="AB124" s="62">
        <f t="shared" si="186"/>
        <v>41319868</v>
      </c>
      <c r="AC124" s="5" t="s">
        <v>20</v>
      </c>
    </row>
    <row r="125" spans="1:29" x14ac:dyDescent="0.3">
      <c r="P125" s="64" t="s">
        <v>110</v>
      </c>
      <c r="W125" s="62">
        <f>R124+W124</f>
        <v>20228101.600000001</v>
      </c>
      <c r="X125" s="62">
        <f t="shared" ref="X125:AA125" si="187">S124+X124</f>
        <v>5191741.6000000006</v>
      </c>
      <c r="Y125" s="62">
        <f t="shared" si="187"/>
        <v>5191741.6000000006</v>
      </c>
      <c r="Z125" s="62">
        <f t="shared" si="187"/>
        <v>5354141.6000000006</v>
      </c>
      <c r="AA125" s="62">
        <f t="shared" si="187"/>
        <v>5354141.6000000006</v>
      </c>
      <c r="AB125" s="62">
        <f>SUM(W125:AA125)</f>
        <v>41319868.000000007</v>
      </c>
    </row>
    <row r="126" spans="1:29" x14ac:dyDescent="0.3">
      <c r="P126" s="64" t="s">
        <v>111</v>
      </c>
      <c r="W126" s="62">
        <f>W125</f>
        <v>20228101.600000001</v>
      </c>
      <c r="X126" s="62">
        <f>W126+X125</f>
        <v>25419843.200000003</v>
      </c>
      <c r="Y126" s="62">
        <f t="shared" ref="Y126:AA126" si="188">X126+Y125</f>
        <v>30611584.800000004</v>
      </c>
      <c r="Z126" s="62">
        <f t="shared" si="188"/>
        <v>35965726.400000006</v>
      </c>
      <c r="AA126" s="62">
        <f t="shared" si="188"/>
        <v>41319868.000000007</v>
      </c>
    </row>
  </sheetData>
  <mergeCells count="2">
    <mergeCell ref="R1:V1"/>
    <mergeCell ref="W1:AA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73" zoomScaleNormal="73" workbookViewId="0">
      <pane xSplit="1" ySplit="2" topLeftCell="B3" activePane="bottomRight" state="frozen"/>
      <selection pane="topRight" activeCell="B1" sqref="B1"/>
      <selection pane="bottomLeft" activeCell="A3" sqref="A3"/>
      <selection pane="bottomRight" activeCell="A18" sqref="A18"/>
    </sheetView>
  </sheetViews>
  <sheetFormatPr defaultRowHeight="14.4" outlineLevelRow="2" outlineLevelCol="1" x14ac:dyDescent="0.3"/>
  <cols>
    <col min="1" max="1" width="43.6640625" customWidth="1"/>
    <col min="2" max="2" width="3.6640625" customWidth="1" outlineLevel="1"/>
    <col min="3" max="3" width="15" customWidth="1" outlineLevel="1"/>
    <col min="4" max="9" width="13.109375" customWidth="1" outlineLevel="1"/>
    <col min="10" max="10" width="12.88671875" customWidth="1" outlineLevel="1"/>
    <col min="11" max="12" width="14.33203125" customWidth="1" outlineLevel="1"/>
    <col min="13" max="13" width="3.44140625" customWidth="1"/>
    <col min="14" max="14" width="6" customWidth="1" outlineLevel="1"/>
    <col min="15" max="16" width="9.88671875" customWidth="1" outlineLevel="1"/>
    <col min="17" max="17" width="14" customWidth="1" outlineLevel="1"/>
    <col min="18" max="27" width="14.6640625" customWidth="1" outlineLevel="1"/>
    <col min="28" max="28" width="14.6640625" customWidth="1"/>
  </cols>
  <sheetData>
    <row r="1" spans="1:29" ht="24" customHeight="1" x14ac:dyDescent="0.4">
      <c r="A1" s="41" t="s">
        <v>117</v>
      </c>
      <c r="B1" s="41"/>
      <c r="R1" s="166" t="s">
        <v>157</v>
      </c>
      <c r="S1" s="167"/>
      <c r="T1" s="167"/>
      <c r="U1" s="167"/>
      <c r="V1" s="168"/>
      <c r="W1" s="166" t="s">
        <v>22</v>
      </c>
      <c r="X1" s="167"/>
      <c r="Y1" s="167"/>
      <c r="Z1" s="167"/>
      <c r="AA1" s="168"/>
      <c r="AB1" s="1" t="s">
        <v>68</v>
      </c>
    </row>
    <row r="2" spans="1:29" ht="18" x14ac:dyDescent="0.35">
      <c r="A2" s="40" t="s">
        <v>118</v>
      </c>
      <c r="B2" s="40"/>
      <c r="R2" s="10">
        <v>1</v>
      </c>
      <c r="S2" s="10">
        <v>2</v>
      </c>
      <c r="T2" s="10">
        <v>3</v>
      </c>
      <c r="U2" s="10">
        <v>4</v>
      </c>
      <c r="V2" s="10">
        <v>5</v>
      </c>
      <c r="W2" s="10">
        <v>1</v>
      </c>
      <c r="X2" s="10">
        <v>2</v>
      </c>
      <c r="Y2" s="10">
        <v>3</v>
      </c>
      <c r="Z2" s="10">
        <v>4</v>
      </c>
      <c r="AA2" s="10">
        <v>5</v>
      </c>
    </row>
    <row r="3" spans="1:29" s="59" customFormat="1" ht="30.75" customHeight="1" x14ac:dyDescent="0.3">
      <c r="A3" s="58" t="s">
        <v>1</v>
      </c>
      <c r="B3" s="58"/>
    </row>
    <row r="4" spans="1:29" ht="24" outlineLevel="1" x14ac:dyDescent="0.3">
      <c r="A4" s="10" t="s">
        <v>116</v>
      </c>
      <c r="C4" s="11" t="s">
        <v>21</v>
      </c>
      <c r="D4" s="11" t="s">
        <v>153</v>
      </c>
      <c r="E4" s="11" t="s">
        <v>148</v>
      </c>
      <c r="F4" s="11" t="s">
        <v>113</v>
      </c>
      <c r="G4" s="11" t="s">
        <v>23</v>
      </c>
      <c r="H4" s="11" t="s">
        <v>25</v>
      </c>
      <c r="I4" s="11" t="s">
        <v>22</v>
      </c>
      <c r="J4" s="11" t="s">
        <v>16</v>
      </c>
      <c r="K4" s="11" t="s">
        <v>17</v>
      </c>
      <c r="O4" s="11" t="s">
        <v>122</v>
      </c>
      <c r="P4" s="11" t="s">
        <v>123</v>
      </c>
      <c r="Q4" s="11" t="s">
        <v>123</v>
      </c>
      <c r="R4" s="11" t="s">
        <v>123</v>
      </c>
    </row>
    <row r="5" spans="1:29" outlineLevel="1" x14ac:dyDescent="0.3">
      <c r="A5" s="39" t="s">
        <v>146</v>
      </c>
      <c r="C5" s="21">
        <v>600000</v>
      </c>
      <c r="D5" s="21">
        <v>6</v>
      </c>
      <c r="E5" s="21">
        <v>50000</v>
      </c>
      <c r="F5" s="22">
        <v>5000</v>
      </c>
      <c r="G5" s="17">
        <v>0.3</v>
      </c>
      <c r="H5" s="32">
        <v>190</v>
      </c>
      <c r="I5" s="23">
        <v>0.1</v>
      </c>
      <c r="J5" s="22">
        <v>4</v>
      </c>
      <c r="K5" s="49">
        <v>15</v>
      </c>
      <c r="O5" s="22" t="s">
        <v>31</v>
      </c>
      <c r="P5" s="49" t="s">
        <v>29</v>
      </c>
      <c r="Q5" s="49" t="s">
        <v>125</v>
      </c>
      <c r="R5" s="49" t="s">
        <v>126</v>
      </c>
    </row>
    <row r="6" spans="1:29" outlineLevel="1" x14ac:dyDescent="0.3">
      <c r="A6" t="s">
        <v>164</v>
      </c>
      <c r="C6" s="130" t="s">
        <v>163</v>
      </c>
    </row>
    <row r="7" spans="1:29" outlineLevel="1" x14ac:dyDescent="0.3"/>
    <row r="8" spans="1:29" ht="15" outlineLevel="1" thickBot="1" x14ac:dyDescent="0.35">
      <c r="A8" s="39" t="s">
        <v>140</v>
      </c>
      <c r="E8" s="70"/>
    </row>
    <row r="9" spans="1:29" ht="43.8" outlineLevel="1" thickBot="1" x14ac:dyDescent="0.35">
      <c r="C9" s="73" t="s">
        <v>149</v>
      </c>
      <c r="D9" s="73" t="s">
        <v>88</v>
      </c>
      <c r="E9" s="144" t="s">
        <v>87</v>
      </c>
      <c r="F9" s="148" t="s">
        <v>150</v>
      </c>
      <c r="G9" s="149" t="s">
        <v>151</v>
      </c>
      <c r="H9" s="149" t="s">
        <v>119</v>
      </c>
      <c r="I9" s="150" t="s">
        <v>120</v>
      </c>
      <c r="J9" s="10"/>
      <c r="K9" s="83" t="s">
        <v>124</v>
      </c>
      <c r="N9" s="10"/>
      <c r="O9" s="83" t="s">
        <v>18</v>
      </c>
      <c r="P9" s="83" t="s">
        <v>26</v>
      </c>
      <c r="Q9" s="83" t="s">
        <v>27</v>
      </c>
      <c r="R9" s="53">
        <v>1</v>
      </c>
      <c r="S9" s="54">
        <v>2</v>
      </c>
      <c r="T9" s="54">
        <v>3</v>
      </c>
      <c r="U9" s="54">
        <v>4</v>
      </c>
      <c r="V9" s="55">
        <v>5</v>
      </c>
      <c r="W9" s="53">
        <v>1</v>
      </c>
      <c r="X9" s="54">
        <v>2</v>
      </c>
      <c r="Y9" s="54">
        <v>3</v>
      </c>
      <c r="Z9" s="54">
        <v>4</v>
      </c>
      <c r="AA9" s="55">
        <v>5</v>
      </c>
      <c r="AB9" s="57" t="s">
        <v>20</v>
      </c>
      <c r="AC9" s="10"/>
    </row>
    <row r="10" spans="1:29" outlineLevel="1" x14ac:dyDescent="0.3">
      <c r="A10" s="14" t="s">
        <v>6</v>
      </c>
      <c r="C10" s="5">
        <f>sizing!D5</f>
        <v>40</v>
      </c>
      <c r="D10" t="s">
        <v>136</v>
      </c>
      <c r="E10" s="145">
        <f>sizing!F5</f>
        <v>40</v>
      </c>
      <c r="F10" s="151">
        <f>ROUNDUP(E10,0)</f>
        <v>40</v>
      </c>
      <c r="G10" s="75"/>
      <c r="H10" s="75"/>
      <c r="I10" s="152">
        <f>F10</f>
        <v>40</v>
      </c>
      <c r="J10" s="14" t="s">
        <v>6</v>
      </c>
      <c r="K10" s="97">
        <f>$E10/$E$15</f>
        <v>0.33333333333333331</v>
      </c>
      <c r="N10" s="14" t="s">
        <v>6</v>
      </c>
      <c r="O10" s="100">
        <f>K10*2</f>
        <v>0.66666666666666663</v>
      </c>
      <c r="P10" s="84">
        <f>Q10</f>
        <v>40</v>
      </c>
      <c r="Q10" s="84">
        <f>SUM(F10:G10)</f>
        <v>40</v>
      </c>
      <c r="R10" s="52">
        <f>$K10*($F$16+$G$16)*(1-$G$5)</f>
        <v>1540000</v>
      </c>
      <c r="S10" s="52"/>
      <c r="T10" s="52"/>
      <c r="U10" s="52"/>
      <c r="V10" s="52"/>
      <c r="W10" s="52">
        <f t="shared" ref="W10:AA14" si="0">IF(W$9&lt;$J$5,0,$R10*$I$5)</f>
        <v>0</v>
      </c>
      <c r="X10" s="52">
        <f t="shared" si="0"/>
        <v>0</v>
      </c>
      <c r="Y10" s="52">
        <f t="shared" si="0"/>
        <v>0</v>
      </c>
      <c r="Z10" s="52">
        <f t="shared" si="0"/>
        <v>154000</v>
      </c>
      <c r="AA10" s="52">
        <f t="shared" si="0"/>
        <v>154000</v>
      </c>
      <c r="AB10" s="56">
        <f>SUM(R10:AA10)</f>
        <v>1848000</v>
      </c>
      <c r="AC10" s="1" t="s">
        <v>6</v>
      </c>
    </row>
    <row r="11" spans="1:29" outlineLevel="1" x14ac:dyDescent="0.3">
      <c r="A11" s="14" t="s">
        <v>7</v>
      </c>
      <c r="D11" s="111">
        <f>sizing!H5</f>
        <v>0.5</v>
      </c>
      <c r="E11" s="145">
        <f>ROUNDUP($C$10*D11,0)</f>
        <v>20</v>
      </c>
      <c r="F11" s="151">
        <f>E11</f>
        <v>20</v>
      </c>
      <c r="G11" s="75">
        <f>E11-F11</f>
        <v>0</v>
      </c>
      <c r="H11" s="75"/>
      <c r="I11" s="152"/>
      <c r="J11" s="14" t="s">
        <v>7</v>
      </c>
      <c r="K11" s="97">
        <f>$E11/$E$15</f>
        <v>0.16666666666666666</v>
      </c>
      <c r="N11" s="14" t="s">
        <v>7</v>
      </c>
      <c r="O11" s="100">
        <f t="shared" ref="O11:O13" si="1">K11*2</f>
        <v>0.33333333333333331</v>
      </c>
      <c r="P11" s="84">
        <f>Q11</f>
        <v>20</v>
      </c>
      <c r="Q11" s="84">
        <f>SUM(F11:G11)</f>
        <v>20</v>
      </c>
      <c r="R11" s="52">
        <f>$K11*($F$16+$G$16)*(1-$G$5)</f>
        <v>770000</v>
      </c>
      <c r="S11" s="19"/>
      <c r="T11" s="19"/>
      <c r="U11" s="19"/>
      <c r="V11" s="19"/>
      <c r="W11" s="52">
        <f t="shared" si="0"/>
        <v>0</v>
      </c>
      <c r="X11" s="52">
        <f t="shared" si="0"/>
        <v>0</v>
      </c>
      <c r="Y11" s="52">
        <f t="shared" si="0"/>
        <v>0</v>
      </c>
      <c r="Z11" s="52">
        <f t="shared" si="0"/>
        <v>77000</v>
      </c>
      <c r="AA11" s="52">
        <f t="shared" si="0"/>
        <v>77000</v>
      </c>
      <c r="AB11" s="20">
        <f>SUM(R11:AA11)</f>
        <v>924000</v>
      </c>
      <c r="AC11" s="1" t="s">
        <v>7</v>
      </c>
    </row>
    <row r="12" spans="1:29" outlineLevel="1" x14ac:dyDescent="0.3">
      <c r="A12" s="14" t="s">
        <v>8</v>
      </c>
      <c r="D12" s="111">
        <f>sizing!J5</f>
        <v>0.5</v>
      </c>
      <c r="E12" s="145">
        <f>ROUNDUP($C$10*D12,0)</f>
        <v>20</v>
      </c>
      <c r="F12" s="151">
        <f>E12-G12</f>
        <v>0</v>
      </c>
      <c r="G12" s="75">
        <f>E12</f>
        <v>20</v>
      </c>
      <c r="H12" s="75"/>
      <c r="I12" s="152"/>
      <c r="J12" s="14" t="s">
        <v>8</v>
      </c>
      <c r="K12" s="97">
        <f>$E12/$E$15</f>
        <v>0.16666666666666666</v>
      </c>
      <c r="N12" s="14" t="s">
        <v>8</v>
      </c>
      <c r="O12" s="100">
        <f t="shared" si="1"/>
        <v>0.33333333333333331</v>
      </c>
      <c r="P12" s="84">
        <f>Q12</f>
        <v>20</v>
      </c>
      <c r="Q12" s="84">
        <f>SUM(F12:G12)</f>
        <v>20</v>
      </c>
      <c r="R12" s="52">
        <f>$K12*($F$16+$G$16)*(1-$G$5)</f>
        <v>770000</v>
      </c>
      <c r="S12" s="19"/>
      <c r="T12" s="19"/>
      <c r="U12" s="19"/>
      <c r="V12" s="19"/>
      <c r="W12" s="52">
        <f t="shared" si="0"/>
        <v>0</v>
      </c>
      <c r="X12" s="52">
        <f t="shared" si="0"/>
        <v>0</v>
      </c>
      <c r="Y12" s="52">
        <f t="shared" si="0"/>
        <v>0</v>
      </c>
      <c r="Z12" s="52">
        <f t="shared" si="0"/>
        <v>77000</v>
      </c>
      <c r="AA12" s="52">
        <f t="shared" si="0"/>
        <v>77000</v>
      </c>
      <c r="AB12" s="20">
        <f>SUM(R12:AA12)</f>
        <v>924000</v>
      </c>
      <c r="AC12" s="1" t="s">
        <v>8</v>
      </c>
    </row>
    <row r="13" spans="1:29" ht="15" outlineLevel="1" thickBot="1" x14ac:dyDescent="0.35">
      <c r="A13" s="14" t="s">
        <v>135</v>
      </c>
      <c r="D13" s="111">
        <f>sizing!L5</f>
        <v>1</v>
      </c>
      <c r="E13" s="145">
        <f>ROUNDUP($C$10*D13,0)</f>
        <v>40</v>
      </c>
      <c r="F13" s="153"/>
      <c r="G13" s="154">
        <f>C10</f>
        <v>40</v>
      </c>
      <c r="H13" s="154">
        <f>G13</f>
        <v>40</v>
      </c>
      <c r="I13" s="155"/>
      <c r="J13" s="14" t="s">
        <v>9</v>
      </c>
      <c r="K13" s="97">
        <f>$E13/$E$15</f>
        <v>0.33333333333333331</v>
      </c>
      <c r="N13" s="14" t="s">
        <v>9</v>
      </c>
      <c r="O13" s="100">
        <f t="shared" si="1"/>
        <v>0.66666666666666663</v>
      </c>
      <c r="P13" s="84">
        <f>Q13</f>
        <v>40</v>
      </c>
      <c r="Q13" s="84">
        <f>SUM(F13:G13)</f>
        <v>40</v>
      </c>
      <c r="R13" s="52">
        <f>$K13*($F$16+$G$16)*(1-$G$5)</f>
        <v>1540000</v>
      </c>
      <c r="S13" s="19"/>
      <c r="T13" s="19"/>
      <c r="U13" s="19"/>
      <c r="V13" s="19"/>
      <c r="W13" s="52">
        <f t="shared" si="0"/>
        <v>0</v>
      </c>
      <c r="X13" s="52">
        <f t="shared" si="0"/>
        <v>0</v>
      </c>
      <c r="Y13" s="52">
        <f t="shared" si="0"/>
        <v>0</v>
      </c>
      <c r="Z13" s="52">
        <f t="shared" si="0"/>
        <v>154000</v>
      </c>
      <c r="AA13" s="52">
        <f t="shared" si="0"/>
        <v>154000</v>
      </c>
      <c r="AB13" s="20">
        <f>SUM(R13:AA13)</f>
        <v>1848000</v>
      </c>
      <c r="AC13" s="1" t="s">
        <v>9</v>
      </c>
    </row>
    <row r="14" spans="1:29" outlineLevel="1" x14ac:dyDescent="0.3">
      <c r="A14" s="14" t="s">
        <v>10</v>
      </c>
      <c r="F14" s="146"/>
      <c r="G14" s="146"/>
      <c r="H14" s="147">
        <f>SUM(H10:H13)</f>
        <v>40</v>
      </c>
      <c r="I14" s="147">
        <f>SUM(I10:I13)</f>
        <v>40</v>
      </c>
      <c r="J14" s="14" t="s">
        <v>10</v>
      </c>
      <c r="K14" s="84"/>
      <c r="N14" s="14" t="s">
        <v>10</v>
      </c>
      <c r="O14" s="100"/>
      <c r="P14" s="84"/>
      <c r="Q14" s="84"/>
      <c r="R14" s="52">
        <f>($H$16+$I$16)*(1-$G$5)</f>
        <v>280000</v>
      </c>
      <c r="S14" s="19"/>
      <c r="T14" s="19"/>
      <c r="U14" s="19"/>
      <c r="V14" s="19"/>
      <c r="W14" s="52">
        <f t="shared" si="0"/>
        <v>0</v>
      </c>
      <c r="X14" s="52">
        <f t="shared" si="0"/>
        <v>0</v>
      </c>
      <c r="Y14" s="52">
        <f t="shared" si="0"/>
        <v>0</v>
      </c>
      <c r="Z14" s="52">
        <f t="shared" si="0"/>
        <v>28000</v>
      </c>
      <c r="AA14" s="52">
        <f t="shared" si="0"/>
        <v>28000</v>
      </c>
      <c r="AB14" s="20">
        <f>SUM(R14:AA14)</f>
        <v>336000</v>
      </c>
      <c r="AC14" s="1" t="s">
        <v>10</v>
      </c>
    </row>
    <row r="15" spans="1:29" outlineLevel="1" x14ac:dyDescent="0.3">
      <c r="A15" s="64" t="s">
        <v>20</v>
      </c>
      <c r="C15" s="39"/>
      <c r="E15" s="78">
        <f>SUM(E10:E14)</f>
        <v>120</v>
      </c>
      <c r="F15" s="78">
        <f>SUM(F10:F14)</f>
        <v>60</v>
      </c>
      <c r="G15" s="78">
        <f>SUM(G10:G14)</f>
        <v>60</v>
      </c>
      <c r="H15" s="78">
        <f>H14</f>
        <v>40</v>
      </c>
      <c r="I15" s="78">
        <f>I14</f>
        <v>40</v>
      </c>
      <c r="J15" s="5"/>
      <c r="K15" s="98">
        <f>SUM(K10:K14)</f>
        <v>1</v>
      </c>
      <c r="N15" s="5"/>
      <c r="O15" s="50">
        <f>SUM(O10:O14)</f>
        <v>2</v>
      </c>
      <c r="P15" s="50">
        <f>SUM(P10:P14)</f>
        <v>120</v>
      </c>
      <c r="Q15" s="50">
        <f>SUM(Q10:Q14)</f>
        <v>120</v>
      </c>
      <c r="R15" s="71">
        <f t="shared" ref="R15:AB15" si="2">SUM(R10:R14)</f>
        <v>4900000</v>
      </c>
      <c r="S15" s="71">
        <f t="shared" si="2"/>
        <v>0</v>
      </c>
      <c r="T15" s="71">
        <f t="shared" si="2"/>
        <v>0</v>
      </c>
      <c r="U15" s="71">
        <f t="shared" si="2"/>
        <v>0</v>
      </c>
      <c r="V15" s="71">
        <f t="shared" si="2"/>
        <v>0</v>
      </c>
      <c r="W15" s="71">
        <f t="shared" si="2"/>
        <v>0</v>
      </c>
      <c r="X15" s="71">
        <f t="shared" si="2"/>
        <v>0</v>
      </c>
      <c r="Y15" s="71">
        <f t="shared" si="2"/>
        <v>0</v>
      </c>
      <c r="Z15" s="71">
        <f t="shared" si="2"/>
        <v>490000</v>
      </c>
      <c r="AA15" s="71">
        <f t="shared" si="2"/>
        <v>490000</v>
      </c>
      <c r="AB15" s="71">
        <f t="shared" si="2"/>
        <v>5880000</v>
      </c>
      <c r="AC15" s="5" t="s">
        <v>20</v>
      </c>
    </row>
    <row r="16" spans="1:29" ht="28.8" outlineLevel="1" x14ac:dyDescent="0.3">
      <c r="E16" s="143" t="s">
        <v>121</v>
      </c>
      <c r="F16" s="99">
        <f>IF($D$5&lt;F15,((F15-$D$5)*$E$5+$C$5),$C$5)</f>
        <v>3300000</v>
      </c>
      <c r="G16" s="99">
        <f>IF($D$5&lt;G15,((G15-$D$5)*$E$5+$C$5),$C$5)</f>
        <v>3300000</v>
      </c>
      <c r="H16" s="99">
        <f>($H$15*$F$5)</f>
        <v>200000</v>
      </c>
      <c r="I16" s="99">
        <f>($I$15*$F$5)</f>
        <v>200000</v>
      </c>
      <c r="O16" s="18" t="s">
        <v>18</v>
      </c>
      <c r="P16" s="18" t="s">
        <v>26</v>
      </c>
      <c r="Q16" s="18" t="s">
        <v>27</v>
      </c>
    </row>
    <row r="17" spans="1:29" outlineLevel="1" x14ac:dyDescent="0.3"/>
    <row r="18" spans="1:29" outlineLevel="1" x14ac:dyDescent="0.3">
      <c r="F18" s="70"/>
      <c r="G18" s="70"/>
    </row>
    <row r="19" spans="1:29" outlineLevel="1" x14ac:dyDescent="0.3"/>
    <row r="20" spans="1:29" outlineLevel="1" x14ac:dyDescent="0.3"/>
    <row r="22" spans="1:29" s="60" customFormat="1" ht="28.5" customHeight="1" thickBot="1" x14ac:dyDescent="0.35">
      <c r="A22" s="58" t="s">
        <v>32</v>
      </c>
      <c r="B22" s="58"/>
      <c r="R22" s="59"/>
      <c r="S22" s="59"/>
      <c r="T22" s="59"/>
      <c r="U22" s="59"/>
      <c r="V22" s="59"/>
      <c r="W22" s="59"/>
      <c r="X22" s="59"/>
      <c r="Y22" s="59"/>
      <c r="Z22" s="59"/>
      <c r="AA22" s="59"/>
      <c r="AB22" s="59"/>
      <c r="AC22" s="59"/>
    </row>
    <row r="23" spans="1:29" ht="36.75" customHeight="1" outlineLevel="1" thickBot="1" x14ac:dyDescent="0.35">
      <c r="A23" s="48" t="s">
        <v>71</v>
      </c>
      <c r="C23" s="11" t="s">
        <v>65</v>
      </c>
      <c r="D23" s="11" t="s">
        <v>127</v>
      </c>
      <c r="E23" s="11" t="s">
        <v>64</v>
      </c>
      <c r="F23" s="11" t="s">
        <v>23</v>
      </c>
      <c r="G23" s="11" t="s">
        <v>66</v>
      </c>
      <c r="H23" s="11" t="s">
        <v>95</v>
      </c>
      <c r="I23" s="83" t="s">
        <v>96</v>
      </c>
      <c r="J23" s="83" t="s">
        <v>35</v>
      </c>
      <c r="K23" s="83" t="s">
        <v>33</v>
      </c>
      <c r="L23" s="83" t="s">
        <v>34</v>
      </c>
      <c r="O23" s="5" t="s">
        <v>98</v>
      </c>
      <c r="P23" s="11" t="s">
        <v>66</v>
      </c>
      <c r="Q23" s="10" t="s">
        <v>67</v>
      </c>
      <c r="R23" s="53">
        <v>1</v>
      </c>
      <c r="S23" s="54">
        <v>2</v>
      </c>
      <c r="T23" s="54">
        <v>3</v>
      </c>
      <c r="U23" s="54">
        <v>4</v>
      </c>
      <c r="V23" s="55">
        <v>5</v>
      </c>
      <c r="W23" s="53">
        <v>1</v>
      </c>
      <c r="X23" s="54">
        <v>2</v>
      </c>
      <c r="Y23" s="54">
        <v>3</v>
      </c>
      <c r="Z23" s="54">
        <v>4</v>
      </c>
      <c r="AA23" s="55">
        <v>5</v>
      </c>
      <c r="AB23" s="57" t="s">
        <v>20</v>
      </c>
      <c r="AC23" s="10"/>
    </row>
    <row r="24" spans="1:29" outlineLevel="2" x14ac:dyDescent="0.3">
      <c r="A24" s="12" t="s">
        <v>31</v>
      </c>
      <c r="B24" s="12"/>
      <c r="C24" s="26"/>
      <c r="D24" s="26">
        <v>6000</v>
      </c>
      <c r="E24" s="16">
        <v>1</v>
      </c>
      <c r="F24" s="17">
        <v>0.2</v>
      </c>
      <c r="G24" s="85" t="s">
        <v>34</v>
      </c>
      <c r="H24" s="85" t="s">
        <v>34</v>
      </c>
      <c r="I24" s="85">
        <v>1</v>
      </c>
      <c r="J24" s="36">
        <f>$O$10</f>
        <v>0.66666666666666663</v>
      </c>
      <c r="K24" s="36">
        <f>$P$10</f>
        <v>40</v>
      </c>
      <c r="L24" s="36">
        <f>$Q$10</f>
        <v>40</v>
      </c>
      <c r="O24">
        <f>_xlfn.XLOOKUP($H24,$J$23:$L$23,$J24:$L24)</f>
        <v>40</v>
      </c>
      <c r="P24" s="10" t="s">
        <v>33</v>
      </c>
      <c r="Q24" s="86">
        <f>I24*O24</f>
        <v>40</v>
      </c>
      <c r="R24" s="19">
        <f t="shared" ref="R24:R30" si="3">$Q24*$C24*(1-$F24)</f>
        <v>0</v>
      </c>
      <c r="S24" s="19"/>
      <c r="T24" s="19"/>
      <c r="U24" s="19"/>
      <c r="V24" s="19"/>
      <c r="W24" s="19">
        <f t="shared" ref="W24:AA30" si="4">IF(W$9&lt;$E24,0,$Q24*$D24)*(1-$F24)</f>
        <v>192000</v>
      </c>
      <c r="X24" s="19">
        <f t="shared" si="4"/>
        <v>192000</v>
      </c>
      <c r="Y24" s="19">
        <f t="shared" si="4"/>
        <v>192000</v>
      </c>
      <c r="Z24" s="19">
        <f t="shared" si="4"/>
        <v>192000</v>
      </c>
      <c r="AA24" s="19">
        <f t="shared" si="4"/>
        <v>192000</v>
      </c>
      <c r="AB24" s="20">
        <f>SUM(R24:AA24)</f>
        <v>960000</v>
      </c>
    </row>
    <row r="25" spans="1:29" outlineLevel="2" x14ac:dyDescent="0.3">
      <c r="A25" s="12" t="s">
        <v>29</v>
      </c>
      <c r="B25" s="12"/>
      <c r="C25" s="26"/>
      <c r="D25" s="27"/>
      <c r="E25" s="16">
        <v>2</v>
      </c>
      <c r="F25" s="17">
        <v>0.2</v>
      </c>
      <c r="G25" s="85" t="s">
        <v>34</v>
      </c>
      <c r="H25" s="85" t="s">
        <v>34</v>
      </c>
      <c r="I25" s="85">
        <v>1</v>
      </c>
      <c r="J25" s="1">
        <f>J24</f>
        <v>0.66666666666666663</v>
      </c>
      <c r="K25" s="1">
        <f t="shared" ref="K25:L30" si="5">K24</f>
        <v>40</v>
      </c>
      <c r="L25" s="1">
        <f t="shared" si="5"/>
        <v>40</v>
      </c>
      <c r="O25">
        <f t="shared" ref="O25:O30" si="6">_xlfn.XLOOKUP($H25,$J$23:$L$23,$J25:$L25)</f>
        <v>40</v>
      </c>
      <c r="P25" s="10" t="s">
        <v>33</v>
      </c>
      <c r="Q25" s="86">
        <f t="shared" ref="Q25:Q30" si="7">I25*O25</f>
        <v>40</v>
      </c>
      <c r="R25" s="19">
        <f t="shared" si="3"/>
        <v>0</v>
      </c>
      <c r="S25" s="19"/>
      <c r="T25" s="19"/>
      <c r="U25" s="19"/>
      <c r="V25" s="19"/>
      <c r="W25" s="19">
        <f t="shared" si="4"/>
        <v>0</v>
      </c>
      <c r="X25" s="19">
        <f t="shared" si="4"/>
        <v>0</v>
      </c>
      <c r="Y25" s="19">
        <f t="shared" si="4"/>
        <v>0</v>
      </c>
      <c r="Z25" s="19">
        <f t="shared" si="4"/>
        <v>0</v>
      </c>
      <c r="AA25" s="19">
        <f t="shared" si="4"/>
        <v>0</v>
      </c>
      <c r="AB25" s="20">
        <f t="shared" ref="AB25:AB26" si="8">SUM(R25:AA25)</f>
        <v>0</v>
      </c>
    </row>
    <row r="26" spans="1:29" outlineLevel="2" x14ac:dyDescent="0.3">
      <c r="A26" s="12" t="s">
        <v>30</v>
      </c>
      <c r="B26" s="12"/>
      <c r="C26" s="26">
        <v>100</v>
      </c>
      <c r="D26" s="27">
        <f>C26*0.2</f>
        <v>20</v>
      </c>
      <c r="E26" s="16">
        <v>2</v>
      </c>
      <c r="F26" s="138">
        <v>0.5</v>
      </c>
      <c r="G26" s="85" t="s">
        <v>97</v>
      </c>
      <c r="H26" s="85" t="s">
        <v>34</v>
      </c>
      <c r="I26" s="129">
        <v>120</v>
      </c>
      <c r="J26" s="1">
        <f t="shared" ref="J26:J30" si="9">J25</f>
        <v>0.66666666666666663</v>
      </c>
      <c r="K26" s="1">
        <f t="shared" si="5"/>
        <v>40</v>
      </c>
      <c r="L26" s="1">
        <f t="shared" si="5"/>
        <v>40</v>
      </c>
      <c r="O26">
        <f t="shared" si="6"/>
        <v>40</v>
      </c>
      <c r="P26" s="10" t="s">
        <v>97</v>
      </c>
      <c r="Q26" s="86">
        <f t="shared" si="7"/>
        <v>4800</v>
      </c>
      <c r="R26" s="19">
        <f t="shared" si="3"/>
        <v>240000</v>
      </c>
      <c r="S26" s="19"/>
      <c r="T26" s="19"/>
      <c r="U26" s="19"/>
      <c r="V26" s="19"/>
      <c r="W26" s="19">
        <f t="shared" si="4"/>
        <v>0</v>
      </c>
      <c r="X26" s="19">
        <f t="shared" si="4"/>
        <v>48000</v>
      </c>
      <c r="Y26" s="19">
        <f t="shared" si="4"/>
        <v>48000</v>
      </c>
      <c r="Z26" s="19">
        <f t="shared" si="4"/>
        <v>48000</v>
      </c>
      <c r="AA26" s="19">
        <f t="shared" si="4"/>
        <v>48000</v>
      </c>
      <c r="AB26" s="20">
        <f t="shared" si="8"/>
        <v>432000</v>
      </c>
    </row>
    <row r="27" spans="1:29" outlineLevel="2" x14ac:dyDescent="0.3">
      <c r="A27" s="12" t="s">
        <v>28</v>
      </c>
      <c r="B27" s="12"/>
      <c r="C27" s="26">
        <v>40000</v>
      </c>
      <c r="D27" s="27">
        <f>C27*0.2</f>
        <v>8000</v>
      </c>
      <c r="E27" s="16">
        <v>2</v>
      </c>
      <c r="F27" s="138">
        <v>0.5</v>
      </c>
      <c r="G27" s="85" t="s">
        <v>34</v>
      </c>
      <c r="H27" s="85" t="s">
        <v>34</v>
      </c>
      <c r="I27" s="129">
        <v>1</v>
      </c>
      <c r="J27" s="1">
        <f t="shared" si="9"/>
        <v>0.66666666666666663</v>
      </c>
      <c r="K27" s="1">
        <f t="shared" si="5"/>
        <v>40</v>
      </c>
      <c r="L27" s="1">
        <f t="shared" si="5"/>
        <v>40</v>
      </c>
      <c r="O27">
        <f t="shared" si="6"/>
        <v>40</v>
      </c>
      <c r="P27" s="10" t="s">
        <v>34</v>
      </c>
      <c r="Q27" s="86">
        <f t="shared" si="7"/>
        <v>40</v>
      </c>
      <c r="R27" s="19">
        <f t="shared" si="3"/>
        <v>800000</v>
      </c>
      <c r="S27" s="19"/>
      <c r="T27" s="19"/>
      <c r="U27" s="19"/>
      <c r="V27" s="19"/>
      <c r="W27" s="19">
        <f t="shared" si="4"/>
        <v>0</v>
      </c>
      <c r="X27" s="19">
        <f t="shared" si="4"/>
        <v>160000</v>
      </c>
      <c r="Y27" s="19">
        <f t="shared" si="4"/>
        <v>160000</v>
      </c>
      <c r="Z27" s="19">
        <f t="shared" si="4"/>
        <v>160000</v>
      </c>
      <c r="AA27" s="19">
        <f t="shared" si="4"/>
        <v>160000</v>
      </c>
      <c r="AB27" s="20">
        <f>SUM(R27:AA27)</f>
        <v>1440000</v>
      </c>
    </row>
    <row r="28" spans="1:29" outlineLevel="2" x14ac:dyDescent="0.3">
      <c r="A28" s="12" t="s">
        <v>112</v>
      </c>
      <c r="B28" s="12"/>
      <c r="C28" s="26"/>
      <c r="D28" s="26">
        <v>3000</v>
      </c>
      <c r="E28" s="16">
        <v>1</v>
      </c>
      <c r="F28" s="138">
        <v>0.5</v>
      </c>
      <c r="G28" s="85" t="s">
        <v>34</v>
      </c>
      <c r="H28" s="85" t="s">
        <v>34</v>
      </c>
      <c r="I28" s="129">
        <v>1</v>
      </c>
      <c r="J28" s="1">
        <f t="shared" si="9"/>
        <v>0.66666666666666663</v>
      </c>
      <c r="K28" s="1">
        <f t="shared" si="5"/>
        <v>40</v>
      </c>
      <c r="L28" s="1">
        <f t="shared" si="5"/>
        <v>40</v>
      </c>
      <c r="O28">
        <f t="shared" si="6"/>
        <v>40</v>
      </c>
      <c r="P28" s="10" t="s">
        <v>34</v>
      </c>
      <c r="Q28" s="86">
        <f t="shared" si="7"/>
        <v>40</v>
      </c>
      <c r="R28" s="19">
        <f t="shared" si="3"/>
        <v>0</v>
      </c>
      <c r="S28" s="19"/>
      <c r="T28" s="19"/>
      <c r="U28" s="19"/>
      <c r="V28" s="19"/>
      <c r="W28" s="19">
        <f t="shared" si="4"/>
        <v>60000</v>
      </c>
      <c r="X28" s="19">
        <f t="shared" si="4"/>
        <v>60000</v>
      </c>
      <c r="Y28" s="19">
        <f t="shared" si="4"/>
        <v>60000</v>
      </c>
      <c r="Z28" s="19">
        <f t="shared" si="4"/>
        <v>60000</v>
      </c>
      <c r="AA28" s="19">
        <f t="shared" si="4"/>
        <v>60000</v>
      </c>
      <c r="AB28" s="20">
        <f>SUM(R28:AA28)</f>
        <v>300000</v>
      </c>
    </row>
    <row r="29" spans="1:29" outlineLevel="2" x14ac:dyDescent="0.3">
      <c r="A29" s="12" t="s">
        <v>128</v>
      </c>
      <c r="B29" s="12"/>
      <c r="C29" s="26">
        <v>5000</v>
      </c>
      <c r="D29" s="27">
        <f>C29*0.2</f>
        <v>1000</v>
      </c>
      <c r="E29" s="16">
        <v>2</v>
      </c>
      <c r="F29" s="17">
        <v>0.4</v>
      </c>
      <c r="G29" s="85" t="s">
        <v>35</v>
      </c>
      <c r="H29" s="85" t="s">
        <v>35</v>
      </c>
      <c r="I29" s="85">
        <v>1</v>
      </c>
      <c r="J29" s="1">
        <f t="shared" si="9"/>
        <v>0.66666666666666663</v>
      </c>
      <c r="K29" s="1">
        <f t="shared" si="5"/>
        <v>40</v>
      </c>
      <c r="L29" s="1">
        <f t="shared" si="5"/>
        <v>40</v>
      </c>
      <c r="O29">
        <f t="shared" si="6"/>
        <v>0.66666666666666663</v>
      </c>
      <c r="P29" s="10" t="s">
        <v>35</v>
      </c>
      <c r="Q29" s="86">
        <f t="shared" si="7"/>
        <v>0.66666666666666663</v>
      </c>
      <c r="R29" s="19">
        <f t="shared" si="3"/>
        <v>1999.9999999999998</v>
      </c>
      <c r="S29" s="19"/>
      <c r="T29" s="19"/>
      <c r="U29" s="19"/>
      <c r="V29" s="19"/>
      <c r="W29" s="19">
        <f t="shared" si="4"/>
        <v>0</v>
      </c>
      <c r="X29" s="19">
        <f t="shared" si="4"/>
        <v>399.99999999999994</v>
      </c>
      <c r="Y29" s="19">
        <f t="shared" si="4"/>
        <v>399.99999999999994</v>
      </c>
      <c r="Z29" s="19">
        <f t="shared" si="4"/>
        <v>399.99999999999994</v>
      </c>
      <c r="AA29" s="19">
        <f t="shared" si="4"/>
        <v>399.99999999999994</v>
      </c>
      <c r="AB29" s="20">
        <f t="shared" ref="AB29:AB30" si="10">SUM(R29:AA29)</f>
        <v>3599.9999999999995</v>
      </c>
    </row>
    <row r="30" spans="1:29" outlineLevel="2" x14ac:dyDescent="0.3">
      <c r="A30" s="12" t="s">
        <v>129</v>
      </c>
      <c r="B30" s="12"/>
      <c r="C30" s="26">
        <v>5000</v>
      </c>
      <c r="D30" s="27">
        <f>C30*0.2</f>
        <v>1000</v>
      </c>
      <c r="E30" s="16">
        <v>2</v>
      </c>
      <c r="F30" s="17">
        <v>0.4</v>
      </c>
      <c r="G30" s="85" t="s">
        <v>35</v>
      </c>
      <c r="H30" s="85" t="s">
        <v>35</v>
      </c>
      <c r="I30" s="85">
        <v>1</v>
      </c>
      <c r="J30" s="1">
        <f t="shared" si="9"/>
        <v>0.66666666666666663</v>
      </c>
      <c r="K30" s="1">
        <f t="shared" si="5"/>
        <v>40</v>
      </c>
      <c r="L30" s="1">
        <f t="shared" si="5"/>
        <v>40</v>
      </c>
      <c r="O30">
        <f t="shared" si="6"/>
        <v>0.66666666666666663</v>
      </c>
      <c r="P30" s="10" t="s">
        <v>35</v>
      </c>
      <c r="Q30" s="86">
        <f t="shared" si="7"/>
        <v>0.66666666666666663</v>
      </c>
      <c r="R30" s="19">
        <f t="shared" si="3"/>
        <v>1999.9999999999998</v>
      </c>
      <c r="S30" s="19"/>
      <c r="T30" s="19"/>
      <c r="U30" s="19"/>
      <c r="V30" s="19"/>
      <c r="W30" s="19">
        <f t="shared" si="4"/>
        <v>0</v>
      </c>
      <c r="X30" s="19">
        <f t="shared" si="4"/>
        <v>399.99999999999994</v>
      </c>
      <c r="Y30" s="19">
        <f t="shared" si="4"/>
        <v>399.99999999999994</v>
      </c>
      <c r="Z30" s="19">
        <f t="shared" si="4"/>
        <v>399.99999999999994</v>
      </c>
      <c r="AA30" s="19">
        <f t="shared" si="4"/>
        <v>399.99999999999994</v>
      </c>
      <c r="AB30" s="20">
        <f t="shared" si="10"/>
        <v>3599.9999999999995</v>
      </c>
    </row>
    <row r="31" spans="1:29" s="39" customFormat="1" outlineLevel="1" x14ac:dyDescent="0.3">
      <c r="Q31" s="64" t="s">
        <v>99</v>
      </c>
      <c r="R31" s="61">
        <f>SUM(R24:R30)</f>
        <v>1044000</v>
      </c>
      <c r="S31" s="61">
        <f t="shared" ref="S31:AB31" si="11">SUM(S24:S30)</f>
        <v>0</v>
      </c>
      <c r="T31" s="61">
        <f t="shared" si="11"/>
        <v>0</v>
      </c>
      <c r="U31" s="61">
        <f t="shared" si="11"/>
        <v>0</v>
      </c>
      <c r="V31" s="61">
        <f t="shared" si="11"/>
        <v>0</v>
      </c>
      <c r="W31" s="61">
        <f t="shared" si="11"/>
        <v>252000</v>
      </c>
      <c r="X31" s="61">
        <f t="shared" si="11"/>
        <v>460800</v>
      </c>
      <c r="Y31" s="61">
        <f t="shared" si="11"/>
        <v>460800</v>
      </c>
      <c r="Z31" s="61">
        <f t="shared" si="11"/>
        <v>460800</v>
      </c>
      <c r="AA31" s="61">
        <f t="shared" si="11"/>
        <v>460800</v>
      </c>
      <c r="AB31" s="62">
        <f t="shared" si="11"/>
        <v>3139200</v>
      </c>
    </row>
    <row r="32" spans="1:29" ht="15" outlineLevel="1" thickBot="1" x14ac:dyDescent="0.35"/>
    <row r="33" spans="1:29" ht="39" customHeight="1" outlineLevel="1" thickBot="1" x14ac:dyDescent="0.35">
      <c r="A33" s="48" t="s">
        <v>7</v>
      </c>
      <c r="C33" s="11" t="str">
        <f>C23</f>
        <v>Acquisition/ Capital Cost</v>
      </c>
      <c r="D33" s="11" t="str">
        <f>D23</f>
        <v>Maintenance/ Subscription</v>
      </c>
      <c r="E33" s="11" t="s">
        <v>64</v>
      </c>
      <c r="F33" s="11" t="s">
        <v>23</v>
      </c>
      <c r="G33" s="11" t="s">
        <v>66</v>
      </c>
      <c r="H33" s="11" t="s">
        <v>95</v>
      </c>
      <c r="I33" s="83" t="s">
        <v>96</v>
      </c>
      <c r="J33" s="83" t="s">
        <v>35</v>
      </c>
      <c r="K33" s="83" t="s">
        <v>33</v>
      </c>
      <c r="L33" s="83" t="s">
        <v>34</v>
      </c>
      <c r="O33" s="5" t="s">
        <v>98</v>
      </c>
      <c r="P33" s="11" t="s">
        <v>66</v>
      </c>
      <c r="Q33" s="10" t="s">
        <v>67</v>
      </c>
      <c r="R33" s="53">
        <v>1</v>
      </c>
      <c r="S33" s="54">
        <v>2</v>
      </c>
      <c r="T33" s="54">
        <v>3</v>
      </c>
      <c r="U33" s="54">
        <v>4</v>
      </c>
      <c r="V33" s="55">
        <v>5</v>
      </c>
      <c r="W33" s="53">
        <v>1</v>
      </c>
      <c r="X33" s="54">
        <v>2</v>
      </c>
      <c r="Y33" s="54">
        <v>3</v>
      </c>
      <c r="Z33" s="54">
        <v>4</v>
      </c>
      <c r="AA33" s="55">
        <v>5</v>
      </c>
      <c r="AB33" s="57" t="s">
        <v>20</v>
      </c>
      <c r="AC33" s="10"/>
    </row>
    <row r="34" spans="1:29" outlineLevel="2" x14ac:dyDescent="0.3">
      <c r="A34" s="24" t="str">
        <f t="shared" ref="A34:A40" si="12">A24</f>
        <v>OS</v>
      </c>
      <c r="B34" s="24"/>
      <c r="C34" s="27">
        <f t="shared" ref="C34:I34" si="13">C24</f>
        <v>0</v>
      </c>
      <c r="D34" s="27">
        <f t="shared" si="13"/>
        <v>6000</v>
      </c>
      <c r="E34" s="28">
        <f t="shared" si="13"/>
        <v>1</v>
      </c>
      <c r="F34" s="29">
        <f t="shared" si="13"/>
        <v>0.2</v>
      </c>
      <c r="G34" s="87" t="str">
        <f t="shared" si="13"/>
        <v>core</v>
      </c>
      <c r="H34" s="87" t="str">
        <f t="shared" si="13"/>
        <v>core</v>
      </c>
      <c r="I34" s="87">
        <f t="shared" si="13"/>
        <v>1</v>
      </c>
      <c r="J34" s="36">
        <f>$O$11</f>
        <v>0.33333333333333331</v>
      </c>
      <c r="K34" s="36">
        <f>$P$11</f>
        <v>20</v>
      </c>
      <c r="L34" s="36">
        <f>$Q$11</f>
        <v>20</v>
      </c>
      <c r="O34">
        <f>_xlfn.XLOOKUP($H34,$J$23:$L$23,$J34:$L34)</f>
        <v>20</v>
      </c>
      <c r="P34" s="10" t="s">
        <v>33</v>
      </c>
      <c r="Q34" s="86">
        <f>I34*O34</f>
        <v>20</v>
      </c>
      <c r="R34" s="19">
        <f t="shared" ref="R34:R40" si="14">$Q34*$C34*(1-$F34)</f>
        <v>0</v>
      </c>
      <c r="S34" s="19"/>
      <c r="T34" s="19"/>
      <c r="U34" s="19"/>
      <c r="V34" s="19"/>
      <c r="W34" s="19">
        <f t="shared" ref="W34:AA40" si="15">IF(W$9&lt;$E34,0,$Q34*$D34)*(1-$F34)</f>
        <v>96000</v>
      </c>
      <c r="X34" s="19">
        <f t="shared" si="15"/>
        <v>96000</v>
      </c>
      <c r="Y34" s="19">
        <f t="shared" si="15"/>
        <v>96000</v>
      </c>
      <c r="Z34" s="19">
        <f t="shared" si="15"/>
        <v>96000</v>
      </c>
      <c r="AA34" s="19">
        <f t="shared" si="15"/>
        <v>96000</v>
      </c>
      <c r="AB34" s="20">
        <f>SUM(R34:AA34)</f>
        <v>480000</v>
      </c>
    </row>
    <row r="35" spans="1:29" outlineLevel="2" x14ac:dyDescent="0.3">
      <c r="A35" s="24" t="str">
        <f t="shared" si="12"/>
        <v>VM</v>
      </c>
      <c r="B35" s="24"/>
      <c r="C35" s="27">
        <f t="shared" ref="C35:F40" si="16">C25</f>
        <v>0</v>
      </c>
      <c r="D35" s="27">
        <f t="shared" si="16"/>
        <v>0</v>
      </c>
      <c r="E35" s="28">
        <f t="shared" si="16"/>
        <v>2</v>
      </c>
      <c r="F35" s="29">
        <f t="shared" si="16"/>
        <v>0.2</v>
      </c>
      <c r="G35" s="87" t="str">
        <f t="shared" ref="G35:I35" si="17">G25</f>
        <v>core</v>
      </c>
      <c r="H35" s="87" t="str">
        <f t="shared" si="17"/>
        <v>core</v>
      </c>
      <c r="I35" s="87">
        <f t="shared" si="17"/>
        <v>1</v>
      </c>
      <c r="J35" s="1">
        <f>J34</f>
        <v>0.33333333333333331</v>
      </c>
      <c r="K35" s="1">
        <f t="shared" ref="K35:L40" si="18">K34</f>
        <v>20</v>
      </c>
      <c r="L35" s="1">
        <f t="shared" si="18"/>
        <v>20</v>
      </c>
      <c r="O35">
        <f t="shared" ref="O35:O40" si="19">_xlfn.XLOOKUP($H35,$J$23:$L$23,$J35:$L35)</f>
        <v>20</v>
      </c>
      <c r="P35" s="10" t="s">
        <v>33</v>
      </c>
      <c r="Q35" s="86">
        <f t="shared" ref="Q35:Q40" si="20">I35*O35</f>
        <v>20</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outlineLevel="2" x14ac:dyDescent="0.3">
      <c r="A36" s="24" t="str">
        <f t="shared" si="12"/>
        <v>Application Server</v>
      </c>
      <c r="B36" s="24"/>
      <c r="C36" s="27">
        <f t="shared" si="16"/>
        <v>100</v>
      </c>
      <c r="D36" s="27">
        <f t="shared" si="16"/>
        <v>20</v>
      </c>
      <c r="E36" s="28">
        <f t="shared" si="16"/>
        <v>2</v>
      </c>
      <c r="F36" s="29">
        <f t="shared" si="16"/>
        <v>0.5</v>
      </c>
      <c r="G36" s="87" t="str">
        <f t="shared" ref="G36:I36" si="22">G26</f>
        <v>PVU</v>
      </c>
      <c r="H36" s="87" t="str">
        <f t="shared" si="22"/>
        <v>core</v>
      </c>
      <c r="I36" s="87">
        <f t="shared" si="22"/>
        <v>120</v>
      </c>
      <c r="J36" s="1">
        <f t="shared" ref="J36:J40" si="23">J35</f>
        <v>0.33333333333333331</v>
      </c>
      <c r="K36" s="1">
        <f t="shared" si="18"/>
        <v>20</v>
      </c>
      <c r="L36" s="1">
        <f t="shared" si="18"/>
        <v>20</v>
      </c>
      <c r="O36">
        <f t="shared" si="19"/>
        <v>20</v>
      </c>
      <c r="P36" s="10" t="s">
        <v>97</v>
      </c>
      <c r="Q36" s="86">
        <f t="shared" si="20"/>
        <v>2400</v>
      </c>
      <c r="R36" s="19">
        <f t="shared" si="14"/>
        <v>120000</v>
      </c>
      <c r="S36" s="19"/>
      <c r="T36" s="19"/>
      <c r="U36" s="19"/>
      <c r="V36" s="19"/>
      <c r="W36" s="19">
        <f t="shared" si="15"/>
        <v>0</v>
      </c>
      <c r="X36" s="19">
        <f t="shared" si="15"/>
        <v>24000</v>
      </c>
      <c r="Y36" s="19">
        <f t="shared" si="15"/>
        <v>24000</v>
      </c>
      <c r="Z36" s="19">
        <f t="shared" si="15"/>
        <v>24000</v>
      </c>
      <c r="AA36" s="19">
        <f t="shared" si="15"/>
        <v>24000</v>
      </c>
      <c r="AB36" s="20">
        <f t="shared" si="21"/>
        <v>216000</v>
      </c>
    </row>
    <row r="37" spans="1:29" outlineLevel="2" x14ac:dyDescent="0.3">
      <c r="A37" s="24" t="str">
        <f t="shared" si="12"/>
        <v>DB</v>
      </c>
      <c r="B37" s="24"/>
      <c r="C37" s="27">
        <f t="shared" si="16"/>
        <v>40000</v>
      </c>
      <c r="D37" s="27">
        <f t="shared" si="16"/>
        <v>8000</v>
      </c>
      <c r="E37" s="28">
        <f t="shared" si="16"/>
        <v>2</v>
      </c>
      <c r="F37" s="29">
        <f t="shared" si="16"/>
        <v>0.5</v>
      </c>
      <c r="G37" s="87" t="str">
        <f t="shared" ref="G37:I37" si="24">G27</f>
        <v>core</v>
      </c>
      <c r="H37" s="87" t="str">
        <f t="shared" si="24"/>
        <v>core</v>
      </c>
      <c r="I37" s="87">
        <f t="shared" si="24"/>
        <v>1</v>
      </c>
      <c r="J37" s="1">
        <f t="shared" si="23"/>
        <v>0.33333333333333331</v>
      </c>
      <c r="K37" s="1">
        <f t="shared" si="18"/>
        <v>20</v>
      </c>
      <c r="L37" s="1">
        <f t="shared" si="18"/>
        <v>20</v>
      </c>
      <c r="O37">
        <f t="shared" si="19"/>
        <v>20</v>
      </c>
      <c r="P37" s="10" t="s">
        <v>34</v>
      </c>
      <c r="Q37" s="86">
        <f t="shared" si="20"/>
        <v>20</v>
      </c>
      <c r="R37" s="19">
        <f t="shared" si="14"/>
        <v>400000</v>
      </c>
      <c r="S37" s="19"/>
      <c r="T37" s="19"/>
      <c r="U37" s="19"/>
      <c r="V37" s="19"/>
      <c r="W37" s="19">
        <f t="shared" si="15"/>
        <v>0</v>
      </c>
      <c r="X37" s="19">
        <f t="shared" si="15"/>
        <v>80000</v>
      </c>
      <c r="Y37" s="19">
        <f t="shared" si="15"/>
        <v>80000</v>
      </c>
      <c r="Z37" s="19">
        <f t="shared" si="15"/>
        <v>80000</v>
      </c>
      <c r="AA37" s="19">
        <f t="shared" si="15"/>
        <v>80000</v>
      </c>
      <c r="AB37" s="20">
        <f>SUM(R37:AA37)</f>
        <v>720000</v>
      </c>
    </row>
    <row r="38" spans="1:29" outlineLevel="2" x14ac:dyDescent="0.3">
      <c r="A38" s="24" t="str">
        <f t="shared" si="12"/>
        <v>Data Replication Tools</v>
      </c>
      <c r="B38" s="24"/>
      <c r="C38" s="27">
        <f t="shared" si="16"/>
        <v>0</v>
      </c>
      <c r="D38" s="27">
        <f t="shared" si="16"/>
        <v>3000</v>
      </c>
      <c r="E38" s="28">
        <f t="shared" si="16"/>
        <v>1</v>
      </c>
      <c r="F38" s="29">
        <f t="shared" si="16"/>
        <v>0.5</v>
      </c>
      <c r="G38" s="87" t="str">
        <f t="shared" ref="G38:I38" si="25">G28</f>
        <v>core</v>
      </c>
      <c r="H38" s="87" t="str">
        <f t="shared" si="25"/>
        <v>core</v>
      </c>
      <c r="I38" s="87">
        <f t="shared" si="25"/>
        <v>1</v>
      </c>
      <c r="J38" s="1">
        <f t="shared" si="23"/>
        <v>0.33333333333333331</v>
      </c>
      <c r="K38" s="1">
        <f t="shared" si="18"/>
        <v>20</v>
      </c>
      <c r="L38" s="1">
        <f t="shared" si="18"/>
        <v>20</v>
      </c>
      <c r="O38">
        <f t="shared" si="19"/>
        <v>20</v>
      </c>
      <c r="P38" s="10" t="s">
        <v>34</v>
      </c>
      <c r="Q38" s="86">
        <f t="shared" si="20"/>
        <v>20</v>
      </c>
      <c r="R38" s="19">
        <f t="shared" si="14"/>
        <v>0</v>
      </c>
      <c r="S38" s="19"/>
      <c r="T38" s="19"/>
      <c r="U38" s="19"/>
      <c r="V38" s="19"/>
      <c r="W38" s="19">
        <f t="shared" si="15"/>
        <v>30000</v>
      </c>
      <c r="X38" s="19">
        <f t="shared" si="15"/>
        <v>30000</v>
      </c>
      <c r="Y38" s="19">
        <f t="shared" si="15"/>
        <v>30000</v>
      </c>
      <c r="Z38" s="19">
        <f t="shared" si="15"/>
        <v>30000</v>
      </c>
      <c r="AA38" s="19">
        <f t="shared" si="15"/>
        <v>30000</v>
      </c>
      <c r="AB38" s="20">
        <f>SUM(R38:AA38)</f>
        <v>150000</v>
      </c>
    </row>
    <row r="39" spans="1:29" outlineLevel="2" x14ac:dyDescent="0.3">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0.33333333333333331</v>
      </c>
      <c r="K39" s="1">
        <f t="shared" si="18"/>
        <v>20</v>
      </c>
      <c r="L39" s="1">
        <f t="shared" si="18"/>
        <v>20</v>
      </c>
      <c r="O39">
        <f t="shared" si="19"/>
        <v>0.33333333333333331</v>
      </c>
      <c r="P39" s="10" t="s">
        <v>35</v>
      </c>
      <c r="Q39" s="86">
        <f t="shared" si="20"/>
        <v>0.33333333333333331</v>
      </c>
      <c r="R39" s="19">
        <f t="shared" si="14"/>
        <v>999.99999999999989</v>
      </c>
      <c r="S39" s="19"/>
      <c r="T39" s="19"/>
      <c r="U39" s="19"/>
      <c r="V39" s="19"/>
      <c r="W39" s="19">
        <f t="shared" si="15"/>
        <v>0</v>
      </c>
      <c r="X39" s="19">
        <f t="shared" si="15"/>
        <v>199.99999999999997</v>
      </c>
      <c r="Y39" s="19">
        <f t="shared" si="15"/>
        <v>199.99999999999997</v>
      </c>
      <c r="Z39" s="19">
        <f t="shared" si="15"/>
        <v>199.99999999999997</v>
      </c>
      <c r="AA39" s="19">
        <f t="shared" si="15"/>
        <v>199.99999999999997</v>
      </c>
      <c r="AB39" s="20">
        <f t="shared" ref="AB39:AB40" si="27">SUM(R39:AA39)</f>
        <v>1799.9999999999998</v>
      </c>
    </row>
    <row r="40" spans="1:29" outlineLevel="2" x14ac:dyDescent="0.3">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0.33333333333333331</v>
      </c>
      <c r="K40" s="1">
        <f t="shared" si="18"/>
        <v>20</v>
      </c>
      <c r="L40" s="1">
        <f t="shared" si="18"/>
        <v>20</v>
      </c>
      <c r="O40">
        <f t="shared" si="19"/>
        <v>0.33333333333333331</v>
      </c>
      <c r="P40" s="10" t="s">
        <v>35</v>
      </c>
      <c r="Q40" s="86">
        <f t="shared" si="20"/>
        <v>0.33333333333333331</v>
      </c>
      <c r="R40" s="19">
        <f t="shared" si="14"/>
        <v>999.99999999999989</v>
      </c>
      <c r="S40" s="19"/>
      <c r="T40" s="19"/>
      <c r="U40" s="19"/>
      <c r="V40" s="19"/>
      <c r="W40" s="19">
        <f t="shared" si="15"/>
        <v>0</v>
      </c>
      <c r="X40" s="19">
        <f t="shared" si="15"/>
        <v>199.99999999999997</v>
      </c>
      <c r="Y40" s="19">
        <f t="shared" si="15"/>
        <v>199.99999999999997</v>
      </c>
      <c r="Z40" s="19">
        <f t="shared" si="15"/>
        <v>199.99999999999997</v>
      </c>
      <c r="AA40" s="19">
        <f t="shared" si="15"/>
        <v>199.99999999999997</v>
      </c>
      <c r="AB40" s="20">
        <f t="shared" si="27"/>
        <v>1799.9999999999998</v>
      </c>
    </row>
    <row r="41" spans="1:29" s="39" customFormat="1" outlineLevel="1" x14ac:dyDescent="0.3">
      <c r="Q41" s="64" t="s">
        <v>100</v>
      </c>
      <c r="R41" s="61">
        <f>SUM(R34:R40)</f>
        <v>522000</v>
      </c>
      <c r="S41" s="61">
        <f t="shared" ref="S41:AB41" si="29">SUM(S34:S40)</f>
        <v>0</v>
      </c>
      <c r="T41" s="61">
        <f t="shared" si="29"/>
        <v>0</v>
      </c>
      <c r="U41" s="61">
        <f t="shared" si="29"/>
        <v>0</v>
      </c>
      <c r="V41" s="61">
        <f t="shared" si="29"/>
        <v>0</v>
      </c>
      <c r="W41" s="61">
        <f t="shared" si="29"/>
        <v>126000</v>
      </c>
      <c r="X41" s="61">
        <f t="shared" si="29"/>
        <v>230400</v>
      </c>
      <c r="Y41" s="61">
        <f t="shared" si="29"/>
        <v>230400</v>
      </c>
      <c r="Z41" s="61">
        <f t="shared" si="29"/>
        <v>230400</v>
      </c>
      <c r="AA41" s="61">
        <f t="shared" si="29"/>
        <v>230400</v>
      </c>
      <c r="AB41" s="62">
        <f t="shared" si="29"/>
        <v>1569600</v>
      </c>
    </row>
    <row r="42" spans="1:29" ht="15" outlineLevel="1" thickBot="1" x14ac:dyDescent="0.35"/>
    <row r="43" spans="1:29" ht="36" customHeight="1" outlineLevel="1" thickBot="1" x14ac:dyDescent="0.35">
      <c r="A43" s="48" t="s">
        <v>8</v>
      </c>
      <c r="C43" s="11" t="s">
        <v>65</v>
      </c>
      <c r="D43" s="11" t="s">
        <v>22</v>
      </c>
      <c r="E43" s="11" t="s">
        <v>64</v>
      </c>
      <c r="F43" s="11" t="s">
        <v>23</v>
      </c>
      <c r="G43" s="11" t="s">
        <v>66</v>
      </c>
      <c r="H43" s="11" t="s">
        <v>95</v>
      </c>
      <c r="I43" s="83" t="s">
        <v>96</v>
      </c>
      <c r="J43" s="83" t="s">
        <v>35</v>
      </c>
      <c r="K43" s="83" t="s">
        <v>33</v>
      </c>
      <c r="L43" s="83" t="s">
        <v>34</v>
      </c>
      <c r="O43" s="5" t="s">
        <v>98</v>
      </c>
      <c r="P43" s="11" t="s">
        <v>66</v>
      </c>
      <c r="Q43" s="10" t="s">
        <v>67</v>
      </c>
      <c r="R43" s="53">
        <v>1</v>
      </c>
      <c r="S43" s="54">
        <v>2</v>
      </c>
      <c r="T43" s="54">
        <v>3</v>
      </c>
      <c r="U43" s="54">
        <v>4</v>
      </c>
      <c r="V43" s="55">
        <v>5</v>
      </c>
      <c r="W43" s="53">
        <v>1</v>
      </c>
      <c r="X43" s="54">
        <v>2</v>
      </c>
      <c r="Y43" s="54">
        <v>3</v>
      </c>
      <c r="Z43" s="54">
        <v>4</v>
      </c>
      <c r="AA43" s="55">
        <v>5</v>
      </c>
      <c r="AB43" s="57" t="s">
        <v>20</v>
      </c>
      <c r="AC43" s="10"/>
    </row>
    <row r="44" spans="1:29" outlineLevel="2" x14ac:dyDescent="0.3">
      <c r="A44" s="24" t="str">
        <f t="shared" ref="A44:A50" si="30">A24</f>
        <v>OS</v>
      </c>
      <c r="B44" s="24"/>
      <c r="C44" s="27">
        <f t="shared" ref="C44:F50" si="31">C24</f>
        <v>0</v>
      </c>
      <c r="D44" s="27">
        <f t="shared" si="31"/>
        <v>6000</v>
      </c>
      <c r="E44" s="28">
        <f t="shared" si="31"/>
        <v>1</v>
      </c>
      <c r="F44" s="29">
        <f t="shared" si="31"/>
        <v>0.2</v>
      </c>
      <c r="G44" s="87" t="str">
        <f>G34</f>
        <v>core</v>
      </c>
      <c r="H44" s="87" t="str">
        <f>H34</f>
        <v>core</v>
      </c>
      <c r="I44" s="87">
        <f>I34</f>
        <v>1</v>
      </c>
      <c r="J44" s="36">
        <f>$O$12</f>
        <v>0.33333333333333331</v>
      </c>
      <c r="K44" s="36">
        <f>$P$12</f>
        <v>20</v>
      </c>
      <c r="L44" s="36">
        <f>$Q$12</f>
        <v>20</v>
      </c>
      <c r="O44">
        <f>_xlfn.XLOOKUP($H44,$J$23:$L$23,$J44:$L44)</f>
        <v>20</v>
      </c>
      <c r="P44" s="10" t="s">
        <v>33</v>
      </c>
      <c r="Q44" s="86">
        <f>I44*O44</f>
        <v>20</v>
      </c>
      <c r="R44" s="19">
        <f t="shared" ref="R44:R50" si="32">$Q44*$C44*(1-$F44)</f>
        <v>0</v>
      </c>
      <c r="S44" s="19"/>
      <c r="T44" s="19"/>
      <c r="U44" s="19"/>
      <c r="V44" s="19"/>
      <c r="W44" s="19">
        <f t="shared" ref="W44:AA50" si="33">IF(W$9&lt;$E44,0,$Q44*$D44)*(1-$F44)</f>
        <v>96000</v>
      </c>
      <c r="X44" s="19">
        <f t="shared" si="33"/>
        <v>96000</v>
      </c>
      <c r="Y44" s="19">
        <f t="shared" si="33"/>
        <v>96000</v>
      </c>
      <c r="Z44" s="19">
        <f t="shared" si="33"/>
        <v>96000</v>
      </c>
      <c r="AA44" s="19">
        <f t="shared" si="33"/>
        <v>96000</v>
      </c>
      <c r="AB44" s="20">
        <f>SUM(R44:AA44)</f>
        <v>480000</v>
      </c>
    </row>
    <row r="45" spans="1:29" outlineLevel="2" x14ac:dyDescent="0.3">
      <c r="A45" s="24" t="str">
        <f t="shared" si="30"/>
        <v>VM</v>
      </c>
      <c r="B45" s="24"/>
      <c r="C45" s="27">
        <f t="shared" si="31"/>
        <v>0</v>
      </c>
      <c r="D45" s="27">
        <f t="shared" si="31"/>
        <v>0</v>
      </c>
      <c r="E45" s="28">
        <f t="shared" si="31"/>
        <v>2</v>
      </c>
      <c r="F45" s="29">
        <f t="shared" si="31"/>
        <v>0.2</v>
      </c>
      <c r="G45" s="87" t="str">
        <f t="shared" ref="G45:I45" si="34">G35</f>
        <v>core</v>
      </c>
      <c r="H45" s="87" t="str">
        <f t="shared" si="34"/>
        <v>core</v>
      </c>
      <c r="I45" s="87">
        <f t="shared" si="34"/>
        <v>1</v>
      </c>
      <c r="J45" s="1">
        <f>J44</f>
        <v>0.33333333333333331</v>
      </c>
      <c r="K45" s="1">
        <f t="shared" ref="K45:L50" si="35">K44</f>
        <v>20</v>
      </c>
      <c r="L45" s="1">
        <f t="shared" si="35"/>
        <v>20</v>
      </c>
      <c r="O45">
        <f t="shared" ref="O45:O50" si="36">_xlfn.XLOOKUP($H45,$J$23:$L$23,$J45:$L45)</f>
        <v>20</v>
      </c>
      <c r="P45" s="10" t="s">
        <v>33</v>
      </c>
      <c r="Q45" s="86">
        <f t="shared" ref="Q45:Q50" si="37">I45*O45</f>
        <v>20</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outlineLevel="2" x14ac:dyDescent="0.3">
      <c r="A46" s="24" t="str">
        <f t="shared" si="30"/>
        <v>Application Server</v>
      </c>
      <c r="B46" s="24"/>
      <c r="C46" s="27">
        <f t="shared" si="31"/>
        <v>100</v>
      </c>
      <c r="D46" s="27">
        <f t="shared" si="31"/>
        <v>20</v>
      </c>
      <c r="E46" s="28">
        <f t="shared" si="31"/>
        <v>2</v>
      </c>
      <c r="F46" s="29">
        <f t="shared" si="31"/>
        <v>0.5</v>
      </c>
      <c r="G46" s="87" t="str">
        <f t="shared" ref="G46:I46" si="39">G36</f>
        <v>PVU</v>
      </c>
      <c r="H46" s="87" t="str">
        <f t="shared" si="39"/>
        <v>core</v>
      </c>
      <c r="I46" s="87">
        <f t="shared" si="39"/>
        <v>120</v>
      </c>
      <c r="J46" s="1">
        <f t="shared" ref="J46:J50" si="40">J45</f>
        <v>0.33333333333333331</v>
      </c>
      <c r="K46" s="1">
        <f t="shared" si="35"/>
        <v>20</v>
      </c>
      <c r="L46" s="1">
        <f t="shared" si="35"/>
        <v>20</v>
      </c>
      <c r="O46">
        <f t="shared" si="36"/>
        <v>20</v>
      </c>
      <c r="P46" s="10" t="s">
        <v>97</v>
      </c>
      <c r="Q46" s="86">
        <f t="shared" si="37"/>
        <v>2400</v>
      </c>
      <c r="R46" s="19">
        <f t="shared" si="32"/>
        <v>120000</v>
      </c>
      <c r="S46" s="19"/>
      <c r="T46" s="19"/>
      <c r="U46" s="19"/>
      <c r="V46" s="19"/>
      <c r="W46" s="19">
        <f t="shared" si="33"/>
        <v>0</v>
      </c>
      <c r="X46" s="19">
        <f t="shared" si="33"/>
        <v>24000</v>
      </c>
      <c r="Y46" s="19">
        <f t="shared" si="33"/>
        <v>24000</v>
      </c>
      <c r="Z46" s="19">
        <f t="shared" si="33"/>
        <v>24000</v>
      </c>
      <c r="AA46" s="19">
        <f t="shared" si="33"/>
        <v>24000</v>
      </c>
      <c r="AB46" s="20">
        <f t="shared" si="38"/>
        <v>216000</v>
      </c>
    </row>
    <row r="47" spans="1:29" outlineLevel="2" x14ac:dyDescent="0.3">
      <c r="A47" s="24" t="str">
        <f t="shared" si="30"/>
        <v>DB</v>
      </c>
      <c r="B47" s="24"/>
      <c r="C47" s="27">
        <f t="shared" si="31"/>
        <v>40000</v>
      </c>
      <c r="D47" s="27">
        <f t="shared" si="31"/>
        <v>8000</v>
      </c>
      <c r="E47" s="28">
        <f t="shared" si="31"/>
        <v>2</v>
      </c>
      <c r="F47" s="29">
        <f t="shared" si="31"/>
        <v>0.5</v>
      </c>
      <c r="G47" s="87" t="str">
        <f t="shared" ref="G47:I47" si="41">G37</f>
        <v>core</v>
      </c>
      <c r="H47" s="87" t="str">
        <f t="shared" si="41"/>
        <v>core</v>
      </c>
      <c r="I47" s="87">
        <f t="shared" si="41"/>
        <v>1</v>
      </c>
      <c r="J47" s="1">
        <f t="shared" si="40"/>
        <v>0.33333333333333331</v>
      </c>
      <c r="K47" s="1">
        <f t="shared" si="35"/>
        <v>20</v>
      </c>
      <c r="L47" s="1">
        <f t="shared" si="35"/>
        <v>20</v>
      </c>
      <c r="O47">
        <f t="shared" si="36"/>
        <v>20</v>
      </c>
      <c r="P47" s="10" t="s">
        <v>34</v>
      </c>
      <c r="Q47" s="86">
        <f t="shared" si="37"/>
        <v>20</v>
      </c>
      <c r="R47" s="19">
        <f t="shared" si="32"/>
        <v>400000</v>
      </c>
      <c r="S47" s="19"/>
      <c r="T47" s="19"/>
      <c r="U47" s="19"/>
      <c r="V47" s="19"/>
      <c r="W47" s="19">
        <f t="shared" si="33"/>
        <v>0</v>
      </c>
      <c r="X47" s="19">
        <f t="shared" si="33"/>
        <v>80000</v>
      </c>
      <c r="Y47" s="19">
        <f t="shared" si="33"/>
        <v>80000</v>
      </c>
      <c r="Z47" s="19">
        <f t="shared" si="33"/>
        <v>80000</v>
      </c>
      <c r="AA47" s="19">
        <f t="shared" si="33"/>
        <v>80000</v>
      </c>
      <c r="AB47" s="20">
        <f>SUM(R47:AA47)</f>
        <v>720000</v>
      </c>
    </row>
    <row r="48" spans="1:29" outlineLevel="2" x14ac:dyDescent="0.3">
      <c r="A48" s="24" t="str">
        <f t="shared" si="30"/>
        <v>Data Replication Tools</v>
      </c>
      <c r="B48" s="24"/>
      <c r="C48" s="27">
        <f t="shared" si="31"/>
        <v>0</v>
      </c>
      <c r="D48" s="27">
        <f t="shared" si="31"/>
        <v>3000</v>
      </c>
      <c r="E48" s="28">
        <f t="shared" si="31"/>
        <v>1</v>
      </c>
      <c r="F48" s="29">
        <f t="shared" si="31"/>
        <v>0.5</v>
      </c>
      <c r="G48" s="87" t="str">
        <f t="shared" ref="G48:I48" si="42">G38</f>
        <v>core</v>
      </c>
      <c r="H48" s="87" t="str">
        <f t="shared" si="42"/>
        <v>core</v>
      </c>
      <c r="I48" s="87">
        <f t="shared" si="42"/>
        <v>1</v>
      </c>
      <c r="J48" s="1">
        <f t="shared" si="40"/>
        <v>0.33333333333333331</v>
      </c>
      <c r="K48" s="1">
        <f t="shared" si="35"/>
        <v>20</v>
      </c>
      <c r="L48" s="1">
        <f t="shared" si="35"/>
        <v>20</v>
      </c>
      <c r="O48">
        <f t="shared" si="36"/>
        <v>20</v>
      </c>
      <c r="P48" s="10" t="s">
        <v>34</v>
      </c>
      <c r="Q48" s="86">
        <f t="shared" si="37"/>
        <v>20</v>
      </c>
      <c r="R48" s="19">
        <f t="shared" si="32"/>
        <v>0</v>
      </c>
      <c r="S48" s="19"/>
      <c r="T48" s="19"/>
      <c r="U48" s="19"/>
      <c r="V48" s="19"/>
      <c r="W48" s="19">
        <f t="shared" si="33"/>
        <v>30000</v>
      </c>
      <c r="X48" s="19">
        <f t="shared" si="33"/>
        <v>30000</v>
      </c>
      <c r="Y48" s="19">
        <f t="shared" si="33"/>
        <v>30000</v>
      </c>
      <c r="Z48" s="19">
        <f t="shared" si="33"/>
        <v>30000</v>
      </c>
      <c r="AA48" s="19">
        <f t="shared" si="33"/>
        <v>30000</v>
      </c>
      <c r="AB48" s="20">
        <f>SUM(R48:AA48)</f>
        <v>150000</v>
      </c>
    </row>
    <row r="49" spans="1:29" outlineLevel="2" x14ac:dyDescent="0.3">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0.33333333333333331</v>
      </c>
      <c r="K49" s="1">
        <f t="shared" si="35"/>
        <v>20</v>
      </c>
      <c r="L49" s="1">
        <f t="shared" si="35"/>
        <v>20</v>
      </c>
      <c r="O49">
        <f t="shared" si="36"/>
        <v>0.33333333333333331</v>
      </c>
      <c r="P49" s="10" t="s">
        <v>35</v>
      </c>
      <c r="Q49" s="86">
        <f t="shared" si="37"/>
        <v>0.33333333333333331</v>
      </c>
      <c r="R49" s="19">
        <f t="shared" si="32"/>
        <v>999.99999999999989</v>
      </c>
      <c r="S49" s="19"/>
      <c r="T49" s="19"/>
      <c r="U49" s="19"/>
      <c r="V49" s="19"/>
      <c r="W49" s="19">
        <f t="shared" si="33"/>
        <v>0</v>
      </c>
      <c r="X49" s="19">
        <f t="shared" si="33"/>
        <v>199.99999999999997</v>
      </c>
      <c r="Y49" s="19">
        <f t="shared" si="33"/>
        <v>199.99999999999997</v>
      </c>
      <c r="Z49" s="19">
        <f t="shared" si="33"/>
        <v>199.99999999999997</v>
      </c>
      <c r="AA49" s="19">
        <f t="shared" si="33"/>
        <v>199.99999999999997</v>
      </c>
      <c r="AB49" s="20">
        <f t="shared" ref="AB49:AB50" si="44">SUM(R49:AA49)</f>
        <v>1799.9999999999998</v>
      </c>
    </row>
    <row r="50" spans="1:29" outlineLevel="2" x14ac:dyDescent="0.3">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0.33333333333333331</v>
      </c>
      <c r="K50" s="1">
        <f t="shared" si="35"/>
        <v>20</v>
      </c>
      <c r="L50" s="1">
        <f t="shared" si="35"/>
        <v>20</v>
      </c>
      <c r="O50">
        <f t="shared" si="36"/>
        <v>0.33333333333333331</v>
      </c>
      <c r="P50" s="10" t="s">
        <v>35</v>
      </c>
      <c r="Q50" s="86">
        <f t="shared" si="37"/>
        <v>0.33333333333333331</v>
      </c>
      <c r="R50" s="19">
        <f t="shared" si="32"/>
        <v>999.99999999999989</v>
      </c>
      <c r="S50" s="19"/>
      <c r="T50" s="19"/>
      <c r="U50" s="19"/>
      <c r="V50" s="19"/>
      <c r="W50" s="19">
        <f t="shared" si="33"/>
        <v>0</v>
      </c>
      <c r="X50" s="19">
        <f t="shared" si="33"/>
        <v>199.99999999999997</v>
      </c>
      <c r="Y50" s="19">
        <f t="shared" si="33"/>
        <v>199.99999999999997</v>
      </c>
      <c r="Z50" s="19">
        <f t="shared" si="33"/>
        <v>199.99999999999997</v>
      </c>
      <c r="AA50" s="19">
        <f t="shared" si="33"/>
        <v>199.99999999999997</v>
      </c>
      <c r="AB50" s="20">
        <f t="shared" si="44"/>
        <v>1799.9999999999998</v>
      </c>
    </row>
    <row r="51" spans="1:29" s="39" customFormat="1" outlineLevel="1" x14ac:dyDescent="0.3">
      <c r="Q51" s="64" t="s">
        <v>8</v>
      </c>
      <c r="R51" s="61">
        <f>SUM(R44:R50)</f>
        <v>522000</v>
      </c>
      <c r="S51" s="61">
        <f t="shared" ref="S51:AB51" si="46">SUM(S44:S50)</f>
        <v>0</v>
      </c>
      <c r="T51" s="61">
        <f t="shared" si="46"/>
        <v>0</v>
      </c>
      <c r="U51" s="61">
        <f t="shared" si="46"/>
        <v>0</v>
      </c>
      <c r="V51" s="61">
        <f t="shared" si="46"/>
        <v>0</v>
      </c>
      <c r="W51" s="61">
        <f t="shared" si="46"/>
        <v>126000</v>
      </c>
      <c r="X51" s="61">
        <f t="shared" si="46"/>
        <v>230400</v>
      </c>
      <c r="Y51" s="61">
        <f t="shared" si="46"/>
        <v>230400</v>
      </c>
      <c r="Z51" s="61">
        <f t="shared" si="46"/>
        <v>230400</v>
      </c>
      <c r="AA51" s="61">
        <f t="shared" si="46"/>
        <v>230400</v>
      </c>
      <c r="AB51" s="62">
        <f t="shared" si="46"/>
        <v>1569600</v>
      </c>
    </row>
    <row r="52" spans="1:29" ht="15" outlineLevel="1" thickBot="1" x14ac:dyDescent="0.35"/>
    <row r="53" spans="1:29" ht="36.75" customHeight="1" outlineLevel="1" thickBot="1" x14ac:dyDescent="0.35">
      <c r="A53" s="48" t="s">
        <v>72</v>
      </c>
      <c r="C53" s="11" t="s">
        <v>65</v>
      </c>
      <c r="D53" s="11" t="s">
        <v>22</v>
      </c>
      <c r="E53" s="11" t="s">
        <v>64</v>
      </c>
      <c r="F53" s="11" t="s">
        <v>23</v>
      </c>
      <c r="G53" s="11" t="s">
        <v>66</v>
      </c>
      <c r="H53" s="11" t="s">
        <v>95</v>
      </c>
      <c r="I53" s="83" t="s">
        <v>96</v>
      </c>
      <c r="J53" s="83" t="s">
        <v>35</v>
      </c>
      <c r="K53" s="83" t="s">
        <v>33</v>
      </c>
      <c r="L53" s="83" t="s">
        <v>34</v>
      </c>
      <c r="O53" s="5" t="s">
        <v>98</v>
      </c>
      <c r="P53" s="11" t="s">
        <v>66</v>
      </c>
      <c r="Q53" s="10" t="s">
        <v>67</v>
      </c>
      <c r="R53" s="53">
        <v>1</v>
      </c>
      <c r="S53" s="54">
        <v>2</v>
      </c>
      <c r="T53" s="54">
        <v>3</v>
      </c>
      <c r="U53" s="54">
        <v>4</v>
      </c>
      <c r="V53" s="55">
        <v>5</v>
      </c>
      <c r="W53" s="53">
        <v>1</v>
      </c>
      <c r="X53" s="54">
        <v>2</v>
      </c>
      <c r="Y53" s="54">
        <v>3</v>
      </c>
      <c r="Z53" s="54">
        <v>4</v>
      </c>
      <c r="AA53" s="55">
        <v>5</v>
      </c>
      <c r="AB53" s="57" t="s">
        <v>20</v>
      </c>
      <c r="AC53" s="10"/>
    </row>
    <row r="54" spans="1:29" outlineLevel="2" x14ac:dyDescent="0.3">
      <c r="A54" s="24" t="str">
        <f t="shared" ref="A54:A60" si="47">A24</f>
        <v>OS</v>
      </c>
      <c r="B54" s="24"/>
      <c r="C54" s="27">
        <f t="shared" ref="C54:F60" si="48">C24</f>
        <v>0</v>
      </c>
      <c r="D54" s="27">
        <f t="shared" si="48"/>
        <v>6000</v>
      </c>
      <c r="E54" s="28">
        <f t="shared" si="48"/>
        <v>1</v>
      </c>
      <c r="F54" s="29">
        <f t="shared" si="48"/>
        <v>0.2</v>
      </c>
      <c r="G54" s="87" t="str">
        <f>G44</f>
        <v>core</v>
      </c>
      <c r="H54" s="87" t="str">
        <f>H44</f>
        <v>core</v>
      </c>
      <c r="I54" s="87">
        <f>I44</f>
        <v>1</v>
      </c>
      <c r="J54" s="36">
        <f>$O$13</f>
        <v>0.66666666666666663</v>
      </c>
      <c r="K54" s="36">
        <f>$P$13</f>
        <v>40</v>
      </c>
      <c r="L54" s="36">
        <f>$Q$13</f>
        <v>40</v>
      </c>
      <c r="O54">
        <f>_xlfn.XLOOKUP($H54,$J$23:$L$23,$J54:$L54)</f>
        <v>40</v>
      </c>
      <c r="P54" s="10" t="s">
        <v>33</v>
      </c>
      <c r="Q54" s="86">
        <f>I54*O54</f>
        <v>40</v>
      </c>
      <c r="R54" s="19">
        <f t="shared" ref="R54:R60" si="49">$Q54*$C54*(1-$F54)</f>
        <v>0</v>
      </c>
      <c r="S54" s="19"/>
      <c r="T54" s="19"/>
      <c r="U54" s="19"/>
      <c r="V54" s="19"/>
      <c r="W54" s="19">
        <f t="shared" ref="W54:AA60" si="50">IF(W$9&lt;$E54,0,$Q54*$D54)*(1-$F54)</f>
        <v>192000</v>
      </c>
      <c r="X54" s="19">
        <f t="shared" si="50"/>
        <v>192000</v>
      </c>
      <c r="Y54" s="19">
        <f t="shared" si="50"/>
        <v>192000</v>
      </c>
      <c r="Z54" s="19">
        <f t="shared" si="50"/>
        <v>192000</v>
      </c>
      <c r="AA54" s="19">
        <f t="shared" si="50"/>
        <v>192000</v>
      </c>
      <c r="AB54" s="20">
        <f>SUM(R54:AA54)</f>
        <v>960000</v>
      </c>
    </row>
    <row r="55" spans="1:29" outlineLevel="2" x14ac:dyDescent="0.3">
      <c r="A55" s="24" t="str">
        <f t="shared" si="47"/>
        <v>VM</v>
      </c>
      <c r="B55" s="24"/>
      <c r="C55" s="27">
        <f t="shared" si="48"/>
        <v>0</v>
      </c>
      <c r="D55" s="27">
        <f t="shared" si="48"/>
        <v>0</v>
      </c>
      <c r="E55" s="28">
        <f t="shared" si="48"/>
        <v>2</v>
      </c>
      <c r="F55" s="29">
        <f t="shared" si="48"/>
        <v>0.2</v>
      </c>
      <c r="G55" s="87" t="str">
        <f t="shared" ref="G55:I55" si="51">G45</f>
        <v>core</v>
      </c>
      <c r="H55" s="87" t="str">
        <f t="shared" si="51"/>
        <v>core</v>
      </c>
      <c r="I55" s="87">
        <f t="shared" si="51"/>
        <v>1</v>
      </c>
      <c r="J55" s="1">
        <f>J54</f>
        <v>0.66666666666666663</v>
      </c>
      <c r="K55" s="1">
        <f t="shared" ref="K55:L60" si="52">K54</f>
        <v>40</v>
      </c>
      <c r="L55" s="1">
        <f t="shared" si="52"/>
        <v>40</v>
      </c>
      <c r="O55">
        <f t="shared" ref="O55:O60" si="53">_xlfn.XLOOKUP($H55,$J$23:$L$23,$J55:$L55)</f>
        <v>40</v>
      </c>
      <c r="P55" s="10" t="s">
        <v>33</v>
      </c>
      <c r="Q55" s="86">
        <f t="shared" ref="Q55:Q60" si="54">I55*O55</f>
        <v>40</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outlineLevel="2" x14ac:dyDescent="0.3">
      <c r="A56" s="24" t="str">
        <f t="shared" si="47"/>
        <v>Application Server</v>
      </c>
      <c r="B56" s="24"/>
      <c r="C56" s="27">
        <f t="shared" si="48"/>
        <v>100</v>
      </c>
      <c r="D56" s="27">
        <f t="shared" si="48"/>
        <v>20</v>
      </c>
      <c r="E56" s="28">
        <f t="shared" si="48"/>
        <v>2</v>
      </c>
      <c r="F56" s="29">
        <f t="shared" si="48"/>
        <v>0.5</v>
      </c>
      <c r="G56" s="87" t="str">
        <f t="shared" ref="G56:I56" si="56">G46</f>
        <v>PVU</v>
      </c>
      <c r="H56" s="87" t="str">
        <f t="shared" si="56"/>
        <v>core</v>
      </c>
      <c r="I56" s="87">
        <f t="shared" si="56"/>
        <v>120</v>
      </c>
      <c r="J56" s="1">
        <f t="shared" ref="J56:J60" si="57">J55</f>
        <v>0.66666666666666663</v>
      </c>
      <c r="K56" s="1">
        <f t="shared" si="52"/>
        <v>40</v>
      </c>
      <c r="L56" s="1">
        <f t="shared" si="52"/>
        <v>40</v>
      </c>
      <c r="O56">
        <f t="shared" si="53"/>
        <v>40</v>
      </c>
      <c r="P56" s="10" t="s">
        <v>97</v>
      </c>
      <c r="Q56" s="86">
        <f t="shared" si="54"/>
        <v>4800</v>
      </c>
      <c r="R56" s="19">
        <f t="shared" si="49"/>
        <v>240000</v>
      </c>
      <c r="S56" s="19"/>
      <c r="T56" s="19"/>
      <c r="U56" s="19"/>
      <c r="V56" s="19"/>
      <c r="W56" s="19">
        <f t="shared" si="50"/>
        <v>0</v>
      </c>
      <c r="X56" s="19">
        <f t="shared" si="50"/>
        <v>48000</v>
      </c>
      <c r="Y56" s="19">
        <f t="shared" si="50"/>
        <v>48000</v>
      </c>
      <c r="Z56" s="19">
        <f t="shared" si="50"/>
        <v>48000</v>
      </c>
      <c r="AA56" s="19">
        <f t="shared" si="50"/>
        <v>48000</v>
      </c>
      <c r="AB56" s="20">
        <f t="shared" si="55"/>
        <v>432000</v>
      </c>
    </row>
    <row r="57" spans="1:29" outlineLevel="2" x14ac:dyDescent="0.3">
      <c r="A57" s="24" t="str">
        <f t="shared" si="47"/>
        <v>DB</v>
      </c>
      <c r="B57" s="24"/>
      <c r="C57" s="27">
        <f t="shared" si="48"/>
        <v>40000</v>
      </c>
      <c r="D57" s="27">
        <f t="shared" si="48"/>
        <v>8000</v>
      </c>
      <c r="E57" s="28">
        <f t="shared" si="48"/>
        <v>2</v>
      </c>
      <c r="F57" s="29">
        <f t="shared" si="48"/>
        <v>0.5</v>
      </c>
      <c r="G57" s="87" t="str">
        <f t="shared" ref="G57:I57" si="58">G47</f>
        <v>core</v>
      </c>
      <c r="H57" s="87" t="str">
        <f t="shared" si="58"/>
        <v>core</v>
      </c>
      <c r="I57" s="87">
        <f t="shared" si="58"/>
        <v>1</v>
      </c>
      <c r="J57" s="1">
        <f t="shared" si="57"/>
        <v>0.66666666666666663</v>
      </c>
      <c r="K57" s="1">
        <f t="shared" si="52"/>
        <v>40</v>
      </c>
      <c r="L57" s="1">
        <f t="shared" si="52"/>
        <v>40</v>
      </c>
      <c r="O57">
        <f t="shared" si="53"/>
        <v>40</v>
      </c>
      <c r="P57" s="10" t="s">
        <v>34</v>
      </c>
      <c r="Q57" s="86">
        <f t="shared" si="54"/>
        <v>40</v>
      </c>
      <c r="R57" s="19">
        <f t="shared" si="49"/>
        <v>800000</v>
      </c>
      <c r="S57" s="19"/>
      <c r="T57" s="19"/>
      <c r="U57" s="19"/>
      <c r="V57" s="19"/>
      <c r="W57" s="19">
        <f t="shared" si="50"/>
        <v>0</v>
      </c>
      <c r="X57" s="19">
        <f t="shared" si="50"/>
        <v>160000</v>
      </c>
      <c r="Y57" s="19">
        <f t="shared" si="50"/>
        <v>160000</v>
      </c>
      <c r="Z57" s="19">
        <f t="shared" si="50"/>
        <v>160000</v>
      </c>
      <c r="AA57" s="19">
        <f t="shared" si="50"/>
        <v>160000</v>
      </c>
      <c r="AB57" s="20">
        <f>SUM(R57:AA57)</f>
        <v>1440000</v>
      </c>
    </row>
    <row r="58" spans="1:29" outlineLevel="2" x14ac:dyDescent="0.3">
      <c r="A58" s="24" t="str">
        <f t="shared" si="47"/>
        <v>Data Replication Tools</v>
      </c>
      <c r="B58" s="24"/>
      <c r="C58" s="27">
        <f t="shared" si="48"/>
        <v>0</v>
      </c>
      <c r="D58" s="27">
        <f t="shared" si="48"/>
        <v>3000</v>
      </c>
      <c r="E58" s="28">
        <f t="shared" si="48"/>
        <v>1</v>
      </c>
      <c r="F58" s="29">
        <f t="shared" si="48"/>
        <v>0.5</v>
      </c>
      <c r="G58" s="87" t="str">
        <f t="shared" ref="G58:I58" si="59">G48</f>
        <v>core</v>
      </c>
      <c r="H58" s="87" t="str">
        <f t="shared" si="59"/>
        <v>core</v>
      </c>
      <c r="I58" s="87">
        <f t="shared" si="59"/>
        <v>1</v>
      </c>
      <c r="J58" s="1">
        <f t="shared" si="57"/>
        <v>0.66666666666666663</v>
      </c>
      <c r="K58" s="1">
        <f t="shared" si="52"/>
        <v>40</v>
      </c>
      <c r="L58" s="1">
        <f t="shared" si="52"/>
        <v>40</v>
      </c>
      <c r="O58">
        <f t="shared" si="53"/>
        <v>40</v>
      </c>
      <c r="P58" s="10" t="s">
        <v>34</v>
      </c>
      <c r="Q58" s="86">
        <f t="shared" si="54"/>
        <v>40</v>
      </c>
      <c r="R58" s="19">
        <f t="shared" si="49"/>
        <v>0</v>
      </c>
      <c r="S58" s="19"/>
      <c r="T58" s="19"/>
      <c r="U58" s="19"/>
      <c r="V58" s="19"/>
      <c r="W58" s="19">
        <f t="shared" si="50"/>
        <v>60000</v>
      </c>
      <c r="X58" s="19">
        <f t="shared" si="50"/>
        <v>60000</v>
      </c>
      <c r="Y58" s="19">
        <f t="shared" si="50"/>
        <v>60000</v>
      </c>
      <c r="Z58" s="19">
        <f t="shared" si="50"/>
        <v>60000</v>
      </c>
      <c r="AA58" s="19">
        <f t="shared" si="50"/>
        <v>60000</v>
      </c>
      <c r="AB58" s="20">
        <f>SUM(R58:AA58)</f>
        <v>300000</v>
      </c>
    </row>
    <row r="59" spans="1:29" outlineLevel="2" x14ac:dyDescent="0.3">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0.66666666666666663</v>
      </c>
      <c r="K59" s="1">
        <f t="shared" si="52"/>
        <v>40</v>
      </c>
      <c r="L59" s="1">
        <f t="shared" si="52"/>
        <v>40</v>
      </c>
      <c r="O59">
        <f t="shared" si="53"/>
        <v>0.66666666666666663</v>
      </c>
      <c r="P59" s="10" t="s">
        <v>35</v>
      </c>
      <c r="Q59" s="86">
        <f t="shared" si="54"/>
        <v>0.66666666666666663</v>
      </c>
      <c r="R59" s="19">
        <f t="shared" si="49"/>
        <v>1999.9999999999998</v>
      </c>
      <c r="S59" s="19"/>
      <c r="T59" s="19"/>
      <c r="U59" s="19"/>
      <c r="V59" s="19"/>
      <c r="W59" s="19">
        <f t="shared" si="50"/>
        <v>0</v>
      </c>
      <c r="X59" s="19">
        <f t="shared" si="50"/>
        <v>399.99999999999994</v>
      </c>
      <c r="Y59" s="19">
        <f t="shared" si="50"/>
        <v>399.99999999999994</v>
      </c>
      <c r="Z59" s="19">
        <f t="shared" si="50"/>
        <v>399.99999999999994</v>
      </c>
      <c r="AA59" s="19">
        <f t="shared" si="50"/>
        <v>399.99999999999994</v>
      </c>
      <c r="AB59" s="20">
        <f t="shared" ref="AB59:AB60" si="61">SUM(R59:AA59)</f>
        <v>3599.9999999999995</v>
      </c>
    </row>
    <row r="60" spans="1:29" outlineLevel="2" x14ac:dyDescent="0.3">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0.66666666666666663</v>
      </c>
      <c r="K60" s="1">
        <f t="shared" si="52"/>
        <v>40</v>
      </c>
      <c r="L60" s="1">
        <f t="shared" si="52"/>
        <v>40</v>
      </c>
      <c r="O60">
        <f t="shared" si="53"/>
        <v>0.66666666666666663</v>
      </c>
      <c r="P60" s="10" t="s">
        <v>35</v>
      </c>
      <c r="Q60" s="86">
        <f t="shared" si="54"/>
        <v>0.66666666666666663</v>
      </c>
      <c r="R60" s="19">
        <f t="shared" si="49"/>
        <v>1999.9999999999998</v>
      </c>
      <c r="S60" s="19"/>
      <c r="T60" s="19"/>
      <c r="U60" s="19"/>
      <c r="V60" s="19"/>
      <c r="W60" s="19">
        <f t="shared" si="50"/>
        <v>0</v>
      </c>
      <c r="X60" s="19">
        <f t="shared" si="50"/>
        <v>399.99999999999994</v>
      </c>
      <c r="Y60" s="19">
        <f t="shared" si="50"/>
        <v>399.99999999999994</v>
      </c>
      <c r="Z60" s="19">
        <f t="shared" si="50"/>
        <v>399.99999999999994</v>
      </c>
      <c r="AA60" s="19">
        <f t="shared" si="50"/>
        <v>399.99999999999994</v>
      </c>
      <c r="AB60" s="20">
        <f t="shared" si="61"/>
        <v>3599.9999999999995</v>
      </c>
    </row>
    <row r="61" spans="1:29" s="39" customFormat="1" outlineLevel="1" x14ac:dyDescent="0.3">
      <c r="Q61" s="64" t="s">
        <v>101</v>
      </c>
      <c r="R61" s="61">
        <f>SUM(R54:R60)</f>
        <v>1044000</v>
      </c>
      <c r="S61" s="61">
        <f t="shared" ref="S61:AB61" si="63">SUM(S54:S60)</f>
        <v>0</v>
      </c>
      <c r="T61" s="61">
        <f t="shared" si="63"/>
        <v>0</v>
      </c>
      <c r="U61" s="61">
        <f t="shared" si="63"/>
        <v>0</v>
      </c>
      <c r="V61" s="61">
        <f t="shared" si="63"/>
        <v>0</v>
      </c>
      <c r="W61" s="61">
        <f t="shared" si="63"/>
        <v>252000</v>
      </c>
      <c r="X61" s="61">
        <f t="shared" si="63"/>
        <v>460800</v>
      </c>
      <c r="Y61" s="61">
        <f t="shared" si="63"/>
        <v>460800</v>
      </c>
      <c r="Z61" s="61">
        <f t="shared" si="63"/>
        <v>460800</v>
      </c>
      <c r="AA61" s="61">
        <f t="shared" si="63"/>
        <v>460800</v>
      </c>
      <c r="AB61" s="62">
        <f t="shared" si="63"/>
        <v>3139200</v>
      </c>
    </row>
    <row r="62" spans="1:29" ht="15" outlineLevel="1" thickBot="1" x14ac:dyDescent="0.35"/>
    <row r="63" spans="1:29" ht="34.5" customHeight="1" outlineLevel="1" thickBot="1" x14ac:dyDescent="0.35">
      <c r="A63" s="48" t="s">
        <v>10</v>
      </c>
      <c r="C63" s="11" t="s">
        <v>65</v>
      </c>
      <c r="D63" s="11" t="s">
        <v>22</v>
      </c>
      <c r="E63" s="11" t="s">
        <v>64</v>
      </c>
      <c r="F63" s="11" t="s">
        <v>23</v>
      </c>
      <c r="G63" s="11" t="s">
        <v>66</v>
      </c>
      <c r="H63" s="11" t="s">
        <v>95</v>
      </c>
      <c r="I63" s="83" t="s">
        <v>96</v>
      </c>
      <c r="J63" s="83" t="s">
        <v>35</v>
      </c>
      <c r="K63" s="83" t="s">
        <v>33</v>
      </c>
      <c r="L63" s="83" t="s">
        <v>34</v>
      </c>
      <c r="O63" s="5" t="s">
        <v>98</v>
      </c>
      <c r="P63" s="11" t="s">
        <v>66</v>
      </c>
      <c r="Q63" s="10" t="s">
        <v>67</v>
      </c>
      <c r="R63" s="53">
        <v>1</v>
      </c>
      <c r="S63" s="54">
        <v>2</v>
      </c>
      <c r="T63" s="54">
        <v>3</v>
      </c>
      <c r="U63" s="54">
        <v>4</v>
      </c>
      <c r="V63" s="55">
        <v>5</v>
      </c>
      <c r="W63" s="53">
        <v>1</v>
      </c>
      <c r="X63" s="54">
        <v>2</v>
      </c>
      <c r="Y63" s="54">
        <v>3</v>
      </c>
      <c r="Z63" s="54">
        <v>4</v>
      </c>
      <c r="AA63" s="55">
        <v>5</v>
      </c>
      <c r="AB63" s="57" t="s">
        <v>20</v>
      </c>
      <c r="AC63" s="10"/>
    </row>
    <row r="64" spans="1:29" outlineLevel="2" x14ac:dyDescent="0.3">
      <c r="A64" s="24" t="str">
        <f t="shared" ref="A64:A70" si="64">A24</f>
        <v>OS</v>
      </c>
      <c r="B64" s="24"/>
      <c r="C64" s="27">
        <f t="shared" ref="C64:F70" si="65">C24</f>
        <v>0</v>
      </c>
      <c r="D64" s="27">
        <f t="shared" si="65"/>
        <v>6000</v>
      </c>
      <c r="E64" s="28">
        <f t="shared" si="65"/>
        <v>1</v>
      </c>
      <c r="F64" s="29">
        <f t="shared" si="65"/>
        <v>0.2</v>
      </c>
      <c r="G64" s="87" t="str">
        <f>G54</f>
        <v>core</v>
      </c>
      <c r="H64" s="87" t="str">
        <f>H54</f>
        <v>core</v>
      </c>
      <c r="I64" s="87">
        <f>I54</f>
        <v>1</v>
      </c>
      <c r="J64" s="36">
        <f>$O$14</f>
        <v>0</v>
      </c>
      <c r="K64" s="36">
        <f>$P$14</f>
        <v>0</v>
      </c>
      <c r="L64" s="36">
        <f>$Q$14</f>
        <v>0</v>
      </c>
      <c r="O64">
        <f>_xlfn.XLOOKUP($H64,$J$23:$L$23,$J64:$L64)</f>
        <v>0</v>
      </c>
      <c r="P64" s="10" t="s">
        <v>33</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outlineLevel="2" x14ac:dyDescent="0.3">
      <c r="A65" s="24" t="str">
        <f t="shared" si="64"/>
        <v>VM</v>
      </c>
      <c r="B65" s="24"/>
      <c r="C65" s="27">
        <f t="shared" si="65"/>
        <v>0</v>
      </c>
      <c r="D65" s="27">
        <f t="shared" si="65"/>
        <v>0</v>
      </c>
      <c r="E65" s="28">
        <f t="shared" si="65"/>
        <v>2</v>
      </c>
      <c r="F65" s="29">
        <f t="shared" si="65"/>
        <v>0.2</v>
      </c>
      <c r="G65" s="87" t="str">
        <f t="shared" ref="G65:I65" si="68">G55</f>
        <v>core</v>
      </c>
      <c r="H65" s="87" t="str">
        <f t="shared" si="68"/>
        <v>core</v>
      </c>
      <c r="I65" s="87">
        <f t="shared" si="68"/>
        <v>1</v>
      </c>
      <c r="J65" s="1">
        <f>J64</f>
        <v>0</v>
      </c>
      <c r="K65" s="1">
        <f t="shared" ref="K65:L70" si="69">K64</f>
        <v>0</v>
      </c>
      <c r="L65" s="1">
        <f t="shared" si="69"/>
        <v>0</v>
      </c>
      <c r="O65">
        <f t="shared" ref="O65:O70" si="70">_xlfn.XLOOKUP($H65,$J$23:$L$23,$J65:$L65)</f>
        <v>0</v>
      </c>
      <c r="P65" s="10" t="s">
        <v>33</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outlineLevel="2" x14ac:dyDescent="0.3">
      <c r="A66" s="24" t="str">
        <f t="shared" si="64"/>
        <v>Application Server</v>
      </c>
      <c r="B66" s="24"/>
      <c r="C66" s="27">
        <f t="shared" si="65"/>
        <v>100</v>
      </c>
      <c r="D66" s="27">
        <f t="shared" si="65"/>
        <v>20</v>
      </c>
      <c r="E66" s="28">
        <f t="shared" si="65"/>
        <v>2</v>
      </c>
      <c r="F66" s="29">
        <f t="shared" si="65"/>
        <v>0.5</v>
      </c>
      <c r="G66" s="87" t="str">
        <f t="shared" ref="G66:I66" si="73">G56</f>
        <v>PVU</v>
      </c>
      <c r="H66" s="87" t="str">
        <f t="shared" si="73"/>
        <v>core</v>
      </c>
      <c r="I66" s="87">
        <f t="shared" si="73"/>
        <v>120</v>
      </c>
      <c r="J66" s="1">
        <f t="shared" ref="J66:J70" si="74">J65</f>
        <v>0</v>
      </c>
      <c r="K66" s="1">
        <f t="shared" si="69"/>
        <v>0</v>
      </c>
      <c r="L66" s="1">
        <f t="shared" si="69"/>
        <v>0</v>
      </c>
      <c r="O66">
        <f t="shared" si="70"/>
        <v>0</v>
      </c>
      <c r="P66" s="10" t="s">
        <v>97</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outlineLevel="2" x14ac:dyDescent="0.3">
      <c r="A67" s="24" t="str">
        <f t="shared" si="64"/>
        <v>DB</v>
      </c>
      <c r="B67" s="24"/>
      <c r="C67" s="27">
        <f t="shared" si="65"/>
        <v>40000</v>
      </c>
      <c r="D67" s="27">
        <f t="shared" si="65"/>
        <v>8000</v>
      </c>
      <c r="E67" s="28">
        <f t="shared" si="65"/>
        <v>2</v>
      </c>
      <c r="F67" s="29">
        <f t="shared" si="65"/>
        <v>0.5</v>
      </c>
      <c r="G67" s="87" t="str">
        <f t="shared" ref="G67:I67" si="75">G57</f>
        <v>core</v>
      </c>
      <c r="H67" s="87" t="str">
        <f t="shared" si="75"/>
        <v>core</v>
      </c>
      <c r="I67" s="87">
        <f t="shared" si="75"/>
        <v>1</v>
      </c>
      <c r="J67" s="1">
        <f t="shared" si="74"/>
        <v>0</v>
      </c>
      <c r="K67" s="1">
        <f t="shared" si="69"/>
        <v>0</v>
      </c>
      <c r="L67" s="1">
        <f t="shared" si="69"/>
        <v>0</v>
      </c>
      <c r="O67">
        <f t="shared" si="70"/>
        <v>0</v>
      </c>
      <c r="P67" s="10" t="s">
        <v>34</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outlineLevel="2" x14ac:dyDescent="0.3">
      <c r="A68" s="24" t="str">
        <f t="shared" si="64"/>
        <v>Data Replication Tools</v>
      </c>
      <c r="B68" s="24"/>
      <c r="C68" s="27">
        <f t="shared" si="65"/>
        <v>0</v>
      </c>
      <c r="D68" s="27">
        <f t="shared" si="65"/>
        <v>3000</v>
      </c>
      <c r="E68" s="28">
        <f t="shared" si="65"/>
        <v>1</v>
      </c>
      <c r="F68" s="29">
        <f t="shared" si="65"/>
        <v>0.5</v>
      </c>
      <c r="G68" s="87" t="str">
        <f t="shared" ref="G68:I68" si="76">G58</f>
        <v>core</v>
      </c>
      <c r="H68" s="87" t="str">
        <f t="shared" si="76"/>
        <v>core</v>
      </c>
      <c r="I68" s="87">
        <f t="shared" si="76"/>
        <v>1</v>
      </c>
      <c r="J68" s="1">
        <f t="shared" si="74"/>
        <v>0</v>
      </c>
      <c r="K68" s="1">
        <f t="shared" si="69"/>
        <v>0</v>
      </c>
      <c r="L68" s="1">
        <f t="shared" si="69"/>
        <v>0</v>
      </c>
      <c r="O68">
        <f t="shared" si="70"/>
        <v>0</v>
      </c>
      <c r="P68" s="10" t="s">
        <v>34</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outlineLevel="2" x14ac:dyDescent="0.3">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35</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outlineLevel="2" x14ac:dyDescent="0.3">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35</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outlineLevel="1" x14ac:dyDescent="0.3">
      <c r="Q71" s="64" t="s">
        <v>10</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outlineLevel="1" x14ac:dyDescent="0.3"/>
    <row r="73" spans="1:29" x14ac:dyDescent="0.3">
      <c r="O73" s="64" t="s">
        <v>73</v>
      </c>
      <c r="P73" s="8"/>
      <c r="R73" s="62">
        <f>R31+R41+R51+R61+R71</f>
        <v>3132000</v>
      </c>
      <c r="S73" s="62">
        <f t="shared" ref="S73:AB73" si="81">S31+S41+S51+S61+S71</f>
        <v>0</v>
      </c>
      <c r="T73" s="62">
        <f t="shared" si="81"/>
        <v>0</v>
      </c>
      <c r="U73" s="62">
        <f t="shared" si="81"/>
        <v>0</v>
      </c>
      <c r="V73" s="62">
        <f t="shared" si="81"/>
        <v>0</v>
      </c>
      <c r="W73" s="62">
        <f t="shared" si="81"/>
        <v>756000</v>
      </c>
      <c r="X73" s="62">
        <f t="shared" si="81"/>
        <v>1382400</v>
      </c>
      <c r="Y73" s="62">
        <f t="shared" si="81"/>
        <v>1382400</v>
      </c>
      <c r="Z73" s="62">
        <f t="shared" si="81"/>
        <v>1382400</v>
      </c>
      <c r="AA73" s="62">
        <f t="shared" si="81"/>
        <v>1382400</v>
      </c>
      <c r="AB73" s="62">
        <f t="shared" si="81"/>
        <v>9417600</v>
      </c>
      <c r="AC73" s="5" t="s">
        <v>20</v>
      </c>
    </row>
    <row r="75" spans="1:29" s="60" customFormat="1" ht="28.5" customHeight="1" thickBot="1" x14ac:dyDescent="0.35">
      <c r="A75" s="58" t="s">
        <v>3</v>
      </c>
      <c r="B75" s="58"/>
      <c r="R75" s="59"/>
      <c r="S75" s="59"/>
      <c r="T75" s="59"/>
      <c r="U75" s="59"/>
      <c r="V75" s="59"/>
      <c r="W75" s="59"/>
      <c r="X75" s="59"/>
      <c r="Y75" s="59"/>
      <c r="Z75" s="59"/>
      <c r="AA75" s="59"/>
      <c r="AB75" s="59"/>
      <c r="AC75" s="59"/>
    </row>
    <row r="76" spans="1:29" ht="29.4" outlineLevel="1" thickBot="1" x14ac:dyDescent="0.35">
      <c r="A76" s="5" t="s">
        <v>3</v>
      </c>
      <c r="B76" s="5"/>
      <c r="N76" s="10"/>
      <c r="O76" s="18" t="s">
        <v>18</v>
      </c>
      <c r="P76" s="7" t="s">
        <v>79</v>
      </c>
      <c r="R76" s="53">
        <v>1</v>
      </c>
      <c r="S76" s="54">
        <v>2</v>
      </c>
      <c r="T76" s="54">
        <v>3</v>
      </c>
      <c r="U76" s="54">
        <v>4</v>
      </c>
      <c r="V76" s="55">
        <v>5</v>
      </c>
      <c r="W76" s="53">
        <v>1</v>
      </c>
      <c r="X76" s="54">
        <v>2</v>
      </c>
      <c r="Y76" s="54">
        <v>3</v>
      </c>
      <c r="Z76" s="54">
        <v>4</v>
      </c>
      <c r="AA76" s="55">
        <v>5</v>
      </c>
      <c r="AB76" s="57" t="s">
        <v>20</v>
      </c>
    </row>
    <row r="77" spans="1:29" outlineLevel="1" x14ac:dyDescent="0.3">
      <c r="A77" t="s">
        <v>81</v>
      </c>
      <c r="D77" s="13">
        <v>10</v>
      </c>
      <c r="E77" t="s">
        <v>74</v>
      </c>
      <c r="N77" s="14" t="s">
        <v>6</v>
      </c>
      <c r="O77" s="33">
        <f>$O$10</f>
        <v>0.66666666666666663</v>
      </c>
      <c r="P77" s="9">
        <f>$O77/$D$77</f>
        <v>6.6666666666666666E-2</v>
      </c>
      <c r="R77" s="19"/>
      <c r="S77" s="19"/>
      <c r="T77" s="19"/>
      <c r="U77" s="19"/>
      <c r="V77" s="19"/>
      <c r="W77" s="19">
        <f>$D$78*$P77</f>
        <v>6666.666666666667</v>
      </c>
      <c r="X77" s="19">
        <f t="shared" ref="X77:AA81" si="82">$D$78*$P77</f>
        <v>6666.666666666667</v>
      </c>
      <c r="Y77" s="19">
        <f t="shared" si="82"/>
        <v>6666.666666666667</v>
      </c>
      <c r="Z77" s="19">
        <f t="shared" si="82"/>
        <v>6666.666666666667</v>
      </c>
      <c r="AA77" s="19">
        <f t="shared" si="82"/>
        <v>6666.666666666667</v>
      </c>
      <c r="AB77" s="20">
        <f>SUM(R77:AA77)</f>
        <v>33333.333333333336</v>
      </c>
      <c r="AC77" s="1" t="s">
        <v>6</v>
      </c>
    </row>
    <row r="78" spans="1:29" outlineLevel="1" x14ac:dyDescent="0.3">
      <c r="A78" t="s">
        <v>36</v>
      </c>
      <c r="D78" s="26">
        <v>100000</v>
      </c>
      <c r="N78" s="14" t="s">
        <v>7</v>
      </c>
      <c r="O78" s="33">
        <f>$O$11</f>
        <v>0.33333333333333331</v>
      </c>
      <c r="P78" s="9">
        <f>$O78/$D$77</f>
        <v>3.3333333333333333E-2</v>
      </c>
      <c r="R78" s="19"/>
      <c r="S78" s="19"/>
      <c r="T78" s="19"/>
      <c r="U78" s="19"/>
      <c r="V78" s="19"/>
      <c r="W78" s="19">
        <f t="shared" ref="W78:W81" si="83">$D$78*$P78</f>
        <v>3333.3333333333335</v>
      </c>
      <c r="X78" s="19">
        <f t="shared" si="82"/>
        <v>3333.3333333333335</v>
      </c>
      <c r="Y78" s="19">
        <f t="shared" si="82"/>
        <v>3333.3333333333335</v>
      </c>
      <c r="Z78" s="19">
        <f t="shared" si="82"/>
        <v>3333.3333333333335</v>
      </c>
      <c r="AA78" s="19">
        <f t="shared" si="82"/>
        <v>3333.3333333333335</v>
      </c>
      <c r="AB78" s="20">
        <f t="shared" ref="AB78:AB81" si="84">SUM(R78:AA78)</f>
        <v>16666.666666666668</v>
      </c>
      <c r="AC78" s="1" t="s">
        <v>7</v>
      </c>
    </row>
    <row r="79" spans="1:29" outlineLevel="1" x14ac:dyDescent="0.3">
      <c r="J79" s="63"/>
      <c r="N79" s="14" t="s">
        <v>8</v>
      </c>
      <c r="O79" s="33">
        <f>$O$12</f>
        <v>0.33333333333333331</v>
      </c>
      <c r="P79" s="9">
        <f>$O79/$D$77</f>
        <v>3.3333333333333333E-2</v>
      </c>
      <c r="R79" s="19"/>
      <c r="S79" s="19"/>
      <c r="T79" s="19"/>
      <c r="U79" s="19"/>
      <c r="V79" s="19"/>
      <c r="W79" s="19">
        <f t="shared" si="83"/>
        <v>3333.3333333333335</v>
      </c>
      <c r="X79" s="19">
        <f t="shared" si="82"/>
        <v>3333.3333333333335</v>
      </c>
      <c r="Y79" s="19">
        <f t="shared" si="82"/>
        <v>3333.3333333333335</v>
      </c>
      <c r="Z79" s="19">
        <f t="shared" si="82"/>
        <v>3333.3333333333335</v>
      </c>
      <c r="AA79" s="19">
        <f t="shared" si="82"/>
        <v>3333.3333333333335</v>
      </c>
      <c r="AB79" s="20">
        <f t="shared" si="84"/>
        <v>16666.666666666668</v>
      </c>
      <c r="AC79" s="1" t="s">
        <v>8</v>
      </c>
    </row>
    <row r="80" spans="1:29" outlineLevel="1" x14ac:dyDescent="0.3">
      <c r="N80" s="14" t="s">
        <v>9</v>
      </c>
      <c r="O80" s="33">
        <f>$O$13</f>
        <v>0.66666666666666663</v>
      </c>
      <c r="P80" s="9">
        <f>$O80/$D$77</f>
        <v>6.6666666666666666E-2</v>
      </c>
      <c r="R80" s="19"/>
      <c r="S80" s="19"/>
      <c r="T80" s="19"/>
      <c r="U80" s="19"/>
      <c r="V80" s="19"/>
      <c r="W80" s="19">
        <f t="shared" si="83"/>
        <v>6666.666666666667</v>
      </c>
      <c r="X80" s="19">
        <f t="shared" si="82"/>
        <v>6666.666666666667</v>
      </c>
      <c r="Y80" s="19">
        <f t="shared" si="82"/>
        <v>6666.666666666667</v>
      </c>
      <c r="Z80" s="19">
        <f t="shared" si="82"/>
        <v>6666.666666666667</v>
      </c>
      <c r="AA80" s="19">
        <f t="shared" si="82"/>
        <v>6666.666666666667</v>
      </c>
      <c r="AB80" s="20">
        <f t="shared" si="84"/>
        <v>33333.333333333336</v>
      </c>
      <c r="AC80" s="1" t="s">
        <v>9</v>
      </c>
    </row>
    <row r="81" spans="1:29" outlineLevel="1" x14ac:dyDescent="0.3">
      <c r="N81" s="14" t="s">
        <v>10</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10</v>
      </c>
    </row>
    <row r="82" spans="1:29" x14ac:dyDescent="0.3">
      <c r="N82" s="14"/>
      <c r="O82" s="64" t="s">
        <v>80</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20</v>
      </c>
    </row>
    <row r="84" spans="1:29" s="60" customFormat="1" ht="28.5" customHeight="1" thickBot="1" x14ac:dyDescent="0.35">
      <c r="A84" s="58" t="s">
        <v>4</v>
      </c>
      <c r="B84" s="58"/>
      <c r="R84" s="59"/>
      <c r="S84" s="59"/>
      <c r="T84" s="59"/>
      <c r="U84" s="59"/>
      <c r="V84" s="59"/>
      <c r="W84" s="59"/>
      <c r="X84" s="59"/>
      <c r="Y84" s="59"/>
      <c r="Z84" s="59"/>
      <c r="AA84" s="59"/>
      <c r="AB84" s="59"/>
      <c r="AC84" s="59"/>
    </row>
    <row r="85" spans="1:29" ht="15" outlineLevel="1" thickBot="1" x14ac:dyDescent="0.35">
      <c r="A85" s="5" t="s">
        <v>4</v>
      </c>
      <c r="B85" s="5"/>
      <c r="O85" s="10"/>
      <c r="P85" s="18" t="s">
        <v>18</v>
      </c>
      <c r="R85" s="53">
        <v>1</v>
      </c>
      <c r="S85" s="54">
        <v>2</v>
      </c>
      <c r="T85" s="54">
        <v>3</v>
      </c>
      <c r="U85" s="54">
        <v>4</v>
      </c>
      <c r="V85" s="55">
        <v>5</v>
      </c>
      <c r="W85" s="53">
        <v>1</v>
      </c>
      <c r="X85" s="54">
        <v>2</v>
      </c>
      <c r="Y85" s="54">
        <v>3</v>
      </c>
      <c r="Z85" s="54">
        <v>4</v>
      </c>
      <c r="AA85" s="55">
        <v>5</v>
      </c>
      <c r="AB85" s="57" t="s">
        <v>20</v>
      </c>
    </row>
    <row r="86" spans="1:29" outlineLevel="1" x14ac:dyDescent="0.3">
      <c r="A86" t="s">
        <v>37</v>
      </c>
      <c r="D86" s="26">
        <v>14000</v>
      </c>
      <c r="O86" s="14" t="s">
        <v>6</v>
      </c>
      <c r="P86" s="33">
        <f>$O$10</f>
        <v>0.66666666666666663</v>
      </c>
      <c r="R86" s="19">
        <f>$P86*($D$86*(1-$D$87))</f>
        <v>6533.333333333333</v>
      </c>
      <c r="S86" s="19"/>
      <c r="T86" s="19"/>
      <c r="U86" s="19"/>
      <c r="V86" s="19"/>
      <c r="W86" s="19">
        <f t="shared" ref="W86:AA90" si="86">IF(W$85&gt;=$D$90,$P86*($D$89*(1-$D$87)),0)</f>
        <v>0</v>
      </c>
      <c r="X86" s="19">
        <f t="shared" si="86"/>
        <v>653.33333333333326</v>
      </c>
      <c r="Y86" s="19">
        <f t="shared" si="86"/>
        <v>653.33333333333326</v>
      </c>
      <c r="Z86" s="19">
        <f t="shared" si="86"/>
        <v>653.33333333333326</v>
      </c>
      <c r="AA86" s="19">
        <f t="shared" si="86"/>
        <v>653.33333333333326</v>
      </c>
      <c r="AB86" s="20">
        <f>SUM(R86:AA86)</f>
        <v>9146.6666666666661</v>
      </c>
      <c r="AC86" s="1" t="s">
        <v>6</v>
      </c>
    </row>
    <row r="87" spans="1:29" outlineLevel="1" x14ac:dyDescent="0.3">
      <c r="A87" t="s">
        <v>75</v>
      </c>
      <c r="D87" s="17">
        <v>0.3</v>
      </c>
      <c r="O87" s="14" t="s">
        <v>7</v>
      </c>
      <c r="P87" s="33">
        <f>$O$11</f>
        <v>0.33333333333333331</v>
      </c>
      <c r="R87" s="19">
        <f>$P87*($D$86*(1-$D$87))</f>
        <v>3266.6666666666665</v>
      </c>
      <c r="S87" s="19"/>
      <c r="T87" s="19"/>
      <c r="U87" s="19"/>
      <c r="V87" s="19"/>
      <c r="W87" s="19">
        <f t="shared" si="86"/>
        <v>0</v>
      </c>
      <c r="X87" s="19">
        <f t="shared" si="86"/>
        <v>326.66666666666663</v>
      </c>
      <c r="Y87" s="19">
        <f t="shared" si="86"/>
        <v>326.66666666666663</v>
      </c>
      <c r="Z87" s="19">
        <f t="shared" si="86"/>
        <v>326.66666666666663</v>
      </c>
      <c r="AA87" s="19">
        <f t="shared" si="86"/>
        <v>326.66666666666663</v>
      </c>
      <c r="AB87" s="20">
        <f t="shared" ref="AB87:AB90" si="87">SUM(R87:AA87)</f>
        <v>4573.333333333333</v>
      </c>
      <c r="AC87" s="1" t="s">
        <v>7</v>
      </c>
    </row>
    <row r="88" spans="1:29" outlineLevel="1" x14ac:dyDescent="0.3">
      <c r="A88" t="s">
        <v>76</v>
      </c>
      <c r="D88" s="17">
        <v>0.1</v>
      </c>
      <c r="J88" s="63"/>
      <c r="O88" s="14" t="s">
        <v>8</v>
      </c>
      <c r="P88" s="33">
        <f>$O$12</f>
        <v>0.33333333333333331</v>
      </c>
      <c r="R88" s="19">
        <f>$P88*($D$86*(1-$D$87))</f>
        <v>3266.6666666666665</v>
      </c>
      <c r="S88" s="19"/>
      <c r="T88" s="19"/>
      <c r="U88" s="19"/>
      <c r="V88" s="19"/>
      <c r="W88" s="19">
        <f t="shared" si="86"/>
        <v>0</v>
      </c>
      <c r="X88" s="19">
        <f t="shared" si="86"/>
        <v>326.66666666666663</v>
      </c>
      <c r="Y88" s="19">
        <f t="shared" si="86"/>
        <v>326.66666666666663</v>
      </c>
      <c r="Z88" s="19">
        <f t="shared" si="86"/>
        <v>326.66666666666663</v>
      </c>
      <c r="AA88" s="19">
        <f t="shared" si="86"/>
        <v>326.66666666666663</v>
      </c>
      <c r="AB88" s="20">
        <f t="shared" si="87"/>
        <v>4573.333333333333</v>
      </c>
      <c r="AC88" s="1" t="s">
        <v>8</v>
      </c>
    </row>
    <row r="89" spans="1:29" outlineLevel="1" x14ac:dyDescent="0.3">
      <c r="A89" t="s">
        <v>77</v>
      </c>
      <c r="D89" s="19">
        <f>D86*D88</f>
        <v>1400</v>
      </c>
      <c r="O89" s="14" t="s">
        <v>9</v>
      </c>
      <c r="P89" s="33">
        <f>$O$13</f>
        <v>0.66666666666666663</v>
      </c>
      <c r="R89" s="19">
        <f>$P89*($D$86*(1-$D$87))</f>
        <v>6533.333333333333</v>
      </c>
      <c r="S89" s="19"/>
      <c r="T89" s="19"/>
      <c r="U89" s="19"/>
      <c r="V89" s="19"/>
      <c r="W89" s="19">
        <f t="shared" si="86"/>
        <v>0</v>
      </c>
      <c r="X89" s="19">
        <f t="shared" si="86"/>
        <v>653.33333333333326</v>
      </c>
      <c r="Y89" s="19">
        <f t="shared" si="86"/>
        <v>653.33333333333326</v>
      </c>
      <c r="Z89" s="19">
        <f t="shared" si="86"/>
        <v>653.33333333333326</v>
      </c>
      <c r="AA89" s="19">
        <f t="shared" si="86"/>
        <v>653.33333333333326</v>
      </c>
      <c r="AB89" s="20">
        <f t="shared" si="87"/>
        <v>9146.6666666666661</v>
      </c>
      <c r="AC89" s="1" t="s">
        <v>9</v>
      </c>
    </row>
    <row r="90" spans="1:29" outlineLevel="1" x14ac:dyDescent="0.3">
      <c r="A90" t="s">
        <v>16</v>
      </c>
      <c r="D90" s="13">
        <v>2</v>
      </c>
      <c r="O90" s="14" t="s">
        <v>10</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10</v>
      </c>
    </row>
    <row r="91" spans="1:29" x14ac:dyDescent="0.3">
      <c r="O91" s="64" t="s">
        <v>78</v>
      </c>
      <c r="P91" s="50">
        <f>SUM(P86:P90)</f>
        <v>2</v>
      </c>
      <c r="R91" s="62">
        <f>SUM(R86:R90)</f>
        <v>19600</v>
      </c>
      <c r="S91" s="62">
        <f t="shared" ref="S91:AB91" si="88">SUM(S86:S90)</f>
        <v>0</v>
      </c>
      <c r="T91" s="62">
        <f t="shared" si="88"/>
        <v>0</v>
      </c>
      <c r="U91" s="62">
        <f t="shared" si="88"/>
        <v>0</v>
      </c>
      <c r="V91" s="62">
        <f t="shared" si="88"/>
        <v>0</v>
      </c>
      <c r="W91" s="62">
        <f t="shared" si="88"/>
        <v>0</v>
      </c>
      <c r="X91" s="62">
        <f t="shared" si="88"/>
        <v>1959.9999999999998</v>
      </c>
      <c r="Y91" s="62">
        <f t="shared" si="88"/>
        <v>1959.9999999999998</v>
      </c>
      <c r="Z91" s="62">
        <f t="shared" si="88"/>
        <v>1959.9999999999998</v>
      </c>
      <c r="AA91" s="62">
        <f t="shared" si="88"/>
        <v>1959.9999999999998</v>
      </c>
      <c r="AB91" s="62">
        <f t="shared" si="88"/>
        <v>27440</v>
      </c>
      <c r="AC91" s="5" t="s">
        <v>20</v>
      </c>
    </row>
    <row r="93" spans="1:29" s="60" customFormat="1" ht="28.5" customHeight="1" thickBot="1" x14ac:dyDescent="0.35">
      <c r="A93" s="58" t="s">
        <v>5</v>
      </c>
      <c r="B93" s="58"/>
      <c r="R93" s="59"/>
      <c r="S93" s="59"/>
      <c r="T93" s="59"/>
      <c r="U93" s="59"/>
      <c r="V93" s="59"/>
      <c r="W93" s="59"/>
      <c r="X93" s="59"/>
      <c r="Y93" s="59"/>
      <c r="Z93" s="59"/>
      <c r="AA93" s="59"/>
      <c r="AB93" s="59"/>
      <c r="AC93" s="59"/>
    </row>
    <row r="94" spans="1:29" ht="29.4" outlineLevel="1" thickBot="1" x14ac:dyDescent="0.35">
      <c r="A94" s="5" t="s">
        <v>49</v>
      </c>
      <c r="B94" s="5"/>
      <c r="N94" s="10"/>
      <c r="O94" s="18" t="s">
        <v>18</v>
      </c>
      <c r="P94" s="18" t="s">
        <v>47</v>
      </c>
      <c r="Q94" s="18" t="s">
        <v>48</v>
      </c>
      <c r="R94" s="53">
        <v>1</v>
      </c>
      <c r="S94" s="54">
        <v>2</v>
      </c>
      <c r="T94" s="54">
        <v>3</v>
      </c>
      <c r="U94" s="54">
        <v>4</v>
      </c>
      <c r="V94" s="55">
        <v>5</v>
      </c>
      <c r="W94" s="53">
        <v>1</v>
      </c>
      <c r="X94" s="54">
        <v>2</v>
      </c>
      <c r="Y94" s="54">
        <v>3</v>
      </c>
      <c r="Z94" s="54">
        <v>4</v>
      </c>
      <c r="AA94" s="55">
        <v>5</v>
      </c>
      <c r="AB94" s="57" t="s">
        <v>20</v>
      </c>
    </row>
    <row r="95" spans="1:29" outlineLevel="2" x14ac:dyDescent="0.3">
      <c r="A95" t="s">
        <v>39</v>
      </c>
      <c r="C95" s="1" t="s">
        <v>45</v>
      </c>
      <c r="D95" s="25">
        <v>2.6</v>
      </c>
      <c r="N95" s="14" t="s">
        <v>6</v>
      </c>
      <c r="O95" s="33">
        <f>$O$10</f>
        <v>0.66666666666666663</v>
      </c>
      <c r="P95" s="37">
        <f>$O95</f>
        <v>0.66666666666666663</v>
      </c>
      <c r="Q95" s="37">
        <f>$P95*$D$95</f>
        <v>1.7333333333333334</v>
      </c>
      <c r="R95" s="19"/>
      <c r="S95" s="19"/>
      <c r="T95" s="19"/>
      <c r="U95" s="19"/>
      <c r="V95" s="19"/>
      <c r="W95" s="19">
        <f>$Q95*$D$97</f>
        <v>4853.3333333333339</v>
      </c>
      <c r="X95" s="19">
        <f t="shared" ref="X95:AA95" si="89">$Q95*$D$97</f>
        <v>4853.3333333333339</v>
      </c>
      <c r="Y95" s="19">
        <f t="shared" si="89"/>
        <v>4853.3333333333339</v>
      </c>
      <c r="Z95" s="19">
        <f t="shared" si="89"/>
        <v>4853.3333333333339</v>
      </c>
      <c r="AA95" s="19">
        <f t="shared" si="89"/>
        <v>4853.3333333333339</v>
      </c>
      <c r="AB95" s="20">
        <f>SUM(R95:AA95)</f>
        <v>24266.666666666672</v>
      </c>
      <c r="AC95" s="1" t="s">
        <v>6</v>
      </c>
    </row>
    <row r="96" spans="1:29" outlineLevel="2" x14ac:dyDescent="0.3">
      <c r="N96" s="14" t="s">
        <v>7</v>
      </c>
      <c r="O96" s="33">
        <f>$O$11</f>
        <v>0.33333333333333331</v>
      </c>
      <c r="P96" s="37">
        <f t="shared" ref="P96:P99" si="90">$O96</f>
        <v>0.33333333333333331</v>
      </c>
      <c r="Q96" s="37">
        <f t="shared" ref="Q96:Q99" si="91">$P96*$D$95</f>
        <v>0.8666666666666667</v>
      </c>
      <c r="R96" s="19"/>
      <c r="S96" s="19"/>
      <c r="T96" s="19"/>
      <c r="U96" s="19"/>
      <c r="V96" s="19"/>
      <c r="W96" s="19">
        <f t="shared" ref="W96:AA99" si="92">$Q96*$D$97</f>
        <v>2426.666666666667</v>
      </c>
      <c r="X96" s="19">
        <f t="shared" si="92"/>
        <v>2426.666666666667</v>
      </c>
      <c r="Y96" s="19">
        <f t="shared" si="92"/>
        <v>2426.666666666667</v>
      </c>
      <c r="Z96" s="19">
        <f t="shared" si="92"/>
        <v>2426.666666666667</v>
      </c>
      <c r="AA96" s="19">
        <f t="shared" si="92"/>
        <v>2426.666666666667</v>
      </c>
      <c r="AB96" s="20">
        <f t="shared" ref="AB96:AB99" si="93">SUM(R96:AA96)</f>
        <v>12133.333333333336</v>
      </c>
      <c r="AC96" s="1" t="s">
        <v>7</v>
      </c>
    </row>
    <row r="97" spans="1:29" outlineLevel="2" x14ac:dyDescent="0.3">
      <c r="A97" t="s">
        <v>40</v>
      </c>
      <c r="C97" s="1" t="s">
        <v>44</v>
      </c>
      <c r="D97" s="34">
        <v>2800</v>
      </c>
      <c r="N97" s="14" t="s">
        <v>8</v>
      </c>
      <c r="O97" s="33">
        <f>$O$12</f>
        <v>0.33333333333333331</v>
      </c>
      <c r="P97" s="37">
        <f t="shared" si="90"/>
        <v>0.33333333333333331</v>
      </c>
      <c r="Q97" s="37">
        <f t="shared" si="91"/>
        <v>0.8666666666666667</v>
      </c>
      <c r="R97" s="19"/>
      <c r="S97" s="19"/>
      <c r="T97" s="19"/>
      <c r="U97" s="19"/>
      <c r="V97" s="19"/>
      <c r="W97" s="19">
        <f t="shared" si="92"/>
        <v>2426.666666666667</v>
      </c>
      <c r="X97" s="19">
        <f t="shared" si="92"/>
        <v>2426.666666666667</v>
      </c>
      <c r="Y97" s="19">
        <f t="shared" si="92"/>
        <v>2426.666666666667</v>
      </c>
      <c r="Z97" s="19">
        <f t="shared" si="92"/>
        <v>2426.666666666667</v>
      </c>
      <c r="AA97" s="19">
        <f t="shared" si="92"/>
        <v>2426.666666666667</v>
      </c>
      <c r="AB97" s="20">
        <f t="shared" si="93"/>
        <v>12133.333333333336</v>
      </c>
      <c r="AC97" s="1" t="s">
        <v>8</v>
      </c>
    </row>
    <row r="98" spans="1:29" outlineLevel="2" x14ac:dyDescent="0.3">
      <c r="N98" s="14" t="s">
        <v>9</v>
      </c>
      <c r="O98" s="33">
        <f>$O$13</f>
        <v>0.66666666666666663</v>
      </c>
      <c r="P98" s="37">
        <f t="shared" si="90"/>
        <v>0.66666666666666663</v>
      </c>
      <c r="Q98" s="37">
        <f t="shared" si="91"/>
        <v>1.7333333333333334</v>
      </c>
      <c r="R98" s="19"/>
      <c r="S98" s="19"/>
      <c r="T98" s="19"/>
      <c r="U98" s="19"/>
      <c r="V98" s="19"/>
      <c r="W98" s="19">
        <f t="shared" si="92"/>
        <v>4853.3333333333339</v>
      </c>
      <c r="X98" s="19">
        <f t="shared" si="92"/>
        <v>4853.3333333333339</v>
      </c>
      <c r="Y98" s="19">
        <f t="shared" si="92"/>
        <v>4853.3333333333339</v>
      </c>
      <c r="Z98" s="19">
        <f t="shared" si="92"/>
        <v>4853.3333333333339</v>
      </c>
      <c r="AA98" s="19">
        <f t="shared" si="92"/>
        <v>4853.3333333333339</v>
      </c>
      <c r="AB98" s="20">
        <f t="shared" si="93"/>
        <v>24266.666666666672</v>
      </c>
      <c r="AC98" s="1" t="s">
        <v>9</v>
      </c>
    </row>
    <row r="99" spans="1:29" outlineLevel="2" x14ac:dyDescent="0.3">
      <c r="N99" s="14" t="s">
        <v>10</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10</v>
      </c>
    </row>
    <row r="100" spans="1:29" outlineLevel="1" x14ac:dyDescent="0.3">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14560.000000000002</v>
      </c>
      <c r="X100" s="61">
        <f t="shared" si="94"/>
        <v>14560.000000000002</v>
      </c>
      <c r="Y100" s="61">
        <f t="shared" si="94"/>
        <v>14560.000000000002</v>
      </c>
      <c r="Z100" s="61">
        <f t="shared" si="94"/>
        <v>14560.000000000002</v>
      </c>
      <c r="AA100" s="61">
        <f t="shared" si="94"/>
        <v>14560.000000000002</v>
      </c>
      <c r="AB100" s="62">
        <f t="shared" si="94"/>
        <v>72800.000000000015</v>
      </c>
      <c r="AC100" s="5" t="s">
        <v>20</v>
      </c>
    </row>
    <row r="101" spans="1:29" ht="28.8" outlineLevel="1" x14ac:dyDescent="0.3">
      <c r="O101" s="18" t="s">
        <v>18</v>
      </c>
      <c r="P101" s="18" t="s">
        <v>47</v>
      </c>
      <c r="Q101" s="18" t="s">
        <v>48</v>
      </c>
    </row>
    <row r="102" spans="1:29" ht="15" outlineLevel="1" thickBot="1" x14ac:dyDescent="0.35"/>
    <row r="103" spans="1:29" ht="29.4" outlineLevel="1" thickBot="1" x14ac:dyDescent="0.35">
      <c r="A103" s="5" t="s">
        <v>52</v>
      </c>
      <c r="O103" s="18" t="s">
        <v>46</v>
      </c>
      <c r="P103" s="18" t="s">
        <v>84</v>
      </c>
      <c r="R103" s="53">
        <v>1</v>
      </c>
      <c r="S103" s="54">
        <v>2</v>
      </c>
      <c r="T103" s="54">
        <v>3</v>
      </c>
      <c r="U103" s="54">
        <v>4</v>
      </c>
      <c r="V103" s="55">
        <v>5</v>
      </c>
      <c r="W103" s="53">
        <v>1</v>
      </c>
      <c r="X103" s="54">
        <v>2</v>
      </c>
      <c r="Y103" s="54">
        <v>3</v>
      </c>
      <c r="Z103" s="54">
        <v>4</v>
      </c>
      <c r="AA103" s="55">
        <v>5</v>
      </c>
      <c r="AB103" s="57" t="s">
        <v>20</v>
      </c>
    </row>
    <row r="104" spans="1:29" outlineLevel="2" x14ac:dyDescent="0.3">
      <c r="A104" t="s">
        <v>82</v>
      </c>
      <c r="C104" s="1" t="s">
        <v>43</v>
      </c>
      <c r="D104" s="35">
        <v>0.1</v>
      </c>
      <c r="I104" s="14" t="s">
        <v>139</v>
      </c>
      <c r="J104" s="1" t="s">
        <v>51</v>
      </c>
      <c r="K104" s="114">
        <f>K5</f>
        <v>15</v>
      </c>
      <c r="N104" s="14" t="s">
        <v>6</v>
      </c>
      <c r="O104" s="33">
        <f>$O$10</f>
        <v>0.66666666666666663</v>
      </c>
      <c r="P104" s="42">
        <f>$D$107*O104</f>
        <v>27663.15789473684</v>
      </c>
      <c r="R104" s="19"/>
      <c r="S104" s="19"/>
      <c r="T104" s="19"/>
      <c r="U104" s="19"/>
      <c r="V104" s="19"/>
      <c r="W104" s="19">
        <f>$P104*$D$104</f>
        <v>2766.3157894736842</v>
      </c>
      <c r="X104" s="19">
        <f t="shared" ref="X104:AA104" si="95">$P104*$D$104</f>
        <v>2766.3157894736842</v>
      </c>
      <c r="Y104" s="19">
        <f t="shared" si="95"/>
        <v>2766.3157894736842</v>
      </c>
      <c r="Z104" s="19">
        <f t="shared" si="95"/>
        <v>2766.3157894736842</v>
      </c>
      <c r="AA104" s="19">
        <f t="shared" si="95"/>
        <v>2766.3157894736842</v>
      </c>
      <c r="AB104" s="20">
        <f>SUM(R104:AA104)</f>
        <v>13831.57894736842</v>
      </c>
      <c r="AC104" s="1" t="s">
        <v>6</v>
      </c>
    </row>
    <row r="105" spans="1:29" outlineLevel="2" x14ac:dyDescent="0.3">
      <c r="A105" t="s">
        <v>41</v>
      </c>
      <c r="C105" s="1" t="s">
        <v>42</v>
      </c>
      <c r="D105" s="17">
        <v>0.66</v>
      </c>
      <c r="I105" s="14" t="s">
        <v>152</v>
      </c>
      <c r="J105" s="1" t="s">
        <v>51</v>
      </c>
      <c r="K105" s="101">
        <f>K104/H5</f>
        <v>7.8947368421052627E-2</v>
      </c>
      <c r="N105" s="14" t="s">
        <v>7</v>
      </c>
      <c r="O105" s="33">
        <f>$O$11</f>
        <v>0.33333333333333331</v>
      </c>
      <c r="P105" s="42">
        <f>$D$107*O105</f>
        <v>13831.57894736842</v>
      </c>
      <c r="R105" s="19"/>
      <c r="S105" s="19"/>
      <c r="T105" s="19"/>
      <c r="U105" s="19"/>
      <c r="V105" s="19"/>
      <c r="W105" s="19">
        <f t="shared" ref="W105:AA108" si="96">$P105*$D$104</f>
        <v>1383.1578947368421</v>
      </c>
      <c r="X105" s="19">
        <f t="shared" si="96"/>
        <v>1383.1578947368421</v>
      </c>
      <c r="Y105" s="19">
        <f t="shared" si="96"/>
        <v>1383.1578947368421</v>
      </c>
      <c r="Z105" s="19">
        <f t="shared" si="96"/>
        <v>1383.1578947368421</v>
      </c>
      <c r="AA105" s="19">
        <f t="shared" si="96"/>
        <v>1383.1578947368421</v>
      </c>
      <c r="AB105" s="20">
        <f t="shared" ref="AB105:AB108" si="97">SUM(R105:AA105)</f>
        <v>6915.78947368421</v>
      </c>
      <c r="AC105" s="1" t="s">
        <v>7</v>
      </c>
    </row>
    <row r="106" spans="1:29" outlineLevel="2" x14ac:dyDescent="0.3">
      <c r="A106" t="s">
        <v>50</v>
      </c>
      <c r="C106" s="1" t="s">
        <v>51</v>
      </c>
      <c r="D106" s="101">
        <f>(K107*K105)</f>
        <v>4.7368421052631575</v>
      </c>
      <c r="I106" s="14"/>
      <c r="J106" s="1"/>
      <c r="N106" s="14" t="s">
        <v>8</v>
      </c>
      <c r="O106" s="33">
        <f>$O$12</f>
        <v>0.33333333333333331</v>
      </c>
      <c r="P106" s="42">
        <f>$D$107*O106</f>
        <v>13831.57894736842</v>
      </c>
      <c r="R106" s="19"/>
      <c r="S106" s="19"/>
      <c r="T106" s="19"/>
      <c r="U106" s="19"/>
      <c r="V106" s="19"/>
      <c r="W106" s="19">
        <f t="shared" si="96"/>
        <v>1383.1578947368421</v>
      </c>
      <c r="X106" s="19">
        <f t="shared" si="96"/>
        <v>1383.1578947368421</v>
      </c>
      <c r="Y106" s="19">
        <f t="shared" si="96"/>
        <v>1383.1578947368421</v>
      </c>
      <c r="Z106" s="19">
        <f t="shared" si="96"/>
        <v>1383.1578947368421</v>
      </c>
      <c r="AA106" s="19">
        <f t="shared" si="96"/>
        <v>1383.1578947368421</v>
      </c>
      <c r="AB106" s="20">
        <f t="shared" si="97"/>
        <v>6915.78947368421</v>
      </c>
      <c r="AC106" s="1" t="s">
        <v>8</v>
      </c>
    </row>
    <row r="107" spans="1:29" outlineLevel="2" x14ac:dyDescent="0.3">
      <c r="A107" t="s">
        <v>83</v>
      </c>
      <c r="C107" s="1" t="s">
        <v>51</v>
      </c>
      <c r="D107" s="102">
        <f>$D$106*24*365</f>
        <v>41494.73684210526</v>
      </c>
      <c r="I107" s="14" t="s">
        <v>158</v>
      </c>
      <c r="K107" s="33">
        <f>F15</f>
        <v>60</v>
      </c>
      <c r="N107" s="14" t="s">
        <v>9</v>
      </c>
      <c r="O107" s="33">
        <f>$O$13</f>
        <v>0.66666666666666663</v>
      </c>
      <c r="P107" s="42">
        <f>$D$107*O107</f>
        <v>27663.15789473684</v>
      </c>
      <c r="R107" s="19"/>
      <c r="S107" s="19"/>
      <c r="T107" s="19"/>
      <c r="U107" s="19"/>
      <c r="V107" s="19"/>
      <c r="W107" s="19">
        <f t="shared" si="96"/>
        <v>2766.3157894736842</v>
      </c>
      <c r="X107" s="19">
        <f t="shared" si="96"/>
        <v>2766.3157894736842</v>
      </c>
      <c r="Y107" s="19">
        <f t="shared" si="96"/>
        <v>2766.3157894736842</v>
      </c>
      <c r="Z107" s="19">
        <f t="shared" si="96"/>
        <v>2766.3157894736842</v>
      </c>
      <c r="AA107" s="19">
        <f t="shared" si="96"/>
        <v>2766.3157894736842</v>
      </c>
      <c r="AB107" s="20">
        <f t="shared" si="97"/>
        <v>13831.57894736842</v>
      </c>
      <c r="AC107" s="1" t="s">
        <v>9</v>
      </c>
    </row>
    <row r="108" spans="1:29" outlineLevel="2" x14ac:dyDescent="0.3">
      <c r="H108" s="1"/>
      <c r="N108" s="14" t="s">
        <v>10</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10</v>
      </c>
    </row>
    <row r="109" spans="1:29" outlineLevel="1" x14ac:dyDescent="0.3">
      <c r="N109" s="14"/>
      <c r="O109" s="50">
        <f>SUM(O104:O108)</f>
        <v>2</v>
      </c>
      <c r="P109" s="66">
        <f>SUM(P104:P108)</f>
        <v>82989.473684210519</v>
      </c>
      <c r="R109" s="61">
        <f t="shared" ref="R109:AB109" si="98">SUM(R104:R108)</f>
        <v>0</v>
      </c>
      <c r="S109" s="61">
        <f t="shared" si="98"/>
        <v>0</v>
      </c>
      <c r="T109" s="61">
        <f t="shared" si="98"/>
        <v>0</v>
      </c>
      <c r="U109" s="61">
        <f t="shared" si="98"/>
        <v>0</v>
      </c>
      <c r="V109" s="61">
        <f t="shared" si="98"/>
        <v>0</v>
      </c>
      <c r="W109" s="61">
        <f t="shared" si="98"/>
        <v>8298.9473684210534</v>
      </c>
      <c r="X109" s="61">
        <f t="shared" si="98"/>
        <v>8298.9473684210534</v>
      </c>
      <c r="Y109" s="61">
        <f t="shared" si="98"/>
        <v>8298.9473684210534</v>
      </c>
      <c r="Z109" s="61">
        <f t="shared" si="98"/>
        <v>8298.9473684210534</v>
      </c>
      <c r="AA109" s="61">
        <f t="shared" si="98"/>
        <v>8298.9473684210534</v>
      </c>
      <c r="AB109" s="62">
        <f t="shared" si="98"/>
        <v>41494.73684210526</v>
      </c>
      <c r="AC109" s="5" t="s">
        <v>20</v>
      </c>
    </row>
    <row r="110" spans="1:29" ht="28.8" outlineLevel="1" x14ac:dyDescent="0.3">
      <c r="O110" s="18" t="s">
        <v>46</v>
      </c>
      <c r="P110" s="18" t="s">
        <v>84</v>
      </c>
    </row>
    <row r="111" spans="1:29" ht="15" outlineLevel="1" thickBot="1" x14ac:dyDescent="0.35"/>
    <row r="112" spans="1:29" ht="15" outlineLevel="1" thickBot="1" x14ac:dyDescent="0.35">
      <c r="A112" s="5"/>
      <c r="O112" s="18"/>
      <c r="P112" s="18"/>
      <c r="R112" s="53"/>
      <c r="S112" s="54"/>
      <c r="T112" s="54"/>
      <c r="U112" s="54"/>
      <c r="V112" s="55"/>
      <c r="W112" s="53"/>
      <c r="X112" s="54"/>
      <c r="Y112" s="54"/>
      <c r="Z112" s="54"/>
      <c r="AA112" s="55"/>
      <c r="AB112" s="57"/>
    </row>
    <row r="113" spans="1:29" outlineLevel="2" x14ac:dyDescent="0.3">
      <c r="D113" s="67"/>
      <c r="N113" s="14"/>
      <c r="O113" s="33"/>
      <c r="P113" s="42"/>
      <c r="R113" s="19"/>
      <c r="S113" s="19"/>
      <c r="T113" s="19"/>
      <c r="U113" s="19"/>
      <c r="V113" s="19"/>
      <c r="W113" s="19"/>
      <c r="X113" s="19"/>
      <c r="Y113" s="19"/>
      <c r="Z113" s="19"/>
      <c r="AA113" s="19"/>
      <c r="AB113" s="20"/>
      <c r="AC113" s="1"/>
    </row>
    <row r="114" spans="1:29" outlineLevel="2" x14ac:dyDescent="0.3">
      <c r="D114" s="67"/>
      <c r="N114" s="14"/>
      <c r="O114" s="33"/>
      <c r="P114" s="42"/>
      <c r="R114" s="19"/>
      <c r="S114" s="19"/>
      <c r="T114" s="19"/>
      <c r="U114" s="19"/>
      <c r="V114" s="19"/>
      <c r="W114" s="19"/>
      <c r="X114" s="19"/>
      <c r="Y114" s="19"/>
      <c r="Z114" s="19"/>
      <c r="AA114" s="19"/>
      <c r="AB114" s="20"/>
      <c r="AC114" s="1"/>
    </row>
    <row r="115" spans="1:29" outlineLevel="2" x14ac:dyDescent="0.3">
      <c r="N115" s="14"/>
      <c r="O115" s="33"/>
      <c r="P115" s="42"/>
      <c r="R115" s="19"/>
      <c r="S115" s="19"/>
      <c r="T115" s="19"/>
      <c r="U115" s="19"/>
      <c r="V115" s="19"/>
      <c r="W115" s="19"/>
      <c r="X115" s="19"/>
      <c r="Y115" s="19"/>
      <c r="Z115" s="19"/>
      <c r="AA115" s="19"/>
      <c r="AB115" s="20"/>
      <c r="AC115" s="1"/>
    </row>
    <row r="116" spans="1:29" outlineLevel="2" x14ac:dyDescent="0.3">
      <c r="N116" s="14"/>
      <c r="O116" s="33"/>
      <c r="P116" s="42"/>
      <c r="R116" s="19"/>
      <c r="S116" s="19"/>
      <c r="T116" s="19"/>
      <c r="U116" s="19"/>
      <c r="V116" s="19"/>
      <c r="W116" s="19"/>
      <c r="X116" s="19"/>
      <c r="Y116" s="19"/>
      <c r="Z116" s="19"/>
      <c r="AA116" s="19"/>
      <c r="AB116" s="20"/>
      <c r="AC116" s="1"/>
    </row>
    <row r="117" spans="1:29" outlineLevel="2" x14ac:dyDescent="0.3">
      <c r="N117" s="14"/>
      <c r="O117" s="33"/>
      <c r="P117" s="42"/>
      <c r="R117" s="19"/>
      <c r="S117" s="19"/>
      <c r="T117" s="19"/>
      <c r="U117" s="19"/>
      <c r="V117" s="19"/>
      <c r="W117" s="19"/>
      <c r="X117" s="19"/>
      <c r="Y117" s="19"/>
      <c r="Z117" s="19"/>
      <c r="AA117" s="19"/>
      <c r="AB117" s="20"/>
      <c r="AC117" s="1"/>
    </row>
    <row r="118" spans="1:29" outlineLevel="1" x14ac:dyDescent="0.3">
      <c r="N118" s="14"/>
      <c r="O118" s="50"/>
      <c r="P118" s="66"/>
      <c r="R118" s="61"/>
      <c r="S118" s="61"/>
      <c r="T118" s="61"/>
      <c r="U118" s="61"/>
      <c r="V118" s="61"/>
      <c r="W118" s="61"/>
      <c r="X118" s="61"/>
      <c r="Y118" s="61"/>
      <c r="Z118" s="61"/>
      <c r="AA118" s="61"/>
      <c r="AB118" s="62"/>
      <c r="AC118" s="5"/>
    </row>
    <row r="119" spans="1:29" outlineLevel="1" x14ac:dyDescent="0.3">
      <c r="O119" s="18"/>
      <c r="P119" s="18"/>
    </row>
    <row r="120" spans="1:29" outlineLevel="1" x14ac:dyDescent="0.3"/>
    <row r="121" spans="1:29" outlineLevel="1" x14ac:dyDescent="0.3">
      <c r="N121" s="14" t="s">
        <v>6</v>
      </c>
      <c r="R121" s="21">
        <f t="shared" ref="R121:AB121" si="99">R95+R104+R113</f>
        <v>0</v>
      </c>
      <c r="S121" s="21">
        <f t="shared" si="99"/>
        <v>0</v>
      </c>
      <c r="T121" s="21">
        <f t="shared" si="99"/>
        <v>0</v>
      </c>
      <c r="U121" s="21">
        <f t="shared" si="99"/>
        <v>0</v>
      </c>
      <c r="V121" s="21">
        <f t="shared" si="99"/>
        <v>0</v>
      </c>
      <c r="W121" s="21">
        <f t="shared" si="99"/>
        <v>7619.6491228070181</v>
      </c>
      <c r="X121" s="21">
        <f t="shared" si="99"/>
        <v>7619.6491228070181</v>
      </c>
      <c r="Y121" s="21">
        <f t="shared" si="99"/>
        <v>7619.6491228070181</v>
      </c>
      <c r="Z121" s="21">
        <f t="shared" si="99"/>
        <v>7619.6491228070181</v>
      </c>
      <c r="AA121" s="21">
        <f t="shared" si="99"/>
        <v>7619.6491228070181</v>
      </c>
      <c r="AB121" s="20">
        <f t="shared" si="99"/>
        <v>38098.245614035091</v>
      </c>
      <c r="AC121" s="1" t="s">
        <v>6</v>
      </c>
    </row>
    <row r="122" spans="1:29" outlineLevel="1" x14ac:dyDescent="0.3">
      <c r="N122" s="14" t="s">
        <v>7</v>
      </c>
      <c r="R122" s="21">
        <f t="shared" ref="R122:AA122" si="100">R96+R105+R114</f>
        <v>0</v>
      </c>
      <c r="S122" s="21">
        <f t="shared" si="100"/>
        <v>0</v>
      </c>
      <c r="T122" s="21">
        <f t="shared" si="100"/>
        <v>0</v>
      </c>
      <c r="U122" s="21">
        <f t="shared" si="100"/>
        <v>0</v>
      </c>
      <c r="V122" s="21">
        <f t="shared" si="100"/>
        <v>0</v>
      </c>
      <c r="W122" s="21">
        <f t="shared" si="100"/>
        <v>3809.8245614035091</v>
      </c>
      <c r="X122" s="21">
        <f t="shared" si="100"/>
        <v>3809.8245614035091</v>
      </c>
      <c r="Y122" s="21">
        <f t="shared" si="100"/>
        <v>3809.8245614035091</v>
      </c>
      <c r="Z122" s="21">
        <f t="shared" si="100"/>
        <v>3809.8245614035091</v>
      </c>
      <c r="AA122" s="21">
        <f t="shared" si="100"/>
        <v>3809.8245614035091</v>
      </c>
      <c r="AB122" s="20">
        <f>AB96+AB105+AB114</f>
        <v>19049.122807017546</v>
      </c>
      <c r="AC122" s="1" t="s">
        <v>7</v>
      </c>
    </row>
    <row r="123" spans="1:29" outlineLevel="1" x14ac:dyDescent="0.3">
      <c r="N123" s="14" t="s">
        <v>8</v>
      </c>
      <c r="R123" s="21">
        <f t="shared" ref="R123:AB123" si="101">R97+R106+R115</f>
        <v>0</v>
      </c>
      <c r="S123" s="21">
        <f t="shared" si="101"/>
        <v>0</v>
      </c>
      <c r="T123" s="21">
        <f t="shared" si="101"/>
        <v>0</v>
      </c>
      <c r="U123" s="21">
        <f t="shared" si="101"/>
        <v>0</v>
      </c>
      <c r="V123" s="21">
        <f t="shared" si="101"/>
        <v>0</v>
      </c>
      <c r="W123" s="21">
        <f t="shared" si="101"/>
        <v>3809.8245614035091</v>
      </c>
      <c r="X123" s="21">
        <f t="shared" si="101"/>
        <v>3809.8245614035091</v>
      </c>
      <c r="Y123" s="21">
        <f t="shared" si="101"/>
        <v>3809.8245614035091</v>
      </c>
      <c r="Z123" s="21">
        <f t="shared" si="101"/>
        <v>3809.8245614035091</v>
      </c>
      <c r="AA123" s="21">
        <f t="shared" si="101"/>
        <v>3809.8245614035091</v>
      </c>
      <c r="AB123" s="20">
        <f t="shared" si="101"/>
        <v>19049.122807017546</v>
      </c>
      <c r="AC123" s="1" t="s">
        <v>8</v>
      </c>
    </row>
    <row r="124" spans="1:29" outlineLevel="1" x14ac:dyDescent="0.3">
      <c r="N124" s="14" t="s">
        <v>9</v>
      </c>
      <c r="R124" s="21">
        <f t="shared" ref="R124:AB124" si="102">R98+R107+R116</f>
        <v>0</v>
      </c>
      <c r="S124" s="21">
        <f t="shared" si="102"/>
        <v>0</v>
      </c>
      <c r="T124" s="21">
        <f t="shared" si="102"/>
        <v>0</v>
      </c>
      <c r="U124" s="21">
        <f t="shared" si="102"/>
        <v>0</v>
      </c>
      <c r="V124" s="21">
        <f t="shared" si="102"/>
        <v>0</v>
      </c>
      <c r="W124" s="21">
        <f t="shared" si="102"/>
        <v>7619.6491228070181</v>
      </c>
      <c r="X124" s="21">
        <f t="shared" si="102"/>
        <v>7619.6491228070181</v>
      </c>
      <c r="Y124" s="21">
        <f t="shared" si="102"/>
        <v>7619.6491228070181</v>
      </c>
      <c r="Z124" s="21">
        <f t="shared" si="102"/>
        <v>7619.6491228070181</v>
      </c>
      <c r="AA124" s="21">
        <f t="shared" si="102"/>
        <v>7619.6491228070181</v>
      </c>
      <c r="AB124" s="20">
        <f t="shared" si="102"/>
        <v>38098.245614035091</v>
      </c>
      <c r="AC124" s="1" t="s">
        <v>9</v>
      </c>
    </row>
    <row r="125" spans="1:29" outlineLevel="1" x14ac:dyDescent="0.3">
      <c r="N125" s="14" t="s">
        <v>10</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10</v>
      </c>
    </row>
    <row r="126" spans="1:29" x14ac:dyDescent="0.3">
      <c r="O126" s="39" t="s">
        <v>85</v>
      </c>
      <c r="R126" s="62">
        <f t="shared" ref="R126:AB126" si="104">R100+R109+R118</f>
        <v>0</v>
      </c>
      <c r="S126" s="62">
        <f t="shared" si="104"/>
        <v>0</v>
      </c>
      <c r="T126" s="62">
        <f t="shared" si="104"/>
        <v>0</v>
      </c>
      <c r="U126" s="62">
        <f t="shared" si="104"/>
        <v>0</v>
      </c>
      <c r="V126" s="62">
        <f t="shared" si="104"/>
        <v>0</v>
      </c>
      <c r="W126" s="62">
        <f t="shared" si="104"/>
        <v>22858.947368421053</v>
      </c>
      <c r="X126" s="62">
        <f t="shared" si="104"/>
        <v>22858.947368421053</v>
      </c>
      <c r="Y126" s="62">
        <f t="shared" si="104"/>
        <v>22858.947368421053</v>
      </c>
      <c r="Z126" s="62">
        <f t="shared" si="104"/>
        <v>22858.947368421053</v>
      </c>
      <c r="AA126" s="62">
        <f t="shared" si="104"/>
        <v>22858.947368421053</v>
      </c>
      <c r="AB126" s="62">
        <f t="shared" si="104"/>
        <v>114294.73684210528</v>
      </c>
      <c r="AC126" s="5" t="s">
        <v>20</v>
      </c>
    </row>
    <row r="128" spans="1:29" s="60" customFormat="1" ht="28.5" customHeight="1" x14ac:dyDescent="0.3">
      <c r="A128" s="58"/>
      <c r="B128" s="58"/>
      <c r="R128" s="59"/>
      <c r="S128" s="59"/>
      <c r="T128" s="59"/>
      <c r="U128" s="59"/>
      <c r="V128" s="59"/>
      <c r="W128" s="59"/>
      <c r="X128" s="59"/>
      <c r="Y128" s="59"/>
      <c r="Z128" s="59"/>
      <c r="AA128" s="59"/>
      <c r="AB128" s="59"/>
      <c r="AC128" s="59"/>
    </row>
    <row r="129" spans="16:29" x14ac:dyDescent="0.3">
      <c r="P129" s="64" t="s">
        <v>109</v>
      </c>
      <c r="R129" s="62">
        <f t="shared" ref="R129:AB129" si="105">R15+R73+R82+R91+R126</f>
        <v>8051600</v>
      </c>
      <c r="S129" s="62">
        <f t="shared" si="105"/>
        <v>0</v>
      </c>
      <c r="T129" s="62">
        <f t="shared" si="105"/>
        <v>0</v>
      </c>
      <c r="U129" s="62">
        <f t="shared" si="105"/>
        <v>0</v>
      </c>
      <c r="V129" s="62">
        <f t="shared" si="105"/>
        <v>0</v>
      </c>
      <c r="W129" s="62">
        <f t="shared" si="105"/>
        <v>798858.94736842101</v>
      </c>
      <c r="X129" s="62">
        <f t="shared" si="105"/>
        <v>1427218.9473684211</v>
      </c>
      <c r="Y129" s="62">
        <f t="shared" si="105"/>
        <v>1427218.9473684211</v>
      </c>
      <c r="Z129" s="62">
        <f t="shared" si="105"/>
        <v>1917218.9473684211</v>
      </c>
      <c r="AA129" s="62">
        <f t="shared" si="105"/>
        <v>1917218.9473684211</v>
      </c>
      <c r="AB129" s="62">
        <f t="shared" si="105"/>
        <v>15539334.736842105</v>
      </c>
      <c r="AC129" s="5" t="s">
        <v>20</v>
      </c>
    </row>
    <row r="130" spans="16:29" x14ac:dyDescent="0.3">
      <c r="P130" s="64" t="s">
        <v>110</v>
      </c>
      <c r="W130" s="62">
        <f>R129+W129</f>
        <v>8850458.9473684207</v>
      </c>
      <c r="X130" s="62">
        <f t="shared" ref="X130:AA130" si="106">S129+X129</f>
        <v>1427218.9473684211</v>
      </c>
      <c r="Y130" s="62">
        <f t="shared" si="106"/>
        <v>1427218.9473684211</v>
      </c>
      <c r="Z130" s="62">
        <f t="shared" si="106"/>
        <v>1917218.9473684211</v>
      </c>
      <c r="AA130" s="62">
        <f t="shared" si="106"/>
        <v>1917218.9473684211</v>
      </c>
      <c r="AB130" s="62">
        <f>SUM(W130:AA130)</f>
        <v>15539334.736842103</v>
      </c>
    </row>
    <row r="131" spans="16:29" x14ac:dyDescent="0.3">
      <c r="P131" s="64" t="s">
        <v>111</v>
      </c>
      <c r="W131" s="62">
        <f>W130</f>
        <v>8850458.9473684207</v>
      </c>
      <c r="X131" s="62">
        <f>W131+X130</f>
        <v>10277677.894736841</v>
      </c>
      <c r="Y131" s="62">
        <f t="shared" ref="Y131:AA131" si="107">X131+Y130</f>
        <v>11704896.842105262</v>
      </c>
      <c r="Z131" s="62">
        <f t="shared" si="107"/>
        <v>13622115.789473683</v>
      </c>
      <c r="AA131" s="62">
        <f t="shared" si="107"/>
        <v>15539334.736842103</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workbookViewId="0">
      <pane xSplit="2" ySplit="4" topLeftCell="C5" activePane="bottomRight" state="frozen"/>
      <selection pane="topRight" activeCell="C1" sqref="C1"/>
      <selection pane="bottomLeft" activeCell="A4" sqref="A4"/>
      <selection pane="bottomRight" activeCell="I12" sqref="I12"/>
    </sheetView>
  </sheetViews>
  <sheetFormatPr defaultRowHeight="14.4" x14ac:dyDescent="0.3"/>
  <cols>
    <col min="1" max="1" width="5.33203125" customWidth="1"/>
    <col min="2" max="2" width="13.88671875" customWidth="1"/>
    <col min="3" max="7" width="12.88671875" customWidth="1"/>
    <col min="8" max="8" width="13.109375" style="39" bestFit="1" customWidth="1"/>
    <col min="10" max="10" width="5.33203125" customWidth="1"/>
    <col min="11" max="11" width="13.88671875" customWidth="1"/>
    <col min="12" max="16" width="12.88671875" customWidth="1"/>
    <col min="17" max="17" width="13.109375" style="39" bestFit="1" customWidth="1"/>
  </cols>
  <sheetData>
    <row r="1" spans="1:17" x14ac:dyDescent="0.3">
      <c r="B1" s="122" t="s">
        <v>142</v>
      </c>
      <c r="C1" s="123">
        <f>sizing!C2</f>
        <v>8000</v>
      </c>
    </row>
    <row r="3" spans="1:17" s="108" customFormat="1" ht="21" x14ac:dyDescent="0.4">
      <c r="B3" s="109" t="s">
        <v>108</v>
      </c>
      <c r="C3" s="169" t="s">
        <v>11</v>
      </c>
      <c r="D3" s="169"/>
      <c r="E3" s="169"/>
      <c r="F3" s="169"/>
      <c r="G3" s="169"/>
      <c r="H3" s="41"/>
      <c r="K3" s="109" t="s">
        <v>147</v>
      </c>
      <c r="L3" s="169" t="s">
        <v>11</v>
      </c>
      <c r="M3" s="169"/>
      <c r="N3" s="169"/>
      <c r="O3" s="169"/>
      <c r="P3" s="169"/>
      <c r="Q3" s="41"/>
    </row>
    <row r="4" spans="1:17" s="3" customFormat="1" ht="37.5" customHeight="1" x14ac:dyDescent="0.3">
      <c r="A4" s="171" t="str">
        <f>'x86 TCO'!A5</f>
        <v>Rack server w Xeon Gold 5115 10C 2.40GHz (2 Chips, 20 Cores)</v>
      </c>
      <c r="B4" s="171"/>
      <c r="C4" s="105" t="s">
        <v>6</v>
      </c>
      <c r="D4" s="105" t="s">
        <v>7</v>
      </c>
      <c r="E4" s="105" t="s">
        <v>8</v>
      </c>
      <c r="F4" s="105" t="s">
        <v>60</v>
      </c>
      <c r="G4" s="105" t="s">
        <v>10</v>
      </c>
      <c r="H4" s="91" t="s">
        <v>115</v>
      </c>
      <c r="L4" s="105" t="s">
        <v>6</v>
      </c>
      <c r="M4" s="105" t="s">
        <v>7</v>
      </c>
      <c r="N4" s="105" t="s">
        <v>8</v>
      </c>
      <c r="O4" s="105" t="s">
        <v>60</v>
      </c>
      <c r="P4" s="105" t="s">
        <v>10</v>
      </c>
      <c r="Q4" s="91" t="s">
        <v>115</v>
      </c>
    </row>
    <row r="5" spans="1:17" s="3" customFormat="1" ht="29.25" customHeight="1" x14ac:dyDescent="0.3">
      <c r="A5" s="170" t="s">
        <v>0</v>
      </c>
      <c r="B5" s="2" t="s">
        <v>1</v>
      </c>
      <c r="C5" s="124">
        <f>'x86 TCO'!AB19</f>
        <v>245000</v>
      </c>
      <c r="D5" s="68">
        <f>'x86 TCO'!AB20</f>
        <v>127400</v>
      </c>
      <c r="E5" s="68">
        <f>'x86 TCO'!AB21</f>
        <v>127400</v>
      </c>
      <c r="F5" s="68">
        <f>'x86 TCO'!AB22</f>
        <v>196000</v>
      </c>
      <c r="G5" s="68">
        <f>'x86 TCO'!AB23</f>
        <v>441000</v>
      </c>
      <c r="H5" s="69">
        <f>SUM(C5:G5)</f>
        <v>1136800</v>
      </c>
      <c r="J5" s="170" t="s">
        <v>0</v>
      </c>
      <c r="K5" s="2" t="s">
        <v>1</v>
      </c>
      <c r="L5" s="124">
        <f>'LinuxONE TCO'!AB10</f>
        <v>1848000</v>
      </c>
      <c r="M5" s="68">
        <f>'LinuxONE TCO'!AB11</f>
        <v>924000</v>
      </c>
      <c r="N5" s="68">
        <f>'LinuxONE TCO'!AB12</f>
        <v>924000</v>
      </c>
      <c r="O5" s="68">
        <f>'LinuxONE TCO'!AB13</f>
        <v>1848000</v>
      </c>
      <c r="P5" s="68">
        <f>'LinuxONE TCO'!AB14</f>
        <v>336000</v>
      </c>
      <c r="Q5" s="69">
        <f t="shared" ref="Q5:Q10" si="0">SUM(L5:P5)</f>
        <v>5880000</v>
      </c>
    </row>
    <row r="6" spans="1:17" s="3" customFormat="1" ht="29.25" customHeight="1" x14ac:dyDescent="0.3">
      <c r="A6" s="170"/>
      <c r="B6" s="2" t="s">
        <v>2</v>
      </c>
      <c r="C6" s="141">
        <f>'x86 TCO'!AB35</f>
        <v>8042500</v>
      </c>
      <c r="D6" s="68">
        <f>'x86 TCO'!AB45</f>
        <v>4026650</v>
      </c>
      <c r="E6" s="68">
        <f>'x86 TCO'!AB55</f>
        <v>4026650</v>
      </c>
      <c r="F6" s="68">
        <f>'x86 TCO'!AB65</f>
        <v>6434000</v>
      </c>
      <c r="G6" s="68">
        <f>'x86 TCO'!AB75</f>
        <v>14476500</v>
      </c>
      <c r="H6" s="69">
        <f>SUM(C6:G6)</f>
        <v>37006300</v>
      </c>
      <c r="J6" s="170"/>
      <c r="K6" s="2" t="s">
        <v>2</v>
      </c>
      <c r="L6" s="141">
        <f>'LinuxONE TCO'!AB31</f>
        <v>3139200</v>
      </c>
      <c r="M6" s="68">
        <f>'LinuxONE TCO'!AB41</f>
        <v>1569600</v>
      </c>
      <c r="N6" s="68">
        <f>'LinuxONE TCO'!AB51</f>
        <v>1569600</v>
      </c>
      <c r="O6" s="68">
        <f>'LinuxONE TCO'!AB61</f>
        <v>3139200</v>
      </c>
      <c r="P6" s="68">
        <f>'LinuxONE TCO'!AB71</f>
        <v>0</v>
      </c>
      <c r="Q6" s="69">
        <f t="shared" si="0"/>
        <v>9417600</v>
      </c>
    </row>
    <row r="7" spans="1:17" s="3" customFormat="1" ht="29.25" customHeight="1" x14ac:dyDescent="0.3">
      <c r="A7" s="170"/>
      <c r="B7" s="2" t="s">
        <v>3</v>
      </c>
      <c r="C7" s="172">
        <f>'x86 TCO'!AB86</f>
        <v>1933333.3333333335</v>
      </c>
      <c r="D7" s="173"/>
      <c r="E7" s="173"/>
      <c r="F7" s="173"/>
      <c r="G7" s="174"/>
      <c r="H7" s="69">
        <f t="shared" ref="H7" si="1">SUM(C7:G7)</f>
        <v>1933333.3333333335</v>
      </c>
      <c r="J7" s="170"/>
      <c r="K7" s="2" t="s">
        <v>3</v>
      </c>
      <c r="L7" s="172">
        <f>'LinuxONE TCO'!AB82</f>
        <v>100000</v>
      </c>
      <c r="M7" s="173"/>
      <c r="N7" s="173"/>
      <c r="O7" s="173"/>
      <c r="P7" s="174"/>
      <c r="Q7" s="69">
        <f t="shared" si="0"/>
        <v>100000</v>
      </c>
    </row>
    <row r="8" spans="1:17" s="3" customFormat="1" ht="29.25" customHeight="1" x14ac:dyDescent="0.3">
      <c r="A8" s="170"/>
      <c r="B8" s="2" t="s">
        <v>4</v>
      </c>
      <c r="C8" s="68">
        <f>'x86 TCO'!AB90</f>
        <v>171500</v>
      </c>
      <c r="D8" s="68">
        <f>'x86 TCO'!AB91</f>
        <v>89180</v>
      </c>
      <c r="E8" s="68">
        <f>'x86 TCO'!AB92</f>
        <v>89180</v>
      </c>
      <c r="F8" s="68">
        <f>'x86 TCO'!AB93</f>
        <v>137200</v>
      </c>
      <c r="G8" s="68">
        <f>'x86 TCO'!AB94</f>
        <v>308700</v>
      </c>
      <c r="H8" s="69">
        <f>SUM(C8:G8)</f>
        <v>795760</v>
      </c>
      <c r="J8" s="170"/>
      <c r="K8" s="2" t="s">
        <v>4</v>
      </c>
      <c r="L8" s="68">
        <f>'LinuxONE TCO'!AB86</f>
        <v>9146.6666666666661</v>
      </c>
      <c r="M8" s="68">
        <f>'LinuxONE TCO'!AB87</f>
        <v>4573.333333333333</v>
      </c>
      <c r="N8" s="68">
        <f>'LinuxONE TCO'!AB88</f>
        <v>4573.333333333333</v>
      </c>
      <c r="O8" s="68">
        <f>'LinuxONE TCO'!AB89</f>
        <v>9146.6666666666661</v>
      </c>
      <c r="P8" s="68">
        <f>'LinuxONE TCO'!AB90</f>
        <v>0</v>
      </c>
      <c r="Q8" s="69">
        <f t="shared" si="0"/>
        <v>27440</v>
      </c>
    </row>
    <row r="9" spans="1:17" s="3" customFormat="1" ht="29.25" customHeight="1" x14ac:dyDescent="0.3">
      <c r="A9" s="170"/>
      <c r="B9" s="2" t="s">
        <v>49</v>
      </c>
      <c r="C9" s="68">
        <f>'x86 TCO'!AB99</f>
        <v>39000</v>
      </c>
      <c r="D9" s="68">
        <f>'x86 TCO'!AB100</f>
        <v>14646.666666666668</v>
      </c>
      <c r="E9" s="68">
        <f>'x86 TCO'!AB101</f>
        <v>14646.666666666668</v>
      </c>
      <c r="F9" s="68">
        <f>'x86 TCO'!AB102</f>
        <v>22533.333333333336</v>
      </c>
      <c r="G9" s="68">
        <f>'x86 TCO'!AB103</f>
        <v>52000</v>
      </c>
      <c r="H9" s="69">
        <f>SUM(C9:G9)</f>
        <v>142826.66666666669</v>
      </c>
      <c r="J9" s="170"/>
      <c r="K9" s="2" t="s">
        <v>49</v>
      </c>
      <c r="L9" s="68">
        <f>'LinuxONE TCO'!AB95</f>
        <v>24266.666666666672</v>
      </c>
      <c r="M9" s="68">
        <f>'LinuxONE TCO'!AB96</f>
        <v>12133.333333333336</v>
      </c>
      <c r="N9" s="68">
        <f>'LinuxONE TCO'!AB97</f>
        <v>12133.333333333336</v>
      </c>
      <c r="O9" s="68">
        <f>'LinuxONE TCO'!AB98</f>
        <v>24266.666666666672</v>
      </c>
      <c r="P9" s="68">
        <f>'LinuxONE TCO'!AB99</f>
        <v>0</v>
      </c>
      <c r="Q9" s="69">
        <f t="shared" si="0"/>
        <v>72800.000000000015</v>
      </c>
    </row>
    <row r="10" spans="1:17" s="3" customFormat="1" ht="29.25" customHeight="1" x14ac:dyDescent="0.3">
      <c r="A10" s="170"/>
      <c r="B10" s="2" t="s">
        <v>52</v>
      </c>
      <c r="C10" s="68">
        <f>'x86 TCO'!AB108</f>
        <v>65699.999999999985</v>
      </c>
      <c r="D10" s="68">
        <f>'x86 TCO'!AB109</f>
        <v>34164</v>
      </c>
      <c r="E10" s="68">
        <f>'x86 TCO'!AB110</f>
        <v>34164</v>
      </c>
      <c r="F10" s="68">
        <f>'x86 TCO'!AB111</f>
        <v>52560</v>
      </c>
      <c r="G10" s="68">
        <f>'x86 TCO'!AB112</f>
        <v>118260</v>
      </c>
      <c r="H10" s="69">
        <f>SUM(C10:G10)</f>
        <v>304848</v>
      </c>
      <c r="J10" s="170"/>
      <c r="K10" s="2" t="s">
        <v>52</v>
      </c>
      <c r="L10" s="68">
        <f>'LinuxONE TCO'!AB104</f>
        <v>13831.57894736842</v>
      </c>
      <c r="M10" s="68">
        <f>'LinuxONE TCO'!AB105</f>
        <v>6915.78947368421</v>
      </c>
      <c r="N10" s="68">
        <f>'LinuxONE TCO'!AB106</f>
        <v>6915.78947368421</v>
      </c>
      <c r="O10" s="68">
        <f>'LinuxONE TCO'!AB107</f>
        <v>13831.57894736842</v>
      </c>
      <c r="P10" s="68">
        <f>'LinuxONE TCO'!AB108</f>
        <v>0</v>
      </c>
      <c r="Q10" s="69">
        <f t="shared" si="0"/>
        <v>41494.73684210526</v>
      </c>
    </row>
    <row r="11" spans="1:17" x14ac:dyDescent="0.3">
      <c r="B11" s="89" t="s">
        <v>114</v>
      </c>
      <c r="C11" s="90">
        <f t="shared" ref="C11:H11" si="2">SUM(C5:C10)</f>
        <v>10497033.333333334</v>
      </c>
      <c r="D11" s="90">
        <f t="shared" si="2"/>
        <v>4292040.666666667</v>
      </c>
      <c r="E11" s="90">
        <f t="shared" si="2"/>
        <v>4292040.666666667</v>
      </c>
      <c r="F11" s="90">
        <f t="shared" si="2"/>
        <v>6842293.333333333</v>
      </c>
      <c r="G11" s="90">
        <f t="shared" si="2"/>
        <v>15396460</v>
      </c>
      <c r="H11" s="142">
        <f t="shared" si="2"/>
        <v>41319868</v>
      </c>
      <c r="K11" s="89" t="s">
        <v>114</v>
      </c>
      <c r="L11" s="90">
        <f t="shared" ref="L11:Q11" si="3">SUM(L5:L10)</f>
        <v>5134444.912280702</v>
      </c>
      <c r="M11" s="90">
        <f t="shared" si="3"/>
        <v>2517222.456140351</v>
      </c>
      <c r="N11" s="90">
        <f t="shared" si="3"/>
        <v>2517222.456140351</v>
      </c>
      <c r="O11" s="90">
        <f t="shared" si="3"/>
        <v>5034444.912280702</v>
      </c>
      <c r="P11" s="90">
        <f t="shared" si="3"/>
        <v>336000</v>
      </c>
      <c r="Q11" s="142">
        <f t="shared" si="3"/>
        <v>15539334.736842105</v>
      </c>
    </row>
    <row r="12" spans="1:17" x14ac:dyDescent="0.3">
      <c r="P12" t="s">
        <v>183</v>
      </c>
      <c r="Q12" s="161">
        <f>(H11-Q11)/H11</f>
        <v>0.6239258378840391</v>
      </c>
    </row>
    <row r="15" spans="1:17" x14ac:dyDescent="0.3">
      <c r="B15" s="104" t="s">
        <v>1</v>
      </c>
      <c r="C15" s="104" t="s">
        <v>2</v>
      </c>
      <c r="D15" s="104" t="s">
        <v>3</v>
      </c>
      <c r="E15" s="104" t="s">
        <v>4</v>
      </c>
      <c r="F15" s="104" t="s">
        <v>5</v>
      </c>
      <c r="G15" s="105" t="s">
        <v>10</v>
      </c>
      <c r="H15" s="5" t="s">
        <v>20</v>
      </c>
    </row>
    <row r="16" spans="1:17" x14ac:dyDescent="0.3">
      <c r="A16" s="5" t="str">
        <f>B3</f>
        <v>x86</v>
      </c>
      <c r="B16" s="70">
        <f>SUM(C5:F5)</f>
        <v>695800</v>
      </c>
      <c r="C16" s="70">
        <f>SUM(C6:F6)</f>
        <v>22529800</v>
      </c>
      <c r="D16" s="70">
        <f>SUM(C7:F7)</f>
        <v>1933333.3333333335</v>
      </c>
      <c r="E16" s="70" t="e">
        <f>SUM(#REF!)</f>
        <v>#REF!</v>
      </c>
      <c r="F16" s="70" t="e">
        <f>SUM(#REF!)</f>
        <v>#REF!</v>
      </c>
      <c r="G16" s="70">
        <f>G11</f>
        <v>15396460</v>
      </c>
      <c r="H16" s="103" t="e">
        <f>SUM(B16:G16)</f>
        <v>#REF!</v>
      </c>
    </row>
    <row r="17" spans="1:8" x14ac:dyDescent="0.3">
      <c r="A17" s="5" t="str">
        <f>K3</f>
        <v>LinuxONE</v>
      </c>
      <c r="B17" s="70">
        <f>SUM(L5:O5)</f>
        <v>5544000</v>
      </c>
      <c r="C17" s="70">
        <f>SUM(L6:O6)</f>
        <v>9417600</v>
      </c>
      <c r="D17" s="70">
        <f>SUM(L7:O7)</f>
        <v>100000</v>
      </c>
      <c r="E17" s="70" t="e">
        <f>SUM(#REF!)</f>
        <v>#REF!</v>
      </c>
      <c r="F17" s="70" t="e">
        <f>SUM(#REF!)</f>
        <v>#REF!</v>
      </c>
      <c r="G17" s="70">
        <f>P11</f>
        <v>336000</v>
      </c>
      <c r="H17" s="103" t="e">
        <f>SUM(B17:G17)</f>
        <v>#REF!</v>
      </c>
    </row>
    <row r="19" spans="1:8" x14ac:dyDescent="0.3">
      <c r="B19" t="s">
        <v>107</v>
      </c>
      <c r="C19" s="50" t="s">
        <v>102</v>
      </c>
      <c r="D19" s="50" t="s">
        <v>103</v>
      </c>
      <c r="E19" s="50" t="s">
        <v>104</v>
      </c>
      <c r="F19" s="50" t="s">
        <v>105</v>
      </c>
      <c r="G19" s="50" t="s">
        <v>106</v>
      </c>
    </row>
    <row r="20" spans="1:8" x14ac:dyDescent="0.3">
      <c r="B20" s="106" t="str">
        <f>B3</f>
        <v>x86</v>
      </c>
      <c r="C20" s="88">
        <f>'x86 TCO'!W126</f>
        <v>20228101.600000001</v>
      </c>
      <c r="D20" s="88">
        <f>'x86 TCO'!X126</f>
        <v>25419843.200000003</v>
      </c>
      <c r="E20" s="88">
        <f>'x86 TCO'!Y126</f>
        <v>30611584.800000004</v>
      </c>
      <c r="F20" s="88">
        <f>'x86 TCO'!Z126</f>
        <v>35965726.400000006</v>
      </c>
      <c r="G20" s="88">
        <f>'x86 TCO'!AA126</f>
        <v>41319868.000000007</v>
      </c>
    </row>
    <row r="21" spans="1:8" x14ac:dyDescent="0.3">
      <c r="B21" s="106" t="str">
        <f>K3</f>
        <v>LinuxONE</v>
      </c>
      <c r="C21" s="88">
        <f>'LinuxONE TCO'!W131</f>
        <v>8850458.9473684207</v>
      </c>
      <c r="D21" s="88">
        <f>'LinuxONE TCO'!X131</f>
        <v>10277677.894736841</v>
      </c>
      <c r="E21" s="88">
        <f>'LinuxONE TCO'!Y131</f>
        <v>11704896.842105262</v>
      </c>
      <c r="F21" s="88">
        <f>'LinuxONE TCO'!Z131</f>
        <v>13622115.789473683</v>
      </c>
      <c r="G21" s="88">
        <f>'LinuxONE TCO'!AA131</f>
        <v>15539334.736842103</v>
      </c>
    </row>
    <row r="31" spans="1:8" x14ac:dyDescent="0.3">
      <c r="B31" s="39" t="s">
        <v>144</v>
      </c>
      <c r="C31" s="48" t="s">
        <v>1</v>
      </c>
      <c r="D31" s="48" t="s">
        <v>2</v>
      </c>
      <c r="E31" s="48" t="s">
        <v>20</v>
      </c>
    </row>
    <row r="32" spans="1:8" x14ac:dyDescent="0.3">
      <c r="B32" s="39" t="s">
        <v>108</v>
      </c>
      <c r="C32" s="68">
        <f>'x86 TCO'!R24</f>
        <v>812000</v>
      </c>
      <c r="D32" s="68">
        <f>'x86 TCO'!R35</f>
        <v>3725000</v>
      </c>
      <c r="E32" s="70">
        <f>SUM(C32:D32)</f>
        <v>4537000</v>
      </c>
    </row>
    <row r="33" spans="2:6" x14ac:dyDescent="0.3">
      <c r="B33" s="39" t="s">
        <v>147</v>
      </c>
      <c r="C33" s="68">
        <f>'LinuxONE TCO'!R15</f>
        <v>4900000</v>
      </c>
      <c r="D33" s="68">
        <f>'LinuxONE TCO'!R31</f>
        <v>1044000</v>
      </c>
      <c r="E33" s="70">
        <f>SUM(C33:D33)</f>
        <v>5944000</v>
      </c>
      <c r="F33" s="125">
        <f>E33/E32</f>
        <v>1.310116817280141</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1A1BC-8B89-4DD1-8B28-1C09B37E6DC3}">
  <dimension ref="C1:G7"/>
  <sheetViews>
    <sheetView workbookViewId="0">
      <selection activeCell="K6" sqref="K6"/>
    </sheetView>
  </sheetViews>
  <sheetFormatPr defaultRowHeight="14.4" x14ac:dyDescent="0.3"/>
  <cols>
    <col min="2" max="2" width="11.44140625" customWidth="1"/>
    <col min="3" max="3" width="13.109375" customWidth="1"/>
    <col min="4" max="4" width="15.44140625" customWidth="1"/>
    <col min="5" max="5" width="15" customWidth="1"/>
    <col min="6" max="6" width="17.77734375" customWidth="1"/>
    <col min="7" max="7" width="17.88671875" customWidth="1"/>
  </cols>
  <sheetData>
    <row r="1" spans="3:7" x14ac:dyDescent="0.3">
      <c r="C1" t="s">
        <v>186</v>
      </c>
      <c r="F1" t="s">
        <v>187</v>
      </c>
      <c r="G1" t="s">
        <v>188</v>
      </c>
    </row>
    <row r="2" spans="3:7" x14ac:dyDescent="0.3">
      <c r="C2">
        <v>50</v>
      </c>
      <c r="D2" s="70"/>
      <c r="F2">
        <v>694458</v>
      </c>
      <c r="G2" s="165">
        <v>1552823.1578947369</v>
      </c>
    </row>
    <row r="3" spans="3:7" x14ac:dyDescent="0.3">
      <c r="C3">
        <v>100</v>
      </c>
      <c r="F3">
        <v>934058</v>
      </c>
      <c r="G3">
        <v>1552823.1578947369</v>
      </c>
    </row>
    <row r="4" spans="3:7" x14ac:dyDescent="0.3">
      <c r="C4">
        <v>250</v>
      </c>
      <c r="D4" s="165"/>
      <c r="F4">
        <v>1917017.3333333333</v>
      </c>
      <c r="G4">
        <v>1718514.7368421052</v>
      </c>
    </row>
    <row r="5" spans="3:7" x14ac:dyDescent="0.3">
      <c r="C5">
        <v>1000</v>
      </c>
      <c r="F5">
        <v>6651680</v>
      </c>
      <c r="G5">
        <v>2698172.6315789474</v>
      </c>
    </row>
    <row r="6" spans="3:7" x14ac:dyDescent="0.3">
      <c r="C6">
        <v>4000</v>
      </c>
      <c r="F6">
        <v>22530788.666666668</v>
      </c>
      <c r="G6">
        <v>8132587.3684210526</v>
      </c>
    </row>
    <row r="7" spans="3:7" x14ac:dyDescent="0.3">
      <c r="C7">
        <v>8000</v>
      </c>
      <c r="F7">
        <v>41319868</v>
      </c>
      <c r="G7">
        <v>15539334.736842105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sizing</vt:lpstr>
      <vt:lpstr>x86 TCO</vt:lpstr>
      <vt:lpstr>LinuxONE TCO</vt:lpstr>
      <vt:lpstr>TCO comparison</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Christian Santapaola</cp:lastModifiedBy>
  <dcterms:created xsi:type="dcterms:W3CDTF">2015-06-05T18:17:20Z</dcterms:created>
  <dcterms:modified xsi:type="dcterms:W3CDTF">2021-04-03T10:32:47Z</dcterms:modified>
</cp:coreProperties>
</file>