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aaron/PycharmProjects/grants_scraper/"/>
    </mc:Choice>
  </mc:AlternateContent>
  <xr:revisionPtr revIDLastSave="0" documentId="13_ncr:1_{139BA50B-8127-1B40-903C-36C5222576B2}" xr6:coauthVersionLast="47" xr6:coauthVersionMax="47" xr10:uidLastSave="{00000000-0000-0000-0000-000000000000}"/>
  <bookViews>
    <workbookView xWindow="360" yWindow="1100" windowWidth="29040" windowHeight="15840" xr2:uid="{00000000-000D-0000-FFFF-FFFF00000000}"/>
  </bookViews>
  <sheets>
    <sheet name="grants-gov-opp-search--2023011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9"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alcChain>
</file>

<file path=xl/sharedStrings.xml><?xml version="1.0" encoding="utf-8"?>
<sst xmlns="http://schemas.openxmlformats.org/spreadsheetml/2006/main" count="2152" uniqueCount="395">
  <si>
    <t>OPPORTUNITY NUMBER</t>
  </si>
  <si>
    <t>OPPORTUNITY TITLE</t>
  </si>
  <si>
    <t>AGENCY CODE</t>
  </si>
  <si>
    <t>AGENCY NAME</t>
  </si>
  <si>
    <t>ESTIMATED FUNDING</t>
  </si>
  <si>
    <t>EXPECTED NUMBER OF AWARDS</t>
  </si>
  <si>
    <t>GRANTOR CONTACT</t>
  </si>
  <si>
    <t>AGENCY CONTACT PHONE</t>
  </si>
  <si>
    <t>AGENCY CONTACT EMAIL</t>
  </si>
  <si>
    <t>ESTIMATED POST DATE</t>
  </si>
  <si>
    <t>ESTIMATED APPLICATION DUE DATE</t>
  </si>
  <si>
    <t>POSTED DATE</t>
  </si>
  <si>
    <t>CLOSE DATE</t>
  </si>
  <si>
    <t>LAST UPDATED DATE/TIME</t>
  </si>
  <si>
    <t>VERSION</t>
  </si>
  <si>
    <t>OPPORTUNITY STATUS</t>
  </si>
  <si>
    <t>Centers of Excellence in Regulatory Science and Innovation (CERSI)</t>
  </si>
  <si>
    <t>HHS-FDA</t>
  </si>
  <si>
    <t>Food and Drug Administration</t>
  </si>
  <si>
    <t>Shashi Malhotra
Grants Management Specialist
Phone 2404027592</t>
  </si>
  <si>
    <t>shashi.malhotra@fda.hhs.gov</t>
  </si>
  <si>
    <t>Synopsis 1</t>
  </si>
  <si>
    <t>Closed</t>
  </si>
  <si>
    <t>OMHHE Educational Funding Opportunity: Expanding education on skin lightening products (U01) Clinical Trials Not Allowed</t>
  </si>
  <si>
    <t>Synopsis 2</t>
  </si>
  <si>
    <t>Archived</t>
  </si>
  <si>
    <t>Academic Development of a Training Program for Good Laboratory Practices in High Containment Environments (U24) Clinical Trials Not Allowed</t>
  </si>
  <si>
    <t>Clinical Studies of Orphan Products Addressing Unmet Needs of Rare Diseases (R01) Clinical Trials Required</t>
  </si>
  <si>
    <t>Synopsis 4</t>
  </si>
  <si>
    <t>Cooperative Agreement to Support an Evidence-based Clinical Practice Guideline for the Prescribing of Benzodiazepines</t>
  </si>
  <si>
    <t>Cooperative Agreement to Support an Evidence-based Clinical Practice Guideline for the Treatment of Obstetrics Pain</t>
  </si>
  <si>
    <t>Funding Opportunity Title Innovation Award: Minority Health and Health Equity (U01) Clinical Trials Optional</t>
  </si>
  <si>
    <t>Shashi Malhotra
Grants Management Specialist
Phone 240-402-7592</t>
  </si>
  <si>
    <t>Shashi.Malhotra@fda.hhs.gov</t>
  </si>
  <si>
    <t>OMHHE Educational Funding Opportunity: Expanding education on skin lightening products (U01) Clinical Trials Optional</t>
  </si>
  <si>
    <t>Shashi Malhotra
Office of Acquisitions &amp; Grants Services (OAGS)
Food and Drug Administration
Telephone: 240-402-7592 
Email: Shashi.Malhotra@fda.hhs.gov</t>
  </si>
  <si>
    <t>Synopsis 3</t>
  </si>
  <si>
    <t>Biosimilar User Fee Act (BsUFA) Research Grant (U01) Clinical Trials Optional</t>
  </si>
  <si>
    <t>Renewal- Local Food Producer Outreach, Education, and Training to Enhance Food Safety and FDA Food Safety Modernization Act (FSMA) Compliance (U01) Clinical Trail Not Allowed</t>
  </si>
  <si>
    <t>Kiara Farmer
Grants Management Specialist
Phone 2404023099</t>
  </si>
  <si>
    <t>kiara.farmer@fda.hhs.gov</t>
  </si>
  <si>
    <t>Renewal - Native American Tribes Outreach, Education, and Training to Enhance Food Safety and FSMA Compliance (U01) Clinical Trial Not Allowed</t>
  </si>
  <si>
    <t>Retail Food Safety Regulatory Association Collaboration (U18) [Clinical Trial Not Allowed]</t>
  </si>
  <si>
    <t>Gordana Zuber
Grant Management Specialist
Phone 301-348-1747</t>
  </si>
  <si>
    <t>gordana.zuber@fda.hhs.gov</t>
  </si>
  <si>
    <t>Analgesic, Anesthetic and Addiction Clinical Trial Translations, Innovations, Opportunities, and Networks and Pediatric Anesthesia Safety Initiative (ACTTION/PASI) (U01) Clinical Trial Not Allowed)</t>
  </si>
  <si>
    <t>Revision Applications - Manufactured Food Flexible Funding Model Compliance and Enforcement Expansion Supplement (U18) [Clinical Trials Not Allowed]</t>
  </si>
  <si>
    <t>Federal and State Integration Activities to Advance Cooperation and Regulatory Standards Among Animal Food Safety Regulatory Programs (U2F) Clinical Trials Not Allowed</t>
  </si>
  <si>
    <t>Revision Applications - Development and Maintenance of the Animal Feed Regulatory Program Standards  Flexible Funding Model Compliance and Enforcement Expansion Supplement (U18) [Clinical Trials Not Allowed]</t>
  </si>
  <si>
    <t>Innovative ways to provide education on antimicrobial stewardship practices in animals.</t>
  </si>
  <si>
    <t>Rene A Vasquez
Grants Management Se
Phone 301-796-3546</t>
  </si>
  <si>
    <t>rene.vasquez@fda.hhs.gov</t>
  </si>
  <si>
    <t>In Vitro Based Approaches to Evaluate the Bioequivalence of Generic Rectal and Vaginal Products</t>
  </si>
  <si>
    <t>Development of advanced analytical methods for the characterization of complex generics</t>
  </si>
  <si>
    <t>Cutaneous pharamcokinetic-based approaches to establish bioequivalence of topically applied drug products</t>
  </si>
  <si>
    <t>PBPK modeling to support assessment of bioequivalence of locally acting drugs in the gastrointestinal tract</t>
  </si>
  <si>
    <t>Physiologically Based Pharmacokinetic Model for Nose-to-Brain Drug Delivery (U01) Clinical Trial Optional</t>
  </si>
  <si>
    <t>Investigating the in vivo behavior and in vitro characteristics purportedly gastro-retentive extended release formulation to enhance the regulatory standard of such products</t>
  </si>
  <si>
    <t>In Vitro Approaches to Evaluate and Compare the Adhesion Performance of Transdermal and Topical Delivery Systems (TDS) (U01) Clinical Trial Required</t>
  </si>
  <si>
    <t>Deconstruction of data and standards to support harmonization and interoperability with real world data for clinical research and regulatory submissions. (U01 Clinical Trial Not Allowed)</t>
  </si>
  <si>
    <t>Building an Integrated Information Technology Infrastructure for State Regulatory Programs (U2F) [Clinical Trial Not Allowed]</t>
  </si>
  <si>
    <t>Research to support the development of alternatives to antimicrobials for use in food-producing animals</t>
  </si>
  <si>
    <t>Rene A Vasquez
Grants Management Specialist
Phone 301-796-3546</t>
  </si>
  <si>
    <t>Conformance with the Egg Regulatory Program Standards (U2F) [Clinical Trial Not Allowed]</t>
  </si>
  <si>
    <t>Renewal - Cooperative Agreement to Support the Joint Institute for Food Safety and Applied Nutrition, JIFSAN (U01) Clinical Trial Not Allowed</t>
  </si>
  <si>
    <t>Innovation Award: COVID-19 and Health Equity (U01) Clinical Trials Optional</t>
  </si>
  <si>
    <t>PBPK Models to Aid the Development of Generic Dermatological Products</t>
  </si>
  <si>
    <t>Shashi Malhotra
Grants Management Specialist</t>
  </si>
  <si>
    <t>PBPK Models of Oral Absorption to Simulate the Results of Bioequivalence Studies</t>
  </si>
  <si>
    <t>Shashi.malhotra@fda.hhs.gov</t>
  </si>
  <si>
    <t>Implementation of the National Evaluation System for Health Technology (NEST) Coordinating Center (CC)</t>
  </si>
  <si>
    <t>Kiara Fowler
Grants Management Specialist</t>
  </si>
  <si>
    <t>kiara.fowler@fda.hhs.gov</t>
  </si>
  <si>
    <t>Incorporating cost effectiveness &amp; societal outcomes into FDA opioids model (U01)</t>
  </si>
  <si>
    <t>Development of methods for evaluating the impact of small design differences in the user interface of drug-device combination products on generic substitutability</t>
  </si>
  <si>
    <t>Exploring the use of Real-World Data to Generate Real-World Evidence in Regulatory Decision-Making (U01) Clinical Trials Optional</t>
  </si>
  <si>
    <t>Shashi Malhotra
Grants Management Officer
Phone 301-796-8020</t>
  </si>
  <si>
    <t>Drug Development Science Support (U01)</t>
  </si>
  <si>
    <t>CBER FY20 FOA for AAV vector manufacturing for diseases affecting very small populations (R01) Clinical Trial Not Allowed</t>
  </si>
  <si>
    <t>Gordana Zuber
Grants Management Specialist</t>
  </si>
  <si>
    <t>NARMS Cooperative Agreement Program to Strengthen Antibiotic Resistance Surveillance in Retail Food Specimens (U01) Clinical Trials Not Allowed</t>
  </si>
  <si>
    <t>Rene Vasquez
Grants Management Specialist</t>
  </si>
  <si>
    <t>Smoking Machine Adaptor Design Project for ENDS, Cigars, and Heated Tobacco Products</t>
  </si>
  <si>
    <t>Development and Maintenance of the Animal Feed Regulatory Program Standards with Optional Coordinated Preventive Control Regulatory Activities and Capacity Building (U18) Clinical Trial Not Allowed</t>
  </si>
  <si>
    <t>Gordana Zuber
Grants Management Officer</t>
  </si>
  <si>
    <t>Development of a model selection method for population pharmacokinetics analysis by deep-learning based reinforcement learning</t>
  </si>
  <si>
    <t>Expanding the Opioids System Model to more comprehensively incorporate fentanyl, stimulants use, polysubstance use and associated outcomes.</t>
  </si>
  <si>
    <t>Enhancing Innovations in Advanced Manufacturing Technologies for Vaccines against Influenza and Emerging Infectious Diseases</t>
  </si>
  <si>
    <t>AAV Vector manufacturing for diseases affecting very small populations</t>
  </si>
  <si>
    <t>SmartTots (Strategies for Mitigating Anesthesia-Related neuroToxicity in Tots) Public-Private Partnership</t>
  </si>
  <si>
    <t>Dermal Physiologically-Based Pharmacokinetic (PBPK) Models Accounting for the Absorption and Evaporation of Vehicle/Co-Solvent Following the Application of Generic Dermatological Products</t>
  </si>
  <si>
    <t>Drug Development Tools Research Grants (U01 Clinical Trial Optional)</t>
  </si>
  <si>
    <t>Minor Use Minor Species Development of Drugs (R01) Clinical Trials Not Allowed</t>
  </si>
  <si>
    <t>An evidence-based clinical practice guideline for dental pain (surgical and non-surgical)</t>
  </si>
  <si>
    <t>FDA's National Curriculum Standard  Development and Training Delivery and Development (ORA/OTED) (U18) Clinical Trial Not Allowed</t>
  </si>
  <si>
    <t>Integrated Pathogen Reduction Technologies for whole blood and blood components for transfusion (R01) Clinical Trial Not Allowed</t>
  </si>
  <si>
    <t>Retail Food Safety Association Collaboration (U18) Clinical Trial Not Allowed</t>
  </si>
  <si>
    <t>Analgesic, Anesthetic and Addiction Clinical Trials Innovations, Opportunities, and Networks (ACTTION)</t>
  </si>
  <si>
    <t>Quantify the expression of metabolizing enzymes and transporter proteins in lung, eye and skin tissue in relevant animal models and humans</t>
  </si>
  <si>
    <t>CFD Models to aid the development of generic inhalation products</t>
  </si>
  <si>
    <t>Manufactured Food Regulatory Program Alliance</t>
  </si>
  <si>
    <t>Gordana.Zuber@fda.hhs.gov</t>
  </si>
  <si>
    <t>Advance conformance with the Voluntary  National Retail Food Regulatory Program Standards (VNRFRPS)</t>
  </si>
  <si>
    <t>Impulse Oscillometry Endpoint Sensitivity to Regional Lung Function Changes using Computational Fluid Dynamics (CFD)</t>
  </si>
  <si>
    <t>Integrated Pathogen Reduction Technologies for  whole blood and blood components for transfusion (R01) Clinical Trials Not Allowed</t>
  </si>
  <si>
    <t>Pediatric and Perinatal COVID-19 Registry (U18) Clinical Trials Optional</t>
  </si>
  <si>
    <t>SmartTots (Strategies for Mitigating Anesthesia-Related neuroToxicity in Tots) Public-Private Partnership (PPP) under PASI (Pediatric Anesthesia Safety Initiative) (U01) Clinical Trials Not Allowed</t>
  </si>
  <si>
    <t>Collaboration in Regulatory Systems Strengthening and Standardization Activities to Increase Global Access to Safe and Effective Biological Products (U01) Clinical Trials Not Allowed</t>
  </si>
  <si>
    <t>AAV Vector manufacturing for diseases affecting very small populations (R01) Clinical Trials Not Allowed</t>
  </si>
  <si>
    <t>Strategies that Support Global Food Safety (U01) Clinical Trial Not Allowed</t>
  </si>
  <si>
    <t>Kiara Fowler
Grants Management Specialist
Phone 2404023099</t>
  </si>
  <si>
    <t>Analgesic, Anesthetic and Addiction Clinical Trial Translations, Innovations, Opportunities, and Networks (ACTTION) (U01) Clinical Trials Not Allowed</t>
  </si>
  <si>
    <t>Enhancing Innovations in Advanced Manufacturing Technologies for Vaccines against Influenza and Emerging Infectious Diseases (R01) Clinical Trials Not Allowed</t>
  </si>
  <si>
    <t>Gordana Zuber
Grant Management Specialist
Phone: 301-348/1747</t>
  </si>
  <si>
    <t>Expanding the opioids system modeling efforts to more comprehensively address fentanyl, stimulants use, polysubstance use and associated outcomes.(U01) Clinical Trials Not Allowed</t>
  </si>
  <si>
    <t>Data Standards for Tobacco Research and Scientific Review Program (U24) Clinical Trial Not Allowed</t>
  </si>
  <si>
    <t>Impulse Oscillometry Endpoint Sensitivity to Regional Lung Function Changes using Computational Fluid Dynamics (CFD) (U01) Clinical Trial Required</t>
  </si>
  <si>
    <t>Renewal : UCSF-Stanford Center of Excellence in Regulatory Science and Innovation (U01) Clinical Trials Optional</t>
  </si>
  <si>
    <t>Alliance to Support Integrated Food Safety System (IFSS) Activities (U2F) Clinical Trials Not Allowed</t>
  </si>
  <si>
    <t>Synopsis 5</t>
  </si>
  <si>
    <t>Dermal Physiologically-based Pharmacokinetic (PBPK) Models Accounting for the Absorption and Evaporation of Vehicle/Co-solvent following the Application of Generic Dermatological Products (U01)</t>
  </si>
  <si>
    <t>Training Alliance to Enhance Produce Safety and FDA Food Safety Modernization Act Compliance (U2F) Clinical Trial Not Allowed</t>
  </si>
  <si>
    <t>Advancing Conformance with the Voluntary National Retail Food Regulatory Program Standards (VNRFRPS) by State, Local, Tribal, and Territorial (SLTT) Retail Food Regulatory Agencies (U2F) Clinical Trials Not Allowed</t>
  </si>
  <si>
    <t>Renewal - Elucidating the Sensorial and Functional Characteristics of Compositionally Different and Differently Aged Topical Formulations (U01) Clinical Trial Required</t>
  </si>
  <si>
    <t>National Food and Nutrient Analysis Program (U01) Clinical Trial Not Applicable</t>
  </si>
  <si>
    <t>Quantify the expression of metabolizing enzymes and transporter proteins in lung, eye and skin tissue in relevant animal models and humans (U01) Clinical Trial Not Allowed</t>
  </si>
  <si>
    <t>Development of Advanced Analytical Methods for the Characterization of Iron Carbohydrate Complex - Ferric Derisomaltose (U01) Clinical Trials Not Allowed</t>
  </si>
  <si>
    <t>Computational Fluid Dynamics (CFD) Models to Aid the Development of Generic Inhalation Products (U01) Clinical Trials Optional</t>
  </si>
  <si>
    <t>Physiologically Based Pharmacokinetic (PBPK) Models of Oral Absorption to Simulate the Results of Bioequivalence Studies (U01) Clinical Trials Optional</t>
  </si>
  <si>
    <t>Development of a model selection method for population pharmacokinetics analysis by deep-learning based reinforcement learning (U01) Clinical Trials Not Allowed</t>
  </si>
  <si>
    <t>Renewal - Research, Education, and Outreach on Botanical Natural Products (U01) Clinical Trial Not Allowed</t>
  </si>
  <si>
    <t>Renewal - Strengthen and Promote the Role of Local Health Departments in Retail Food Safety Regulation (U50 Clinical Trial Not Allowed</t>
  </si>
  <si>
    <t>Development of Methods to Evaluate the Impact of Design Differences to the User Interface of Generic Drug-Device Combination Products in Comparison to their Reference Listed Drugs (U01) Clinical Trials Optional</t>
  </si>
  <si>
    <t>Physiologically-based pharmacokinetic (PBPK) models to aid the development of generic dermatological products (U01) Clinical Trials Optional</t>
  </si>
  <si>
    <t>Renewal - Cooperative Agreement to Support Shellfish Assistance Project (U01) Clinical Trial Not Allowed</t>
  </si>
  <si>
    <t>Renewal - Federal and University Partnership to Improve the Safety of Seafood from the Gulf of Mexico (U19) Clinical Trials Not Allowed</t>
  </si>
  <si>
    <t>Continuation of the National Evaluation System for Health Technology (NEST) Coordinating Center (CC) - (U01) Clinical Trial Optional</t>
  </si>
  <si>
    <t>Development of Standard Core Clinical Outcomes Assessments (COAs) and Endpoints (UG3/UH3 Clinical Trial Optional)</t>
  </si>
  <si>
    <t>Renewal-Harmonization of Technical Requirements for Pharmaceuticals for Human Use (U01) Clinical Trials Not Allowed</t>
  </si>
  <si>
    <t>Smoking Machine Adaptor Design Project for ENDS, Cigars, and Heated Tobacco Products (UC2) Clinical Trials Not Allowed</t>
  </si>
  <si>
    <t>Drug Development Science Support (U01) Clinical Trials Optional</t>
  </si>
  <si>
    <t>Cooperative Agreement to Support an Evidence-based Clinical Practice Guideline for the Treatment of Acute Dental Pain (U01) Clinical Trials Not Allowed</t>
  </si>
  <si>
    <t>Cooperative Agreement to Support FDA Land and Water Initiative (U01) Clinical Trial Not Allowed</t>
  </si>
  <si>
    <t>Incorporating cost effectiveness &amp; societal outcomes into FDA opioids model (U01) Clinical Trials Not Allowed</t>
  </si>
  <si>
    <t>FDA's National Curriculum Standard  Development and Training Delivery and Development (U18) Clinical Trial Not Allowed</t>
  </si>
  <si>
    <t>Daniel Lukash
Grants Management Specialist
Phone 240-402-7596</t>
  </si>
  <si>
    <t>daniel.lukash@fda.hhs.gov</t>
  </si>
  <si>
    <t>Laboratory Flexible Funding Model (LFFM) (U19) Clinical Trials Not Allowed</t>
  </si>
  <si>
    <t>Cooperative Agreement for Data Collection on Antimicrobial Use in Dogs and Cats (UO1) Clinical Trials Not Allowed</t>
  </si>
  <si>
    <t>Advancing Conformance with the Voluntary National Retail Food Regulatory Program Standards (VNRFRPS) (U18) Clinical Trials Not Allowed</t>
  </si>
  <si>
    <t>Conduct Studies to Establish More Targeted Durations of Use for Certain Approved Antimicrobial New Animal Drugs in Food Animals (U01) Clinical Trials Optional</t>
  </si>
  <si>
    <t>Building an Integrated Laboratory System to Advance the Safety of Human and Animal Food (U18) Clinical Trial Not Allowed</t>
  </si>
  <si>
    <t>Renewal - Integrated Food Safety System Online Research and Collaboration Development (U18) Clinical Trials Not Allowed</t>
  </si>
  <si>
    <t>Novel Approaches to Advance Coordinated Registry Networks (CRNs) (U01 Clinical Trial Optional)</t>
  </si>
  <si>
    <t>Renewal - Investigation of impact of manufacturing difference and formulation variation on drug release for Levonorgestrel Intrauterine System (U01) Clinical Trials Not Allowed</t>
  </si>
  <si>
    <t>Enhancing Regulatory Science for Advancing Pharmaceutical Quality and Manufacturing (U01) Clinical Trials Optional</t>
  </si>
  <si>
    <t>Center for Collaborative Research on Complex Generics (U18) Clinical Trials Optional</t>
  </si>
  <si>
    <t>Transferring Harmonized Laboratory Data from Healthcare Institutions to Registries Using FHIR Protocol (U01) Clinical Trials Not Allowed</t>
  </si>
  <si>
    <t>Physiologically-based pharmacokinetic/pharmacodynamic model extrapolation to human from rabbit for ophthalmic drug products (U01) Clinical Trials Not Allowed</t>
  </si>
  <si>
    <t>Bioequivalence of Topical Products: Elucidating Fundamental Principles of Dermal Pharmacokinetics for Microdialysis or Microperfusion Techniques (U01) Clinical Trials Not Allowed</t>
  </si>
  <si>
    <t>Native American Tribes Outreach, Education, and Training to Enhance Food Safety and FSMA Compliance (U01) Clinical Trial Not Allowed</t>
  </si>
  <si>
    <t>Local Food Producer Outreach, Education, and Training to Enhance Food Safety and FDA Food Safety Modernization Act (FSMA) Compliance (U01) Clinical Trial Not Allowed</t>
  </si>
  <si>
    <t>Heart Failure Collaboratory (R18) Clinical Trials Optional</t>
  </si>
  <si>
    <t>FDA Support for Conferences and Scientific Meetings (R13 Clinical Trial Not Allowed)</t>
  </si>
  <si>
    <t>Drug Development Tools Research Grants (U01 Clinical Trial Not Allowed)</t>
  </si>
  <si>
    <t>Shashi Malhotra
Office of Acquisitions &amp; Grants Services (OAGS)
Food and Drug Administration
Telephone: 240-402-7592 
Email: shashi.malhotra@fda.hhs.gov</t>
  </si>
  <si>
    <t>Rare Disease Clinical Outcome Assessment Consortium (U01 Clinical Trial Not Allowed)</t>
  </si>
  <si>
    <t>Cigar Tobacco Reference Products Program (UC2) Clinical Trials Not Allowed</t>
  </si>
  <si>
    <t>Renewal Application: Critical Path Public Private Partnerships (U18) Clinical Trials Optional</t>
  </si>
  <si>
    <t>Implementation of U.S. Food Safety Modernization Act - Identifying, Researching, and Implementing Alternative Methods to Expand the Reach across the Global Supply Chain (U01) - Clinical Trials Not Allowed</t>
  </si>
  <si>
    <t>Information Sharing System for State-Regulated Drug Compounding Activities (U01) Clinical Trial Not Allowed</t>
  </si>
  <si>
    <t>Cooperative Agreement to Support Regulatory Research Related to the 2018 Prescription Drug User Fee Act and the 21st Century Cures Act (U01) Clinical Trials Not Allowed</t>
  </si>
  <si>
    <t>National Project to Support and Promote Consistent Implementation of the Standards for the Growing, Harvesting, Packing, and Holding of Produce for Human Consumption (U18)</t>
  </si>
  <si>
    <t>Renewal Application: Kidney Health Initiative (R18) Clinical Trials Optional</t>
  </si>
  <si>
    <t>Convener and organizer of activities and engagements focused on the development of medical products and related processes, surveillance, and policies relevant to ongoing public health activities. (U01) Clinical Trial Not Allowed</t>
  </si>
  <si>
    <t>Renewal Application: Increasing the Quality and Efficiency of Clinical Trials (U18) Clinical Trial Required</t>
  </si>
  <si>
    <t>Conduct Studies to Establish More Targeted Durations of Use for Certain Approved Antimicrobial New Animal Drugs in Food Animals (U01 Clinical Trial Required)</t>
  </si>
  <si>
    <t>Rene A Vasquez
Grants Management Specialist
Email: rene.vasquez@fda.hhs.gov</t>
  </si>
  <si>
    <t>Synopsis 7</t>
  </si>
  <si>
    <t>Cooperative Agreement to Support the World Trade Organization's (WTO) Standards and Trade Development Facility (STDF) (U01 Clinical Trial Not Allowed)</t>
  </si>
  <si>
    <t>Maintenance and Enhancement of ISO/IEC 17025 Accreditation and Whole Genome Sequencing for State Food Testing Laboratories (U18 Clinical Trial Not Allowed)</t>
  </si>
  <si>
    <t>Implementation of the Animal Feed Regulatory Program Standards (U18 Clinical Trial Not Allowed)</t>
  </si>
  <si>
    <t>Gordana Zuber
Grant Management Specialist</t>
  </si>
  <si>
    <t>Advancing Manufacturing Processing and Control Strategies for Drug Substances and Drug Products (U01)- Clinical Trial Optional</t>
  </si>
  <si>
    <t>Development, Implementation, and Management of a Funding System to support the Grade â€œAâ€ Milk Safety Program and National Shellfish Sanitation Program (U18)</t>
  </si>
  <si>
    <t>Advancing Post-Market Surveillance of High-Risk Facilities and Products through Signal detection, Data analysis, and the Review of the State of Quality (U01) Clinical Trial Optional</t>
  </si>
  <si>
    <t>Cooperative Agreement to Support the Illinois Institute of Technology's Institute for Food Safety and Health (U19 Clinical Trial Optional)</t>
  </si>
  <si>
    <t>Enhancing Regulatory Science for the Risk Based Quality Assessment of Complex Products (U01) - Clinical Trials Optional</t>
  </si>
  <si>
    <t>Bioequivalence of Topical Products: Evaluating the Cutaneous Pharmacokinetics of Topical Drug Products Using Pharmacokinetic Tomography (U01 Clinical Trial Not Allowed)</t>
  </si>
  <si>
    <t>Bioequivalence of Topical Products: Elucidating the Sensorial and Functional Characteristics of Compositionally Different Topical Formulations (U01 Clinical Trial Required)</t>
  </si>
  <si>
    <t>Bioequivalence of Topical Products: Bioequivalence Considerations for Ungual, Scalp, Vaginal, Anal or Rectal Dosage Forms (U01 Clinical Trial Not Allowed)</t>
  </si>
  <si>
    <t>Patient Reported Outcomes Tool Development for Use in Non-Cystic Fibrosis Bronchiectasis Clinical Trials (U01- Clinical Trial Required)  Activity Code</t>
  </si>
  <si>
    <t>Validating Human Stem Cell Cardiomyocyte Technology for Better Predictive Assessment of Drug-Induced Cardiac Toxicity (U01 Clinical Trial Not Allowed)</t>
  </si>
  <si>
    <t>Clinical Studies of Orphan Products Addressing Unmet Needs of Rare Diseases (R01)</t>
  </si>
  <si>
    <t>Natural History Studies Addressing Unmet Needs of Rare Diseases: Orphan Products Research Project Grant (R01)</t>
  </si>
  <si>
    <t>State and Territory Produce Safety Implementation Program Expansion for Entrance into Competition B of PAR-16-137 (U18)</t>
  </si>
  <si>
    <t>Request for Information (RFI): FDA Standard Core Clinical Outcome Assessments and Endpoints</t>
  </si>
  <si>
    <t>Minor Use Minor Species Development of Drugs (R01)</t>
  </si>
  <si>
    <t>Rene Vasquez
Grants Management Specialist
Phone 301-796-3546</t>
  </si>
  <si>
    <t xml:space="preserve">Development of a virtual bioequivalence trial simulation platform that integrates population pharmacokinetic modeling algorithms into physiologically-based pharmacokinetic models (U01) </t>
  </si>
  <si>
    <t>Cooperative Agreement to Support Regulatory Research Related to the 2018 Prescription Drug User Fee Act and the 21st Century Cures Act (U19)</t>
  </si>
  <si>
    <t xml:space="preserve">Strengthen Regulatory Systems to Ensure the Safety and Quality of Food and Medical Products (U01) </t>
  </si>
  <si>
    <t>Enhancing Innovations in Emerging Technologies for Advanced Manufacturing of Complex Biologic Products (R01)</t>
  </si>
  <si>
    <t>Bryce Jones
Grants Management Specialist
Phone 240-402-2111</t>
  </si>
  <si>
    <t>bryce.jones@fda.hhs.gov</t>
  </si>
  <si>
    <t>Cooperative Agreement to Support the Food and Agriculture Organization (FAO) (U01)</t>
  </si>
  <si>
    <t>Exploration of HL7 FHIR Standards for Clinical Research and Post-market Surveillance (U24)</t>
  </si>
  <si>
    <t>Renewal Applications: Centers of Excellence in Regulatory Science and Innovation (U01)</t>
  </si>
  <si>
    <t>Bioequivalence of Topical Products: Evaluating the Cutaneous Pharmacokinetics of Topical Drug Products Using Non-Invasive Techniques (U01)</t>
  </si>
  <si>
    <t>Assuring Radiation Protection (U18)</t>
  </si>
  <si>
    <t>Three-Dimensional Approach for Modeling Nasal Mucociliary Clearance via Computational Fluid Dynamics (CFD) (U01)</t>
  </si>
  <si>
    <t xml:space="preserve">Computational fluid dynamics (CFD) and discrete element modeling (DEM) approach for predictions of dry powder inhaler (DPI) drug delivery (U01) </t>
  </si>
  <si>
    <t>Bioequivalence of Topical Products: Elucidating the Thermodynamic and Functional Characteristics  of Compositionally Different Topical Formulations (U01)</t>
  </si>
  <si>
    <t>Characterize skin physiology parameters utilized in dermal physiologically-based pharmacokinetic model development across different skin disease states (U01)</t>
  </si>
  <si>
    <t>Formulation drug product quality attributes in dermal physiologically-based pharmacokinetic models for topical dermatological drug products and transdermal delivery systems (U01)</t>
  </si>
  <si>
    <t>Shashi Malhotra
Grants Management Specialist
Phone 240402375952</t>
  </si>
  <si>
    <t>Shashi.Malthora@fda.hhs.gov</t>
  </si>
  <si>
    <t>Cooperative Agreement to Support the Western Center for Food Safety (U19)</t>
  </si>
  <si>
    <t>FDA Drug Residue Prevention Program (U18)</t>
  </si>
  <si>
    <t>Data Standards for Clinical Research and Drug Development (U24)</t>
  </si>
  <si>
    <t>National Laboratory Curriculum Framework Development</t>
  </si>
  <si>
    <t>Pediatric Device Consortia Grants Program (P50)</t>
  </si>
  <si>
    <t>Flexible Funding Model - Infrastructure Development and Maintenance for State Manufactured Food Regulatory Programs (U18)</t>
  </si>
  <si>
    <t>Building Research Capacity in Global Tobacco Product Regulation Program (U18)</t>
  </si>
  <si>
    <t>Global Pediatric Clinical Trials Network</t>
  </si>
  <si>
    <t>Academic Development of a Training Program for Good Laboratory Practices in High Containment Environments (U24)</t>
  </si>
  <si>
    <t>Creation and Implementation of the National Evaluation System for Health Technology (NEST) Coordinating Center (CC)</t>
  </si>
  <si>
    <t xml:space="preserve">Food Safety Preventive Controls and Produce Safety Standards: Building Competency in Latin America in Support of the U.S. Food Safety Modernization Act </t>
  </si>
  <si>
    <t>Developing Biomarkers for Trastuzumab-induced Cardiotoxicity</t>
  </si>
  <si>
    <t>Shashi Malhotra
Grants Management Specialist
Phone( 240)402-7592</t>
  </si>
  <si>
    <t xml:space="preserve">National Laboratory Curriculum Framework Development  </t>
  </si>
  <si>
    <t>Allison Mandel
Grants Specialist
Phone 240-402-7602</t>
  </si>
  <si>
    <t>allison.mandel@fda.hhs.gov</t>
  </si>
  <si>
    <t>Identification of Target Peptide Sequences for Zika IgM Diagnostic Device</t>
  </si>
  <si>
    <t xml:space="preserve">Advancing Conformance with the Voluntary National Retail Food Regulatory Program Standards (VNRFRPS) (U18) </t>
  </si>
  <si>
    <t>Conformance with the Manufactured Food Regulatory Program Standards (MFRPS) (U18)</t>
  </si>
  <si>
    <t>Maintenance and Enhancement of ISO/IEC 17025 Accreditation and Whole Genome Sequencing for State Food Testing Laboratories</t>
  </si>
  <si>
    <t>Kiara Fowler
Grants Specialist
Phone 240-402-3099</t>
  </si>
  <si>
    <t>Kiara.Fowler@fda.hhs.gov</t>
  </si>
  <si>
    <t>Search and Rescue peer-to-peer opioids prescriber education campaign</t>
  </si>
  <si>
    <t>Cooperative Agreement to Support the Joint Institute for Food Safety and Applied Nutrition, JIFSAN (U19)</t>
  </si>
  <si>
    <t>Manufacturing Sector Research Initiative</t>
  </si>
  <si>
    <t>State/Territory Produce Safety Implementation Cooperative Agreement Program Expansion (U18)</t>
  </si>
  <si>
    <t>CVM Vet-LIRN Veterinary Diagnostic Laboratory Program  (U18)</t>
  </si>
  <si>
    <t>Rene.Vasquez@fda.hhs.gov</t>
  </si>
  <si>
    <t>Expanded Access to Investigational Therapies (R01)</t>
  </si>
  <si>
    <t>FDA Scientific Conference Grant Program (R13)</t>
  </si>
  <si>
    <t>Kiara Fowler
Grants Management Specialist
Phone 240-402-3099</t>
  </si>
  <si>
    <t>Evaluating predictive methods and product performance in Healthy Adults for Pediatric Patients, Case Study: Furosemide (U01)</t>
  </si>
  <si>
    <t>Collaboration in Regulatory Systems Strengthening and Standardization Activities to Increase Access to Safe and Effective Biological Products - (U01)</t>
  </si>
  <si>
    <t>National Curriculum Standard Development for Integrated Food Safety System Regulators (U18)</t>
  </si>
  <si>
    <t>Collaborating Centers of Excellence in Regulatory Science and Innovation (U01)</t>
  </si>
  <si>
    <t>Eric Bozoian
Grants Management Specialist
Phone 2404027623</t>
  </si>
  <si>
    <t>eric.bozoian@fda.hhs.gov</t>
  </si>
  <si>
    <t>Analgesic, Anesthetic and Addiction Clinical Trial Translations, Innovations, Opportunities, and Networks (ACTTION) (U01)</t>
  </si>
  <si>
    <t>Pediatric Anesthesia Safety Initiative (PASI) (U01)</t>
  </si>
  <si>
    <t>Natural History Studies for Rare Disease Product Development: Orphan Products Research Project Grant (R01)</t>
  </si>
  <si>
    <t>Food Protection Task Force (FPTF) and Integrated Food Safety System (IFSS) Project  Grant Program (R18)</t>
  </si>
  <si>
    <t>Martin Bernard
Grants Management Specialist
Martin.Bernard@fda.hhs.gov</t>
  </si>
  <si>
    <t>Martin.Bernard@fda.hhs.gov</t>
  </si>
  <si>
    <t>Manufactured Food Regulatory Program Alliance (U18)</t>
  </si>
  <si>
    <t>Allison Mandel
Grants Management Specialist
Allison.Mandel@fda.hhs.gov</t>
  </si>
  <si>
    <t>Allison.Mandel@fda.hhs.gov</t>
  </si>
  <si>
    <t>Egg Safety Regulatory Program Standards Development (U18)</t>
  </si>
  <si>
    <t>Allison Mandel
Grant Management Specialist
Allison.Mandel@fda.hhs.gov</t>
  </si>
  <si>
    <t>National Research Project to Assess State Agricultural Laws, Regulations, and Resources Related to Food for Animals (U01)</t>
  </si>
  <si>
    <t xml:space="preserve">Allison Mandel
Grants Management Specialist
</t>
  </si>
  <si>
    <t>Limited Competition for Revision Applications for National Research Project to Assess State Agricultural Laws, Regulations and Resources Related to Produce Safety (U01)</t>
  </si>
  <si>
    <t>Lisa Ko
Grants Management Officer</t>
  </si>
  <si>
    <t>lisa.ko@fda.hhs.gov</t>
  </si>
  <si>
    <t>Strengthening Partnerships with State Legislatures to Promote the Safety of FDA Regulated Products and Advance Public Health (U18)</t>
  </si>
  <si>
    <t>Martin Bernard
Grants Specialist
Martin.Bernard@fda.hhs.gov</t>
  </si>
  <si>
    <t>Strengthen and Promote the Role of Local Health Departments in Retail Food Safety Regulation (U50)</t>
  </si>
  <si>
    <t>Evaluation of Aberrant Observations and Their Impact on Bioequivalence Assessment (U01)</t>
  </si>
  <si>
    <t>Refine, Complete, and Publish Data Standards for Animal Efficacy Studies and Natural History Studies for Animal Rule Applications (U01)</t>
  </si>
  <si>
    <t>Bioequivalence of Topical Products: Comparing Dermal Pharmacokinetics by Microdialysis or Microperfusion Techniques (U01)</t>
  </si>
  <si>
    <t>Bioequivalence of Topical Products: Comparing Epidermal Pharmacokinetics by Spectroscopic Imaging Techniques (U01)</t>
  </si>
  <si>
    <t>Study of Fluid Amounts Taken with Oral Drug Products (U01)</t>
  </si>
  <si>
    <t>Integrating Supersaturation-precipitation Mechanisms in Mechanistic Oral Absorption Models for Predicting In- vivo Performance of Associated Formulations  (U01)</t>
  </si>
  <si>
    <t>Use of Imaging and Digital Image Analysis Software/s to Evaluate Transdermal Irritation and Non - inferiority of Generic Transdermal Products (U01)</t>
  </si>
  <si>
    <t>Therapeutic Areas for Data Standards Development (U01)</t>
  </si>
  <si>
    <t>Generic Drug Substitution in Special Populations (U01)</t>
  </si>
  <si>
    <t xml:space="preserve">Development, Implementation, and Management of a Funding System to  Advance Conformance with the Voluntary National Retail Food Regulatory Program Standards (VNRFRPS) (U18) </t>
  </si>
  <si>
    <t>Strategies that Support Global Food Safety (U01)</t>
  </si>
  <si>
    <t>Implementing Population Pharmacokinetic Modeling Algorithm in Physiologically-based Pharmacokinetic Models to Allow Parameter Estimation at Individual Data Level (U01)</t>
  </si>
  <si>
    <t>Assessment of Intersubject Variability in Small Airway Delivery with Oral Inhalation Drug Products  (U01)</t>
  </si>
  <si>
    <t>Investigation of Peptide-Polymer Interaction in Poly(lactide-co-glycolide) Microspheres (U01)</t>
  </si>
  <si>
    <t>Architectural review of the BRIDG model (U01)</t>
  </si>
  <si>
    <t>Eric.Bozoian@fda.hhs.gov</t>
  </si>
  <si>
    <t>State and Territory Cooperative Agreement to Enhance Produce Safety in Preparation of Implementation of FDA's Rule: Standards for the Growing, Harvesting, Packing, &amp; Holding of Produce for Human Consumption  (U18)</t>
  </si>
  <si>
    <t xml:space="preserve">Dan Lukash
Grants Management Officer
</t>
  </si>
  <si>
    <t>Antimicrobial Use  &amp; Resistance Data Collection (U01)</t>
  </si>
  <si>
    <t>Vet-LIRN Cooperative Agreement Program to Develop and Validate Testing Methods for Food Irradiation Specific Markers in Animal Feeds and Treats (U18)</t>
  </si>
  <si>
    <t>Implementation of the Animal Feed Regulatory Program Standards   (AFRPS) (U18)</t>
  </si>
  <si>
    <t>Development, Implementation, and Management of a Funding System to support the Grade â€œAâ€ Milk Safety Program and Molluscan Shellfish Program (U18)</t>
  </si>
  <si>
    <t>Developing a Food Protection Rapid Response Team (RRT) (U18)</t>
  </si>
  <si>
    <t>FDA Drug Residue Cooperative Agreement Program (U18)</t>
  </si>
  <si>
    <t>Federal and University Partnership to Improve the Safety of Seafood from the Gulf of Mexico (U19)</t>
  </si>
  <si>
    <t>Research, Education, and Outreach on Botanical Natural Products (U01)</t>
  </si>
  <si>
    <t>NARMS Cooperative Agreement Program to Enhance and Strengthen Antibiotic Resistance Surveillance in Retail Food Specimens (U01)</t>
  </si>
  <si>
    <t>Cooperative Agreement to Support Shellfish Safety Assistance Project (U01)</t>
  </si>
  <si>
    <t>Native American Tribes Outreach, Education, and Training to Enhance Food Safety and FSMA Compliance (U01)</t>
  </si>
  <si>
    <t xml:space="preserve">National Training, Education, Extension, Outreach, and Technical Assistance Competitive Grants Program: Regional Center Grants to Enhance Food Safety  </t>
  </si>
  <si>
    <t>Martin Bernard
Grants Management Specialist</t>
  </si>
  <si>
    <t>Building towards Statistically-Based Pharmaceutical Quality Standards (U01)</t>
  </si>
  <si>
    <t xml:space="preserve">Lisa Ko
Grants Management Specialist
</t>
  </si>
  <si>
    <t>Evaluating Quality Metrics for Risk-Based Surveillance of Drug Manufacturing Operations and Facilities (U01)</t>
  </si>
  <si>
    <t>Cooperative Agreement for Research, Education, and Outreach in support of the FDA Food Safety Modernization Act</t>
  </si>
  <si>
    <t xml:space="preserve">Martin Bernard
Grants Management Specialist
</t>
  </si>
  <si>
    <t>Disease Natural History Database Development - (U24)</t>
  </si>
  <si>
    <t xml:space="preserve">Vieda Hubbard
Grants Management Specialist
</t>
  </si>
  <si>
    <t>vieda.hubbard@fda.hhs.gov</t>
  </si>
  <si>
    <t>Expanding FDA's Produce Safety and Instructor Skills Training under the Food Safety Modernization Act</t>
  </si>
  <si>
    <t>Expanding Course Offerings for State and Local Regulators in the Integrated Food Safety System (U18)</t>
  </si>
  <si>
    <t xml:space="preserve">FDAâ€™s Education and Outreach Program Targeting School-Aged Children (U48)  </t>
  </si>
  <si>
    <t>Oluyemisi Akinneye
Grants Management Specialist
Phone 240-402-7560</t>
  </si>
  <si>
    <t>Oluyemisi.Akinneye@fda.gov</t>
  </si>
  <si>
    <t>ISO/IEC 17025:2005 Accreditation for State Food Testing Laboratories (U18)</t>
  </si>
  <si>
    <t>Oluyemisi.Akinneye@fda.hhs.gov</t>
  </si>
  <si>
    <t>Strengthening the Operating Framework and Furthering the Objectives of Coalition For Accelerating Standards And Therapies (CFAST) Initiative (U24)</t>
  </si>
  <si>
    <t>Vieda Hubbard
Grants Management Specialist
Phone 240-402-7588</t>
  </si>
  <si>
    <t>Smokeless Tobacco Reference Products (UC2)</t>
  </si>
  <si>
    <t>Molecular Characterization of Multiple Myeloma Ethnic Disparity</t>
  </si>
  <si>
    <t>Harmonization of Technical Requirements for Pharmaceuticals for Human Use (U01)</t>
  </si>
  <si>
    <t>Program Expansion for Fostering Cooperation and Strengthening Medical Product Regulatory Systems in the Americas  to add a Medical Device Module for Secure Regulatory Information Exchange (U01)</t>
  </si>
  <si>
    <t>Kimberly Pendleton Chew
Chief Grants Management Officer</t>
  </si>
  <si>
    <t>kimberly.pendleton@fda.hhs.gov</t>
  </si>
  <si>
    <t>Food Protection Rapid Response Team (RRT) (U18)</t>
  </si>
  <si>
    <t>Implementation of the Animal Feed Regulatory Program Standards (AFRPS) (U18)</t>
  </si>
  <si>
    <t>Limited Competition: Advancing Conformance with the Voluntary National Retail Food Regulatory Program Standards (VNRFRPS) (U18)</t>
  </si>
  <si>
    <t>Integrated Food Safety System Online Collaboration Development (U18)</t>
  </si>
  <si>
    <t xml:space="preserve">Integrated Food Defense </t>
  </si>
  <si>
    <t>Daniel Lukash
Grants Management Specialist
Phone 240/402-7596</t>
  </si>
  <si>
    <t>Development and Application of Case Control Analysis for Generic Drugs (U01)</t>
  </si>
  <si>
    <t>Data Concepts and Terminology Standards for the Support of Human Drug Development and Evaluation</t>
  </si>
  <si>
    <t>Development, Implementation, and Management of a Funding System to  Advance Conformance with the Voluntary National Retail Food Regulatory Program Standards (VNRFRPS) (U18)</t>
  </si>
  <si>
    <t>Lisa Ko
Grants Management Specialist</t>
  </si>
  <si>
    <t>FDA FERN Cooperative Agreement Continuation Program (U18)</t>
  </si>
  <si>
    <t xml:space="preserve">Enhancing Regulatory Science for the Risk Based Assessment of Emerging Manufacturing Technologies (U01) </t>
  </si>
  <si>
    <t>Post-market Surveillance of Generic Modified Release Products (U01)</t>
  </si>
  <si>
    <t>IMEDS- Methods Research Agenda</t>
  </si>
  <si>
    <t>Limited Competition for Renewal Applications: Collaborating Centers of Excellence in Regulatory Science and Innovation (U01)</t>
  </si>
  <si>
    <t>Vieda.Hubbard@fda.hhs.gov</t>
  </si>
  <si>
    <t>Educating Groups Influencing Generic Drug Use (U01)</t>
  </si>
  <si>
    <t>Limited Competition for Revision Applications for Pharmacometric Modeling and Simulation for Generic Drugs Evaluation (U01)</t>
  </si>
  <si>
    <t>Limited Competition for Revision Applications for Evaluation of Formulation Effects of Metered Dose Inhalers on Pharmacokinetics (U01)</t>
  </si>
  <si>
    <t>Minor Use Minor Species Development of Drugs; Research Project Grant (R01)</t>
  </si>
  <si>
    <t>Oluyemisi (Yemisi) Akinneye
Grants Management Specialist
Phone 240-402-7560</t>
  </si>
  <si>
    <t>Partnership to Develop the Branded Food Products Database for Public Health</t>
  </si>
  <si>
    <t>Pharmacometric Modeling and Simulation for Long Acting Injectable Products (U01)</t>
  </si>
  <si>
    <t>Dissolution Methods for Long-acting Periodontal Drug Products (U01)</t>
  </si>
  <si>
    <t>Dissolution Methods for Long-acting Levonorgestrel Intrauterine System  (U01)</t>
  </si>
  <si>
    <t xml:space="preserve">Grants to Enhance Food Safety: National Training, Education, Extension, Outreach, and Technical Assistance Competitive Grants Program (U18) </t>
  </si>
  <si>
    <t xml:space="preserve">Kimberly Pendleton
Chief Grants Management Officer
</t>
  </si>
  <si>
    <t>Kimberly.Pendleton@fda.hhs.gov</t>
  </si>
  <si>
    <t>Clinical Studies of Safety and Effectiveness of Orphan Products Research Project Grant (R01)</t>
  </si>
  <si>
    <t>Dan Lukash
Grants Management Specialist
Phone 240-402-7596</t>
  </si>
  <si>
    <t>National Research Project to Assess State Agricultural Laws, Regulations, and Resources Related to Produce Safety (U01)</t>
  </si>
  <si>
    <t>oluyemisi.akinneye@fda.gov</t>
  </si>
  <si>
    <t>Cooperative Agreement to Support the World Trade Organization's (WTO) Standards and Trade Development Facility (STDF)</t>
  </si>
  <si>
    <t>Fostering Cooperation and Strengthening Medical Product Regulatory Systems in the Americas</t>
  </si>
  <si>
    <t>Critical Path Public Private Partnerships</t>
  </si>
  <si>
    <t>Evaluating Predictive Methods and Product Performance in Healthy Adults for Pediatric Patients, Case Study: Furosemide (U01)</t>
  </si>
  <si>
    <t>Kidney Health Initiative (R18)</t>
  </si>
  <si>
    <t>Predictive in vitro Methods for Characterizing Product Performance, Case Study: Furosemide (U01)</t>
  </si>
  <si>
    <t>The Use of Polyethylene Glycol in the Pediatric Population (R01)</t>
  </si>
  <si>
    <t>Increasing the Quality and Efficiency of Clinical Trials (R18)</t>
  </si>
  <si>
    <t>Development of an Integrated Mathematical Model for Comparative Characterization of Complex Molecules (U01)</t>
  </si>
  <si>
    <t>Development of Process Simulation and Modeling Tools for Integrated Pharmaceutical Manufacturing Processes (U01)</t>
  </si>
  <si>
    <t>Data Concepts and Terminology Standards for Clinical Research and Drug Development (U24)</t>
  </si>
  <si>
    <t>Gladys Melendez-Bohler
Grants Management Officer/Specialist
Phone 240-402-7565</t>
  </si>
  <si>
    <t>gladys.bohler@fda.hhs.gov</t>
  </si>
  <si>
    <t>Post-market surveillance evaluation of authorized generic drug products (U01)</t>
  </si>
  <si>
    <t>Martin Bernard
Grants Management Specialist
Phone 240-402-7564</t>
  </si>
  <si>
    <t>Pharmacokinetic/Pharmacodynamic (PK/PD) Studies of Methylphenidate Extended Release Products in Attention Deficit Hyperactivity Disorder (ADHD) Patients (U01)</t>
  </si>
  <si>
    <t>Effect of Therapeutic Class on Generic Drug Substitutions (U01)</t>
  </si>
  <si>
    <t>Retrospective Analysis on the Impact of Generic Immunosuppressants on Acute Rejection and Long Term Graft Survivals (U01)</t>
  </si>
  <si>
    <t>Development of realistic in vitro studies to assess robustness of dose counters/indicators in metered dose inhalers  (U01)</t>
  </si>
  <si>
    <t>Prospective Studies on the Impact of Generic Immunosuppressants on Acute Rejection and Long Term Graft survivals  (U01)</t>
  </si>
  <si>
    <t>Evalution of Iron Species in Healthy Subjects treated with Generic and Reference Sodium Ferric Gluconate</t>
  </si>
  <si>
    <t>Pharmacokinetic and Pharmacodynamic (PK-PD) Studies of Cardiovascular Drugs (U01)</t>
  </si>
  <si>
    <t>The Effect of Different Preparation Methods on the In Vitro and In Vivo Performance of Solid Dispersion Formulations (U01)</t>
  </si>
  <si>
    <t>Dissolution Methods for Semisolid Ocular Drug Products</t>
  </si>
  <si>
    <t>Gladys Melendez-Bohler
Grants Management Specialist
Phone 301-827-7175</t>
  </si>
  <si>
    <t>Dissolution Methods for Suspension and Emulsion Ocular Drug Products</t>
  </si>
  <si>
    <t>Development of Clinically Relevant in Vitro Performance Test for Generic OIDPs: Physiologically Relevant Models for Aerodynamic Particle Size Distribution Analysis</t>
  </si>
  <si>
    <t>Convener of Discussions on Medical Policy Issues Impacting Drug Development</t>
  </si>
  <si>
    <t xml:space="preserve">Evaluation of in vitro release methods for liposomal drug products </t>
  </si>
  <si>
    <t>Gladys Melendez-Bohler
Grants Management Specialist
Phone 240-402-7565</t>
  </si>
  <si>
    <t>Dissolution Methods for Microsphere and Implant Drug Products</t>
  </si>
  <si>
    <t>Characterization of Critical Quality Attributes for Semisolid Topical Drug Products</t>
  </si>
  <si>
    <t>Physiologically Based Absorption and Pharmacokinetic Modeling and Simulation for Non-gastrointestinally Absorbed Drug Products In Humans</t>
  </si>
  <si>
    <t>Pharmacometric Modeling and Simulation for Generic Drugs Evaluation</t>
  </si>
  <si>
    <t>Cigarette Tobacco Reference Products Program (UC2)</t>
  </si>
  <si>
    <t>RFA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</si>
</sst>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0" fontId="0" fillId="0" borderId="0" xfId="0" applyAlignment="1">
      <alignment wrapText="1"/>
    </xf>
    <xf numFmtId="14" fontId="0" fillId="0" borderId="0" xfId="0" applyNumberFormat="1"/>
    <xf numFmtId="22" fontId="0" fillId="0" borderId="0" xfId="0" applyNumberFormat="1"/>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7"/>
  <sheetViews>
    <sheetView tabSelected="1" topLeftCell="A306" workbookViewId="0">
      <selection activeCell="G317" sqref="G317"/>
    </sheetView>
  </sheetViews>
  <sheetFormatPr baseColWidth="10" defaultColWidth="8.83203125" defaultRowHeight="15" x14ac:dyDescent="0.2"/>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t="s">
        <v>394</v>
      </c>
    </row>
    <row r="3" spans="1:16" ht="144" x14ac:dyDescent="0.2">
      <c r="A3" t="str">
        <f>HYPERLINK("https://www.grants.gov/view-opportunity.html?oppId=339588","RFA-FD-23-004")</f>
        <v>RFA-FD-23-004</v>
      </c>
      <c r="B3" t="s">
        <v>16</v>
      </c>
      <c r="C3" t="s">
        <v>17</v>
      </c>
      <c r="D3" t="s">
        <v>18</v>
      </c>
      <c r="E3">
        <v>5000000</v>
      </c>
      <c r="F3">
        <v>5</v>
      </c>
      <c r="G3" s="1" t="s">
        <v>19</v>
      </c>
      <c r="I3" t="s">
        <v>20</v>
      </c>
      <c r="L3" s="2">
        <v>44846</v>
      </c>
      <c r="M3" s="2">
        <v>44917</v>
      </c>
      <c r="N3" s="3">
        <v>44896.503483796296</v>
      </c>
      <c r="O3" t="s">
        <v>21</v>
      </c>
      <c r="P3" t="s">
        <v>22</v>
      </c>
    </row>
    <row r="4" spans="1:16" ht="144" x14ac:dyDescent="0.2">
      <c r="A4" t="str">
        <f>HYPERLINK("https://www.grants.gov/view-opportunity.html?oppId=341831","RFA-FD-23-005")</f>
        <v>RFA-FD-23-005</v>
      </c>
      <c r="B4" t="s">
        <v>23</v>
      </c>
      <c r="C4" t="s">
        <v>17</v>
      </c>
      <c r="D4" t="s">
        <v>18</v>
      </c>
      <c r="F4">
        <v>2</v>
      </c>
      <c r="G4" s="1" t="s">
        <v>19</v>
      </c>
      <c r="I4" t="s">
        <v>20</v>
      </c>
      <c r="L4" s="2">
        <v>44838</v>
      </c>
      <c r="M4" s="2">
        <v>44900</v>
      </c>
      <c r="N4" s="3">
        <v>44896.501400462963</v>
      </c>
      <c r="O4" t="s">
        <v>24</v>
      </c>
      <c r="P4" t="s">
        <v>25</v>
      </c>
    </row>
    <row r="5" spans="1:16" ht="144" x14ac:dyDescent="0.2">
      <c r="A5" t="str">
        <f>HYPERLINK("https://www.grants.gov/view-opportunity.html?oppId=334156","RFA-FD-23-002")</f>
        <v>RFA-FD-23-002</v>
      </c>
      <c r="B5" t="s">
        <v>26</v>
      </c>
      <c r="C5" t="s">
        <v>17</v>
      </c>
      <c r="D5" t="s">
        <v>18</v>
      </c>
      <c r="E5">
        <v>2400000</v>
      </c>
      <c r="F5">
        <v>1</v>
      </c>
      <c r="G5" s="1" t="s">
        <v>19</v>
      </c>
      <c r="I5" t="s">
        <v>20</v>
      </c>
      <c r="L5" s="2">
        <v>44775</v>
      </c>
      <c r="M5" s="2">
        <v>44837</v>
      </c>
      <c r="N5" s="3">
        <v>44775.650023148148</v>
      </c>
      <c r="O5" t="s">
        <v>21</v>
      </c>
      <c r="P5" t="s">
        <v>25</v>
      </c>
    </row>
    <row r="6" spans="1:16" ht="144" x14ac:dyDescent="0.2">
      <c r="A6" t="str">
        <f>HYPERLINK("https://www.grants.gov/view-opportunity.html?oppId=341725","RFA-FD-23-001")</f>
        <v>RFA-FD-23-001</v>
      </c>
      <c r="B6" t="s">
        <v>27</v>
      </c>
      <c r="C6" t="s">
        <v>17</v>
      </c>
      <c r="D6" t="s">
        <v>18</v>
      </c>
      <c r="F6">
        <v>20</v>
      </c>
      <c r="G6" s="1" t="s">
        <v>19</v>
      </c>
      <c r="I6" t="s">
        <v>20</v>
      </c>
      <c r="L6" s="2">
        <v>44747</v>
      </c>
      <c r="M6" s="2">
        <v>44869</v>
      </c>
      <c r="N6" s="3">
        <v>44868.396562499998</v>
      </c>
      <c r="O6" t="s">
        <v>28</v>
      </c>
      <c r="P6" t="s">
        <v>25</v>
      </c>
    </row>
    <row r="7" spans="1:16" ht="144" x14ac:dyDescent="0.2">
      <c r="A7" t="str">
        <f>HYPERLINK("https://www.grants.gov/view-opportunity.html?oppId=340581","RFA-FD-22-027")</f>
        <v>RFA-FD-22-027</v>
      </c>
      <c r="B7" t="s">
        <v>29</v>
      </c>
      <c r="C7" t="s">
        <v>17</v>
      </c>
      <c r="D7" t="s">
        <v>18</v>
      </c>
      <c r="F7">
        <v>1</v>
      </c>
      <c r="G7" s="1" t="s">
        <v>19</v>
      </c>
      <c r="I7" t="s">
        <v>20</v>
      </c>
      <c r="L7" s="2">
        <v>44713</v>
      </c>
      <c r="M7" s="2">
        <v>44776</v>
      </c>
      <c r="N7" s="3">
        <v>44713.413900462961</v>
      </c>
      <c r="O7" t="s">
        <v>21</v>
      </c>
      <c r="P7" t="s">
        <v>25</v>
      </c>
    </row>
    <row r="8" spans="1:16" ht="144" x14ac:dyDescent="0.2">
      <c r="A8" t="str">
        <f>HYPERLINK("https://www.grants.gov/view-opportunity.html?oppId=340616","RFA-FD-22-028")</f>
        <v>RFA-FD-22-028</v>
      </c>
      <c r="B8" t="s">
        <v>30</v>
      </c>
      <c r="C8" t="s">
        <v>17</v>
      </c>
      <c r="D8" t="s">
        <v>18</v>
      </c>
      <c r="F8">
        <v>1</v>
      </c>
      <c r="G8" s="1" t="s">
        <v>19</v>
      </c>
      <c r="I8" t="s">
        <v>20</v>
      </c>
      <c r="L8" s="2">
        <v>44713</v>
      </c>
      <c r="M8" s="2">
        <v>44776</v>
      </c>
      <c r="N8" s="3">
        <v>44727.325868055559</v>
      </c>
      <c r="O8" t="s">
        <v>24</v>
      </c>
      <c r="P8" t="s">
        <v>25</v>
      </c>
    </row>
    <row r="9" spans="1:16" ht="144" x14ac:dyDescent="0.2">
      <c r="A9" t="str">
        <f>HYPERLINK("https://www.grants.gov/view-opportunity.html?oppId=339064","RFA-FD-22-005")</f>
        <v>RFA-FD-22-005</v>
      </c>
      <c r="B9" t="s">
        <v>31</v>
      </c>
      <c r="C9" t="s">
        <v>17</v>
      </c>
      <c r="D9" t="s">
        <v>18</v>
      </c>
      <c r="E9">
        <v>3000000</v>
      </c>
      <c r="F9">
        <v>6</v>
      </c>
      <c r="G9" s="1" t="s">
        <v>32</v>
      </c>
      <c r="I9" t="s">
        <v>33</v>
      </c>
      <c r="L9" s="2">
        <v>44651</v>
      </c>
      <c r="M9" s="2">
        <v>44718</v>
      </c>
      <c r="N9" s="3">
        <v>44651.461469907408</v>
      </c>
      <c r="O9" t="s">
        <v>21</v>
      </c>
      <c r="P9" t="s">
        <v>25</v>
      </c>
    </row>
    <row r="10" spans="1:16" ht="320" x14ac:dyDescent="0.2">
      <c r="A10" t="str">
        <f>HYPERLINK("https://www.grants.gov/view-opportunity.html?oppId=339056","RFA-FD-22-020")</f>
        <v>RFA-FD-22-020</v>
      </c>
      <c r="B10" t="s">
        <v>34</v>
      </c>
      <c r="C10" t="s">
        <v>17</v>
      </c>
      <c r="D10" t="s">
        <v>18</v>
      </c>
      <c r="E10">
        <v>500000</v>
      </c>
      <c r="F10">
        <v>2</v>
      </c>
      <c r="G10" s="1" t="s">
        <v>35</v>
      </c>
      <c r="I10" t="s">
        <v>33</v>
      </c>
      <c r="L10" s="2">
        <v>44651</v>
      </c>
      <c r="M10" s="2">
        <v>44764</v>
      </c>
      <c r="N10" s="3">
        <v>44740.612824074073</v>
      </c>
      <c r="O10" t="s">
        <v>36</v>
      </c>
      <c r="P10" t="s">
        <v>25</v>
      </c>
    </row>
    <row r="11" spans="1:16" ht="144" x14ac:dyDescent="0.2">
      <c r="A11" t="str">
        <f>HYPERLINK("https://www.grants.gov/view-opportunity.html?oppId=338326","RFA-FD-22-026")</f>
        <v>RFA-FD-22-026</v>
      </c>
      <c r="B11" t="s">
        <v>37</v>
      </c>
      <c r="C11" t="s">
        <v>17</v>
      </c>
      <c r="D11" t="s">
        <v>18</v>
      </c>
      <c r="F11">
        <v>5</v>
      </c>
      <c r="G11" s="1" t="s">
        <v>19</v>
      </c>
      <c r="I11" t="s">
        <v>20</v>
      </c>
      <c r="L11" s="2">
        <v>44624</v>
      </c>
      <c r="M11" s="2">
        <v>44690</v>
      </c>
      <c r="N11" s="3">
        <v>44624.445185185185</v>
      </c>
      <c r="O11" t="s">
        <v>21</v>
      </c>
      <c r="P11" t="s">
        <v>25</v>
      </c>
    </row>
    <row r="12" spans="1:16" ht="144" x14ac:dyDescent="0.2">
      <c r="A12" t="str">
        <f>HYPERLINK("https://www.grants.gov/view-opportunity.html?oppId=338388","RFA-FD-22-024")</f>
        <v>RFA-FD-22-024</v>
      </c>
      <c r="B12" t="s">
        <v>38</v>
      </c>
      <c r="C12" t="s">
        <v>17</v>
      </c>
      <c r="D12" t="s">
        <v>18</v>
      </c>
      <c r="E12">
        <v>1000000</v>
      </c>
      <c r="F12">
        <v>1</v>
      </c>
      <c r="G12" s="1" t="s">
        <v>39</v>
      </c>
      <c r="I12" t="s">
        <v>40</v>
      </c>
      <c r="L12" s="2">
        <v>44620</v>
      </c>
      <c r="M12" s="2">
        <v>44680</v>
      </c>
      <c r="N12" s="3">
        <v>44620.612129629626</v>
      </c>
      <c r="O12" t="s">
        <v>21</v>
      </c>
      <c r="P12" t="s">
        <v>25</v>
      </c>
    </row>
    <row r="13" spans="1:16" ht="144" x14ac:dyDescent="0.2">
      <c r="A13" t="str">
        <f>HYPERLINK("https://www.grants.gov/view-opportunity.html?oppId=338389","RFA-FD-22-025")</f>
        <v>RFA-FD-22-025</v>
      </c>
      <c r="B13" t="s">
        <v>41</v>
      </c>
      <c r="C13" t="s">
        <v>17</v>
      </c>
      <c r="D13" t="s">
        <v>18</v>
      </c>
      <c r="E13">
        <v>500000</v>
      </c>
      <c r="F13">
        <v>1</v>
      </c>
      <c r="G13" s="1" t="s">
        <v>39</v>
      </c>
      <c r="I13" t="s">
        <v>40</v>
      </c>
      <c r="L13" s="2">
        <v>44620</v>
      </c>
      <c r="M13" s="2">
        <v>44680</v>
      </c>
      <c r="N13" s="3">
        <v>44620.615601851852</v>
      </c>
      <c r="O13" t="s">
        <v>21</v>
      </c>
      <c r="P13" t="s">
        <v>25</v>
      </c>
    </row>
    <row r="14" spans="1:16" ht="144" x14ac:dyDescent="0.2">
      <c r="A14" t="str">
        <f>HYPERLINK("https://www.grants.gov/view-opportunity.html?oppId=338100","RFA-FD-22-008")</f>
        <v>RFA-FD-22-008</v>
      </c>
      <c r="B14" t="s">
        <v>42</v>
      </c>
      <c r="C14" t="s">
        <v>17</v>
      </c>
      <c r="D14" t="s">
        <v>18</v>
      </c>
      <c r="E14">
        <v>4000000</v>
      </c>
      <c r="F14">
        <v>5</v>
      </c>
      <c r="G14" s="1" t="s">
        <v>43</v>
      </c>
      <c r="I14" t="s">
        <v>44</v>
      </c>
      <c r="L14" s="2">
        <v>44607</v>
      </c>
      <c r="M14" s="2">
        <v>44673</v>
      </c>
      <c r="N14" s="3">
        <v>44607.639062499999</v>
      </c>
      <c r="O14" t="s">
        <v>24</v>
      </c>
      <c r="P14" t="s">
        <v>25</v>
      </c>
    </row>
    <row r="15" spans="1:16" ht="144" x14ac:dyDescent="0.2">
      <c r="A15" t="str">
        <f>HYPERLINK("https://www.grants.gov/view-opportunity.html?oppId=334157","RFA-FD-22-023")</f>
        <v>RFA-FD-22-023</v>
      </c>
      <c r="B15" t="s">
        <v>45</v>
      </c>
      <c r="C15" t="s">
        <v>17</v>
      </c>
      <c r="D15" t="s">
        <v>18</v>
      </c>
      <c r="F15">
        <v>1</v>
      </c>
      <c r="G15" s="1" t="s">
        <v>19</v>
      </c>
      <c r="I15" t="s">
        <v>20</v>
      </c>
      <c r="L15" s="2">
        <v>44599</v>
      </c>
      <c r="M15" s="2">
        <v>44662</v>
      </c>
      <c r="N15" s="3">
        <v>44599.447997685187</v>
      </c>
      <c r="O15" t="s">
        <v>21</v>
      </c>
      <c r="P15" t="s">
        <v>25</v>
      </c>
    </row>
    <row r="16" spans="1:16" ht="144" x14ac:dyDescent="0.2">
      <c r="A16" t="str">
        <f>HYPERLINK("https://www.grants.gov/view-opportunity.html?oppId=337577","RFA-FD-22-019")</f>
        <v>RFA-FD-22-019</v>
      </c>
      <c r="B16" t="s">
        <v>46</v>
      </c>
      <c r="C16" t="s">
        <v>17</v>
      </c>
      <c r="D16" t="s">
        <v>18</v>
      </c>
      <c r="E16">
        <v>1500000</v>
      </c>
      <c r="F16">
        <v>15</v>
      </c>
      <c r="G16" s="1" t="s">
        <v>43</v>
      </c>
      <c r="I16" t="s">
        <v>44</v>
      </c>
      <c r="L16" s="2">
        <v>44587</v>
      </c>
      <c r="M16" s="2">
        <v>44655</v>
      </c>
      <c r="N16" s="3">
        <v>44587.660717592589</v>
      </c>
      <c r="O16" t="s">
        <v>21</v>
      </c>
      <c r="P16" t="s">
        <v>25</v>
      </c>
    </row>
    <row r="17" spans="1:16" ht="144" x14ac:dyDescent="0.2">
      <c r="A17" t="str">
        <f>HYPERLINK("https://www.grants.gov/view-opportunity.html?oppId=337515","RFA-FD-22-009")</f>
        <v>RFA-FD-22-009</v>
      </c>
      <c r="B17" t="s">
        <v>47</v>
      </c>
      <c r="C17" t="s">
        <v>17</v>
      </c>
      <c r="D17" t="s">
        <v>18</v>
      </c>
      <c r="E17">
        <v>350000</v>
      </c>
      <c r="F17">
        <v>1</v>
      </c>
      <c r="G17" s="1" t="s">
        <v>43</v>
      </c>
      <c r="I17" t="s">
        <v>44</v>
      </c>
      <c r="L17" s="2">
        <v>44587</v>
      </c>
      <c r="M17" s="2">
        <v>44655</v>
      </c>
      <c r="N17" s="3">
        <v>44587.602384259262</v>
      </c>
      <c r="O17" t="s">
        <v>24</v>
      </c>
      <c r="P17" t="s">
        <v>25</v>
      </c>
    </row>
    <row r="18" spans="1:16" ht="144" x14ac:dyDescent="0.2">
      <c r="A18" t="str">
        <f>HYPERLINK("https://www.grants.gov/view-opportunity.html?oppId=337517","RFA-FD-22-010")</f>
        <v>RFA-FD-22-010</v>
      </c>
      <c r="B18" t="s">
        <v>48</v>
      </c>
      <c r="C18" t="s">
        <v>17</v>
      </c>
      <c r="D18" t="s">
        <v>18</v>
      </c>
      <c r="E18">
        <v>1500000</v>
      </c>
      <c r="F18">
        <v>15</v>
      </c>
      <c r="G18" s="1" t="s">
        <v>43</v>
      </c>
      <c r="I18" t="s">
        <v>44</v>
      </c>
      <c r="L18" s="2">
        <v>44587</v>
      </c>
      <c r="M18" s="2">
        <v>44655</v>
      </c>
      <c r="N18" s="3">
        <v>44587.604467592595</v>
      </c>
      <c r="O18" t="s">
        <v>24</v>
      </c>
      <c r="P18" t="s">
        <v>25</v>
      </c>
    </row>
    <row r="19" spans="1:16" ht="128" x14ac:dyDescent="0.2">
      <c r="A19" t="str">
        <f>HYPERLINK("https://www.grants.gov/view-opportunity.html?oppId=336242","PAR-22-108")</f>
        <v>PAR-22-108</v>
      </c>
      <c r="B19" t="s">
        <v>49</v>
      </c>
      <c r="C19" t="s">
        <v>17</v>
      </c>
      <c r="D19" t="s">
        <v>18</v>
      </c>
      <c r="E19">
        <v>300000</v>
      </c>
      <c r="F19">
        <v>3</v>
      </c>
      <c r="G19" s="1" t="s">
        <v>50</v>
      </c>
      <c r="I19" t="s">
        <v>51</v>
      </c>
      <c r="L19" s="2">
        <v>44575</v>
      </c>
      <c r="M19" s="2">
        <v>44742</v>
      </c>
      <c r="N19" s="3">
        <v>44707.610023148147</v>
      </c>
      <c r="O19" t="s">
        <v>28</v>
      </c>
      <c r="P19" t="s">
        <v>22</v>
      </c>
    </row>
    <row r="20" spans="1:16" ht="144" x14ac:dyDescent="0.2">
      <c r="A20" t="str">
        <f>HYPERLINK("https://www.grants.gov/view-opportunity.html?oppId=336279","RFA-FD-22-014")</f>
        <v>RFA-FD-22-014</v>
      </c>
      <c r="B20" t="s">
        <v>52</v>
      </c>
      <c r="C20" t="s">
        <v>17</v>
      </c>
      <c r="D20" t="s">
        <v>18</v>
      </c>
      <c r="E20">
        <v>1000000</v>
      </c>
      <c r="G20" s="1" t="s">
        <v>19</v>
      </c>
      <c r="I20" t="s">
        <v>20</v>
      </c>
      <c r="L20" s="2">
        <v>44574</v>
      </c>
      <c r="M20" s="2">
        <v>44651</v>
      </c>
      <c r="N20" s="3">
        <v>44624.447962962964</v>
      </c>
      <c r="O20" t="s">
        <v>24</v>
      </c>
      <c r="P20" t="s">
        <v>25</v>
      </c>
    </row>
    <row r="21" spans="1:16" ht="144" x14ac:dyDescent="0.2">
      <c r="A21" t="str">
        <f>HYPERLINK("https://www.grants.gov/view-opportunity.html?oppId=336282","RFA-FD-22-013")</f>
        <v>RFA-FD-22-013</v>
      </c>
      <c r="B21" t="s">
        <v>53</v>
      </c>
      <c r="C21" t="s">
        <v>17</v>
      </c>
      <c r="D21" t="s">
        <v>18</v>
      </c>
      <c r="E21">
        <v>300000</v>
      </c>
      <c r="G21" s="1" t="s">
        <v>19</v>
      </c>
      <c r="I21" t="s">
        <v>20</v>
      </c>
      <c r="L21" s="2">
        <v>44573</v>
      </c>
      <c r="M21" s="2">
        <v>44627</v>
      </c>
      <c r="N21" s="3">
        <v>44573.357083333336</v>
      </c>
      <c r="O21" t="s">
        <v>21</v>
      </c>
      <c r="P21" t="s">
        <v>25</v>
      </c>
    </row>
    <row r="22" spans="1:16" ht="144" x14ac:dyDescent="0.2">
      <c r="A22" t="str">
        <f>HYPERLINK("https://www.grants.gov/view-opportunity.html?oppId=336278","RFA-FD-22-017")</f>
        <v>RFA-FD-22-017</v>
      </c>
      <c r="B22" t="s">
        <v>54</v>
      </c>
      <c r="C22" t="s">
        <v>17</v>
      </c>
      <c r="D22" t="s">
        <v>18</v>
      </c>
      <c r="E22">
        <v>1000000</v>
      </c>
      <c r="F22">
        <v>2</v>
      </c>
      <c r="G22" s="1" t="s">
        <v>19</v>
      </c>
      <c r="I22" t="s">
        <v>20</v>
      </c>
      <c r="L22" s="2">
        <v>44573</v>
      </c>
      <c r="M22" s="2">
        <v>44651</v>
      </c>
      <c r="N22" s="3">
        <v>44573.355694444443</v>
      </c>
      <c r="O22" t="s">
        <v>21</v>
      </c>
      <c r="P22" t="s">
        <v>25</v>
      </c>
    </row>
    <row r="23" spans="1:16" ht="144" x14ac:dyDescent="0.2">
      <c r="A23" t="str">
        <f>HYPERLINK("https://www.grants.gov/view-opportunity.html?oppId=336281","RFA-FD-22-012")</f>
        <v>RFA-FD-22-012</v>
      </c>
      <c r="B23" t="s">
        <v>55</v>
      </c>
      <c r="C23" t="s">
        <v>17</v>
      </c>
      <c r="D23" t="s">
        <v>18</v>
      </c>
      <c r="E23">
        <v>500000</v>
      </c>
      <c r="F23">
        <v>2</v>
      </c>
      <c r="G23" s="1" t="s">
        <v>19</v>
      </c>
      <c r="I23" t="s">
        <v>20</v>
      </c>
      <c r="L23" s="2">
        <v>44573</v>
      </c>
      <c r="M23" s="2">
        <v>44651</v>
      </c>
      <c r="N23" s="3">
        <v>44573.356388888889</v>
      </c>
      <c r="O23" t="s">
        <v>21</v>
      </c>
      <c r="P23" t="s">
        <v>25</v>
      </c>
    </row>
    <row r="24" spans="1:16" ht="144" x14ac:dyDescent="0.2">
      <c r="A24" t="str">
        <f>HYPERLINK("https://www.grants.gov/view-opportunity.html?oppId=336327","RFA-FD-22-016")</f>
        <v>RFA-FD-22-016</v>
      </c>
      <c r="B24" t="s">
        <v>56</v>
      </c>
      <c r="C24" t="s">
        <v>17</v>
      </c>
      <c r="D24" t="s">
        <v>18</v>
      </c>
      <c r="E24">
        <v>600000</v>
      </c>
      <c r="F24">
        <v>1</v>
      </c>
      <c r="G24" s="1" t="s">
        <v>19</v>
      </c>
      <c r="I24" t="s">
        <v>20</v>
      </c>
      <c r="L24" s="2">
        <v>44573</v>
      </c>
      <c r="M24" s="2">
        <v>44651</v>
      </c>
      <c r="N24" s="3">
        <v>44573.356388888889</v>
      </c>
      <c r="O24" t="s">
        <v>21</v>
      </c>
      <c r="P24" t="s">
        <v>25</v>
      </c>
    </row>
    <row r="25" spans="1:16" ht="144" x14ac:dyDescent="0.2">
      <c r="A25" t="str">
        <f>HYPERLINK("https://www.grants.gov/view-opportunity.html?oppId=336280","RFA-FD-22-018")</f>
        <v>RFA-FD-22-018</v>
      </c>
      <c r="B25" t="s">
        <v>57</v>
      </c>
      <c r="C25" t="s">
        <v>17</v>
      </c>
      <c r="D25" t="s">
        <v>18</v>
      </c>
      <c r="E25">
        <v>1000000</v>
      </c>
      <c r="F25">
        <v>1</v>
      </c>
      <c r="G25" s="1" t="s">
        <v>19</v>
      </c>
      <c r="I25" t="s">
        <v>20</v>
      </c>
      <c r="L25" s="2">
        <v>44573</v>
      </c>
      <c r="M25" s="2">
        <v>44651</v>
      </c>
      <c r="N25" s="3">
        <v>44573.355000000003</v>
      </c>
      <c r="O25" t="s">
        <v>21</v>
      </c>
      <c r="P25" t="s">
        <v>25</v>
      </c>
    </row>
    <row r="26" spans="1:16" ht="144" x14ac:dyDescent="0.2">
      <c r="A26" t="str">
        <f>HYPERLINK("https://www.grants.gov/view-opportunity.html?oppId=336296","RFA-FD-22-015")</f>
        <v>RFA-FD-22-015</v>
      </c>
      <c r="B26" t="s">
        <v>58</v>
      </c>
      <c r="C26" t="s">
        <v>17</v>
      </c>
      <c r="D26" t="s">
        <v>18</v>
      </c>
      <c r="E26">
        <v>1000000</v>
      </c>
      <c r="F26">
        <v>1</v>
      </c>
      <c r="G26" s="1" t="s">
        <v>19</v>
      </c>
      <c r="I26" t="s">
        <v>20</v>
      </c>
      <c r="L26" s="2">
        <v>44573</v>
      </c>
      <c r="M26" s="2">
        <v>44651</v>
      </c>
      <c r="N26" s="3">
        <v>44573.355000000003</v>
      </c>
      <c r="O26" t="s">
        <v>21</v>
      </c>
      <c r="P26" t="s">
        <v>25</v>
      </c>
    </row>
    <row r="27" spans="1:16" ht="144" x14ac:dyDescent="0.2">
      <c r="A27" t="str">
        <f>HYPERLINK("https://www.grants.gov/view-opportunity.html?oppId=336599","RFA-FD-22-022")</f>
        <v>RFA-FD-22-022</v>
      </c>
      <c r="B27" t="s">
        <v>59</v>
      </c>
      <c r="C27" t="s">
        <v>17</v>
      </c>
      <c r="D27" t="s">
        <v>18</v>
      </c>
      <c r="E27">
        <v>350000</v>
      </c>
      <c r="F27">
        <v>1</v>
      </c>
      <c r="G27" s="1" t="s">
        <v>19</v>
      </c>
      <c r="I27" t="s">
        <v>20</v>
      </c>
      <c r="L27" s="2">
        <v>44573</v>
      </c>
      <c r="M27" s="2">
        <v>44651</v>
      </c>
      <c r="N27" s="3">
        <v>44573.354305555556</v>
      </c>
      <c r="O27" t="s">
        <v>24</v>
      </c>
      <c r="P27" t="s">
        <v>25</v>
      </c>
    </row>
    <row r="28" spans="1:16" ht="144" x14ac:dyDescent="0.2">
      <c r="A28" t="str">
        <f>HYPERLINK("https://www.grants.gov/view-opportunity.html?oppId=337323","RFA-FD-22-021")</f>
        <v>RFA-FD-22-021</v>
      </c>
      <c r="B28" t="s">
        <v>60</v>
      </c>
      <c r="C28" t="s">
        <v>17</v>
      </c>
      <c r="D28" t="s">
        <v>18</v>
      </c>
      <c r="G28" s="1" t="s">
        <v>39</v>
      </c>
      <c r="I28" t="s">
        <v>40</v>
      </c>
      <c r="L28" s="2">
        <v>44572</v>
      </c>
      <c r="M28" s="2">
        <v>44614</v>
      </c>
      <c r="N28" s="3">
        <v>44572.615405092591</v>
      </c>
      <c r="O28" t="s">
        <v>21</v>
      </c>
      <c r="P28" t="s">
        <v>25</v>
      </c>
    </row>
    <row r="29" spans="1:16" ht="144" x14ac:dyDescent="0.2">
      <c r="A29" t="str">
        <f>HYPERLINK("https://www.grants.gov/view-opportunity.html?oppId=336241","PAR-22-087")</f>
        <v>PAR-22-087</v>
      </c>
      <c r="B29" t="s">
        <v>61</v>
      </c>
      <c r="C29" t="s">
        <v>17</v>
      </c>
      <c r="D29" t="s">
        <v>18</v>
      </c>
      <c r="E29">
        <v>500000</v>
      </c>
      <c r="F29">
        <v>5</v>
      </c>
      <c r="G29" s="1" t="s">
        <v>62</v>
      </c>
      <c r="I29" t="s">
        <v>51</v>
      </c>
      <c r="L29" s="2">
        <v>44564</v>
      </c>
      <c r="M29" s="2">
        <v>44653</v>
      </c>
      <c r="N29" s="3">
        <v>44707.61210648148</v>
      </c>
      <c r="O29" t="s">
        <v>28</v>
      </c>
      <c r="P29" t="s">
        <v>22</v>
      </c>
    </row>
    <row r="30" spans="1:16" ht="144" x14ac:dyDescent="0.2">
      <c r="A30" t="str">
        <f>HYPERLINK("https://www.grants.gov/view-opportunity.html?oppId=336807","RFA-FD-22-006")</f>
        <v>RFA-FD-22-006</v>
      </c>
      <c r="B30" t="s">
        <v>63</v>
      </c>
      <c r="C30" t="s">
        <v>17</v>
      </c>
      <c r="D30" t="s">
        <v>18</v>
      </c>
      <c r="F30">
        <v>10</v>
      </c>
      <c r="G30" s="1" t="s">
        <v>39</v>
      </c>
      <c r="I30" t="s">
        <v>40</v>
      </c>
      <c r="L30" s="2">
        <v>44531</v>
      </c>
      <c r="M30" s="2">
        <v>44620</v>
      </c>
      <c r="N30" s="3">
        <v>44599.690358796295</v>
      </c>
      <c r="O30" t="s">
        <v>24</v>
      </c>
      <c r="P30" t="s">
        <v>25</v>
      </c>
    </row>
    <row r="31" spans="1:16" ht="144" x14ac:dyDescent="0.2">
      <c r="A31" t="str">
        <f>HYPERLINK("https://www.grants.gov/view-opportunity.html?oppId=336466","RFA-FD-22-004")</f>
        <v>RFA-FD-22-004</v>
      </c>
      <c r="B31" t="s">
        <v>64</v>
      </c>
      <c r="C31" t="s">
        <v>17</v>
      </c>
      <c r="D31" t="s">
        <v>18</v>
      </c>
      <c r="E31">
        <v>7500000</v>
      </c>
      <c r="F31">
        <v>1</v>
      </c>
      <c r="G31" s="1" t="s">
        <v>39</v>
      </c>
      <c r="I31" t="s">
        <v>40</v>
      </c>
      <c r="L31" s="2">
        <v>44508</v>
      </c>
      <c r="M31" s="2">
        <v>44586</v>
      </c>
      <c r="N31" s="3">
        <v>44572.600127314814</v>
      </c>
      <c r="O31" t="s">
        <v>24</v>
      </c>
      <c r="P31" t="s">
        <v>25</v>
      </c>
    </row>
    <row r="32" spans="1:16" ht="144" x14ac:dyDescent="0.2">
      <c r="A32" t="str">
        <f>HYPERLINK("https://www.grants.gov/view-opportunity.html?oppId=335893","RFA-FD-22-003")</f>
        <v>RFA-FD-22-003</v>
      </c>
      <c r="B32" t="s">
        <v>65</v>
      </c>
      <c r="C32" t="s">
        <v>17</v>
      </c>
      <c r="D32" t="s">
        <v>18</v>
      </c>
      <c r="F32">
        <v>5</v>
      </c>
      <c r="G32" s="1" t="s">
        <v>19</v>
      </c>
      <c r="I32" t="s">
        <v>20</v>
      </c>
      <c r="L32" s="2">
        <v>44466</v>
      </c>
      <c r="M32" s="2">
        <v>44529</v>
      </c>
      <c r="N32" s="3">
        <v>44466.431562500002</v>
      </c>
      <c r="O32" t="s">
        <v>21</v>
      </c>
      <c r="P32" t="s">
        <v>25</v>
      </c>
    </row>
    <row r="33" spans="1:16" ht="96" x14ac:dyDescent="0.2">
      <c r="A33" t="str">
        <f>HYPERLINK("https://www.grants.gov/view-opportunity.html?oppId=327603","FOR-FD-20-014")</f>
        <v>FOR-FD-20-014</v>
      </c>
      <c r="B33" t="s">
        <v>66</v>
      </c>
      <c r="C33" t="s">
        <v>17</v>
      </c>
      <c r="D33" t="s">
        <v>18</v>
      </c>
      <c r="G33" s="1" t="s">
        <v>67</v>
      </c>
      <c r="I33" t="s">
        <v>20</v>
      </c>
      <c r="L33" s="2">
        <v>44341</v>
      </c>
      <c r="N33" s="3">
        <v>44341.609317129631</v>
      </c>
      <c r="O33" t="s">
        <v>21</v>
      </c>
      <c r="P33" t="s">
        <v>25</v>
      </c>
    </row>
    <row r="34" spans="1:16" ht="96" x14ac:dyDescent="0.2">
      <c r="A34" t="str">
        <f>HYPERLINK("https://www.grants.gov/view-opportunity.html?oppId=327615","FOR-FD-20-015")</f>
        <v>FOR-FD-20-015</v>
      </c>
      <c r="B34" t="s">
        <v>68</v>
      </c>
      <c r="C34" t="s">
        <v>17</v>
      </c>
      <c r="D34" t="s">
        <v>18</v>
      </c>
      <c r="G34" s="1" t="s">
        <v>67</v>
      </c>
      <c r="I34" t="s">
        <v>69</v>
      </c>
      <c r="L34" s="2">
        <v>44341</v>
      </c>
      <c r="N34" s="3">
        <v>44341.610706018517</v>
      </c>
      <c r="O34" t="s">
        <v>21</v>
      </c>
      <c r="P34" t="s">
        <v>25</v>
      </c>
    </row>
    <row r="35" spans="1:16" ht="96" x14ac:dyDescent="0.2">
      <c r="A35" t="str">
        <f>HYPERLINK("https://www.grants.gov/view-opportunity.html?oppId=327764","FOR-FD-20-018")</f>
        <v>FOR-FD-20-018</v>
      </c>
      <c r="B35" t="s">
        <v>70</v>
      </c>
      <c r="C35" t="s">
        <v>17</v>
      </c>
      <c r="D35" t="s">
        <v>18</v>
      </c>
      <c r="F35">
        <v>1</v>
      </c>
      <c r="G35" s="1" t="s">
        <v>71</v>
      </c>
      <c r="I35" t="s">
        <v>72</v>
      </c>
      <c r="L35" s="2">
        <v>44341</v>
      </c>
      <c r="N35" s="3">
        <v>44341.617650462962</v>
      </c>
      <c r="O35" t="s">
        <v>21</v>
      </c>
      <c r="P35" t="s">
        <v>25</v>
      </c>
    </row>
    <row r="36" spans="1:16" ht="96" x14ac:dyDescent="0.2">
      <c r="A36" t="str">
        <f>HYPERLINK("https://www.grants.gov/view-opportunity.html?oppId=325176","FOR-FD-20-008")</f>
        <v>FOR-FD-20-008</v>
      </c>
      <c r="B36" t="s">
        <v>73</v>
      </c>
      <c r="C36" t="s">
        <v>17</v>
      </c>
      <c r="D36" t="s">
        <v>18</v>
      </c>
      <c r="F36">
        <v>1</v>
      </c>
      <c r="G36" s="1" t="s">
        <v>67</v>
      </c>
      <c r="I36" t="s">
        <v>20</v>
      </c>
      <c r="L36" s="2">
        <v>44341</v>
      </c>
      <c r="N36" s="3">
        <v>44341.599594907406</v>
      </c>
      <c r="O36" t="s">
        <v>21</v>
      </c>
      <c r="P36" t="s">
        <v>25</v>
      </c>
    </row>
    <row r="37" spans="1:16" ht="96" x14ac:dyDescent="0.2">
      <c r="A37" t="str">
        <f>HYPERLINK("https://www.grants.gov/view-opportunity.html?oppId=327602","FOR-FD-20-013")</f>
        <v>FOR-FD-20-013</v>
      </c>
      <c r="B37" t="s">
        <v>74</v>
      </c>
      <c r="C37" t="s">
        <v>17</v>
      </c>
      <c r="D37" t="s">
        <v>18</v>
      </c>
      <c r="G37" s="1" t="s">
        <v>67</v>
      </c>
      <c r="I37" t="s">
        <v>20</v>
      </c>
      <c r="L37" s="2">
        <v>44341</v>
      </c>
      <c r="N37" s="3">
        <v>44341.607233796298</v>
      </c>
      <c r="O37" t="s">
        <v>21</v>
      </c>
      <c r="P37" t="s">
        <v>25</v>
      </c>
    </row>
    <row r="38" spans="1:16" ht="144" x14ac:dyDescent="0.2">
      <c r="A38" t="str">
        <f>HYPERLINK("https://www.grants.gov/view-opportunity.html?oppId=324928","FOR-FD-20-007")</f>
        <v>FOR-FD-20-007</v>
      </c>
      <c r="B38" t="s">
        <v>75</v>
      </c>
      <c r="C38" t="s">
        <v>17</v>
      </c>
      <c r="D38" t="s">
        <v>18</v>
      </c>
      <c r="F38">
        <v>2</v>
      </c>
      <c r="G38" s="1" t="s">
        <v>76</v>
      </c>
      <c r="I38" t="s">
        <v>20</v>
      </c>
      <c r="L38" s="2">
        <v>44341</v>
      </c>
      <c r="N38" s="3">
        <v>44341.596817129626</v>
      </c>
      <c r="O38" t="s">
        <v>21</v>
      </c>
      <c r="P38" t="s">
        <v>25</v>
      </c>
    </row>
    <row r="39" spans="1:16" ht="96" x14ac:dyDescent="0.2">
      <c r="A39" t="str">
        <f>HYPERLINK("https://www.grants.gov/view-opportunity.html?oppId=325510","FOR-FD-20-010")</f>
        <v>FOR-FD-20-010</v>
      </c>
      <c r="B39" t="s">
        <v>77</v>
      </c>
      <c r="C39" t="s">
        <v>17</v>
      </c>
      <c r="D39" t="s">
        <v>18</v>
      </c>
      <c r="F39">
        <v>5</v>
      </c>
      <c r="G39" s="1" t="s">
        <v>67</v>
      </c>
      <c r="I39" t="s">
        <v>20</v>
      </c>
      <c r="L39" s="2">
        <v>44341</v>
      </c>
      <c r="N39" s="3">
        <v>44341.602372685185</v>
      </c>
      <c r="O39" t="s">
        <v>21</v>
      </c>
      <c r="P39" t="s">
        <v>25</v>
      </c>
    </row>
    <row r="40" spans="1:16" ht="96" x14ac:dyDescent="0.2">
      <c r="A40" t="str">
        <f>HYPERLINK("https://www.grants.gov/view-opportunity.html?oppId=325890","FOR-FD-20-011")</f>
        <v>FOR-FD-20-011</v>
      </c>
      <c r="B40" t="s">
        <v>78</v>
      </c>
      <c r="C40" t="s">
        <v>17</v>
      </c>
      <c r="D40" t="s">
        <v>18</v>
      </c>
      <c r="F40">
        <v>2</v>
      </c>
      <c r="G40" s="1" t="s">
        <v>79</v>
      </c>
      <c r="I40" t="s">
        <v>44</v>
      </c>
      <c r="L40" s="2">
        <v>44341</v>
      </c>
      <c r="N40" s="3">
        <v>44341.603761574072</v>
      </c>
      <c r="O40" t="s">
        <v>21</v>
      </c>
      <c r="P40" t="s">
        <v>25</v>
      </c>
    </row>
    <row r="41" spans="1:16" ht="96" x14ac:dyDescent="0.2">
      <c r="A41" t="str">
        <f>HYPERLINK("https://www.grants.gov/view-opportunity.html?oppId=324297","FOR-FD-20-006")</f>
        <v>FOR-FD-20-006</v>
      </c>
      <c r="B41" t="s">
        <v>80</v>
      </c>
      <c r="C41" t="s">
        <v>17</v>
      </c>
      <c r="D41" t="s">
        <v>18</v>
      </c>
      <c r="F41">
        <v>50</v>
      </c>
      <c r="G41" s="1" t="s">
        <v>81</v>
      </c>
      <c r="I41" t="s">
        <v>51</v>
      </c>
      <c r="L41" s="2">
        <v>44341</v>
      </c>
      <c r="N41" s="3">
        <v>44341.591261574074</v>
      </c>
      <c r="O41" t="s">
        <v>21</v>
      </c>
      <c r="P41" t="s">
        <v>25</v>
      </c>
    </row>
    <row r="42" spans="1:16" ht="96" x14ac:dyDescent="0.2">
      <c r="A42" t="str">
        <f>HYPERLINK("https://www.grants.gov/view-opportunity.html?oppId=325236","FOR-FD-20-009")</f>
        <v>FOR-FD-20-009</v>
      </c>
      <c r="B42" t="s">
        <v>82</v>
      </c>
      <c r="C42" t="s">
        <v>17</v>
      </c>
      <c r="D42" t="s">
        <v>18</v>
      </c>
      <c r="F42">
        <v>4</v>
      </c>
      <c r="G42" s="1" t="s">
        <v>81</v>
      </c>
      <c r="I42" t="s">
        <v>51</v>
      </c>
      <c r="L42" s="2">
        <v>44341</v>
      </c>
      <c r="N42" s="3">
        <v>44341.600983796299</v>
      </c>
      <c r="O42" t="s">
        <v>21</v>
      </c>
      <c r="P42" t="s">
        <v>25</v>
      </c>
    </row>
    <row r="43" spans="1:16" ht="96" x14ac:dyDescent="0.2">
      <c r="A43" t="str">
        <f>HYPERLINK("https://www.grants.gov/view-opportunity.html?oppId=324263","FOR-FD-20-005")</f>
        <v>FOR-FD-20-005</v>
      </c>
      <c r="B43" t="s">
        <v>83</v>
      </c>
      <c r="C43" t="s">
        <v>17</v>
      </c>
      <c r="D43" t="s">
        <v>18</v>
      </c>
      <c r="G43" s="1" t="s">
        <v>84</v>
      </c>
      <c r="I43" t="s">
        <v>44</v>
      </c>
      <c r="L43" s="2">
        <v>44341</v>
      </c>
      <c r="N43" s="3">
        <v>44341.588483796295</v>
      </c>
      <c r="O43" t="s">
        <v>21</v>
      </c>
      <c r="P43" t="s">
        <v>25</v>
      </c>
    </row>
    <row r="44" spans="1:16" ht="96" x14ac:dyDescent="0.2">
      <c r="A44" t="str">
        <f>HYPERLINK("https://www.grants.gov/view-opportunity.html?oppId=330293","FOR-FD-20-030")</f>
        <v>FOR-FD-20-030</v>
      </c>
      <c r="B44" t="s">
        <v>85</v>
      </c>
      <c r="C44" t="s">
        <v>17</v>
      </c>
      <c r="D44" t="s">
        <v>18</v>
      </c>
      <c r="G44" s="1" t="s">
        <v>67</v>
      </c>
      <c r="I44" t="s">
        <v>20</v>
      </c>
      <c r="L44" s="2">
        <v>44341</v>
      </c>
      <c r="N44" s="3">
        <v>44341.666261574072</v>
      </c>
      <c r="O44" t="s">
        <v>21</v>
      </c>
      <c r="P44" t="s">
        <v>25</v>
      </c>
    </row>
    <row r="45" spans="1:16" ht="96" x14ac:dyDescent="0.2">
      <c r="A45" t="str">
        <f>HYPERLINK("https://www.grants.gov/view-opportunity.html?oppId=330015","FOR-FD-20-029")</f>
        <v>FOR-FD-20-029</v>
      </c>
      <c r="B45" t="s">
        <v>86</v>
      </c>
      <c r="C45" t="s">
        <v>17</v>
      </c>
      <c r="D45" t="s">
        <v>18</v>
      </c>
      <c r="G45" s="1" t="s">
        <v>67</v>
      </c>
      <c r="I45" t="s">
        <v>20</v>
      </c>
      <c r="L45" s="2">
        <v>44341</v>
      </c>
      <c r="N45" s="3">
        <v>44341.664178240739</v>
      </c>
      <c r="O45" t="s">
        <v>21</v>
      </c>
      <c r="P45" t="s">
        <v>25</v>
      </c>
    </row>
    <row r="46" spans="1:16" ht="96" x14ac:dyDescent="0.2">
      <c r="A46" t="str">
        <f>HYPERLINK("https://www.grants.gov/view-opportunity.html?oppId=331720","FOR-FD-21-006")</f>
        <v>FOR-FD-21-006</v>
      </c>
      <c r="B46" t="s">
        <v>87</v>
      </c>
      <c r="C46" t="s">
        <v>17</v>
      </c>
      <c r="D46" t="s">
        <v>18</v>
      </c>
      <c r="E46">
        <v>2000000</v>
      </c>
      <c r="F46">
        <v>5</v>
      </c>
      <c r="G46" s="1" t="s">
        <v>79</v>
      </c>
      <c r="I46" t="s">
        <v>44</v>
      </c>
      <c r="L46" s="2">
        <v>44341</v>
      </c>
      <c r="N46" s="3">
        <v>44341.671817129631</v>
      </c>
      <c r="O46" t="s">
        <v>21</v>
      </c>
      <c r="P46" t="s">
        <v>25</v>
      </c>
    </row>
    <row r="47" spans="1:16" ht="96" x14ac:dyDescent="0.2">
      <c r="A47" t="str">
        <f>HYPERLINK("https://www.grants.gov/view-opportunity.html?oppId=331721","FOR-FD-21-007")</f>
        <v>FOR-FD-21-007</v>
      </c>
      <c r="B47" t="s">
        <v>88</v>
      </c>
      <c r="C47" t="s">
        <v>17</v>
      </c>
      <c r="D47" t="s">
        <v>18</v>
      </c>
      <c r="E47">
        <v>3000000</v>
      </c>
      <c r="F47">
        <v>5</v>
      </c>
      <c r="G47" s="1" t="s">
        <v>79</v>
      </c>
      <c r="I47" t="s">
        <v>44</v>
      </c>
      <c r="L47" s="2">
        <v>44341</v>
      </c>
      <c r="N47" s="3">
        <v>44341.672511574077</v>
      </c>
      <c r="O47" t="s">
        <v>21</v>
      </c>
      <c r="P47" t="s">
        <v>25</v>
      </c>
    </row>
    <row r="48" spans="1:16" ht="96" x14ac:dyDescent="0.2">
      <c r="A48" t="str">
        <f>HYPERLINK("https://www.grants.gov/view-opportunity.html?oppId=329611","FOR-FD-20-25")</f>
        <v>FOR-FD-20-25</v>
      </c>
      <c r="B48" t="s">
        <v>89</v>
      </c>
      <c r="C48" t="s">
        <v>17</v>
      </c>
      <c r="D48" t="s">
        <v>18</v>
      </c>
      <c r="G48" s="1" t="s">
        <v>67</v>
      </c>
      <c r="I48" t="s">
        <v>20</v>
      </c>
      <c r="L48" s="2">
        <v>44341</v>
      </c>
      <c r="N48" s="3">
        <v>44341.669039351851</v>
      </c>
      <c r="O48" t="s">
        <v>21</v>
      </c>
      <c r="P48" t="s">
        <v>25</v>
      </c>
    </row>
    <row r="49" spans="1:16" ht="96" x14ac:dyDescent="0.2">
      <c r="A49" t="str">
        <f>HYPERLINK("https://www.grants.gov/view-opportunity.html?oppId=330003","FOR-FD-20-027")</f>
        <v>FOR-FD-20-027</v>
      </c>
      <c r="B49" t="s">
        <v>90</v>
      </c>
      <c r="C49" t="s">
        <v>17</v>
      </c>
      <c r="D49" t="s">
        <v>18</v>
      </c>
      <c r="G49" s="1" t="s">
        <v>67</v>
      </c>
      <c r="I49" t="s">
        <v>20</v>
      </c>
      <c r="L49" s="2">
        <v>44341</v>
      </c>
      <c r="N49" s="3">
        <v>44341.662094907406</v>
      </c>
      <c r="O49" t="s">
        <v>21</v>
      </c>
      <c r="P49" t="s">
        <v>25</v>
      </c>
    </row>
    <row r="50" spans="1:16" ht="96" x14ac:dyDescent="0.2">
      <c r="A50" t="str">
        <f>HYPERLINK("https://www.grants.gov/view-opportunity.html?oppId=330294","FOR-FD-20-031")</f>
        <v>FOR-FD-20-031</v>
      </c>
      <c r="B50" t="s">
        <v>91</v>
      </c>
      <c r="C50" t="s">
        <v>17</v>
      </c>
      <c r="D50" t="s">
        <v>18</v>
      </c>
      <c r="G50" s="1" t="s">
        <v>67</v>
      </c>
      <c r="I50" t="s">
        <v>20</v>
      </c>
      <c r="L50" s="2">
        <v>44341</v>
      </c>
      <c r="N50" s="3">
        <v>44341.667650462965</v>
      </c>
      <c r="O50" t="s">
        <v>21</v>
      </c>
      <c r="P50" t="s">
        <v>25</v>
      </c>
    </row>
    <row r="51" spans="1:16" ht="96" x14ac:dyDescent="0.2">
      <c r="A51" t="str">
        <f>HYPERLINK("https://www.grants.gov/view-opportunity.html?oppId=330332","FOR-FD-21-004")</f>
        <v>FOR-FD-21-004</v>
      </c>
      <c r="B51" t="s">
        <v>92</v>
      </c>
      <c r="C51" t="s">
        <v>17</v>
      </c>
      <c r="D51" t="s">
        <v>18</v>
      </c>
      <c r="F51">
        <v>6</v>
      </c>
      <c r="G51" s="1" t="s">
        <v>81</v>
      </c>
      <c r="I51" t="s">
        <v>51</v>
      </c>
      <c r="L51" s="2">
        <v>44341</v>
      </c>
      <c r="N51" s="3">
        <v>44341.671122685184</v>
      </c>
      <c r="O51" t="s">
        <v>21</v>
      </c>
      <c r="P51" t="s">
        <v>25</v>
      </c>
    </row>
    <row r="52" spans="1:16" ht="96" x14ac:dyDescent="0.2">
      <c r="A52" t="str">
        <f>HYPERLINK("https://www.grants.gov/view-opportunity.html?oppId=324273","FOR-FD-20-001")</f>
        <v>FOR-FD-20-001</v>
      </c>
      <c r="B52" t="s">
        <v>93</v>
      </c>
      <c r="C52" t="s">
        <v>17</v>
      </c>
      <c r="D52" t="s">
        <v>18</v>
      </c>
      <c r="F52">
        <v>1</v>
      </c>
      <c r="G52" s="1" t="s">
        <v>67</v>
      </c>
      <c r="I52" t="s">
        <v>20</v>
      </c>
      <c r="L52" s="2">
        <v>44341</v>
      </c>
      <c r="N52" s="3">
        <v>44341.579456018517</v>
      </c>
      <c r="O52" t="s">
        <v>21</v>
      </c>
      <c r="P52" t="s">
        <v>25</v>
      </c>
    </row>
    <row r="53" spans="1:16" ht="96" x14ac:dyDescent="0.2">
      <c r="A53" t="str">
        <f>HYPERLINK("https://www.grants.gov/view-opportunity.html?oppId=324255","FOR-FD-20-002")</f>
        <v>FOR-FD-20-002</v>
      </c>
      <c r="B53" t="s">
        <v>94</v>
      </c>
      <c r="C53" t="s">
        <v>17</v>
      </c>
      <c r="D53" t="s">
        <v>18</v>
      </c>
      <c r="G53" s="1" t="s">
        <v>79</v>
      </c>
      <c r="I53" t="s">
        <v>44</v>
      </c>
      <c r="L53" s="2">
        <v>44341</v>
      </c>
      <c r="N53" s="3">
        <v>44341.58084490741</v>
      </c>
      <c r="O53" t="s">
        <v>21</v>
      </c>
      <c r="P53" t="s">
        <v>25</v>
      </c>
    </row>
    <row r="54" spans="1:16" ht="96" x14ac:dyDescent="0.2">
      <c r="A54" t="str">
        <f>HYPERLINK("https://www.grants.gov/view-opportunity.html?oppId=324256","FOR-FD-20-003")</f>
        <v>FOR-FD-20-003</v>
      </c>
      <c r="B54" t="s">
        <v>95</v>
      </c>
      <c r="C54" t="s">
        <v>17</v>
      </c>
      <c r="D54" t="s">
        <v>18</v>
      </c>
      <c r="G54" s="1" t="s">
        <v>79</v>
      </c>
      <c r="I54" t="s">
        <v>44</v>
      </c>
      <c r="L54" s="2">
        <v>44341</v>
      </c>
      <c r="N54" s="3">
        <v>44341.582928240743</v>
      </c>
      <c r="O54" t="s">
        <v>21</v>
      </c>
      <c r="P54" t="s">
        <v>25</v>
      </c>
    </row>
    <row r="55" spans="1:16" ht="96" x14ac:dyDescent="0.2">
      <c r="A55" t="str">
        <f>HYPERLINK("https://www.grants.gov/view-opportunity.html?oppId=324278","FOR-FD-20-004")</f>
        <v>FOR-FD-20-004</v>
      </c>
      <c r="B55" t="s">
        <v>96</v>
      </c>
      <c r="C55" t="s">
        <v>17</v>
      </c>
      <c r="D55" t="s">
        <v>18</v>
      </c>
      <c r="G55" s="1" t="s">
        <v>79</v>
      </c>
      <c r="I55" t="s">
        <v>44</v>
      </c>
      <c r="L55" s="2">
        <v>44341</v>
      </c>
      <c r="N55" s="3">
        <v>44341.584317129629</v>
      </c>
      <c r="O55" t="s">
        <v>21</v>
      </c>
      <c r="P55" t="s">
        <v>25</v>
      </c>
    </row>
    <row r="56" spans="1:16" ht="96" x14ac:dyDescent="0.2">
      <c r="A56" t="str">
        <f>HYPERLINK("https://www.grants.gov/view-opportunity.html?oppId=329610","FOR-FD-20-024")</f>
        <v>FOR-FD-20-024</v>
      </c>
      <c r="B56" t="s">
        <v>97</v>
      </c>
      <c r="C56" t="s">
        <v>17</v>
      </c>
      <c r="D56" t="s">
        <v>18</v>
      </c>
      <c r="G56" s="1" t="s">
        <v>67</v>
      </c>
      <c r="I56" t="s">
        <v>20</v>
      </c>
      <c r="L56" s="2">
        <v>44341</v>
      </c>
      <c r="N56" s="3">
        <v>44341.660011574073</v>
      </c>
      <c r="O56" t="s">
        <v>21</v>
      </c>
      <c r="P56" t="s">
        <v>25</v>
      </c>
    </row>
    <row r="57" spans="1:16" ht="96" x14ac:dyDescent="0.2">
      <c r="A57" t="str">
        <f>HYPERLINK("https://www.grants.gov/view-opportunity.html?oppId=329987","FOR-FD-20-025")</f>
        <v>FOR-FD-20-025</v>
      </c>
      <c r="B57" t="s">
        <v>98</v>
      </c>
      <c r="C57" t="s">
        <v>17</v>
      </c>
      <c r="D57" t="s">
        <v>18</v>
      </c>
      <c r="G57" s="1" t="s">
        <v>67</v>
      </c>
      <c r="I57" t="s">
        <v>20</v>
      </c>
      <c r="L57" s="2">
        <v>44341</v>
      </c>
      <c r="N57" s="3">
        <v>44341.66070601852</v>
      </c>
      <c r="O57" t="s">
        <v>21</v>
      </c>
      <c r="P57" t="s">
        <v>25</v>
      </c>
    </row>
    <row r="58" spans="1:16" ht="96" x14ac:dyDescent="0.2">
      <c r="A58" t="str">
        <f>HYPERLINK("https://www.grants.gov/view-opportunity.html?oppId=328700","FOR-FD-20-023")</f>
        <v>FOR-FD-20-023</v>
      </c>
      <c r="B58" t="s">
        <v>99</v>
      </c>
      <c r="C58" t="s">
        <v>17</v>
      </c>
      <c r="D58" t="s">
        <v>18</v>
      </c>
      <c r="F58">
        <v>2</v>
      </c>
      <c r="G58" s="1" t="s">
        <v>67</v>
      </c>
      <c r="I58" t="s">
        <v>33</v>
      </c>
      <c r="L58" s="2">
        <v>44341</v>
      </c>
      <c r="N58" s="3">
        <v>44341.659317129626</v>
      </c>
      <c r="O58" t="s">
        <v>21</v>
      </c>
      <c r="P58" t="s">
        <v>25</v>
      </c>
    </row>
    <row r="59" spans="1:16" ht="96" x14ac:dyDescent="0.2">
      <c r="A59" t="str">
        <f>HYPERLINK("https://www.grants.gov/view-opportunity.html?oppId=328720","FOR-FD-20-020")</f>
        <v>FOR-FD-20-020</v>
      </c>
      <c r="B59" t="s">
        <v>100</v>
      </c>
      <c r="C59" t="s">
        <v>17</v>
      </c>
      <c r="D59" t="s">
        <v>18</v>
      </c>
      <c r="F59">
        <v>1</v>
      </c>
      <c r="G59" s="1" t="s">
        <v>79</v>
      </c>
      <c r="I59" t="s">
        <v>101</v>
      </c>
      <c r="L59" s="2">
        <v>44341</v>
      </c>
      <c r="N59" s="3">
        <v>44341.656539351854</v>
      </c>
      <c r="O59" t="s">
        <v>21</v>
      </c>
      <c r="P59" t="s">
        <v>25</v>
      </c>
    </row>
    <row r="60" spans="1:16" ht="96" x14ac:dyDescent="0.2">
      <c r="A60" t="str">
        <f>HYPERLINK("https://www.grants.gov/view-opportunity.html?oppId=328721","FOR-FD-20-021")</f>
        <v>FOR-FD-20-021</v>
      </c>
      <c r="B60" t="s">
        <v>102</v>
      </c>
      <c r="C60" t="s">
        <v>17</v>
      </c>
      <c r="D60" t="s">
        <v>18</v>
      </c>
      <c r="F60">
        <v>1</v>
      </c>
      <c r="G60" s="1" t="s">
        <v>79</v>
      </c>
      <c r="I60" t="s">
        <v>101</v>
      </c>
      <c r="L60" s="2">
        <v>44341</v>
      </c>
      <c r="N60" s="3">
        <v>44341.65792824074</v>
      </c>
      <c r="O60" t="s">
        <v>21</v>
      </c>
      <c r="P60" t="s">
        <v>25</v>
      </c>
    </row>
    <row r="61" spans="1:16" ht="96" x14ac:dyDescent="0.2">
      <c r="A61" t="str">
        <f>HYPERLINK("https://www.grants.gov/view-opportunity.html?oppId=329988","FOR-FD-20-028")</f>
        <v>FOR-FD-20-028</v>
      </c>
      <c r="B61" t="s">
        <v>103</v>
      </c>
      <c r="C61" t="s">
        <v>17</v>
      </c>
      <c r="D61" t="s">
        <v>18</v>
      </c>
      <c r="G61" s="1" t="s">
        <v>67</v>
      </c>
      <c r="I61" t="s">
        <v>20</v>
      </c>
      <c r="L61" s="2">
        <v>44341</v>
      </c>
      <c r="N61" s="3">
        <v>44341.662789351853</v>
      </c>
      <c r="O61" t="s">
        <v>21</v>
      </c>
      <c r="P61" t="s">
        <v>25</v>
      </c>
    </row>
    <row r="62" spans="1:16" ht="144" x14ac:dyDescent="0.2">
      <c r="A62" t="str">
        <f>HYPERLINK("https://www.grants.gov/view-opportunity.html?oppId=333311","RFA-FD-21-032")</f>
        <v>RFA-FD-21-032</v>
      </c>
      <c r="B62" t="s">
        <v>104</v>
      </c>
      <c r="C62" t="s">
        <v>17</v>
      </c>
      <c r="D62" t="s">
        <v>18</v>
      </c>
      <c r="E62">
        <v>8000000</v>
      </c>
      <c r="F62">
        <v>5</v>
      </c>
      <c r="G62" s="1" t="s">
        <v>43</v>
      </c>
      <c r="I62" t="s">
        <v>44</v>
      </c>
      <c r="L62" s="2">
        <v>44321</v>
      </c>
      <c r="M62" s="2">
        <v>44383</v>
      </c>
      <c r="N62" s="3">
        <v>44321.488946759258</v>
      </c>
      <c r="O62" t="s">
        <v>21</v>
      </c>
      <c r="P62" t="s">
        <v>25</v>
      </c>
    </row>
    <row r="63" spans="1:16" ht="144" x14ac:dyDescent="0.2">
      <c r="A63" t="str">
        <f>HYPERLINK("https://www.grants.gov/view-opportunity.html?oppId=333252","RFA-FD-21-035")</f>
        <v>RFA-FD-21-035</v>
      </c>
      <c r="B63" t="s">
        <v>105</v>
      </c>
      <c r="C63" t="s">
        <v>17</v>
      </c>
      <c r="D63" t="s">
        <v>18</v>
      </c>
      <c r="F63">
        <v>1</v>
      </c>
      <c r="G63" s="1" t="s">
        <v>19</v>
      </c>
      <c r="I63" t="s">
        <v>20</v>
      </c>
      <c r="L63" s="2">
        <v>44319</v>
      </c>
      <c r="M63" s="2">
        <v>44383</v>
      </c>
      <c r="N63" s="3">
        <v>44319.459756944445</v>
      </c>
      <c r="O63" t="s">
        <v>21</v>
      </c>
      <c r="P63" t="s">
        <v>25</v>
      </c>
    </row>
    <row r="64" spans="1:16" ht="144" x14ac:dyDescent="0.2">
      <c r="A64" t="str">
        <f>HYPERLINK("https://www.grants.gov/view-opportunity.html?oppId=332890","RFA-FD-21-025")</f>
        <v>RFA-FD-21-025</v>
      </c>
      <c r="B64" t="s">
        <v>106</v>
      </c>
      <c r="C64" t="s">
        <v>17</v>
      </c>
      <c r="D64" t="s">
        <v>18</v>
      </c>
      <c r="F64">
        <v>1</v>
      </c>
      <c r="G64" s="1" t="s">
        <v>19</v>
      </c>
      <c r="I64" t="s">
        <v>20</v>
      </c>
      <c r="L64" s="2">
        <v>44302</v>
      </c>
      <c r="M64" s="2">
        <v>44340</v>
      </c>
      <c r="N64" s="3">
        <v>44302.297407407408</v>
      </c>
      <c r="O64" t="s">
        <v>21</v>
      </c>
      <c r="P64" t="s">
        <v>25</v>
      </c>
    </row>
    <row r="65" spans="1:16" ht="144" x14ac:dyDescent="0.2">
      <c r="A65" t="str">
        <f>HYPERLINK("https://www.grants.gov/view-opportunity.html?oppId=332828","RFA-FD-21-031")</f>
        <v>RFA-FD-21-031</v>
      </c>
      <c r="B65" t="s">
        <v>107</v>
      </c>
      <c r="C65" t="s">
        <v>17</v>
      </c>
      <c r="D65" t="s">
        <v>18</v>
      </c>
      <c r="F65">
        <v>1</v>
      </c>
      <c r="G65" s="1" t="s">
        <v>43</v>
      </c>
      <c r="I65" t="s">
        <v>44</v>
      </c>
      <c r="L65" s="2">
        <v>44298</v>
      </c>
      <c r="M65" s="2">
        <v>44390</v>
      </c>
      <c r="N65" s="3">
        <v>44298.777222222219</v>
      </c>
      <c r="O65" t="s">
        <v>36</v>
      </c>
      <c r="P65" t="s">
        <v>25</v>
      </c>
    </row>
    <row r="66" spans="1:16" ht="144" x14ac:dyDescent="0.2">
      <c r="A66" t="str">
        <f>HYPERLINK("https://www.grants.gov/view-opportunity.html?oppId=332471","RFA-FD-21-034")</f>
        <v>RFA-FD-21-034</v>
      </c>
      <c r="B66" t="s">
        <v>108</v>
      </c>
      <c r="C66" t="s">
        <v>17</v>
      </c>
      <c r="D66" t="s">
        <v>18</v>
      </c>
      <c r="E66">
        <v>3000000</v>
      </c>
      <c r="F66">
        <v>5</v>
      </c>
      <c r="G66" s="1" t="s">
        <v>43</v>
      </c>
      <c r="I66" t="s">
        <v>44</v>
      </c>
      <c r="L66" s="2">
        <v>44285</v>
      </c>
      <c r="M66" s="2">
        <v>44344</v>
      </c>
      <c r="N66" s="3">
        <v>44335.947442129633</v>
      </c>
      <c r="O66" t="s">
        <v>28</v>
      </c>
      <c r="P66" t="s">
        <v>25</v>
      </c>
    </row>
    <row r="67" spans="1:16" ht="144" x14ac:dyDescent="0.2">
      <c r="A67" t="str">
        <f>HYPERLINK("https://www.grants.gov/view-opportunity.html?oppId=332381","RFA-FD-21-030")</f>
        <v>RFA-FD-21-030</v>
      </c>
      <c r="B67" t="s">
        <v>109</v>
      </c>
      <c r="C67" t="s">
        <v>17</v>
      </c>
      <c r="D67" t="s">
        <v>18</v>
      </c>
      <c r="F67">
        <v>1</v>
      </c>
      <c r="G67" s="1" t="s">
        <v>110</v>
      </c>
      <c r="I67" t="s">
        <v>72</v>
      </c>
      <c r="L67" s="2">
        <v>44280</v>
      </c>
      <c r="M67" s="2">
        <v>44361</v>
      </c>
      <c r="N67" s="3">
        <v>44343.273229166669</v>
      </c>
      <c r="O67" t="s">
        <v>24</v>
      </c>
      <c r="P67" t="s">
        <v>25</v>
      </c>
    </row>
    <row r="68" spans="1:16" ht="144" x14ac:dyDescent="0.2">
      <c r="A68" t="str">
        <f>HYPERLINK("https://www.grants.gov/view-opportunity.html?oppId=332170","RFA-FD-21-026")</f>
        <v>RFA-FD-21-026</v>
      </c>
      <c r="B68" t="s">
        <v>111</v>
      </c>
      <c r="C68" t="s">
        <v>17</v>
      </c>
      <c r="D68" t="s">
        <v>18</v>
      </c>
      <c r="F68">
        <v>1</v>
      </c>
      <c r="G68" s="1" t="s">
        <v>19</v>
      </c>
      <c r="I68" t="s">
        <v>20</v>
      </c>
      <c r="L68" s="2">
        <v>44272</v>
      </c>
      <c r="M68" s="2">
        <v>44340</v>
      </c>
      <c r="N68" s="3">
        <v>44272.614085648151</v>
      </c>
      <c r="O68" t="s">
        <v>21</v>
      </c>
      <c r="P68" t="s">
        <v>25</v>
      </c>
    </row>
    <row r="69" spans="1:16" ht="144" x14ac:dyDescent="0.2">
      <c r="A69" s="4" t="str">
        <f>HYPERLINK("https://www.grants.gov/view-opportunity.html?oppId=332167","RFA-FD-21-025")</f>
        <v>RFA-FD-21-025</v>
      </c>
      <c r="B69" t="s">
        <v>106</v>
      </c>
      <c r="C69" t="s">
        <v>17</v>
      </c>
      <c r="D69" t="s">
        <v>18</v>
      </c>
      <c r="F69">
        <v>1</v>
      </c>
      <c r="G69" s="1" t="s">
        <v>19</v>
      </c>
      <c r="I69" t="s">
        <v>20</v>
      </c>
      <c r="L69" s="2">
        <v>44272</v>
      </c>
      <c r="M69" s="2">
        <v>44340</v>
      </c>
      <c r="N69" s="3">
        <v>44272.588391203702</v>
      </c>
      <c r="O69" t="s">
        <v>21</v>
      </c>
      <c r="P69" t="s">
        <v>25</v>
      </c>
    </row>
    <row r="70" spans="1:16" ht="144" x14ac:dyDescent="0.2">
      <c r="A70" t="str">
        <f>HYPERLINK("https://www.grants.gov/view-opportunity.html?oppId=332098","RFA-FD-21-033")</f>
        <v>RFA-FD-21-033</v>
      </c>
      <c r="B70" t="s">
        <v>112</v>
      </c>
      <c r="C70" t="s">
        <v>17</v>
      </c>
      <c r="D70" t="s">
        <v>18</v>
      </c>
      <c r="E70">
        <v>2000000</v>
      </c>
      <c r="F70">
        <v>4</v>
      </c>
      <c r="G70" s="1" t="s">
        <v>113</v>
      </c>
      <c r="I70" t="s">
        <v>44</v>
      </c>
      <c r="L70" s="2">
        <v>44269</v>
      </c>
      <c r="M70" s="2">
        <v>44334</v>
      </c>
      <c r="N70" s="3">
        <v>44269.520995370367</v>
      </c>
      <c r="O70" t="s">
        <v>21</v>
      </c>
      <c r="P70" t="s">
        <v>25</v>
      </c>
    </row>
    <row r="71" spans="1:16" ht="144" x14ac:dyDescent="0.2">
      <c r="A71" t="str">
        <f>HYPERLINK("https://www.grants.gov/view-opportunity.html?oppId=332074","RFA-FD-21-022")</f>
        <v>RFA-FD-21-022</v>
      </c>
      <c r="B71" t="s">
        <v>114</v>
      </c>
      <c r="C71" t="s">
        <v>17</v>
      </c>
      <c r="D71" t="s">
        <v>18</v>
      </c>
      <c r="F71">
        <v>1</v>
      </c>
      <c r="G71" s="1" t="s">
        <v>19</v>
      </c>
      <c r="I71" t="s">
        <v>20</v>
      </c>
      <c r="L71" s="2">
        <v>44267</v>
      </c>
      <c r="M71" s="2">
        <v>44333</v>
      </c>
      <c r="N71" s="3">
        <v>44267.60361111111</v>
      </c>
      <c r="O71" t="s">
        <v>21</v>
      </c>
      <c r="P71" t="s">
        <v>25</v>
      </c>
    </row>
    <row r="72" spans="1:16" ht="144" x14ac:dyDescent="0.2">
      <c r="A72" t="str">
        <f>HYPERLINK("https://www.grants.gov/view-opportunity.html?oppId=331906","RFA-FD-22-002")</f>
        <v>RFA-FD-22-002</v>
      </c>
      <c r="B72" t="s">
        <v>115</v>
      </c>
      <c r="C72" t="s">
        <v>17</v>
      </c>
      <c r="D72" t="s">
        <v>18</v>
      </c>
      <c r="E72">
        <v>750000</v>
      </c>
      <c r="F72">
        <v>3</v>
      </c>
      <c r="G72" s="1" t="s">
        <v>62</v>
      </c>
      <c r="I72" t="s">
        <v>51</v>
      </c>
      <c r="L72" s="2">
        <v>44260</v>
      </c>
      <c r="M72" s="2">
        <v>44349</v>
      </c>
      <c r="N72" s="3">
        <v>44260.332696759258</v>
      </c>
      <c r="O72" t="s">
        <v>21</v>
      </c>
      <c r="P72" t="s">
        <v>25</v>
      </c>
    </row>
    <row r="73" spans="1:16" ht="144" x14ac:dyDescent="0.2">
      <c r="A73" t="str">
        <f>HYPERLINK("https://www.grants.gov/view-opportunity.html?oppId=331662","RFA-FD-21-020")</f>
        <v>RFA-FD-21-020</v>
      </c>
      <c r="B73" t="s">
        <v>116</v>
      </c>
      <c r="C73" t="s">
        <v>17</v>
      </c>
      <c r="D73" t="s">
        <v>18</v>
      </c>
      <c r="F73">
        <v>1</v>
      </c>
      <c r="G73" s="1" t="s">
        <v>19</v>
      </c>
      <c r="I73" t="s">
        <v>20</v>
      </c>
      <c r="L73" s="2">
        <v>44249</v>
      </c>
      <c r="M73" s="2">
        <v>44312</v>
      </c>
      <c r="N73" s="3">
        <v>44249.496087962965</v>
      </c>
      <c r="O73" t="s">
        <v>21</v>
      </c>
      <c r="P73" t="s">
        <v>25</v>
      </c>
    </row>
    <row r="74" spans="1:16" ht="144" x14ac:dyDescent="0.2">
      <c r="A74" t="str">
        <f>HYPERLINK("https://www.grants.gov/view-opportunity.html?oppId=331591","RFA-FD-21-017")</f>
        <v>RFA-FD-21-017</v>
      </c>
      <c r="B74" t="s">
        <v>117</v>
      </c>
      <c r="C74" t="s">
        <v>17</v>
      </c>
      <c r="D74" t="s">
        <v>18</v>
      </c>
      <c r="F74">
        <v>1</v>
      </c>
      <c r="G74" s="1" t="s">
        <v>19</v>
      </c>
      <c r="I74" t="s">
        <v>20</v>
      </c>
      <c r="L74" s="2">
        <v>44245</v>
      </c>
      <c r="M74" s="2">
        <v>44341</v>
      </c>
      <c r="N74" s="3">
        <v>44245.477986111109</v>
      </c>
      <c r="O74" t="s">
        <v>21</v>
      </c>
      <c r="P74" t="s">
        <v>25</v>
      </c>
    </row>
    <row r="75" spans="1:16" ht="144" x14ac:dyDescent="0.2">
      <c r="A75" t="str">
        <f>HYPERLINK("https://www.grants.gov/view-opportunity.html?oppId=331593","RFA-FD-21-029")</f>
        <v>RFA-FD-21-029</v>
      </c>
      <c r="B75" t="s">
        <v>118</v>
      </c>
      <c r="C75" t="s">
        <v>17</v>
      </c>
      <c r="D75" t="s">
        <v>18</v>
      </c>
      <c r="E75">
        <v>3000000</v>
      </c>
      <c r="F75">
        <v>1</v>
      </c>
      <c r="G75" s="1" t="s">
        <v>43</v>
      </c>
      <c r="I75" t="s">
        <v>44</v>
      </c>
      <c r="L75" s="2">
        <v>44245</v>
      </c>
      <c r="M75" s="2">
        <v>44309</v>
      </c>
      <c r="N75" s="3">
        <v>44265.719560185185</v>
      </c>
      <c r="O75" t="s">
        <v>119</v>
      </c>
      <c r="P75" t="s">
        <v>25</v>
      </c>
    </row>
    <row r="76" spans="1:16" ht="144" x14ac:dyDescent="0.2">
      <c r="A76" t="str">
        <f>HYPERLINK("https://www.grants.gov/view-opportunity.html?oppId=331582","RFA-FD-21-019")</f>
        <v>RFA-FD-21-019</v>
      </c>
      <c r="B76" t="s">
        <v>120</v>
      </c>
      <c r="C76" t="s">
        <v>17</v>
      </c>
      <c r="D76" t="s">
        <v>18</v>
      </c>
      <c r="F76">
        <v>2</v>
      </c>
      <c r="G76" s="1" t="s">
        <v>19</v>
      </c>
      <c r="I76" t="s">
        <v>20</v>
      </c>
      <c r="L76" s="2">
        <v>44244</v>
      </c>
      <c r="M76" s="2">
        <v>44308</v>
      </c>
      <c r="N76" s="3">
        <v>44244.573807870373</v>
      </c>
      <c r="O76" t="s">
        <v>21</v>
      </c>
      <c r="P76" t="s">
        <v>25</v>
      </c>
    </row>
    <row r="77" spans="1:16" ht="144" x14ac:dyDescent="0.2">
      <c r="A77" t="str">
        <f>HYPERLINK("https://www.grants.gov/view-opportunity.html?oppId=331581","RFA-FD-21-024")</f>
        <v>RFA-FD-21-024</v>
      </c>
      <c r="B77" t="s">
        <v>121</v>
      </c>
      <c r="C77" t="s">
        <v>17</v>
      </c>
      <c r="D77" t="s">
        <v>18</v>
      </c>
      <c r="F77">
        <v>1</v>
      </c>
      <c r="G77" s="1" t="s">
        <v>110</v>
      </c>
      <c r="I77" t="s">
        <v>72</v>
      </c>
      <c r="L77" s="2">
        <v>44244</v>
      </c>
      <c r="M77" s="2">
        <v>44305</v>
      </c>
      <c r="N77" s="3">
        <v>44244.579363425924</v>
      </c>
      <c r="O77" t="s">
        <v>21</v>
      </c>
      <c r="P77" t="s">
        <v>25</v>
      </c>
    </row>
    <row r="78" spans="1:16" ht="144" x14ac:dyDescent="0.2">
      <c r="A78" t="str">
        <f>HYPERLINK("https://www.grants.gov/view-opportunity.html?oppId=331047","RFA-FD-21-028")</f>
        <v>RFA-FD-21-028</v>
      </c>
      <c r="B78" t="s">
        <v>122</v>
      </c>
      <c r="C78" t="s">
        <v>17</v>
      </c>
      <c r="D78" t="s">
        <v>18</v>
      </c>
      <c r="E78">
        <v>10000000</v>
      </c>
      <c r="F78">
        <v>1</v>
      </c>
      <c r="G78" s="1" t="s">
        <v>43</v>
      </c>
      <c r="I78" t="s">
        <v>44</v>
      </c>
      <c r="L78" s="2">
        <v>44218</v>
      </c>
      <c r="M78" s="2">
        <v>44277</v>
      </c>
      <c r="N78" s="3">
        <v>44221.50167824074</v>
      </c>
      <c r="O78" t="s">
        <v>119</v>
      </c>
      <c r="P78" t="s">
        <v>25</v>
      </c>
    </row>
    <row r="79" spans="1:16" ht="144" x14ac:dyDescent="0.2">
      <c r="A79" t="str">
        <f>HYPERLINK("https://www.grants.gov/view-opportunity.html?oppId=330941","RFA-FD-21-021")</f>
        <v>RFA-FD-21-021</v>
      </c>
      <c r="B79" t="s">
        <v>123</v>
      </c>
      <c r="C79" t="s">
        <v>17</v>
      </c>
      <c r="D79" t="s">
        <v>18</v>
      </c>
      <c r="F79">
        <v>1</v>
      </c>
      <c r="G79" s="1" t="s">
        <v>19</v>
      </c>
      <c r="I79" t="s">
        <v>20</v>
      </c>
      <c r="L79" s="2">
        <v>44210</v>
      </c>
      <c r="M79" s="2">
        <v>44273</v>
      </c>
      <c r="N79" s="3">
        <v>44210.607106481482</v>
      </c>
      <c r="O79" t="s">
        <v>21</v>
      </c>
      <c r="P79" t="s">
        <v>25</v>
      </c>
    </row>
    <row r="80" spans="1:16" ht="144" x14ac:dyDescent="0.2">
      <c r="A80" t="str">
        <f>HYPERLINK("https://www.grants.gov/view-opportunity.html?oppId=330749","RFA-FD-21-023")</f>
        <v>RFA-FD-21-023</v>
      </c>
      <c r="B80" t="s">
        <v>124</v>
      </c>
      <c r="C80" t="s">
        <v>17</v>
      </c>
      <c r="D80" t="s">
        <v>18</v>
      </c>
      <c r="F80">
        <v>1</v>
      </c>
      <c r="G80" s="1" t="s">
        <v>110</v>
      </c>
      <c r="I80" t="s">
        <v>72</v>
      </c>
      <c r="L80" s="2">
        <v>44204</v>
      </c>
      <c r="M80" s="2">
        <v>44245</v>
      </c>
      <c r="N80" s="3">
        <v>44245.552291666667</v>
      </c>
      <c r="O80" t="s">
        <v>24</v>
      </c>
      <c r="P80" t="s">
        <v>25</v>
      </c>
    </row>
    <row r="81" spans="1:16" ht="144" x14ac:dyDescent="0.2">
      <c r="A81" t="str">
        <f>HYPERLINK("https://www.grants.gov/view-opportunity.html?oppId=330752","RFA-FD-21-018")</f>
        <v>RFA-FD-21-018</v>
      </c>
      <c r="B81" t="s">
        <v>125</v>
      </c>
      <c r="C81" t="s">
        <v>17</v>
      </c>
      <c r="D81" t="s">
        <v>18</v>
      </c>
      <c r="F81">
        <v>5</v>
      </c>
      <c r="G81" s="1" t="s">
        <v>19</v>
      </c>
      <c r="I81" t="s">
        <v>20</v>
      </c>
      <c r="L81" s="2">
        <v>44203</v>
      </c>
      <c r="M81" s="2">
        <v>44270</v>
      </c>
      <c r="N81" s="3">
        <v>44203.645914351851</v>
      </c>
      <c r="O81" t="s">
        <v>21</v>
      </c>
      <c r="P81" t="s">
        <v>25</v>
      </c>
    </row>
    <row r="82" spans="1:16" ht="144" x14ac:dyDescent="0.2">
      <c r="A82" t="str">
        <f>HYPERLINK("https://www.grants.gov/view-opportunity.html?oppId=330774","RFA-FD-21-016")</f>
        <v>RFA-FD-21-016</v>
      </c>
      <c r="B82" t="s">
        <v>126</v>
      </c>
      <c r="C82" t="s">
        <v>17</v>
      </c>
      <c r="D82" t="s">
        <v>18</v>
      </c>
      <c r="F82">
        <v>1</v>
      </c>
      <c r="G82" s="1" t="s">
        <v>19</v>
      </c>
      <c r="I82" t="s">
        <v>20</v>
      </c>
      <c r="L82" s="2">
        <v>44203</v>
      </c>
      <c r="M82" s="2">
        <v>44286</v>
      </c>
      <c r="N82" s="3">
        <v>44203.650775462964</v>
      </c>
      <c r="O82" t="s">
        <v>21</v>
      </c>
      <c r="P82" t="s">
        <v>25</v>
      </c>
    </row>
    <row r="83" spans="1:16" ht="144" x14ac:dyDescent="0.2">
      <c r="A83" t="str">
        <f>HYPERLINK("https://www.grants.gov/view-opportunity.html?oppId=330747","RFA-FD-21-015")</f>
        <v>RFA-FD-21-015</v>
      </c>
      <c r="B83" t="s">
        <v>127</v>
      </c>
      <c r="C83" t="s">
        <v>17</v>
      </c>
      <c r="D83" t="s">
        <v>18</v>
      </c>
      <c r="F83">
        <v>2</v>
      </c>
      <c r="G83" s="1" t="s">
        <v>19</v>
      </c>
      <c r="I83" t="s">
        <v>20</v>
      </c>
      <c r="L83" s="2">
        <v>44203</v>
      </c>
      <c r="M83" s="2">
        <v>44270</v>
      </c>
      <c r="N83" s="3">
        <v>44203.444525462961</v>
      </c>
      <c r="O83" t="s">
        <v>21</v>
      </c>
      <c r="P83" t="s">
        <v>25</v>
      </c>
    </row>
    <row r="84" spans="1:16" ht="144" x14ac:dyDescent="0.2">
      <c r="A84" t="str">
        <f>HYPERLINK("https://www.grants.gov/view-opportunity.html?oppId=330745","RFA-FD-21-012")</f>
        <v>RFA-FD-21-012</v>
      </c>
      <c r="B84" t="s">
        <v>128</v>
      </c>
      <c r="C84" t="s">
        <v>17</v>
      </c>
      <c r="D84" t="s">
        <v>18</v>
      </c>
      <c r="F84">
        <v>2</v>
      </c>
      <c r="G84" s="1" t="s">
        <v>19</v>
      </c>
      <c r="I84" t="s">
        <v>20</v>
      </c>
      <c r="L84" s="2">
        <v>44203</v>
      </c>
      <c r="M84" s="2">
        <v>44270</v>
      </c>
      <c r="N84" s="3">
        <v>44203.434108796297</v>
      </c>
      <c r="O84" t="s">
        <v>21</v>
      </c>
      <c r="P84" t="s">
        <v>25</v>
      </c>
    </row>
    <row r="85" spans="1:16" ht="144" x14ac:dyDescent="0.2">
      <c r="A85" t="str">
        <f>HYPERLINK("https://www.grants.gov/view-opportunity.html?oppId=330753","RFA-FD-21-027")</f>
        <v>RFA-FD-21-027</v>
      </c>
      <c r="B85" t="s">
        <v>129</v>
      </c>
      <c r="C85" t="s">
        <v>17</v>
      </c>
      <c r="D85" t="s">
        <v>18</v>
      </c>
      <c r="F85">
        <v>1</v>
      </c>
      <c r="G85" s="1" t="s">
        <v>19</v>
      </c>
      <c r="I85" t="s">
        <v>20</v>
      </c>
      <c r="L85" s="2">
        <v>44203</v>
      </c>
      <c r="M85" s="2">
        <v>44273</v>
      </c>
      <c r="N85" s="3">
        <v>44203.658414351848</v>
      </c>
      <c r="O85" t="s">
        <v>21</v>
      </c>
      <c r="P85" t="s">
        <v>25</v>
      </c>
    </row>
    <row r="86" spans="1:16" ht="144" x14ac:dyDescent="0.2">
      <c r="A86" t="str">
        <f>HYPERLINK("https://www.grants.gov/view-opportunity.html?oppId=330307","RFA-FD-21-010")</f>
        <v>RFA-FD-21-010</v>
      </c>
      <c r="B86" t="s">
        <v>130</v>
      </c>
      <c r="C86" t="s">
        <v>17</v>
      </c>
      <c r="D86" t="s">
        <v>18</v>
      </c>
      <c r="F86">
        <v>1</v>
      </c>
      <c r="G86" s="1" t="s">
        <v>110</v>
      </c>
      <c r="I86" t="s">
        <v>72</v>
      </c>
      <c r="L86" s="2">
        <v>44179</v>
      </c>
      <c r="M86" s="2">
        <v>44239</v>
      </c>
      <c r="N86" s="3">
        <v>44175.625115740739</v>
      </c>
      <c r="O86" t="s">
        <v>21</v>
      </c>
      <c r="P86" t="s">
        <v>25</v>
      </c>
    </row>
    <row r="87" spans="1:16" ht="144" x14ac:dyDescent="0.2">
      <c r="A87" t="str">
        <f>HYPERLINK("https://www.grants.gov/view-opportunity.html?oppId=330384","RFA-FD-21-011")</f>
        <v>RFA-FD-21-011</v>
      </c>
      <c r="B87" t="s">
        <v>131</v>
      </c>
      <c r="C87" t="s">
        <v>17</v>
      </c>
      <c r="D87" t="s">
        <v>18</v>
      </c>
      <c r="F87">
        <v>1</v>
      </c>
      <c r="G87" s="1" t="s">
        <v>110</v>
      </c>
      <c r="I87" t="s">
        <v>72</v>
      </c>
      <c r="L87" s="2">
        <v>44179</v>
      </c>
      <c r="M87" s="2">
        <v>44239</v>
      </c>
      <c r="N87" s="3">
        <v>44179.516828703701</v>
      </c>
      <c r="O87" t="s">
        <v>21</v>
      </c>
      <c r="P87" t="s">
        <v>25</v>
      </c>
    </row>
    <row r="88" spans="1:16" ht="144" x14ac:dyDescent="0.2">
      <c r="A88" t="str">
        <f>HYPERLINK("https://www.grants.gov/view-opportunity.html?oppId=330320","RFA-FD-21-014")</f>
        <v>RFA-FD-21-014</v>
      </c>
      <c r="B88" t="s">
        <v>132</v>
      </c>
      <c r="C88" t="s">
        <v>17</v>
      </c>
      <c r="D88" t="s">
        <v>18</v>
      </c>
      <c r="F88">
        <v>3</v>
      </c>
      <c r="G88" s="1" t="s">
        <v>19</v>
      </c>
      <c r="I88" t="s">
        <v>20</v>
      </c>
      <c r="L88" s="2">
        <v>44175</v>
      </c>
      <c r="M88" s="2">
        <v>44280</v>
      </c>
      <c r="N88" s="3">
        <v>44237.677893518521</v>
      </c>
      <c r="O88" t="s">
        <v>24</v>
      </c>
      <c r="P88" t="s">
        <v>25</v>
      </c>
    </row>
    <row r="89" spans="1:16" ht="144" x14ac:dyDescent="0.2">
      <c r="A89" t="str">
        <f>HYPERLINK("https://www.grants.gov/view-opportunity.html?oppId=330299","RFA-FD-21-013")</f>
        <v>RFA-FD-21-013</v>
      </c>
      <c r="B89" t="s">
        <v>133</v>
      </c>
      <c r="C89" t="s">
        <v>17</v>
      </c>
      <c r="D89" t="s">
        <v>18</v>
      </c>
      <c r="F89">
        <v>3</v>
      </c>
      <c r="G89" s="1" t="s">
        <v>19</v>
      </c>
      <c r="I89" t="s">
        <v>20</v>
      </c>
      <c r="L89" s="2">
        <v>44175</v>
      </c>
      <c r="M89" s="2">
        <v>44245</v>
      </c>
      <c r="N89" s="3">
        <v>44243.409212962964</v>
      </c>
      <c r="O89" t="s">
        <v>24</v>
      </c>
      <c r="P89" t="s">
        <v>25</v>
      </c>
    </row>
    <row r="90" spans="1:16" ht="144" x14ac:dyDescent="0.2">
      <c r="A90" t="str">
        <f>HYPERLINK("https://www.grants.gov/view-opportunity.html?oppId=330193","RFA-FD-21-006")</f>
        <v>RFA-FD-21-006</v>
      </c>
      <c r="B90" t="s">
        <v>134</v>
      </c>
      <c r="C90" t="s">
        <v>17</v>
      </c>
      <c r="D90" t="s">
        <v>18</v>
      </c>
      <c r="F90">
        <v>1</v>
      </c>
      <c r="G90" s="1" t="s">
        <v>110</v>
      </c>
      <c r="I90" t="s">
        <v>72</v>
      </c>
      <c r="L90" s="2">
        <v>44168</v>
      </c>
      <c r="M90" s="2">
        <v>44228</v>
      </c>
      <c r="N90" s="3">
        <v>44168.576423611114</v>
      </c>
      <c r="O90" t="s">
        <v>21</v>
      </c>
      <c r="P90" t="s">
        <v>25</v>
      </c>
    </row>
    <row r="91" spans="1:16" ht="144" x14ac:dyDescent="0.2">
      <c r="A91" t="str">
        <f>HYPERLINK("https://www.grants.gov/view-opportunity.html?oppId=330168","RFA-FD-21-009")</f>
        <v>RFA-FD-21-009</v>
      </c>
      <c r="B91" t="s">
        <v>135</v>
      </c>
      <c r="C91" t="s">
        <v>17</v>
      </c>
      <c r="D91" t="s">
        <v>18</v>
      </c>
      <c r="F91">
        <v>1</v>
      </c>
      <c r="G91" s="1" t="s">
        <v>110</v>
      </c>
      <c r="I91" t="s">
        <v>72</v>
      </c>
      <c r="L91" s="2">
        <v>44168</v>
      </c>
      <c r="M91" s="2">
        <v>44228</v>
      </c>
      <c r="N91" s="3">
        <v>44168.502812500003</v>
      </c>
      <c r="O91" t="s">
        <v>21</v>
      </c>
      <c r="P91" t="s">
        <v>25</v>
      </c>
    </row>
    <row r="92" spans="1:16" ht="144" x14ac:dyDescent="0.2">
      <c r="A92" t="str">
        <f>HYPERLINK("https://www.grants.gov/view-opportunity.html?oppId=329766","RFA-FD-21-008")</f>
        <v>RFA-FD-21-008</v>
      </c>
      <c r="B92" t="s">
        <v>136</v>
      </c>
      <c r="C92" t="s">
        <v>17</v>
      </c>
      <c r="D92" t="s">
        <v>18</v>
      </c>
      <c r="F92">
        <v>1</v>
      </c>
      <c r="G92" s="1" t="s">
        <v>110</v>
      </c>
      <c r="I92" t="s">
        <v>72</v>
      </c>
      <c r="L92" s="2">
        <v>44144</v>
      </c>
      <c r="M92" s="2">
        <v>44204</v>
      </c>
      <c r="N92" s="3">
        <v>44144.657048611109</v>
      </c>
      <c r="O92" t="s">
        <v>21</v>
      </c>
      <c r="P92" t="s">
        <v>25</v>
      </c>
    </row>
    <row r="93" spans="1:16" ht="144" x14ac:dyDescent="0.2">
      <c r="A93" t="str">
        <f>HYPERLINK("https://www.grants.gov/view-opportunity.html?oppId=328044","RFA-FD-21-004")</f>
        <v>RFA-FD-21-004</v>
      </c>
      <c r="B93" t="s">
        <v>137</v>
      </c>
      <c r="C93" t="s">
        <v>17</v>
      </c>
      <c r="D93" t="s">
        <v>18</v>
      </c>
      <c r="E93">
        <v>4100000</v>
      </c>
      <c r="F93">
        <v>3</v>
      </c>
      <c r="G93" s="1" t="s">
        <v>19</v>
      </c>
      <c r="I93" t="s">
        <v>20</v>
      </c>
      <c r="L93" s="2">
        <v>44021</v>
      </c>
      <c r="M93" s="2">
        <v>44118</v>
      </c>
      <c r="N93" s="3">
        <v>44021.482048611113</v>
      </c>
      <c r="O93" t="s">
        <v>21</v>
      </c>
      <c r="P93" t="s">
        <v>25</v>
      </c>
    </row>
    <row r="94" spans="1:16" ht="144" x14ac:dyDescent="0.2">
      <c r="A94" t="str">
        <f>HYPERLINK("https://www.grants.gov/view-opportunity.html?oppId=328024","RFA-FD-21-002")</f>
        <v>RFA-FD-21-002</v>
      </c>
      <c r="B94" t="s">
        <v>138</v>
      </c>
      <c r="C94" t="s">
        <v>17</v>
      </c>
      <c r="D94" t="s">
        <v>18</v>
      </c>
      <c r="E94">
        <v>2500000</v>
      </c>
      <c r="F94">
        <v>1</v>
      </c>
      <c r="G94" s="1" t="s">
        <v>19</v>
      </c>
      <c r="I94" t="s">
        <v>20</v>
      </c>
      <c r="L94" s="2">
        <v>44020</v>
      </c>
      <c r="M94" s="2">
        <v>44117</v>
      </c>
      <c r="N94" s="3">
        <v>44020.475787037038</v>
      </c>
      <c r="O94" t="s">
        <v>24</v>
      </c>
      <c r="P94" t="s">
        <v>25</v>
      </c>
    </row>
    <row r="95" spans="1:16" ht="96" x14ac:dyDescent="0.2">
      <c r="A95" t="str">
        <f>HYPERLINK("https://www.grants.gov/view-opportunity.html?oppId=326305","RFA-FD-21-003")</f>
        <v>RFA-FD-21-003</v>
      </c>
      <c r="B95" t="s">
        <v>139</v>
      </c>
      <c r="C95" t="s">
        <v>17</v>
      </c>
      <c r="D95" t="s">
        <v>18</v>
      </c>
      <c r="E95">
        <v>2000000</v>
      </c>
      <c r="F95">
        <v>1</v>
      </c>
      <c r="G95" s="1" t="s">
        <v>81</v>
      </c>
      <c r="I95" t="s">
        <v>51</v>
      </c>
      <c r="L95" s="2">
        <v>43934</v>
      </c>
      <c r="M95" s="2">
        <v>44022</v>
      </c>
      <c r="N95" s="3">
        <v>43969.596736111111</v>
      </c>
      <c r="O95" t="s">
        <v>24</v>
      </c>
      <c r="P95" t="s">
        <v>25</v>
      </c>
    </row>
    <row r="96" spans="1:16" ht="144" x14ac:dyDescent="0.2">
      <c r="A96" t="str">
        <f>HYPERLINK("https://www.grants.gov/view-opportunity.html?oppId=326160","RFA-FD-20-032")</f>
        <v>RFA-FD-20-032</v>
      </c>
      <c r="B96" t="s">
        <v>78</v>
      </c>
      <c r="C96" t="s">
        <v>17</v>
      </c>
      <c r="D96" t="s">
        <v>18</v>
      </c>
      <c r="F96">
        <v>2</v>
      </c>
      <c r="G96" s="1" t="s">
        <v>43</v>
      </c>
      <c r="I96" t="s">
        <v>44</v>
      </c>
      <c r="L96" s="2">
        <v>43929</v>
      </c>
      <c r="M96" s="2">
        <v>44005</v>
      </c>
      <c r="N96" s="3">
        <v>43929.755648148152</v>
      </c>
      <c r="O96" t="s">
        <v>21</v>
      </c>
      <c r="P96" t="s">
        <v>25</v>
      </c>
    </row>
    <row r="97" spans="1:16" ht="144" x14ac:dyDescent="0.2">
      <c r="A97" t="str">
        <f>HYPERLINK("https://www.grants.gov/view-opportunity.html?oppId=326030","RFA-FD-20-033")</f>
        <v>RFA-FD-20-033</v>
      </c>
      <c r="B97" t="s">
        <v>140</v>
      </c>
      <c r="C97" t="s">
        <v>17</v>
      </c>
      <c r="D97" t="s">
        <v>18</v>
      </c>
      <c r="F97">
        <v>1</v>
      </c>
      <c r="G97" s="1" t="s">
        <v>19</v>
      </c>
      <c r="I97" t="s">
        <v>20</v>
      </c>
      <c r="L97" s="2">
        <v>43924</v>
      </c>
      <c r="M97" s="2">
        <v>43990</v>
      </c>
      <c r="N97" s="3">
        <v>43924.582673611112</v>
      </c>
      <c r="O97" t="s">
        <v>21</v>
      </c>
      <c r="P97" t="s">
        <v>25</v>
      </c>
    </row>
    <row r="98" spans="1:16" ht="144" x14ac:dyDescent="0.2">
      <c r="A98" t="str">
        <f>HYPERLINK("https://www.grants.gov/view-opportunity.html?oppId=325962","RFA-FD-20-029")</f>
        <v>RFA-FD-20-029</v>
      </c>
      <c r="B98" t="s">
        <v>141</v>
      </c>
      <c r="C98" t="s">
        <v>17</v>
      </c>
      <c r="D98" t="s">
        <v>18</v>
      </c>
      <c r="F98">
        <v>1</v>
      </c>
      <c r="G98" s="1" t="s">
        <v>19</v>
      </c>
      <c r="I98" t="s">
        <v>20</v>
      </c>
      <c r="L98" s="2">
        <v>43922</v>
      </c>
      <c r="M98" s="2">
        <v>43983</v>
      </c>
      <c r="N98" s="3">
        <v>43922.604872685188</v>
      </c>
      <c r="O98" t="s">
        <v>21</v>
      </c>
      <c r="P98" t="s">
        <v>25</v>
      </c>
    </row>
    <row r="99" spans="1:16" ht="144" x14ac:dyDescent="0.2">
      <c r="A99" t="str">
        <f>HYPERLINK("https://www.grants.gov/view-opportunity.html?oppId=325919","RFA-FD-20-034")</f>
        <v>RFA-FD-20-034</v>
      </c>
      <c r="B99" t="s">
        <v>142</v>
      </c>
      <c r="C99" t="s">
        <v>17</v>
      </c>
      <c r="D99" t="s">
        <v>18</v>
      </c>
      <c r="E99">
        <v>1000000</v>
      </c>
      <c r="F99">
        <v>4</v>
      </c>
      <c r="G99" s="1" t="s">
        <v>110</v>
      </c>
      <c r="I99" t="s">
        <v>72</v>
      </c>
      <c r="L99" s="2">
        <v>43921</v>
      </c>
      <c r="M99" s="2">
        <v>43983</v>
      </c>
      <c r="N99" s="3">
        <v>43958.382719907408</v>
      </c>
      <c r="O99" t="s">
        <v>24</v>
      </c>
      <c r="P99" t="s">
        <v>25</v>
      </c>
    </row>
    <row r="100" spans="1:16" ht="144" x14ac:dyDescent="0.2">
      <c r="A100" t="str">
        <f>HYPERLINK("https://www.grants.gov/view-opportunity.html?oppId=325506","RFA-FD-20-028")</f>
        <v>RFA-FD-20-028</v>
      </c>
      <c r="B100" t="s">
        <v>96</v>
      </c>
      <c r="C100" t="s">
        <v>17</v>
      </c>
      <c r="D100" t="s">
        <v>18</v>
      </c>
      <c r="E100">
        <v>1500000</v>
      </c>
      <c r="F100">
        <v>5</v>
      </c>
      <c r="G100" s="1" t="s">
        <v>43</v>
      </c>
      <c r="I100" t="s">
        <v>44</v>
      </c>
      <c r="L100" s="2">
        <v>43907</v>
      </c>
      <c r="M100" s="2">
        <v>43964</v>
      </c>
      <c r="N100" s="3">
        <v>43908.549513888887</v>
      </c>
      <c r="O100" t="s">
        <v>24</v>
      </c>
      <c r="P100" t="s">
        <v>25</v>
      </c>
    </row>
    <row r="101" spans="1:16" ht="144" x14ac:dyDescent="0.2">
      <c r="A101" t="str">
        <f>HYPERLINK("https://www.grants.gov/view-opportunity.html?oppId=325514","RFA-FD-20-031")</f>
        <v>RFA-FD-20-031</v>
      </c>
      <c r="B101" t="s">
        <v>143</v>
      </c>
      <c r="C101" t="s">
        <v>17</v>
      </c>
      <c r="D101" t="s">
        <v>18</v>
      </c>
      <c r="F101">
        <v>1</v>
      </c>
      <c r="G101" s="1" t="s">
        <v>19</v>
      </c>
      <c r="I101" t="s">
        <v>20</v>
      </c>
      <c r="L101" s="2">
        <v>43906</v>
      </c>
      <c r="M101" s="2">
        <v>43969</v>
      </c>
      <c r="N101" s="3">
        <v>43906.914768518516</v>
      </c>
      <c r="O101" t="s">
        <v>21</v>
      </c>
      <c r="P101" t="s">
        <v>25</v>
      </c>
    </row>
    <row r="102" spans="1:16" ht="144" x14ac:dyDescent="0.2">
      <c r="A102" t="str">
        <f>HYPERLINK("https://www.grants.gov/view-opportunity.html?oppId=325478","RFA-FD-20-030")</f>
        <v>RFA-FD-20-030</v>
      </c>
      <c r="B102" t="s">
        <v>75</v>
      </c>
      <c r="C102" t="s">
        <v>17</v>
      </c>
      <c r="D102" t="s">
        <v>18</v>
      </c>
      <c r="F102">
        <v>2</v>
      </c>
      <c r="G102" s="1" t="s">
        <v>19</v>
      </c>
      <c r="I102" t="s">
        <v>20</v>
      </c>
      <c r="L102" s="2">
        <v>43906</v>
      </c>
      <c r="M102" s="2">
        <v>43987</v>
      </c>
      <c r="N102" s="3">
        <v>43924.576423611114</v>
      </c>
      <c r="O102" t="s">
        <v>24</v>
      </c>
      <c r="P102" t="s">
        <v>25</v>
      </c>
    </row>
    <row r="103" spans="1:16" ht="144" x14ac:dyDescent="0.2">
      <c r="A103" t="str">
        <f>HYPERLINK("https://www.grants.gov/view-opportunity.html?oppId=325343","PAR-20-132")</f>
        <v>PAR-20-132</v>
      </c>
      <c r="B103" t="s">
        <v>83</v>
      </c>
      <c r="C103" t="s">
        <v>17</v>
      </c>
      <c r="D103" t="s">
        <v>18</v>
      </c>
      <c r="F103">
        <v>24</v>
      </c>
      <c r="G103" s="1" t="s">
        <v>43</v>
      </c>
      <c r="I103" t="s">
        <v>44</v>
      </c>
      <c r="L103" s="2">
        <v>43901</v>
      </c>
      <c r="M103" s="2">
        <v>44607</v>
      </c>
      <c r="N103" s="3">
        <v>44245.78979166667</v>
      </c>
      <c r="O103" t="s">
        <v>119</v>
      </c>
      <c r="P103" t="s">
        <v>25</v>
      </c>
    </row>
    <row r="104" spans="1:16" ht="144" x14ac:dyDescent="0.2">
      <c r="A104" t="str">
        <f>HYPERLINK("https://www.grants.gov/view-opportunity.html?oppId=325166","PAR-20-124")</f>
        <v>PAR-20-124</v>
      </c>
      <c r="B104" t="s">
        <v>80</v>
      </c>
      <c r="C104" t="s">
        <v>17</v>
      </c>
      <c r="D104" t="s">
        <v>18</v>
      </c>
      <c r="E104">
        <v>5000000</v>
      </c>
      <c r="F104">
        <v>50</v>
      </c>
      <c r="G104" s="1" t="s">
        <v>62</v>
      </c>
      <c r="I104" t="s">
        <v>51</v>
      </c>
      <c r="L104" s="2">
        <v>43896</v>
      </c>
      <c r="M104" s="2">
        <v>44683</v>
      </c>
      <c r="N104" s="3">
        <v>43948.627395833333</v>
      </c>
      <c r="O104" t="s">
        <v>24</v>
      </c>
      <c r="P104" t="s">
        <v>25</v>
      </c>
    </row>
    <row r="105" spans="1:16" ht="144" x14ac:dyDescent="0.2">
      <c r="A105" t="str">
        <f>HYPERLINK("https://www.grants.gov/view-opportunity.html?oppId=324809","RFA-FD-20-024")</f>
        <v>RFA-FD-20-024</v>
      </c>
      <c r="B105" t="s">
        <v>144</v>
      </c>
      <c r="C105" t="s">
        <v>17</v>
      </c>
      <c r="D105" t="s">
        <v>18</v>
      </c>
      <c r="F105">
        <v>8</v>
      </c>
      <c r="G105" s="1" t="s">
        <v>43</v>
      </c>
      <c r="I105" t="s">
        <v>44</v>
      </c>
      <c r="L105" s="2">
        <v>43886</v>
      </c>
      <c r="M105" s="2">
        <v>43949</v>
      </c>
      <c r="N105" s="3">
        <v>43886.45653935185</v>
      </c>
      <c r="O105" t="s">
        <v>21</v>
      </c>
      <c r="P105" t="s">
        <v>25</v>
      </c>
    </row>
    <row r="106" spans="1:16" ht="144" x14ac:dyDescent="0.2">
      <c r="A106" t="str">
        <f>HYPERLINK("https://www.grants.gov/view-opportunity.html?oppId=324689","RFA-FD-21-001")</f>
        <v>RFA-FD-21-001</v>
      </c>
      <c r="B106" t="s">
        <v>27</v>
      </c>
      <c r="C106" t="s">
        <v>17</v>
      </c>
      <c r="D106" t="s">
        <v>18</v>
      </c>
      <c r="F106">
        <v>8</v>
      </c>
      <c r="G106" s="1" t="s">
        <v>145</v>
      </c>
      <c r="I106" t="s">
        <v>146</v>
      </c>
      <c r="L106" s="2">
        <v>43882</v>
      </c>
      <c r="M106" s="2">
        <v>44474</v>
      </c>
      <c r="N106" s="3">
        <v>43882.407881944448</v>
      </c>
      <c r="O106" t="s">
        <v>24</v>
      </c>
      <c r="P106" t="s">
        <v>25</v>
      </c>
    </row>
    <row r="107" spans="1:16" ht="144" x14ac:dyDescent="0.2">
      <c r="A107" t="str">
        <f>HYPERLINK("https://www.grants.gov/view-opportunity.html?oppId=324639","RFA-FD-20-027")</f>
        <v>RFA-FD-20-027</v>
      </c>
      <c r="B107" t="s">
        <v>95</v>
      </c>
      <c r="C107" t="s">
        <v>17</v>
      </c>
      <c r="D107" t="s">
        <v>18</v>
      </c>
      <c r="F107">
        <v>5</v>
      </c>
      <c r="G107" s="1" t="s">
        <v>43</v>
      </c>
      <c r="I107" t="s">
        <v>44</v>
      </c>
      <c r="L107" s="2">
        <v>43879</v>
      </c>
      <c r="M107" s="2">
        <v>43977</v>
      </c>
      <c r="N107" s="3">
        <v>43948.741979166669</v>
      </c>
      <c r="O107" t="s">
        <v>24</v>
      </c>
      <c r="P107" t="s">
        <v>25</v>
      </c>
    </row>
    <row r="108" spans="1:16" ht="144" x14ac:dyDescent="0.2">
      <c r="A108" t="str">
        <f>HYPERLINK("https://www.grants.gov/view-opportunity.html?oppId=324233","PAR-20-105")</f>
        <v>PAR-20-105</v>
      </c>
      <c r="B108" t="s">
        <v>147</v>
      </c>
      <c r="C108" t="s">
        <v>17</v>
      </c>
      <c r="D108" t="s">
        <v>18</v>
      </c>
      <c r="E108">
        <v>23000000</v>
      </c>
      <c r="F108">
        <v>100</v>
      </c>
      <c r="G108" s="1" t="s">
        <v>110</v>
      </c>
      <c r="I108" t="s">
        <v>72</v>
      </c>
      <c r="L108" s="2">
        <v>43866</v>
      </c>
      <c r="M108" s="2">
        <v>44657</v>
      </c>
      <c r="N108" s="3">
        <v>43916.448912037034</v>
      </c>
      <c r="O108" t="s">
        <v>119</v>
      </c>
      <c r="P108" t="s">
        <v>25</v>
      </c>
    </row>
    <row r="109" spans="1:16" ht="144" x14ac:dyDescent="0.2">
      <c r="A109" t="str">
        <f>HYPERLINK("https://www.grants.gov/view-opportunity.html?oppId=324137","RFA-FD-20-026")</f>
        <v>RFA-FD-20-026</v>
      </c>
      <c r="B109" t="s">
        <v>148</v>
      </c>
      <c r="C109" t="s">
        <v>17</v>
      </c>
      <c r="D109" t="s">
        <v>18</v>
      </c>
      <c r="E109">
        <v>400000</v>
      </c>
      <c r="F109">
        <v>4</v>
      </c>
      <c r="G109" s="1" t="s">
        <v>62</v>
      </c>
      <c r="I109" t="s">
        <v>51</v>
      </c>
      <c r="L109" s="2">
        <v>43864</v>
      </c>
      <c r="M109" s="2">
        <v>43966</v>
      </c>
      <c r="N109" s="3">
        <v>43948.619062500002</v>
      </c>
      <c r="O109" t="s">
        <v>24</v>
      </c>
      <c r="P109" t="s">
        <v>25</v>
      </c>
    </row>
    <row r="110" spans="1:16" ht="144" x14ac:dyDescent="0.2">
      <c r="A110" t="str">
        <f>HYPERLINK("https://www.grants.gov/view-opportunity.html?oppId=323934","RFA-FD-20-012")</f>
        <v>RFA-FD-20-012</v>
      </c>
      <c r="B110" t="s">
        <v>149</v>
      </c>
      <c r="C110" t="s">
        <v>17</v>
      </c>
      <c r="D110" t="s">
        <v>18</v>
      </c>
      <c r="E110">
        <v>4410000</v>
      </c>
      <c r="F110">
        <v>63</v>
      </c>
      <c r="G110" s="1" t="s">
        <v>110</v>
      </c>
      <c r="I110" t="s">
        <v>72</v>
      </c>
      <c r="L110" s="2">
        <v>43857</v>
      </c>
      <c r="M110" s="2">
        <v>43945</v>
      </c>
      <c r="N110" s="3">
        <v>43913.385682870372</v>
      </c>
      <c r="O110" t="s">
        <v>24</v>
      </c>
      <c r="P110" t="s">
        <v>25</v>
      </c>
    </row>
    <row r="111" spans="1:16" ht="144" x14ac:dyDescent="0.2">
      <c r="A111" t="str">
        <f>HYPERLINK("https://www.grants.gov/view-opportunity.html?oppId=323875","RFA-FD-20-025")</f>
        <v>RFA-FD-20-025</v>
      </c>
      <c r="B111" t="s">
        <v>150</v>
      </c>
      <c r="C111" t="s">
        <v>17</v>
      </c>
      <c r="D111" t="s">
        <v>18</v>
      </c>
      <c r="E111">
        <v>2000000</v>
      </c>
      <c r="F111">
        <v>10</v>
      </c>
      <c r="G111" s="1" t="s">
        <v>62</v>
      </c>
      <c r="I111" t="s">
        <v>51</v>
      </c>
      <c r="L111" s="2">
        <v>43854</v>
      </c>
      <c r="M111" s="2">
        <v>43953</v>
      </c>
      <c r="N111" s="3">
        <v>43854.465555555558</v>
      </c>
      <c r="O111" t="s">
        <v>24</v>
      </c>
      <c r="P111" t="s">
        <v>25</v>
      </c>
    </row>
    <row r="112" spans="1:16" ht="144" x14ac:dyDescent="0.2">
      <c r="A112" t="str">
        <f>HYPERLINK("https://www.grants.gov/view-opportunity.html?oppId=323803","RFA-FD-20-013")</f>
        <v>RFA-FD-20-013</v>
      </c>
      <c r="B112" t="s">
        <v>151</v>
      </c>
      <c r="C112" t="s">
        <v>17</v>
      </c>
      <c r="D112" t="s">
        <v>18</v>
      </c>
      <c r="E112">
        <v>500000</v>
      </c>
      <c r="F112">
        <v>1</v>
      </c>
      <c r="G112" s="1" t="s">
        <v>110</v>
      </c>
      <c r="I112" t="s">
        <v>72</v>
      </c>
      <c r="L112" s="2">
        <v>43851</v>
      </c>
      <c r="M112" s="2">
        <v>43913</v>
      </c>
      <c r="N112" s="3">
        <v>43851.494687500002</v>
      </c>
      <c r="O112" t="s">
        <v>21</v>
      </c>
      <c r="P112" t="s">
        <v>25</v>
      </c>
    </row>
    <row r="113" spans="1:16" ht="144" x14ac:dyDescent="0.2">
      <c r="A113" t="str">
        <f>HYPERLINK("https://www.grants.gov/view-opportunity.html?oppId=323801","RFA-FD-20-023")</f>
        <v>RFA-FD-20-023</v>
      </c>
      <c r="B113" t="s">
        <v>152</v>
      </c>
      <c r="C113" t="s">
        <v>17</v>
      </c>
      <c r="D113" t="s">
        <v>18</v>
      </c>
      <c r="E113">
        <v>1200000</v>
      </c>
      <c r="G113" s="1" t="s">
        <v>145</v>
      </c>
      <c r="I113" t="s">
        <v>146</v>
      </c>
      <c r="L113" s="2">
        <v>43851</v>
      </c>
      <c r="M113" s="2">
        <v>43915</v>
      </c>
      <c r="N113" s="3">
        <v>43851.454409722224</v>
      </c>
      <c r="O113" t="s">
        <v>21</v>
      </c>
      <c r="P113" t="s">
        <v>25</v>
      </c>
    </row>
    <row r="114" spans="1:16" ht="144" x14ac:dyDescent="0.2">
      <c r="A114" t="str">
        <f>HYPERLINK("https://www.grants.gov/view-opportunity.html?oppId=323716","RFA-FD-20-009")</f>
        <v>RFA-FD-20-009</v>
      </c>
      <c r="B114" t="s">
        <v>91</v>
      </c>
      <c r="C114" t="s">
        <v>17</v>
      </c>
      <c r="D114" t="s">
        <v>18</v>
      </c>
      <c r="E114">
        <v>4300000</v>
      </c>
      <c r="F114">
        <v>20</v>
      </c>
      <c r="G114" s="1" t="s">
        <v>19</v>
      </c>
      <c r="I114" t="s">
        <v>20</v>
      </c>
      <c r="L114" s="2">
        <v>43846</v>
      </c>
      <c r="M114" s="2">
        <v>43937</v>
      </c>
      <c r="N114" s="3">
        <v>43882.495381944442</v>
      </c>
      <c r="O114" t="s">
        <v>24</v>
      </c>
      <c r="P114" t="s">
        <v>25</v>
      </c>
    </row>
    <row r="115" spans="1:16" ht="144" x14ac:dyDescent="0.2">
      <c r="A115" t="str">
        <f>HYPERLINK("https://www.grants.gov/view-opportunity.html?oppId=323641","RFA-FD-20-021")</f>
        <v>RFA-FD-20-021</v>
      </c>
      <c r="B115" t="s">
        <v>153</v>
      </c>
      <c r="C115" t="s">
        <v>17</v>
      </c>
      <c r="D115" t="s">
        <v>18</v>
      </c>
      <c r="E115">
        <v>12000000</v>
      </c>
      <c r="F115">
        <v>4</v>
      </c>
      <c r="G115" s="1" t="s">
        <v>110</v>
      </c>
      <c r="I115" t="s">
        <v>72</v>
      </c>
      <c r="L115" s="2">
        <v>43843</v>
      </c>
      <c r="M115" s="2">
        <v>43906</v>
      </c>
      <c r="N115" s="3">
        <v>43885.350277777776</v>
      </c>
      <c r="O115" t="s">
        <v>24</v>
      </c>
      <c r="P115" t="s">
        <v>25</v>
      </c>
    </row>
    <row r="116" spans="1:16" ht="144" x14ac:dyDescent="0.2">
      <c r="A116" t="str">
        <f>HYPERLINK("https://www.grants.gov/view-opportunity.html?oppId=323570","RFA-FD-20-020")</f>
        <v>RFA-FD-20-020</v>
      </c>
      <c r="B116" t="s">
        <v>154</v>
      </c>
      <c r="C116" t="s">
        <v>17</v>
      </c>
      <c r="D116" t="s">
        <v>18</v>
      </c>
      <c r="E116">
        <v>600000</v>
      </c>
      <c r="F116">
        <v>1</v>
      </c>
      <c r="G116" s="1" t="s">
        <v>19</v>
      </c>
      <c r="I116" t="s">
        <v>20</v>
      </c>
      <c r="L116" s="2">
        <v>43840</v>
      </c>
      <c r="M116" s="2">
        <v>43921</v>
      </c>
      <c r="N116" s="3">
        <v>43896.495208333334</v>
      </c>
      <c r="O116" t="s">
        <v>24</v>
      </c>
      <c r="P116" t="s">
        <v>25</v>
      </c>
    </row>
    <row r="117" spans="1:16" ht="144" x14ac:dyDescent="0.2">
      <c r="A117" t="str">
        <f>HYPERLINK("https://www.grants.gov/view-opportunity.html?oppId=323532","PAR-20-083")</f>
        <v>PAR-20-083</v>
      </c>
      <c r="B117" t="s">
        <v>155</v>
      </c>
      <c r="C117" t="s">
        <v>17</v>
      </c>
      <c r="D117" t="s">
        <v>18</v>
      </c>
      <c r="E117">
        <v>10000000</v>
      </c>
      <c r="F117">
        <v>2</v>
      </c>
      <c r="G117" s="1" t="s">
        <v>19</v>
      </c>
      <c r="I117" t="s">
        <v>20</v>
      </c>
      <c r="L117" s="2">
        <v>43838</v>
      </c>
      <c r="M117" s="2">
        <v>44655</v>
      </c>
      <c r="N117" s="3">
        <v>44280.445428240739</v>
      </c>
      <c r="O117" t="s">
        <v>28</v>
      </c>
      <c r="P117" t="s">
        <v>25</v>
      </c>
    </row>
    <row r="118" spans="1:16" ht="144" x14ac:dyDescent="0.2">
      <c r="A118" t="str">
        <f>HYPERLINK("https://www.grants.gov/view-opportunity.html?oppId=323500","RFA-FD-20-007")</f>
        <v>RFA-FD-20-007</v>
      </c>
      <c r="B118" t="s">
        <v>156</v>
      </c>
      <c r="C118" t="s">
        <v>17</v>
      </c>
      <c r="D118" t="s">
        <v>18</v>
      </c>
      <c r="E118">
        <v>5000000</v>
      </c>
      <c r="F118">
        <v>1</v>
      </c>
      <c r="G118" s="1" t="s">
        <v>19</v>
      </c>
      <c r="I118" t="s">
        <v>20</v>
      </c>
      <c r="L118" s="2">
        <v>43837</v>
      </c>
      <c r="M118" s="2">
        <v>43964</v>
      </c>
      <c r="N118" s="3">
        <v>43901.599432870367</v>
      </c>
      <c r="O118" t="s">
        <v>24</v>
      </c>
      <c r="P118" t="s">
        <v>25</v>
      </c>
    </row>
    <row r="119" spans="1:16" ht="144" x14ac:dyDescent="0.2">
      <c r="A119" t="str">
        <f>HYPERLINK("https://www.grants.gov/view-opportunity.html?oppId=323296","RFA-FD-20-017")</f>
        <v>RFA-FD-20-017</v>
      </c>
      <c r="B119" t="s">
        <v>157</v>
      </c>
      <c r="C119" t="s">
        <v>17</v>
      </c>
      <c r="D119" t="s">
        <v>18</v>
      </c>
      <c r="E119">
        <v>800000</v>
      </c>
      <c r="F119">
        <v>2</v>
      </c>
      <c r="G119" s="1" t="s">
        <v>19</v>
      </c>
      <c r="I119" t="s">
        <v>20</v>
      </c>
      <c r="L119" s="2">
        <v>43824</v>
      </c>
      <c r="M119" s="2">
        <v>43894</v>
      </c>
      <c r="N119" s="3">
        <v>43824.727372685185</v>
      </c>
      <c r="O119" t="s">
        <v>21</v>
      </c>
      <c r="P119" t="s">
        <v>25</v>
      </c>
    </row>
    <row r="120" spans="1:16" ht="144" x14ac:dyDescent="0.2">
      <c r="A120" t="str">
        <f>HYPERLINK("https://www.grants.gov/view-opportunity.html?oppId=323191","RFA-FD-20-018")</f>
        <v>RFA-FD-20-018</v>
      </c>
      <c r="B120" t="s">
        <v>158</v>
      </c>
      <c r="C120" t="s">
        <v>17</v>
      </c>
      <c r="D120" t="s">
        <v>18</v>
      </c>
      <c r="E120">
        <v>400000</v>
      </c>
      <c r="F120">
        <v>5</v>
      </c>
      <c r="G120" s="1" t="s">
        <v>19</v>
      </c>
      <c r="I120" t="s">
        <v>20</v>
      </c>
      <c r="L120" s="2">
        <v>43819</v>
      </c>
      <c r="M120" s="2">
        <v>43888</v>
      </c>
      <c r="N120" s="3">
        <v>43819.432870370372</v>
      </c>
      <c r="O120" t="s">
        <v>21</v>
      </c>
      <c r="P120" t="s">
        <v>25</v>
      </c>
    </row>
    <row r="121" spans="1:16" ht="144" x14ac:dyDescent="0.2">
      <c r="A121" t="str">
        <f>HYPERLINK("https://www.grants.gov/view-opportunity.html?oppId=323178","RFA-FD-20-019")</f>
        <v>RFA-FD-20-019</v>
      </c>
      <c r="B121" t="s">
        <v>159</v>
      </c>
      <c r="C121" t="s">
        <v>17</v>
      </c>
      <c r="D121" t="s">
        <v>18</v>
      </c>
      <c r="E121">
        <v>1000000</v>
      </c>
      <c r="F121">
        <v>5</v>
      </c>
      <c r="G121" s="1" t="s">
        <v>19</v>
      </c>
      <c r="I121" t="s">
        <v>20</v>
      </c>
      <c r="L121" s="2">
        <v>43818</v>
      </c>
      <c r="M121" s="2">
        <v>43888</v>
      </c>
      <c r="N121" s="3">
        <v>43818.451608796298</v>
      </c>
      <c r="O121" t="s">
        <v>21</v>
      </c>
      <c r="P121" t="s">
        <v>25</v>
      </c>
    </row>
    <row r="122" spans="1:16" ht="144" x14ac:dyDescent="0.2">
      <c r="A122" t="str">
        <f>HYPERLINK("https://www.grants.gov/view-opportunity.html?oppId=322779","RFA-FD-20-004")</f>
        <v>RFA-FD-20-004</v>
      </c>
      <c r="B122" t="s">
        <v>160</v>
      </c>
      <c r="C122" t="s">
        <v>17</v>
      </c>
      <c r="D122" t="s">
        <v>18</v>
      </c>
      <c r="F122">
        <v>1</v>
      </c>
      <c r="G122" s="1" t="s">
        <v>110</v>
      </c>
      <c r="I122" t="s">
        <v>72</v>
      </c>
      <c r="L122" s="2">
        <v>43796</v>
      </c>
      <c r="M122" s="2">
        <v>43858</v>
      </c>
      <c r="N122" s="3">
        <v>43796.444062499999</v>
      </c>
      <c r="O122" t="s">
        <v>21</v>
      </c>
      <c r="P122" t="s">
        <v>25</v>
      </c>
    </row>
    <row r="123" spans="1:16" ht="144" x14ac:dyDescent="0.2">
      <c r="A123" t="str">
        <f>HYPERLINK("https://www.grants.gov/view-opportunity.html?oppId=322780","RFA-FD-20-006")</f>
        <v>RFA-FD-20-006</v>
      </c>
      <c r="B123" t="s">
        <v>161</v>
      </c>
      <c r="C123" t="s">
        <v>17</v>
      </c>
      <c r="D123" t="s">
        <v>18</v>
      </c>
      <c r="F123">
        <v>1</v>
      </c>
      <c r="G123" s="1" t="s">
        <v>110</v>
      </c>
      <c r="I123" t="s">
        <v>72</v>
      </c>
      <c r="L123" s="2">
        <v>43796</v>
      </c>
      <c r="M123" s="2">
        <v>43858</v>
      </c>
      <c r="N123" s="3">
        <v>43796.448923611111</v>
      </c>
      <c r="O123" t="s">
        <v>21</v>
      </c>
      <c r="P123" t="s">
        <v>25</v>
      </c>
    </row>
    <row r="124" spans="1:16" ht="144" x14ac:dyDescent="0.2">
      <c r="A124" t="str">
        <f>HYPERLINK("https://www.grants.gov/view-opportunity.html?oppId=322674","RFA-FD-20-005")</f>
        <v>RFA-FD-20-005</v>
      </c>
      <c r="B124" t="s">
        <v>162</v>
      </c>
      <c r="C124" t="s">
        <v>17</v>
      </c>
      <c r="D124" t="s">
        <v>18</v>
      </c>
      <c r="F124">
        <v>1</v>
      </c>
      <c r="G124" s="1" t="s">
        <v>19</v>
      </c>
      <c r="I124" t="s">
        <v>20</v>
      </c>
      <c r="L124" s="2">
        <v>43790</v>
      </c>
      <c r="M124" s="2">
        <v>43852</v>
      </c>
      <c r="N124" s="3">
        <v>43790.61482638889</v>
      </c>
      <c r="O124" t="s">
        <v>21</v>
      </c>
      <c r="P124" t="s">
        <v>25</v>
      </c>
    </row>
    <row r="125" spans="1:16" ht="144" x14ac:dyDescent="0.2">
      <c r="A125" t="str">
        <f>HYPERLINK("https://www.grants.gov/view-opportunity.html?oppId=317917","PAR-19-306")</f>
        <v>PAR-19-306</v>
      </c>
      <c r="B125" t="s">
        <v>163</v>
      </c>
      <c r="C125" t="s">
        <v>17</v>
      </c>
      <c r="D125" t="s">
        <v>18</v>
      </c>
      <c r="G125" s="1" t="s">
        <v>110</v>
      </c>
      <c r="I125" t="s">
        <v>72</v>
      </c>
      <c r="L125" s="2">
        <v>43648</v>
      </c>
      <c r="M125" s="2">
        <v>44845</v>
      </c>
      <c r="N125" s="3">
        <v>43648.347245370373</v>
      </c>
      <c r="O125" t="s">
        <v>21</v>
      </c>
      <c r="P125" t="s">
        <v>25</v>
      </c>
    </row>
    <row r="126" spans="1:16" ht="320" x14ac:dyDescent="0.2">
      <c r="A126" t="str">
        <f>HYPERLINK("https://www.grants.gov/view-opportunity.html?oppId=316894","RFA-FD-19-028")</f>
        <v>RFA-FD-19-028</v>
      </c>
      <c r="B126" t="s">
        <v>164</v>
      </c>
      <c r="C126" t="s">
        <v>17</v>
      </c>
      <c r="D126" t="s">
        <v>18</v>
      </c>
      <c r="E126">
        <v>7000000</v>
      </c>
      <c r="F126">
        <v>30</v>
      </c>
      <c r="G126" s="1" t="s">
        <v>165</v>
      </c>
      <c r="I126" t="s">
        <v>20</v>
      </c>
      <c r="L126" s="2">
        <v>43626</v>
      </c>
      <c r="M126" s="2">
        <v>43682</v>
      </c>
      <c r="N126" s="3">
        <v>43626.327893518515</v>
      </c>
      <c r="O126" t="s">
        <v>21</v>
      </c>
      <c r="P126" t="s">
        <v>25</v>
      </c>
    </row>
    <row r="127" spans="1:16" ht="144" x14ac:dyDescent="0.2">
      <c r="A127" t="str">
        <f>HYPERLINK("https://www.grants.gov/view-opportunity.html?oppId=316719","RFA-FD-19-029")</f>
        <v>RFA-FD-19-029</v>
      </c>
      <c r="B127" t="s">
        <v>166</v>
      </c>
      <c r="C127" t="s">
        <v>17</v>
      </c>
      <c r="D127" t="s">
        <v>18</v>
      </c>
      <c r="E127">
        <v>300000</v>
      </c>
      <c r="F127">
        <v>1</v>
      </c>
      <c r="G127" s="1" t="s">
        <v>19</v>
      </c>
      <c r="I127" t="s">
        <v>20</v>
      </c>
      <c r="L127" s="2">
        <v>43620</v>
      </c>
      <c r="M127" s="2">
        <v>43682</v>
      </c>
      <c r="N127" s="3">
        <v>43663.560613425929</v>
      </c>
      <c r="O127" t="s">
        <v>24</v>
      </c>
      <c r="P127" t="s">
        <v>25</v>
      </c>
    </row>
    <row r="128" spans="1:16" ht="144" x14ac:dyDescent="0.2">
      <c r="A128" t="str">
        <f>HYPERLINK("https://www.grants.gov/view-opportunity.html?oppId=316604","RFA-FD-20-002")</f>
        <v>RFA-FD-20-002</v>
      </c>
      <c r="B128" t="s">
        <v>167</v>
      </c>
      <c r="C128" t="s">
        <v>17</v>
      </c>
      <c r="D128" t="s">
        <v>18</v>
      </c>
      <c r="E128">
        <v>7400000</v>
      </c>
      <c r="F128">
        <v>1</v>
      </c>
      <c r="G128" s="1" t="s">
        <v>62</v>
      </c>
      <c r="I128" t="s">
        <v>51</v>
      </c>
      <c r="L128" s="2">
        <v>43616</v>
      </c>
      <c r="M128" s="2">
        <v>43719</v>
      </c>
      <c r="N128" s="3">
        <v>43616.453136574077</v>
      </c>
      <c r="O128" t="s">
        <v>24</v>
      </c>
      <c r="P128" t="s">
        <v>25</v>
      </c>
    </row>
    <row r="129" spans="1:16" ht="144" x14ac:dyDescent="0.2">
      <c r="A129" t="str">
        <f>HYPERLINK("https://www.grants.gov/view-opportunity.html?oppId=316483","RFA-FD-19-027")</f>
        <v>RFA-FD-19-027</v>
      </c>
      <c r="B129" t="s">
        <v>168</v>
      </c>
      <c r="C129" t="s">
        <v>17</v>
      </c>
      <c r="D129" t="s">
        <v>18</v>
      </c>
      <c r="E129">
        <v>20000000</v>
      </c>
      <c r="F129">
        <v>1</v>
      </c>
      <c r="G129" s="1" t="s">
        <v>19</v>
      </c>
      <c r="I129" t="s">
        <v>20</v>
      </c>
      <c r="L129" s="2">
        <v>43614</v>
      </c>
      <c r="M129" s="2">
        <v>43675</v>
      </c>
      <c r="N129" s="3">
        <v>43614.434363425928</v>
      </c>
      <c r="O129" t="s">
        <v>21</v>
      </c>
      <c r="P129" t="s">
        <v>25</v>
      </c>
    </row>
    <row r="130" spans="1:16" ht="144" x14ac:dyDescent="0.2">
      <c r="A130" t="str">
        <f>HYPERLINK("https://www.grants.gov/view-opportunity.html?oppId=316503","RFA-FD-19-022")</f>
        <v>RFA-FD-19-022</v>
      </c>
      <c r="B130" t="s">
        <v>169</v>
      </c>
      <c r="C130" t="s">
        <v>17</v>
      </c>
      <c r="D130" t="s">
        <v>18</v>
      </c>
      <c r="E130">
        <v>2750000</v>
      </c>
      <c r="F130">
        <v>1</v>
      </c>
      <c r="G130" s="1" t="s">
        <v>19</v>
      </c>
      <c r="I130" t="s">
        <v>20</v>
      </c>
      <c r="L130" s="2">
        <v>43614</v>
      </c>
      <c r="M130" s="2">
        <v>43677</v>
      </c>
      <c r="N130" s="3">
        <v>43676.446875000001</v>
      </c>
      <c r="O130" t="s">
        <v>24</v>
      </c>
      <c r="P130" t="s">
        <v>25</v>
      </c>
    </row>
    <row r="131" spans="1:16" ht="144" x14ac:dyDescent="0.2">
      <c r="A131" t="str">
        <f>HYPERLINK("https://www.grants.gov/view-opportunity.html?oppId=316037","RFA-FD-19-025")</f>
        <v>RFA-FD-19-025</v>
      </c>
      <c r="B131" t="s">
        <v>170</v>
      </c>
      <c r="C131" t="s">
        <v>17</v>
      </c>
      <c r="D131" t="s">
        <v>18</v>
      </c>
      <c r="E131">
        <v>1600000</v>
      </c>
      <c r="F131">
        <v>1</v>
      </c>
      <c r="G131" s="1" t="s">
        <v>19</v>
      </c>
      <c r="I131" t="s">
        <v>20</v>
      </c>
      <c r="L131" s="2">
        <v>43601</v>
      </c>
      <c r="M131" s="2">
        <v>43663</v>
      </c>
      <c r="N131" s="3">
        <v>43601.502962962964</v>
      </c>
      <c r="O131" t="s">
        <v>36</v>
      </c>
      <c r="P131" t="s">
        <v>25</v>
      </c>
    </row>
    <row r="132" spans="1:16" ht="144" x14ac:dyDescent="0.2">
      <c r="A132" t="str">
        <f>HYPERLINK("https://www.grants.gov/view-opportunity.html?oppId=315776","RFA-FD-19-026")</f>
        <v>RFA-FD-19-026</v>
      </c>
      <c r="B132" t="s">
        <v>171</v>
      </c>
      <c r="C132" t="s">
        <v>17</v>
      </c>
      <c r="D132" t="s">
        <v>18</v>
      </c>
      <c r="E132">
        <v>1000000</v>
      </c>
      <c r="F132">
        <v>1</v>
      </c>
      <c r="G132" s="1" t="s">
        <v>19</v>
      </c>
      <c r="I132" t="s">
        <v>20</v>
      </c>
      <c r="L132" s="2">
        <v>43594</v>
      </c>
      <c r="M132" s="2">
        <v>43656</v>
      </c>
      <c r="N132" s="3">
        <v>43594.62232638889</v>
      </c>
      <c r="O132" t="s">
        <v>24</v>
      </c>
      <c r="P132" t="s">
        <v>25</v>
      </c>
    </row>
    <row r="133" spans="1:16" ht="144" x14ac:dyDescent="0.2">
      <c r="A133" t="str">
        <f>HYPERLINK("https://www.grants.gov/view-opportunity.html?oppId=315593","RFA-FD-19-023")</f>
        <v>RFA-FD-19-023</v>
      </c>
      <c r="B133" t="s">
        <v>172</v>
      </c>
      <c r="C133" t="s">
        <v>17</v>
      </c>
      <c r="D133" t="s">
        <v>18</v>
      </c>
      <c r="E133">
        <v>1500000</v>
      </c>
      <c r="F133">
        <v>1</v>
      </c>
      <c r="G133" s="1" t="s">
        <v>145</v>
      </c>
      <c r="I133" t="s">
        <v>146</v>
      </c>
      <c r="L133" s="2">
        <v>43588</v>
      </c>
      <c r="M133" s="2">
        <v>43663</v>
      </c>
      <c r="N133" s="3">
        <v>43647.375011574077</v>
      </c>
      <c r="O133" t="s">
        <v>24</v>
      </c>
      <c r="P133" t="s">
        <v>25</v>
      </c>
    </row>
    <row r="134" spans="1:16" ht="144" x14ac:dyDescent="0.2">
      <c r="A134" t="str">
        <f>HYPERLINK("https://www.grants.gov/view-opportunity.html?oppId=315149","RFA-FD-19-016")</f>
        <v>RFA-FD-19-016</v>
      </c>
      <c r="B134" t="s">
        <v>173</v>
      </c>
      <c r="C134" t="s">
        <v>17</v>
      </c>
      <c r="D134" t="s">
        <v>18</v>
      </c>
      <c r="F134">
        <v>1</v>
      </c>
      <c r="G134" s="1" t="s">
        <v>19</v>
      </c>
      <c r="I134" t="s">
        <v>20</v>
      </c>
      <c r="L134" s="2">
        <v>43578</v>
      </c>
      <c r="M134" s="2">
        <v>43641</v>
      </c>
      <c r="N134" s="3">
        <v>43578.562071759261</v>
      </c>
      <c r="O134" t="s">
        <v>21</v>
      </c>
      <c r="P134" t="s">
        <v>25</v>
      </c>
    </row>
    <row r="135" spans="1:16" ht="144" x14ac:dyDescent="0.2">
      <c r="A135" t="str">
        <f>HYPERLINK("https://www.grants.gov/view-opportunity.html?oppId=314738","RFA-FD-19-013")</f>
        <v>RFA-FD-19-013</v>
      </c>
      <c r="B135" t="s">
        <v>174</v>
      </c>
      <c r="C135" t="s">
        <v>17</v>
      </c>
      <c r="D135" t="s">
        <v>18</v>
      </c>
      <c r="E135">
        <v>3500000</v>
      </c>
      <c r="F135">
        <v>1</v>
      </c>
      <c r="G135" s="1" t="s">
        <v>19</v>
      </c>
      <c r="I135" t="s">
        <v>20</v>
      </c>
      <c r="L135" s="2">
        <v>43564</v>
      </c>
      <c r="M135" s="2">
        <v>43627</v>
      </c>
      <c r="N135" s="3">
        <v>43564.579965277779</v>
      </c>
      <c r="O135" t="s">
        <v>36</v>
      </c>
      <c r="P135" t="s">
        <v>25</v>
      </c>
    </row>
    <row r="136" spans="1:16" ht="144" x14ac:dyDescent="0.2">
      <c r="A136" t="str">
        <f>HYPERLINK("https://www.grants.gov/view-opportunity.html?oppId=314427","RFA-FD-19-015")</f>
        <v>RFA-FD-19-015</v>
      </c>
      <c r="B136" t="s">
        <v>175</v>
      </c>
      <c r="C136" t="s">
        <v>17</v>
      </c>
      <c r="D136" t="s">
        <v>18</v>
      </c>
      <c r="E136">
        <v>37500000</v>
      </c>
      <c r="F136">
        <v>1</v>
      </c>
      <c r="G136" s="1" t="s">
        <v>19</v>
      </c>
      <c r="I136" t="s">
        <v>20</v>
      </c>
      <c r="L136" s="2">
        <v>43556</v>
      </c>
      <c r="M136" s="2">
        <v>43619</v>
      </c>
      <c r="N136" s="3">
        <v>43556.598622685182</v>
      </c>
      <c r="O136" t="s">
        <v>24</v>
      </c>
      <c r="P136" t="s">
        <v>25</v>
      </c>
    </row>
    <row r="137" spans="1:16" ht="160" x14ac:dyDescent="0.2">
      <c r="A137" t="str">
        <f>HYPERLINK("https://www.grants.gov/view-opportunity.html?oppId=314420","RFA-FD-19-024")</f>
        <v>RFA-FD-19-024</v>
      </c>
      <c r="B137" t="s">
        <v>176</v>
      </c>
      <c r="C137" t="s">
        <v>17</v>
      </c>
      <c r="D137" t="s">
        <v>18</v>
      </c>
      <c r="E137">
        <v>1500000</v>
      </c>
      <c r="G137" s="1" t="s">
        <v>177</v>
      </c>
      <c r="I137" t="s">
        <v>51</v>
      </c>
      <c r="L137" s="2">
        <v>43556</v>
      </c>
      <c r="M137" s="2">
        <v>43619</v>
      </c>
      <c r="N137" s="3">
        <v>43560.421585648146</v>
      </c>
      <c r="O137" t="s">
        <v>178</v>
      </c>
      <c r="P137" t="s">
        <v>25</v>
      </c>
    </row>
    <row r="138" spans="1:16" ht="144" x14ac:dyDescent="0.2">
      <c r="A138" t="str">
        <f>HYPERLINK("https://www.grants.gov/view-opportunity.html?oppId=314297","RFA-FD-19-019")</f>
        <v>RFA-FD-19-019</v>
      </c>
      <c r="B138" t="s">
        <v>179</v>
      </c>
      <c r="C138" t="s">
        <v>17</v>
      </c>
      <c r="D138" t="s">
        <v>18</v>
      </c>
      <c r="E138">
        <v>750000</v>
      </c>
      <c r="F138">
        <v>1</v>
      </c>
      <c r="G138" s="1" t="s">
        <v>110</v>
      </c>
      <c r="I138" t="s">
        <v>72</v>
      </c>
      <c r="L138" s="2">
        <v>43551</v>
      </c>
      <c r="M138" s="2">
        <v>43613</v>
      </c>
      <c r="N138" s="3">
        <v>43551.545451388891</v>
      </c>
      <c r="O138" t="s">
        <v>21</v>
      </c>
      <c r="P138" t="s">
        <v>25</v>
      </c>
    </row>
    <row r="139" spans="1:16" ht="144" x14ac:dyDescent="0.2">
      <c r="A139" t="str">
        <f>HYPERLINK("https://www.grants.gov/view-opportunity.html?oppId=313999","RFA-FD-19-018")</f>
        <v>RFA-FD-19-018</v>
      </c>
      <c r="B139" t="s">
        <v>180</v>
      </c>
      <c r="C139" t="s">
        <v>17</v>
      </c>
      <c r="D139" t="s">
        <v>18</v>
      </c>
      <c r="E139">
        <v>6700000</v>
      </c>
      <c r="F139">
        <v>38</v>
      </c>
      <c r="G139" s="1" t="s">
        <v>110</v>
      </c>
      <c r="I139" t="s">
        <v>72</v>
      </c>
      <c r="L139" s="2">
        <v>43543</v>
      </c>
      <c r="M139" s="2">
        <v>43606</v>
      </c>
      <c r="N139" s="3">
        <v>43543.393969907411</v>
      </c>
      <c r="O139" t="s">
        <v>21</v>
      </c>
      <c r="P139" t="s">
        <v>25</v>
      </c>
    </row>
    <row r="140" spans="1:16" ht="96" x14ac:dyDescent="0.2">
      <c r="A140" t="str">
        <f>HYPERLINK("https://www.grants.gov/view-opportunity.html?oppId=313972","RFA-FD-19-021")</f>
        <v>RFA-FD-19-021</v>
      </c>
      <c r="B140" t="s">
        <v>181</v>
      </c>
      <c r="C140" t="s">
        <v>17</v>
      </c>
      <c r="D140" t="s">
        <v>18</v>
      </c>
      <c r="E140">
        <v>2100000</v>
      </c>
      <c r="F140">
        <v>20</v>
      </c>
      <c r="G140" s="1" t="s">
        <v>182</v>
      </c>
      <c r="I140" t="s">
        <v>44</v>
      </c>
      <c r="L140" s="2">
        <v>43542</v>
      </c>
      <c r="M140" s="2">
        <v>43605</v>
      </c>
      <c r="N140" s="3">
        <v>43542.587708333333</v>
      </c>
      <c r="O140" t="s">
        <v>21</v>
      </c>
      <c r="P140" t="s">
        <v>25</v>
      </c>
    </row>
    <row r="141" spans="1:16" ht="144" x14ac:dyDescent="0.2">
      <c r="A141" t="str">
        <f>HYPERLINK("https://www.grants.gov/view-opportunity.html?oppId=313741","PAR-19-216")</f>
        <v>PAR-19-216</v>
      </c>
      <c r="B141" t="s">
        <v>183</v>
      </c>
      <c r="C141" t="s">
        <v>17</v>
      </c>
      <c r="D141" t="s">
        <v>18</v>
      </c>
      <c r="E141">
        <v>6000000</v>
      </c>
      <c r="F141">
        <v>2</v>
      </c>
      <c r="G141" s="1" t="s">
        <v>19</v>
      </c>
      <c r="I141" t="s">
        <v>20</v>
      </c>
      <c r="L141" s="2">
        <v>43537</v>
      </c>
      <c r="M141" s="2">
        <v>44291</v>
      </c>
      <c r="N141" s="3">
        <v>43901.602905092594</v>
      </c>
      <c r="O141" t="s">
        <v>28</v>
      </c>
      <c r="P141" t="s">
        <v>25</v>
      </c>
    </row>
    <row r="142" spans="1:16" ht="144" x14ac:dyDescent="0.2">
      <c r="A142" t="str">
        <f>HYPERLINK("https://www.grants.gov/view-opportunity.html?oppId=313256","RFA-FD-19-004")</f>
        <v>RFA-FD-19-004</v>
      </c>
      <c r="B142" t="s">
        <v>184</v>
      </c>
      <c r="C142" t="s">
        <v>17</v>
      </c>
      <c r="D142" t="s">
        <v>18</v>
      </c>
      <c r="E142">
        <v>3000000</v>
      </c>
      <c r="F142">
        <v>3</v>
      </c>
      <c r="G142" s="1" t="s">
        <v>145</v>
      </c>
      <c r="I142" t="s">
        <v>146</v>
      </c>
      <c r="L142" s="2">
        <v>43522</v>
      </c>
      <c r="M142" s="2">
        <v>43585</v>
      </c>
      <c r="N142" s="3">
        <v>43523.557951388888</v>
      </c>
      <c r="O142" t="s">
        <v>24</v>
      </c>
      <c r="P142" t="s">
        <v>25</v>
      </c>
    </row>
    <row r="143" spans="1:16" ht="144" x14ac:dyDescent="0.2">
      <c r="A143" t="str">
        <f>HYPERLINK("https://www.grants.gov/view-opportunity.html?oppId=313207","PAR-19-190")</f>
        <v>PAR-19-190</v>
      </c>
      <c r="B143" t="s">
        <v>185</v>
      </c>
      <c r="C143" t="s">
        <v>17</v>
      </c>
      <c r="D143" t="s">
        <v>18</v>
      </c>
      <c r="E143">
        <v>4500000</v>
      </c>
      <c r="F143">
        <v>2</v>
      </c>
      <c r="G143" s="1" t="s">
        <v>19</v>
      </c>
      <c r="I143" t="s">
        <v>20</v>
      </c>
      <c r="L143" s="2">
        <v>43522</v>
      </c>
      <c r="M143" s="2">
        <v>44291</v>
      </c>
      <c r="N143" s="3">
        <v>43901.6015162037</v>
      </c>
      <c r="O143" t="s">
        <v>28</v>
      </c>
      <c r="P143" t="s">
        <v>25</v>
      </c>
    </row>
    <row r="144" spans="1:16" ht="96" x14ac:dyDescent="0.2">
      <c r="A144" t="str">
        <f>HYPERLINK("https://www.grants.gov/view-opportunity.html?oppId=313091","RFA-FD-19-006")</f>
        <v>RFA-FD-19-006</v>
      </c>
      <c r="B144" t="s">
        <v>137</v>
      </c>
      <c r="C144" t="s">
        <v>17</v>
      </c>
      <c r="D144" t="s">
        <v>18</v>
      </c>
      <c r="E144">
        <v>4200000</v>
      </c>
      <c r="F144">
        <v>3</v>
      </c>
      <c r="G144" s="1" t="s">
        <v>67</v>
      </c>
      <c r="I144" t="s">
        <v>33</v>
      </c>
      <c r="L144" s="2">
        <v>43516</v>
      </c>
      <c r="M144" s="2">
        <v>43616</v>
      </c>
      <c r="N144" s="3">
        <v>43516.425925925927</v>
      </c>
      <c r="O144" t="s">
        <v>21</v>
      </c>
      <c r="P144" t="s">
        <v>25</v>
      </c>
    </row>
    <row r="145" spans="1:16" ht="144" x14ac:dyDescent="0.2">
      <c r="A145" t="str">
        <f>HYPERLINK("https://www.grants.gov/view-opportunity.html?oppId=312902","RFA-FD-19-003")</f>
        <v>RFA-FD-19-003</v>
      </c>
      <c r="B145" t="s">
        <v>186</v>
      </c>
      <c r="C145" t="s">
        <v>17</v>
      </c>
      <c r="D145" t="s">
        <v>18</v>
      </c>
      <c r="F145">
        <v>1</v>
      </c>
      <c r="G145" s="1" t="s">
        <v>110</v>
      </c>
      <c r="I145" t="s">
        <v>72</v>
      </c>
      <c r="L145" s="2">
        <v>43509</v>
      </c>
      <c r="M145" s="2">
        <v>43577</v>
      </c>
      <c r="N145" s="3">
        <v>43509.46056712963</v>
      </c>
      <c r="O145" t="s">
        <v>24</v>
      </c>
      <c r="P145" t="s">
        <v>25</v>
      </c>
    </row>
    <row r="146" spans="1:16" ht="144" x14ac:dyDescent="0.2">
      <c r="A146" t="str">
        <f>HYPERLINK("https://www.grants.gov/view-opportunity.html?oppId=312912","RFA-FD-19-011")</f>
        <v>RFA-FD-19-011</v>
      </c>
      <c r="B146" t="s">
        <v>187</v>
      </c>
      <c r="C146" t="s">
        <v>17</v>
      </c>
      <c r="D146" t="s">
        <v>18</v>
      </c>
      <c r="E146">
        <v>6000000</v>
      </c>
      <c r="F146">
        <v>2</v>
      </c>
      <c r="G146" s="1" t="s">
        <v>19</v>
      </c>
      <c r="I146" t="s">
        <v>20</v>
      </c>
      <c r="L146" s="2">
        <v>43509</v>
      </c>
      <c r="M146" s="2">
        <v>43577</v>
      </c>
      <c r="N146" s="3">
        <v>43509.620983796296</v>
      </c>
      <c r="O146" t="s">
        <v>21</v>
      </c>
      <c r="P146" t="s">
        <v>25</v>
      </c>
    </row>
    <row r="147" spans="1:16" ht="144" x14ac:dyDescent="0.2">
      <c r="A147" t="str">
        <f>HYPERLINK("https://www.grants.gov/view-opportunity.html?oppId=312819","RFA-FD-19-010")</f>
        <v>RFA-FD-19-010</v>
      </c>
      <c r="B147" t="s">
        <v>188</v>
      </c>
      <c r="C147" t="s">
        <v>17</v>
      </c>
      <c r="D147" t="s">
        <v>18</v>
      </c>
      <c r="F147">
        <v>1</v>
      </c>
      <c r="G147" s="1" t="s">
        <v>32</v>
      </c>
      <c r="I147" t="s">
        <v>20</v>
      </c>
      <c r="L147" s="2">
        <v>43507</v>
      </c>
      <c r="M147" s="2">
        <v>43566</v>
      </c>
      <c r="N147" s="3">
        <v>43507.504988425928</v>
      </c>
      <c r="O147" t="s">
        <v>21</v>
      </c>
      <c r="P147" t="s">
        <v>25</v>
      </c>
    </row>
    <row r="148" spans="1:16" ht="144" x14ac:dyDescent="0.2">
      <c r="A148" t="str">
        <f>HYPERLINK("https://www.grants.gov/view-opportunity.html?oppId=312818","RFA-FD-19-009")</f>
        <v>RFA-FD-19-009</v>
      </c>
      <c r="B148" t="s">
        <v>189</v>
      </c>
      <c r="C148" t="s">
        <v>17</v>
      </c>
      <c r="D148" t="s">
        <v>18</v>
      </c>
      <c r="F148">
        <v>1</v>
      </c>
      <c r="G148" s="1" t="s">
        <v>19</v>
      </c>
      <c r="I148" t="s">
        <v>20</v>
      </c>
      <c r="L148" s="2">
        <v>43507</v>
      </c>
      <c r="M148" s="2">
        <v>43566</v>
      </c>
      <c r="N148" s="3">
        <v>43507.495266203703</v>
      </c>
      <c r="O148" t="s">
        <v>21</v>
      </c>
      <c r="P148" t="s">
        <v>25</v>
      </c>
    </row>
    <row r="149" spans="1:16" ht="144" x14ac:dyDescent="0.2">
      <c r="A149" t="str">
        <f>HYPERLINK("https://www.grants.gov/view-opportunity.html?oppId=312719","RFA-FD-19-008")</f>
        <v>RFA-FD-19-008</v>
      </c>
      <c r="B149" t="s">
        <v>190</v>
      </c>
      <c r="C149" t="s">
        <v>17</v>
      </c>
      <c r="D149" t="s">
        <v>18</v>
      </c>
      <c r="F149">
        <v>1</v>
      </c>
      <c r="G149" s="1" t="s">
        <v>19</v>
      </c>
      <c r="I149" t="s">
        <v>20</v>
      </c>
      <c r="L149" s="2">
        <v>43503</v>
      </c>
      <c r="M149" s="2">
        <v>43566</v>
      </c>
      <c r="N149" s="3">
        <v>43503.477164351854</v>
      </c>
      <c r="O149" t="s">
        <v>21</v>
      </c>
      <c r="P149" t="s">
        <v>25</v>
      </c>
    </row>
    <row r="150" spans="1:16" ht="144" x14ac:dyDescent="0.2">
      <c r="A150" t="str">
        <f>HYPERLINK("https://www.grants.gov/view-opportunity.html?oppId=312679","RFA-FD-19-014")</f>
        <v>RFA-FD-19-014</v>
      </c>
      <c r="B150" t="s">
        <v>191</v>
      </c>
      <c r="C150" t="s">
        <v>17</v>
      </c>
      <c r="D150" t="s">
        <v>18</v>
      </c>
      <c r="E150">
        <v>1000000</v>
      </c>
      <c r="F150">
        <v>1</v>
      </c>
      <c r="G150" s="1" t="s">
        <v>19</v>
      </c>
      <c r="I150" t="s">
        <v>20</v>
      </c>
      <c r="L150" s="2">
        <v>43502</v>
      </c>
      <c r="M150" s="2">
        <v>43559</v>
      </c>
      <c r="N150" s="3">
        <v>43502.457708333335</v>
      </c>
      <c r="O150" t="s">
        <v>21</v>
      </c>
      <c r="P150" t="s">
        <v>25</v>
      </c>
    </row>
    <row r="151" spans="1:16" ht="144" x14ac:dyDescent="0.2">
      <c r="A151" t="str">
        <f>HYPERLINK("https://www.grants.gov/view-opportunity.html?oppId=312503","RFA-FD-19-002")</f>
        <v>RFA-FD-19-002</v>
      </c>
      <c r="B151" t="s">
        <v>192</v>
      </c>
      <c r="C151" t="s">
        <v>17</v>
      </c>
      <c r="D151" t="s">
        <v>18</v>
      </c>
      <c r="E151">
        <v>1500000</v>
      </c>
      <c r="F151">
        <v>1</v>
      </c>
      <c r="G151" s="1" t="s">
        <v>19</v>
      </c>
      <c r="I151" t="s">
        <v>20</v>
      </c>
      <c r="L151" s="2">
        <v>43496</v>
      </c>
      <c r="M151" s="2">
        <v>43559</v>
      </c>
      <c r="N151" s="3">
        <v>43496.307997685188</v>
      </c>
      <c r="O151" t="s">
        <v>24</v>
      </c>
      <c r="P151" t="s">
        <v>25</v>
      </c>
    </row>
    <row r="152" spans="1:16" ht="144" x14ac:dyDescent="0.2">
      <c r="A152" t="str">
        <f>HYPERLINK("https://www.grants.gov/view-opportunity.html?oppId=309783","RFA-FD-20-001")</f>
        <v>RFA-FD-20-001</v>
      </c>
      <c r="B152" t="s">
        <v>193</v>
      </c>
      <c r="C152" t="s">
        <v>17</v>
      </c>
      <c r="D152" t="s">
        <v>18</v>
      </c>
      <c r="F152">
        <v>15</v>
      </c>
      <c r="G152" s="1" t="s">
        <v>145</v>
      </c>
      <c r="I152" t="s">
        <v>146</v>
      </c>
      <c r="L152" s="2">
        <v>43396</v>
      </c>
      <c r="M152" s="2">
        <v>43641</v>
      </c>
      <c r="N152" s="3">
        <v>43643.720451388886</v>
      </c>
      <c r="O152" t="s">
        <v>36</v>
      </c>
      <c r="P152" t="s">
        <v>25</v>
      </c>
    </row>
    <row r="153" spans="1:16" ht="144" x14ac:dyDescent="0.2">
      <c r="A153" t="str">
        <f>HYPERLINK("https://www.grants.gov/view-opportunity.html?oppId=309556","RFA-FD-19-001")</f>
        <v>RFA-FD-19-001</v>
      </c>
      <c r="B153" t="s">
        <v>194</v>
      </c>
      <c r="C153" t="s">
        <v>17</v>
      </c>
      <c r="D153" t="s">
        <v>18</v>
      </c>
      <c r="F153">
        <v>5</v>
      </c>
      <c r="G153" s="1" t="s">
        <v>145</v>
      </c>
      <c r="I153" t="s">
        <v>146</v>
      </c>
      <c r="L153" s="2">
        <v>43385</v>
      </c>
      <c r="M153" s="2">
        <v>43475</v>
      </c>
      <c r="N153" s="3">
        <v>43388.375868055555</v>
      </c>
      <c r="O153" t="s">
        <v>36</v>
      </c>
      <c r="P153" t="s">
        <v>25</v>
      </c>
    </row>
    <row r="154" spans="1:16" ht="144" x14ac:dyDescent="0.2">
      <c r="A154" t="str">
        <f>HYPERLINK("https://www.grants.gov/view-opportunity.html?oppId=309473","PAR-19-017")</f>
        <v>PAR-19-017</v>
      </c>
      <c r="B154" t="s">
        <v>195</v>
      </c>
      <c r="C154" t="s">
        <v>17</v>
      </c>
      <c r="D154" t="s">
        <v>18</v>
      </c>
      <c r="E154">
        <v>2000000</v>
      </c>
      <c r="F154">
        <v>5</v>
      </c>
      <c r="G154" s="1" t="s">
        <v>145</v>
      </c>
      <c r="I154" t="s">
        <v>146</v>
      </c>
      <c r="L154" s="2">
        <v>43382</v>
      </c>
      <c r="M154" s="2">
        <v>43892</v>
      </c>
      <c r="N154" s="3">
        <v>43382.46329861111</v>
      </c>
      <c r="O154" t="s">
        <v>21</v>
      </c>
      <c r="P154" t="s">
        <v>25</v>
      </c>
    </row>
    <row r="155" spans="1:16" ht="144" x14ac:dyDescent="0.2">
      <c r="A155" t="str">
        <f>HYPERLINK("https://www.grants.gov/view-opportunity.html?oppId=307742","RFI-NOT-FD-18-014")</f>
        <v>RFI-NOT-FD-18-014</v>
      </c>
      <c r="B155" t="s">
        <v>196</v>
      </c>
      <c r="C155" t="s">
        <v>17</v>
      </c>
      <c r="D155" t="s">
        <v>18</v>
      </c>
      <c r="F155">
        <v>1</v>
      </c>
      <c r="G155" s="1" t="s">
        <v>19</v>
      </c>
      <c r="I155" t="s">
        <v>20</v>
      </c>
      <c r="L155" s="2">
        <v>43312</v>
      </c>
      <c r="M155" s="2">
        <v>43388</v>
      </c>
      <c r="N155" s="3">
        <v>43312.368414351855</v>
      </c>
      <c r="O155" t="s">
        <v>21</v>
      </c>
      <c r="P155" t="s">
        <v>25</v>
      </c>
    </row>
    <row r="156" spans="1:16" ht="144" x14ac:dyDescent="0.2">
      <c r="A156" t="str">
        <f>HYPERLINK("https://www.grants.gov/view-opportunity.html?oppId=306175","PAR-18-827")</f>
        <v>PAR-18-827</v>
      </c>
      <c r="B156" t="s">
        <v>197</v>
      </c>
      <c r="C156" t="s">
        <v>17</v>
      </c>
      <c r="D156" t="s">
        <v>18</v>
      </c>
      <c r="E156">
        <v>500000</v>
      </c>
      <c r="F156">
        <v>10</v>
      </c>
      <c r="G156" s="1" t="s">
        <v>198</v>
      </c>
      <c r="I156" t="s">
        <v>51</v>
      </c>
      <c r="L156" s="2">
        <v>43263</v>
      </c>
      <c r="M156" s="2">
        <v>44212</v>
      </c>
      <c r="N156" s="3">
        <v>43509.46334490741</v>
      </c>
      <c r="O156" t="s">
        <v>24</v>
      </c>
      <c r="P156" t="s">
        <v>25</v>
      </c>
    </row>
    <row r="157" spans="1:16" ht="144" x14ac:dyDescent="0.2">
      <c r="A157" t="str">
        <f>HYPERLINK("https://www.grants.gov/view-opportunity.html?oppId=305539","RFA-FD-18-018")</f>
        <v>RFA-FD-18-018</v>
      </c>
      <c r="B157" t="s">
        <v>199</v>
      </c>
      <c r="C157" t="s">
        <v>17</v>
      </c>
      <c r="D157" t="s">
        <v>18</v>
      </c>
      <c r="F157">
        <v>2</v>
      </c>
      <c r="G157" s="1" t="s">
        <v>19</v>
      </c>
      <c r="I157" t="s">
        <v>20</v>
      </c>
      <c r="L157" s="2">
        <v>43243</v>
      </c>
      <c r="M157" s="2">
        <v>43271</v>
      </c>
      <c r="N157" s="3">
        <v>43243.489849537036</v>
      </c>
      <c r="O157" t="s">
        <v>21</v>
      </c>
      <c r="P157" t="s">
        <v>25</v>
      </c>
    </row>
    <row r="158" spans="1:16" ht="144" x14ac:dyDescent="0.2">
      <c r="A158" t="str">
        <f>HYPERLINK("https://www.grants.gov/view-opportunity.html?oppId=305315","RFA-FD-18-025")</f>
        <v>RFA-FD-18-025</v>
      </c>
      <c r="B158" t="s">
        <v>200</v>
      </c>
      <c r="C158" t="s">
        <v>17</v>
      </c>
      <c r="D158" t="s">
        <v>18</v>
      </c>
      <c r="E158">
        <v>4000000</v>
      </c>
      <c r="F158">
        <v>1</v>
      </c>
      <c r="G158" s="1" t="s">
        <v>19</v>
      </c>
      <c r="I158" t="s">
        <v>20</v>
      </c>
      <c r="L158" s="2">
        <v>43237</v>
      </c>
      <c r="M158" s="2">
        <v>43299</v>
      </c>
      <c r="N158" s="3">
        <v>43237.657141203701</v>
      </c>
      <c r="O158" t="s">
        <v>36</v>
      </c>
      <c r="P158" t="s">
        <v>25</v>
      </c>
    </row>
    <row r="159" spans="1:16" ht="144" x14ac:dyDescent="0.2">
      <c r="A159" t="str">
        <f>HYPERLINK("https://www.grants.gov/view-opportunity.html?oppId=304191","RFA-FD-18-022")</f>
        <v>RFA-FD-18-022</v>
      </c>
      <c r="B159" t="s">
        <v>201</v>
      </c>
      <c r="C159" t="s">
        <v>17</v>
      </c>
      <c r="D159" t="s">
        <v>18</v>
      </c>
      <c r="E159">
        <v>4500000</v>
      </c>
      <c r="F159">
        <v>1</v>
      </c>
      <c r="G159" s="1" t="s">
        <v>19</v>
      </c>
      <c r="I159" t="s">
        <v>20</v>
      </c>
      <c r="L159" s="2">
        <v>43215</v>
      </c>
      <c r="M159" s="2">
        <v>43313</v>
      </c>
      <c r="N159" s="3">
        <v>43271.275925925926</v>
      </c>
      <c r="O159" t="s">
        <v>24</v>
      </c>
      <c r="P159" t="s">
        <v>25</v>
      </c>
    </row>
    <row r="160" spans="1:16" ht="144" x14ac:dyDescent="0.2">
      <c r="A160" t="str">
        <f>HYPERLINK("https://www.grants.gov/view-opportunity.html?oppId=304074","RFA-FD-18-023")</f>
        <v>RFA-FD-18-023</v>
      </c>
      <c r="B160" t="s">
        <v>202</v>
      </c>
      <c r="C160" t="s">
        <v>17</v>
      </c>
      <c r="D160" t="s">
        <v>18</v>
      </c>
      <c r="E160">
        <v>3000000</v>
      </c>
      <c r="F160">
        <v>5</v>
      </c>
      <c r="G160" s="1" t="s">
        <v>203</v>
      </c>
      <c r="I160" t="s">
        <v>204</v>
      </c>
      <c r="L160" s="2">
        <v>43213</v>
      </c>
      <c r="M160" s="2">
        <v>43276</v>
      </c>
      <c r="N160" s="3">
        <v>43213.372488425928</v>
      </c>
      <c r="O160" t="s">
        <v>21</v>
      </c>
      <c r="P160" t="s">
        <v>25</v>
      </c>
    </row>
    <row r="161" spans="1:16" ht="144" x14ac:dyDescent="0.2">
      <c r="A161" t="str">
        <f>HYPERLINK("https://www.grants.gov/view-opportunity.html?oppId=303917","RFA-FD-18-009")</f>
        <v>RFA-FD-18-009</v>
      </c>
      <c r="B161" t="s">
        <v>205</v>
      </c>
      <c r="C161" t="s">
        <v>17</v>
      </c>
      <c r="D161" t="s">
        <v>18</v>
      </c>
      <c r="E161">
        <v>1000000</v>
      </c>
      <c r="F161">
        <v>1</v>
      </c>
      <c r="G161" s="1" t="s">
        <v>110</v>
      </c>
      <c r="I161" t="s">
        <v>72</v>
      </c>
      <c r="L161" s="2">
        <v>43210</v>
      </c>
      <c r="M161" s="2">
        <v>43283</v>
      </c>
      <c r="N161" s="3">
        <v>43210.476620370369</v>
      </c>
      <c r="O161" t="s">
        <v>21</v>
      </c>
      <c r="P161" t="s">
        <v>25</v>
      </c>
    </row>
    <row r="162" spans="1:16" ht="144" x14ac:dyDescent="0.2">
      <c r="A162" t="str">
        <f>HYPERLINK("https://www.grants.gov/view-opportunity.html?oppId=302240","RFA-FD-18-016")</f>
        <v>RFA-FD-18-016</v>
      </c>
      <c r="B162" t="s">
        <v>206</v>
      </c>
      <c r="C162" t="s">
        <v>17</v>
      </c>
      <c r="D162" t="s">
        <v>18</v>
      </c>
      <c r="E162">
        <v>250000</v>
      </c>
      <c r="F162">
        <v>3</v>
      </c>
      <c r="G162" s="1" t="s">
        <v>19</v>
      </c>
      <c r="I162" t="s">
        <v>33</v>
      </c>
      <c r="L162" s="2">
        <v>43187</v>
      </c>
      <c r="M162" s="2">
        <v>43262</v>
      </c>
      <c r="N162" s="3">
        <v>43187.544768518521</v>
      </c>
      <c r="O162" t="s">
        <v>21</v>
      </c>
      <c r="P162" t="s">
        <v>25</v>
      </c>
    </row>
    <row r="163" spans="1:16" ht="144" x14ac:dyDescent="0.2">
      <c r="A163" t="str">
        <f>HYPERLINK("https://www.grants.gov/view-opportunity.html?oppId=302119","RFA-FD-18-011")</f>
        <v>RFA-FD-18-011</v>
      </c>
      <c r="B163" t="s">
        <v>207</v>
      </c>
      <c r="C163" t="s">
        <v>17</v>
      </c>
      <c r="D163" t="s">
        <v>18</v>
      </c>
      <c r="E163">
        <v>5000000</v>
      </c>
      <c r="F163">
        <v>3</v>
      </c>
      <c r="G163" s="1" t="s">
        <v>19</v>
      </c>
      <c r="I163" t="s">
        <v>20</v>
      </c>
      <c r="L163" s="2">
        <v>43182</v>
      </c>
      <c r="M163" s="2">
        <v>43255</v>
      </c>
      <c r="N163" s="3">
        <v>43182.447488425925</v>
      </c>
      <c r="O163" t="s">
        <v>21</v>
      </c>
      <c r="P163" t="s">
        <v>25</v>
      </c>
    </row>
    <row r="164" spans="1:16" ht="144" x14ac:dyDescent="0.2">
      <c r="A164" t="str">
        <f>HYPERLINK("https://www.grants.gov/view-opportunity.html?oppId=302117","RFA-FD-18-012")</f>
        <v>RFA-FD-18-012</v>
      </c>
      <c r="B164" t="s">
        <v>208</v>
      </c>
      <c r="C164" t="s">
        <v>17</v>
      </c>
      <c r="D164" t="s">
        <v>18</v>
      </c>
      <c r="E164">
        <v>250000</v>
      </c>
      <c r="F164">
        <v>2</v>
      </c>
      <c r="G164" s="1" t="s">
        <v>19</v>
      </c>
      <c r="I164" t="s">
        <v>33</v>
      </c>
      <c r="L164" s="2">
        <v>43182</v>
      </c>
      <c r="M164" s="2">
        <v>43255</v>
      </c>
      <c r="N164" s="3">
        <v>43182.420405092591</v>
      </c>
      <c r="O164" t="s">
        <v>21</v>
      </c>
      <c r="P164" t="s">
        <v>25</v>
      </c>
    </row>
    <row r="165" spans="1:16" ht="144" x14ac:dyDescent="0.2">
      <c r="A165" t="str">
        <f>HYPERLINK("https://www.grants.gov/view-opportunity.html?oppId=302134","RFA-FD-18-021")</f>
        <v>RFA-FD-18-021</v>
      </c>
      <c r="B165" t="s">
        <v>209</v>
      </c>
      <c r="C165" t="s">
        <v>17</v>
      </c>
      <c r="D165" t="s">
        <v>18</v>
      </c>
      <c r="E165">
        <v>400000</v>
      </c>
      <c r="F165">
        <v>1</v>
      </c>
      <c r="G165" s="1" t="s">
        <v>110</v>
      </c>
      <c r="I165" t="s">
        <v>72</v>
      </c>
      <c r="L165" s="2">
        <v>43182</v>
      </c>
      <c r="M165" s="2">
        <v>43255</v>
      </c>
      <c r="N165" s="3">
        <v>43182.456516203703</v>
      </c>
      <c r="O165" t="s">
        <v>21</v>
      </c>
      <c r="P165" t="s">
        <v>25</v>
      </c>
    </row>
    <row r="166" spans="1:16" ht="144" x14ac:dyDescent="0.2">
      <c r="A166" t="str">
        <f>HYPERLINK("https://www.grants.gov/view-opportunity.html?oppId=302056","RFA-FD-18-020")</f>
        <v>RFA-FD-18-020</v>
      </c>
      <c r="B166" t="s">
        <v>210</v>
      </c>
      <c r="C166" t="s">
        <v>17</v>
      </c>
      <c r="D166" t="s">
        <v>18</v>
      </c>
      <c r="E166">
        <v>280000</v>
      </c>
      <c r="F166">
        <v>2</v>
      </c>
      <c r="G166" s="1" t="s">
        <v>19</v>
      </c>
      <c r="I166" t="s">
        <v>33</v>
      </c>
      <c r="L166" s="2">
        <v>43181</v>
      </c>
      <c r="M166" s="2">
        <v>43255</v>
      </c>
      <c r="N166" s="3">
        <v>43182.445405092592</v>
      </c>
      <c r="O166" t="s">
        <v>24</v>
      </c>
      <c r="P166" t="s">
        <v>25</v>
      </c>
    </row>
    <row r="167" spans="1:16" ht="144" x14ac:dyDescent="0.2">
      <c r="A167" t="str">
        <f>HYPERLINK("https://www.grants.gov/view-opportunity.html?oppId=302075","RFA-FD-18-014")</f>
        <v>RFA-FD-18-014</v>
      </c>
      <c r="B167" t="s">
        <v>211</v>
      </c>
      <c r="C167" t="s">
        <v>17</v>
      </c>
      <c r="D167" t="s">
        <v>18</v>
      </c>
      <c r="E167">
        <v>380000</v>
      </c>
      <c r="F167">
        <v>2</v>
      </c>
      <c r="G167" s="1" t="s">
        <v>19</v>
      </c>
      <c r="I167" t="s">
        <v>33</v>
      </c>
      <c r="L167" s="2">
        <v>43181</v>
      </c>
      <c r="M167" s="2">
        <v>43249</v>
      </c>
      <c r="N167" s="3">
        <v>43182.444016203706</v>
      </c>
      <c r="O167" t="s">
        <v>24</v>
      </c>
      <c r="P167" t="s">
        <v>25</v>
      </c>
    </row>
    <row r="168" spans="1:16" ht="144" x14ac:dyDescent="0.2">
      <c r="A168" t="str">
        <f>HYPERLINK("https://www.grants.gov/view-opportunity.html?oppId=301998","RFA-FD-18-010")</f>
        <v>RFA-FD-18-010</v>
      </c>
      <c r="B168" t="s">
        <v>212</v>
      </c>
      <c r="C168" t="s">
        <v>17</v>
      </c>
      <c r="D168" t="s">
        <v>18</v>
      </c>
      <c r="E168">
        <v>500000</v>
      </c>
      <c r="F168">
        <v>2</v>
      </c>
      <c r="G168" s="1" t="s">
        <v>19</v>
      </c>
      <c r="I168" t="s">
        <v>33</v>
      </c>
      <c r="L168" s="2">
        <v>43180</v>
      </c>
      <c r="M168" s="2">
        <v>43241</v>
      </c>
      <c r="N168" s="3">
        <v>43180.431493055556</v>
      </c>
      <c r="O168" t="s">
        <v>24</v>
      </c>
      <c r="P168" t="s">
        <v>25</v>
      </c>
    </row>
    <row r="169" spans="1:16" ht="144" x14ac:dyDescent="0.2">
      <c r="A169" t="str">
        <f>HYPERLINK("https://www.grants.gov/view-opportunity.html?oppId=301997","RFA-FD-18-017")</f>
        <v>RFA-FD-18-017</v>
      </c>
      <c r="B169" t="s">
        <v>213</v>
      </c>
      <c r="C169" t="s">
        <v>17</v>
      </c>
      <c r="D169" t="s">
        <v>18</v>
      </c>
      <c r="E169">
        <v>500000</v>
      </c>
      <c r="F169">
        <v>2</v>
      </c>
      <c r="G169" s="1" t="s">
        <v>19</v>
      </c>
      <c r="I169" t="s">
        <v>33</v>
      </c>
      <c r="L169" s="2">
        <v>43180</v>
      </c>
      <c r="M169" s="2">
        <v>43249</v>
      </c>
      <c r="N169" s="3">
        <v>43182.444710648146</v>
      </c>
      <c r="O169" t="s">
        <v>24</v>
      </c>
      <c r="P169" t="s">
        <v>25</v>
      </c>
    </row>
    <row r="170" spans="1:16" ht="144" x14ac:dyDescent="0.2">
      <c r="A170" t="str">
        <f>HYPERLINK("https://www.grants.gov/view-opportunity.html?oppId=302015","RFA-FD-18-019")</f>
        <v>RFA-FD-18-019</v>
      </c>
      <c r="B170" t="s">
        <v>214</v>
      </c>
      <c r="C170" t="s">
        <v>17</v>
      </c>
      <c r="D170" t="s">
        <v>18</v>
      </c>
      <c r="E170">
        <v>500000</v>
      </c>
      <c r="F170">
        <v>2</v>
      </c>
      <c r="G170" s="1" t="s">
        <v>215</v>
      </c>
      <c r="I170" t="s">
        <v>216</v>
      </c>
      <c r="L170" s="2">
        <v>43180</v>
      </c>
      <c r="M170" s="2">
        <v>43250</v>
      </c>
      <c r="N170" s="3">
        <v>43250.421875</v>
      </c>
      <c r="O170" t="s">
        <v>28</v>
      </c>
      <c r="P170" t="s">
        <v>25</v>
      </c>
    </row>
    <row r="171" spans="1:16" ht="144" x14ac:dyDescent="0.2">
      <c r="A171" t="str">
        <f>HYPERLINK("https://www.grants.gov/view-opportunity.html?oppId=301684","RFA-FD-18-008")</f>
        <v>RFA-FD-18-008</v>
      </c>
      <c r="B171" t="s">
        <v>217</v>
      </c>
      <c r="C171" t="s">
        <v>17</v>
      </c>
      <c r="D171" t="s">
        <v>18</v>
      </c>
      <c r="E171">
        <v>2500000</v>
      </c>
      <c r="F171">
        <v>1</v>
      </c>
      <c r="G171" s="1" t="s">
        <v>110</v>
      </c>
      <c r="I171" t="s">
        <v>72</v>
      </c>
      <c r="L171" s="2">
        <v>43174</v>
      </c>
      <c r="M171" s="2">
        <v>43241</v>
      </c>
      <c r="N171" s="3">
        <v>43174.595312500001</v>
      </c>
      <c r="O171" t="s">
        <v>24</v>
      </c>
      <c r="P171" t="s">
        <v>25</v>
      </c>
    </row>
    <row r="172" spans="1:16" ht="144" x14ac:dyDescent="0.2">
      <c r="A172" t="str">
        <f>HYPERLINK("https://www.grants.gov/view-opportunity.html?oppId=301696","RFA-FD-18-006")</f>
        <v>RFA-FD-18-006</v>
      </c>
      <c r="B172" t="s">
        <v>218</v>
      </c>
      <c r="C172" t="s">
        <v>17</v>
      </c>
      <c r="D172" t="s">
        <v>18</v>
      </c>
      <c r="E172">
        <v>1275000</v>
      </c>
      <c r="F172">
        <v>9</v>
      </c>
      <c r="G172" s="1" t="s">
        <v>145</v>
      </c>
      <c r="I172" t="s">
        <v>146</v>
      </c>
      <c r="L172" s="2">
        <v>43174</v>
      </c>
      <c r="M172" s="2">
        <v>43236</v>
      </c>
      <c r="N172" s="3">
        <v>43174.405729166669</v>
      </c>
      <c r="O172" t="s">
        <v>21</v>
      </c>
      <c r="P172" t="s">
        <v>25</v>
      </c>
    </row>
    <row r="173" spans="1:16" ht="144" x14ac:dyDescent="0.2">
      <c r="A173" t="str">
        <f>HYPERLINK("https://www.grants.gov/view-opportunity.html?oppId=301705","RFA-FD-18-015")</f>
        <v>RFA-FD-18-015</v>
      </c>
      <c r="B173" t="s">
        <v>219</v>
      </c>
      <c r="C173" t="s">
        <v>17</v>
      </c>
      <c r="D173" t="s">
        <v>18</v>
      </c>
      <c r="E173">
        <v>750000</v>
      </c>
      <c r="F173">
        <v>3</v>
      </c>
      <c r="G173" s="1" t="s">
        <v>19</v>
      </c>
      <c r="I173" t="s">
        <v>20</v>
      </c>
      <c r="L173" s="2">
        <v>43174</v>
      </c>
      <c r="M173" s="2">
        <v>43235</v>
      </c>
      <c r="N173" s="3">
        <v>43199.590381944443</v>
      </c>
      <c r="O173" t="s">
        <v>36</v>
      </c>
      <c r="P173" t="s">
        <v>25</v>
      </c>
    </row>
    <row r="174" spans="1:16" ht="144" x14ac:dyDescent="0.2">
      <c r="A174" t="str">
        <f>HYPERLINK("https://www.grants.gov/view-opportunity.html?oppId=300745","RFA-FD-18-005")</f>
        <v>RFA-FD-18-005</v>
      </c>
      <c r="B174" t="s">
        <v>220</v>
      </c>
      <c r="C174" t="s">
        <v>17</v>
      </c>
      <c r="D174" t="s">
        <v>18</v>
      </c>
      <c r="E174">
        <v>750000</v>
      </c>
      <c r="F174">
        <v>1</v>
      </c>
      <c r="G174" s="1" t="s">
        <v>110</v>
      </c>
      <c r="I174" t="s">
        <v>72</v>
      </c>
      <c r="L174" s="2">
        <v>43146</v>
      </c>
      <c r="M174" s="2">
        <v>43210</v>
      </c>
      <c r="N174" s="3">
        <v>43146.605034722219</v>
      </c>
      <c r="O174" t="s">
        <v>36</v>
      </c>
      <c r="P174" t="s">
        <v>25</v>
      </c>
    </row>
    <row r="175" spans="1:16" ht="144" x14ac:dyDescent="0.2">
      <c r="A175" t="str">
        <f>HYPERLINK("https://www.grants.gov/view-opportunity.html?oppId=300115","RFA-FD-18-004")</f>
        <v>RFA-FD-18-004</v>
      </c>
      <c r="B175" t="s">
        <v>221</v>
      </c>
      <c r="C175" t="s">
        <v>17</v>
      </c>
      <c r="D175" t="s">
        <v>18</v>
      </c>
      <c r="E175">
        <v>6000000</v>
      </c>
      <c r="F175">
        <v>5</v>
      </c>
      <c r="G175" s="1" t="s">
        <v>145</v>
      </c>
      <c r="I175" t="s">
        <v>146</v>
      </c>
      <c r="L175" s="2">
        <v>43116</v>
      </c>
      <c r="M175" s="2">
        <v>43175</v>
      </c>
      <c r="N175" s="3">
        <v>43146.433506944442</v>
      </c>
      <c r="O175" t="s">
        <v>24</v>
      </c>
      <c r="P175" t="s">
        <v>25</v>
      </c>
    </row>
    <row r="176" spans="1:16" ht="144" x14ac:dyDescent="0.2">
      <c r="A176" t="str">
        <f>HYPERLINK("https://www.grants.gov/view-opportunity.html?oppId=299265","RFA-FD-18-001")</f>
        <v>RFA-FD-18-001</v>
      </c>
      <c r="B176" t="s">
        <v>222</v>
      </c>
      <c r="C176" t="s">
        <v>17</v>
      </c>
      <c r="D176" t="s">
        <v>18</v>
      </c>
      <c r="E176">
        <v>18000000</v>
      </c>
      <c r="F176">
        <v>50</v>
      </c>
      <c r="G176" s="1" t="s">
        <v>145</v>
      </c>
      <c r="I176" t="s">
        <v>146</v>
      </c>
      <c r="L176" s="2">
        <v>43074</v>
      </c>
      <c r="M176" s="2">
        <v>44531</v>
      </c>
      <c r="N176" s="3">
        <v>43074.63894675926</v>
      </c>
      <c r="O176" t="s">
        <v>21</v>
      </c>
      <c r="P176" t="s">
        <v>25</v>
      </c>
    </row>
    <row r="177" spans="1:16" ht="144" x14ac:dyDescent="0.2">
      <c r="A177" t="str">
        <f>HYPERLINK("https://www.grants.gov/view-opportunity.html?oppId=298113","RFA-FD-18-003")</f>
        <v>RFA-FD-18-003</v>
      </c>
      <c r="B177" t="s">
        <v>223</v>
      </c>
      <c r="C177" t="s">
        <v>17</v>
      </c>
      <c r="D177" t="s">
        <v>18</v>
      </c>
      <c r="E177">
        <v>450000</v>
      </c>
      <c r="F177">
        <v>1</v>
      </c>
      <c r="G177" s="1" t="s">
        <v>203</v>
      </c>
      <c r="I177" t="s">
        <v>204</v>
      </c>
      <c r="L177" s="2">
        <v>43032</v>
      </c>
      <c r="M177" s="2">
        <v>43089</v>
      </c>
      <c r="N177" s="3">
        <v>43088.30091435185</v>
      </c>
      <c r="O177" t="s">
        <v>24</v>
      </c>
      <c r="P177" t="s">
        <v>25</v>
      </c>
    </row>
    <row r="178" spans="1:16" ht="144" x14ac:dyDescent="0.2">
      <c r="A178" t="str">
        <f>HYPERLINK("https://www.grants.gov/view-opportunity.html?oppId=295034","RFA-FD-17-014")</f>
        <v>RFA-FD-17-014</v>
      </c>
      <c r="B178" t="s">
        <v>224</v>
      </c>
      <c r="C178" t="s">
        <v>17</v>
      </c>
      <c r="D178" t="s">
        <v>18</v>
      </c>
      <c r="F178">
        <v>1</v>
      </c>
      <c r="G178" s="1" t="s">
        <v>110</v>
      </c>
      <c r="I178" t="s">
        <v>72</v>
      </c>
      <c r="L178" s="2">
        <v>42912</v>
      </c>
      <c r="M178" s="2">
        <v>42969</v>
      </c>
      <c r="N178" s="3">
        <v>42912.513495370367</v>
      </c>
      <c r="O178" t="s">
        <v>21</v>
      </c>
      <c r="P178" t="s">
        <v>25</v>
      </c>
    </row>
    <row r="179" spans="1:16" ht="144" x14ac:dyDescent="0.2">
      <c r="A179" t="str">
        <f>HYPERLINK("https://www.grants.gov/view-opportunity.html?oppId=295037","RFA-FD-17-013")</f>
        <v>RFA-FD-17-013</v>
      </c>
      <c r="B179" t="s">
        <v>225</v>
      </c>
      <c r="C179" t="s">
        <v>17</v>
      </c>
      <c r="D179" t="s">
        <v>18</v>
      </c>
      <c r="F179">
        <v>1</v>
      </c>
      <c r="G179" s="1" t="s">
        <v>19</v>
      </c>
      <c r="I179" t="s">
        <v>20</v>
      </c>
      <c r="L179" s="2">
        <v>42912</v>
      </c>
      <c r="M179" s="2">
        <v>42976</v>
      </c>
      <c r="N179" s="3">
        <v>42912.619050925925</v>
      </c>
      <c r="O179" t="s">
        <v>21</v>
      </c>
      <c r="P179" t="s">
        <v>25</v>
      </c>
    </row>
    <row r="180" spans="1:16" ht="144" x14ac:dyDescent="0.2">
      <c r="A180" t="str">
        <f>HYPERLINK("https://www.grants.gov/view-opportunity.html?oppId=294654","RFA-FD-18-002")</f>
        <v>RFA-FD-18-002</v>
      </c>
      <c r="B180" t="s">
        <v>226</v>
      </c>
      <c r="C180" t="s">
        <v>17</v>
      </c>
      <c r="D180" t="s">
        <v>18</v>
      </c>
      <c r="E180">
        <v>1</v>
      </c>
      <c r="F180">
        <v>1</v>
      </c>
      <c r="G180" s="1" t="s">
        <v>110</v>
      </c>
      <c r="I180" t="s">
        <v>72</v>
      </c>
      <c r="L180" s="2">
        <v>42900</v>
      </c>
      <c r="M180" s="2">
        <v>42961</v>
      </c>
      <c r="N180" s="3">
        <v>42900.531412037039</v>
      </c>
      <c r="O180" t="s">
        <v>21</v>
      </c>
      <c r="P180" t="s">
        <v>25</v>
      </c>
    </row>
    <row r="181" spans="1:16" ht="144" x14ac:dyDescent="0.2">
      <c r="A181" t="str">
        <f>HYPERLINK("https://www.grants.gov/view-opportunity.html?oppId=294191","RFA-FD-17-011")</f>
        <v>RFA-FD-17-011</v>
      </c>
      <c r="B181" t="s">
        <v>227</v>
      </c>
      <c r="C181" t="s">
        <v>17</v>
      </c>
      <c r="D181" t="s">
        <v>18</v>
      </c>
      <c r="E181">
        <v>1100000</v>
      </c>
      <c r="F181">
        <v>1</v>
      </c>
      <c r="G181" s="1" t="s">
        <v>19</v>
      </c>
      <c r="I181" t="s">
        <v>20</v>
      </c>
      <c r="L181" s="2">
        <v>42885</v>
      </c>
      <c r="M181" s="2">
        <v>42958</v>
      </c>
      <c r="N181" s="3">
        <v>42948.429872685185</v>
      </c>
      <c r="O181" t="s">
        <v>24</v>
      </c>
      <c r="P181" t="s">
        <v>25</v>
      </c>
    </row>
    <row r="182" spans="1:16" ht="144" x14ac:dyDescent="0.2">
      <c r="A182" t="str">
        <f>HYPERLINK("https://www.grants.gov/view-opportunity.html?oppId=294016","RFA-FD-17-006")</f>
        <v>RFA-FD-17-006</v>
      </c>
      <c r="B182" t="s">
        <v>228</v>
      </c>
      <c r="C182" t="s">
        <v>17</v>
      </c>
      <c r="D182" t="s">
        <v>18</v>
      </c>
      <c r="E182">
        <v>140000</v>
      </c>
      <c r="F182">
        <v>1</v>
      </c>
      <c r="G182" s="1" t="s">
        <v>229</v>
      </c>
      <c r="I182" t="s">
        <v>20</v>
      </c>
      <c r="L182" s="2">
        <v>42878</v>
      </c>
      <c r="M182" s="2">
        <v>42940</v>
      </c>
      <c r="N182" s="3">
        <v>42936.603703703702</v>
      </c>
      <c r="O182" t="s">
        <v>28</v>
      </c>
      <c r="P182" t="s">
        <v>25</v>
      </c>
    </row>
    <row r="183" spans="1:16" ht="112" x14ac:dyDescent="0.2">
      <c r="A183" t="str">
        <f>HYPERLINK("https://www.grants.gov/view-opportunity.html?oppId=293851","RFA-FD-17-012")</f>
        <v>RFA-FD-17-012</v>
      </c>
      <c r="B183" t="s">
        <v>230</v>
      </c>
      <c r="C183" t="s">
        <v>17</v>
      </c>
      <c r="D183" t="s">
        <v>18</v>
      </c>
      <c r="E183">
        <v>750000</v>
      </c>
      <c r="F183">
        <v>1</v>
      </c>
      <c r="G183" s="1" t="s">
        <v>231</v>
      </c>
      <c r="I183" t="s">
        <v>232</v>
      </c>
      <c r="L183" s="2">
        <v>42870</v>
      </c>
      <c r="M183" s="2">
        <v>42926</v>
      </c>
      <c r="N183" s="3">
        <v>42870.568229166667</v>
      </c>
      <c r="O183" t="s">
        <v>28</v>
      </c>
      <c r="P183" t="s">
        <v>25</v>
      </c>
    </row>
    <row r="184" spans="1:16" ht="144" x14ac:dyDescent="0.2">
      <c r="A184" t="str">
        <f>HYPERLINK("https://www.grants.gov/view-opportunity.html?oppId=292882","RFA-FD-17-002")</f>
        <v>RFA-FD-17-002</v>
      </c>
      <c r="B184" t="s">
        <v>233</v>
      </c>
      <c r="C184" t="s">
        <v>17</v>
      </c>
      <c r="D184" t="s">
        <v>18</v>
      </c>
      <c r="E184">
        <v>299150</v>
      </c>
      <c r="F184">
        <v>1</v>
      </c>
      <c r="G184" s="1" t="s">
        <v>110</v>
      </c>
      <c r="I184" t="s">
        <v>72</v>
      </c>
      <c r="L184" s="2">
        <v>42825</v>
      </c>
      <c r="M184" s="2">
        <v>42916</v>
      </c>
      <c r="N184" s="3">
        <v>42885.59479166667</v>
      </c>
      <c r="O184" t="s">
        <v>24</v>
      </c>
      <c r="P184" t="s">
        <v>25</v>
      </c>
    </row>
    <row r="185" spans="1:16" ht="112" x14ac:dyDescent="0.2">
      <c r="A185" t="str">
        <f>HYPERLINK("https://www.grants.gov/view-opportunity.html?oppId=292492","RFA-FD-17-007")</f>
        <v>RFA-FD-17-007</v>
      </c>
      <c r="B185" t="s">
        <v>234</v>
      </c>
      <c r="C185" t="s">
        <v>17</v>
      </c>
      <c r="D185" t="s">
        <v>18</v>
      </c>
      <c r="F185">
        <v>33</v>
      </c>
      <c r="G185" s="1" t="s">
        <v>231</v>
      </c>
      <c r="I185" t="s">
        <v>232</v>
      </c>
      <c r="L185" s="2">
        <v>42809</v>
      </c>
      <c r="M185" s="2">
        <v>42886</v>
      </c>
      <c r="N185" s="3">
        <v>42872.437696759262</v>
      </c>
      <c r="O185" t="s">
        <v>36</v>
      </c>
      <c r="P185" t="s">
        <v>25</v>
      </c>
    </row>
    <row r="186" spans="1:16" ht="112" x14ac:dyDescent="0.2">
      <c r="A186" t="str">
        <f>HYPERLINK("https://www.grants.gov/view-opportunity.html?oppId=292125","RFA-FD-17-005")</f>
        <v>RFA-FD-17-005</v>
      </c>
      <c r="B186" t="s">
        <v>235</v>
      </c>
      <c r="C186" t="s">
        <v>17</v>
      </c>
      <c r="D186" t="s">
        <v>18</v>
      </c>
      <c r="E186">
        <v>10000000</v>
      </c>
      <c r="F186">
        <v>30</v>
      </c>
      <c r="G186" s="1" t="s">
        <v>231</v>
      </c>
      <c r="I186" t="s">
        <v>232</v>
      </c>
      <c r="L186" s="2">
        <v>42795</v>
      </c>
      <c r="M186" s="2">
        <v>42856</v>
      </c>
      <c r="N186" s="3">
        <v>42795.572928240741</v>
      </c>
      <c r="O186" t="s">
        <v>21</v>
      </c>
      <c r="P186" t="s">
        <v>25</v>
      </c>
    </row>
    <row r="187" spans="1:16" ht="112" x14ac:dyDescent="0.2">
      <c r="A187" t="str">
        <f>HYPERLINK("https://www.grants.gov/view-opportunity.html?oppId=292078","RFA-FD-17-010")</f>
        <v>RFA-FD-17-010</v>
      </c>
      <c r="B187" t="s">
        <v>236</v>
      </c>
      <c r="C187" t="s">
        <v>17</v>
      </c>
      <c r="D187" t="s">
        <v>18</v>
      </c>
      <c r="E187">
        <v>7900000</v>
      </c>
      <c r="F187">
        <v>45</v>
      </c>
      <c r="G187" s="1" t="s">
        <v>237</v>
      </c>
      <c r="I187" t="s">
        <v>238</v>
      </c>
      <c r="L187" s="2">
        <v>42793</v>
      </c>
      <c r="M187" s="2">
        <v>43208</v>
      </c>
      <c r="N187" s="3">
        <v>43145.289050925923</v>
      </c>
      <c r="O187" t="s">
        <v>24</v>
      </c>
      <c r="P187" t="s">
        <v>25</v>
      </c>
    </row>
    <row r="188" spans="1:16" ht="144" x14ac:dyDescent="0.2">
      <c r="A188" t="str">
        <f>HYPERLINK("https://www.grants.gov/view-opportunity.html?oppId=292013","RFA-FD-17-008")</f>
        <v>RFA-FD-17-008</v>
      </c>
      <c r="B188" t="s">
        <v>239</v>
      </c>
      <c r="C188" t="s">
        <v>17</v>
      </c>
      <c r="D188" t="s">
        <v>18</v>
      </c>
      <c r="E188">
        <v>2500000</v>
      </c>
      <c r="F188">
        <v>1</v>
      </c>
      <c r="G188" s="1" t="s">
        <v>19</v>
      </c>
      <c r="I188" t="s">
        <v>20</v>
      </c>
      <c r="L188" s="2">
        <v>42789</v>
      </c>
      <c r="M188" s="2">
        <v>42849</v>
      </c>
      <c r="N188" s="3">
        <v>42789.366932870369</v>
      </c>
      <c r="O188" t="s">
        <v>21</v>
      </c>
      <c r="P188" t="s">
        <v>25</v>
      </c>
    </row>
    <row r="189" spans="1:16" ht="144" x14ac:dyDescent="0.2">
      <c r="A189" t="str">
        <f>HYPERLINK("https://www.grants.gov/view-opportunity.html?oppId=291818","RFA-FD-17-003")</f>
        <v>RFA-FD-17-003</v>
      </c>
      <c r="B189" t="s">
        <v>240</v>
      </c>
      <c r="C189" t="s">
        <v>17</v>
      </c>
      <c r="D189" t="s">
        <v>18</v>
      </c>
      <c r="E189">
        <v>3300000</v>
      </c>
      <c r="F189">
        <v>1</v>
      </c>
      <c r="G189" s="1" t="s">
        <v>110</v>
      </c>
      <c r="I189" t="s">
        <v>72</v>
      </c>
      <c r="L189" s="2">
        <v>42781</v>
      </c>
      <c r="M189" s="2">
        <v>42842</v>
      </c>
      <c r="N189" s="3">
        <v>42781.568229166667</v>
      </c>
      <c r="O189" t="s">
        <v>24</v>
      </c>
      <c r="P189" t="s">
        <v>25</v>
      </c>
    </row>
    <row r="190" spans="1:16" ht="144" x14ac:dyDescent="0.2">
      <c r="A190" t="str">
        <f>HYPERLINK("https://www.grants.gov/view-opportunity.html?oppId=291794","RFA-FD-17-009")</f>
        <v>RFA-FD-17-009</v>
      </c>
      <c r="B190" t="s">
        <v>241</v>
      </c>
      <c r="C190" t="s">
        <v>17</v>
      </c>
      <c r="D190" t="s">
        <v>18</v>
      </c>
      <c r="F190">
        <v>1</v>
      </c>
      <c r="G190" s="1" t="s">
        <v>19</v>
      </c>
      <c r="I190" t="s">
        <v>20</v>
      </c>
      <c r="L190" s="2">
        <v>42779</v>
      </c>
      <c r="M190" s="2">
        <v>42839</v>
      </c>
      <c r="N190" s="3">
        <v>42779.414733796293</v>
      </c>
      <c r="O190" t="s">
        <v>24</v>
      </c>
      <c r="P190" t="s">
        <v>25</v>
      </c>
    </row>
    <row r="191" spans="1:16" ht="144" x14ac:dyDescent="0.2">
      <c r="A191" t="str">
        <f>HYPERLINK("https://www.grants.gov/view-opportunity.html?oppId=291698","RFA-FD-17-004")</f>
        <v>RFA-FD-17-004</v>
      </c>
      <c r="B191" t="s">
        <v>242</v>
      </c>
      <c r="C191" t="s">
        <v>17</v>
      </c>
      <c r="D191" t="s">
        <v>18</v>
      </c>
      <c r="E191">
        <v>850000</v>
      </c>
      <c r="F191">
        <v>5</v>
      </c>
      <c r="G191" s="1" t="s">
        <v>145</v>
      </c>
      <c r="I191" t="s">
        <v>146</v>
      </c>
      <c r="L191" s="2">
        <v>42774</v>
      </c>
      <c r="M191" s="2">
        <v>42839</v>
      </c>
      <c r="N191" s="3">
        <v>42774.63689814815</v>
      </c>
      <c r="O191" t="s">
        <v>21</v>
      </c>
      <c r="P191" t="s">
        <v>25</v>
      </c>
    </row>
    <row r="192" spans="1:16" ht="144" x14ac:dyDescent="0.2">
      <c r="A192" t="str">
        <f>HYPERLINK("https://www.grants.gov/view-opportunity.html?oppId=291511","PAR-17-141")</f>
        <v>PAR-17-141</v>
      </c>
      <c r="B192" t="s">
        <v>243</v>
      </c>
      <c r="C192" t="s">
        <v>17</v>
      </c>
      <c r="D192" t="s">
        <v>18</v>
      </c>
      <c r="E192">
        <v>1200000</v>
      </c>
      <c r="F192">
        <v>35</v>
      </c>
      <c r="G192" s="1" t="s">
        <v>198</v>
      </c>
      <c r="I192" t="s">
        <v>244</v>
      </c>
      <c r="L192" s="2">
        <v>42765</v>
      </c>
      <c r="M192" s="2">
        <v>43512</v>
      </c>
      <c r="N192" s="3">
        <v>43517.620381944442</v>
      </c>
      <c r="O192" t="s">
        <v>36</v>
      </c>
      <c r="P192" t="s">
        <v>25</v>
      </c>
    </row>
    <row r="193" spans="1:16" ht="144" x14ac:dyDescent="0.2">
      <c r="A193" t="str">
        <f>HYPERLINK("https://www.grants.gov/view-opportunity.html?oppId=289672","RFA-FD-17-001")</f>
        <v>RFA-FD-17-001</v>
      </c>
      <c r="B193" t="s">
        <v>245</v>
      </c>
      <c r="C193" t="s">
        <v>17</v>
      </c>
      <c r="D193" t="s">
        <v>18</v>
      </c>
      <c r="E193">
        <v>300000</v>
      </c>
      <c r="F193">
        <v>1</v>
      </c>
      <c r="G193" s="1" t="s">
        <v>32</v>
      </c>
      <c r="I193" t="s">
        <v>33</v>
      </c>
      <c r="L193" s="2">
        <v>42667</v>
      </c>
      <c r="M193" s="2">
        <v>42748</v>
      </c>
      <c r="N193" s="3">
        <v>42667.36347222222</v>
      </c>
      <c r="O193" t="s">
        <v>21</v>
      </c>
      <c r="P193" t="s">
        <v>25</v>
      </c>
    </row>
    <row r="194" spans="1:16" ht="144" x14ac:dyDescent="0.2">
      <c r="A194" t="str">
        <f>HYPERLINK("https://www.grants.gov/view-opportunity.html?oppId=286610","PAR-16-378")</f>
        <v>PAR-16-378</v>
      </c>
      <c r="B194" t="s">
        <v>246</v>
      </c>
      <c r="C194" t="s">
        <v>17</v>
      </c>
      <c r="D194" t="s">
        <v>18</v>
      </c>
      <c r="G194" s="1" t="s">
        <v>247</v>
      </c>
      <c r="I194" t="s">
        <v>72</v>
      </c>
      <c r="L194" s="2">
        <v>42578</v>
      </c>
      <c r="M194" s="2">
        <v>43642</v>
      </c>
      <c r="N194" s="3">
        <v>43648.350717592592</v>
      </c>
      <c r="O194" t="s">
        <v>36</v>
      </c>
      <c r="P194" t="s">
        <v>25</v>
      </c>
    </row>
    <row r="195" spans="1:16" ht="144" x14ac:dyDescent="0.2">
      <c r="A195" t="str">
        <f>HYPERLINK("https://www.grants.gov/view-opportunity.html?oppId=284619","RFA-FD-16-048")</f>
        <v>RFA-FD-16-048</v>
      </c>
      <c r="B195" t="s">
        <v>248</v>
      </c>
      <c r="C195" t="s">
        <v>17</v>
      </c>
      <c r="D195" t="s">
        <v>18</v>
      </c>
      <c r="E195">
        <v>250000</v>
      </c>
      <c r="F195">
        <v>1</v>
      </c>
      <c r="G195" s="1" t="s">
        <v>203</v>
      </c>
      <c r="I195" t="s">
        <v>204</v>
      </c>
      <c r="L195" s="2">
        <v>42535</v>
      </c>
      <c r="M195" s="2">
        <v>42594</v>
      </c>
      <c r="N195" s="3">
        <v>42535.408495370371</v>
      </c>
      <c r="O195" t="s">
        <v>21</v>
      </c>
      <c r="P195" t="s">
        <v>25</v>
      </c>
    </row>
    <row r="196" spans="1:16" ht="144" x14ac:dyDescent="0.2">
      <c r="A196" t="str">
        <f>HYPERLINK("https://www.grants.gov/view-opportunity.html?oppId=283604","RFA-FD-16-044")</f>
        <v>RFA-FD-16-044</v>
      </c>
      <c r="B196" t="s">
        <v>249</v>
      </c>
      <c r="C196" t="s">
        <v>17</v>
      </c>
      <c r="D196" t="s">
        <v>18</v>
      </c>
      <c r="E196">
        <v>2000000</v>
      </c>
      <c r="F196">
        <v>1</v>
      </c>
      <c r="G196" s="1" t="s">
        <v>203</v>
      </c>
      <c r="I196" t="s">
        <v>204</v>
      </c>
      <c r="L196" s="2">
        <v>42495</v>
      </c>
      <c r="M196" s="2">
        <v>42559</v>
      </c>
      <c r="N196" s="3">
        <v>42556.479224537034</v>
      </c>
      <c r="O196" t="s">
        <v>24</v>
      </c>
      <c r="P196" t="s">
        <v>25</v>
      </c>
    </row>
    <row r="197" spans="1:16" ht="112" x14ac:dyDescent="0.2">
      <c r="A197" t="str">
        <f>HYPERLINK("https://www.grants.gov/view-opportunity.html?oppId=283458","RFA-FD-16-042")</f>
        <v>RFA-FD-16-042</v>
      </c>
      <c r="B197" t="s">
        <v>250</v>
      </c>
      <c r="C197" t="s">
        <v>17</v>
      </c>
      <c r="D197" t="s">
        <v>18</v>
      </c>
      <c r="E197">
        <v>7500000</v>
      </c>
      <c r="F197">
        <v>5</v>
      </c>
      <c r="G197" s="1" t="s">
        <v>231</v>
      </c>
      <c r="I197" t="s">
        <v>232</v>
      </c>
      <c r="L197" s="2">
        <v>42493</v>
      </c>
      <c r="M197" s="2">
        <v>42559</v>
      </c>
      <c r="N197" s="3">
        <v>42493.3903125</v>
      </c>
      <c r="O197" t="s">
        <v>21</v>
      </c>
      <c r="P197" t="s">
        <v>25</v>
      </c>
    </row>
    <row r="198" spans="1:16" ht="144" x14ac:dyDescent="0.2">
      <c r="A198" t="str">
        <f>HYPERLINK("https://www.grants.gov/view-opportunity.html?oppId=283275","RFA-FD-16-036")</f>
        <v>RFA-FD-16-036</v>
      </c>
      <c r="B198" t="s">
        <v>251</v>
      </c>
      <c r="C198" t="s">
        <v>17</v>
      </c>
      <c r="D198" t="s">
        <v>18</v>
      </c>
      <c r="E198">
        <v>30000000</v>
      </c>
      <c r="F198">
        <v>6</v>
      </c>
      <c r="G198" s="1" t="s">
        <v>252</v>
      </c>
      <c r="I198" t="s">
        <v>253</v>
      </c>
      <c r="L198" s="2">
        <v>42485</v>
      </c>
      <c r="M198" s="2">
        <v>42549</v>
      </c>
      <c r="N198" s="3">
        <v>42485.650289351855</v>
      </c>
      <c r="O198" t="s">
        <v>24</v>
      </c>
      <c r="P198" t="s">
        <v>25</v>
      </c>
    </row>
    <row r="199" spans="1:16" ht="144" x14ac:dyDescent="0.2">
      <c r="A199" t="str">
        <f>HYPERLINK("https://www.grants.gov/view-opportunity.html?oppId=283129","RFA-FD-16-047")</f>
        <v>RFA-FD-16-047</v>
      </c>
      <c r="B199" t="s">
        <v>254</v>
      </c>
      <c r="C199" t="s">
        <v>17</v>
      </c>
      <c r="D199" t="s">
        <v>18</v>
      </c>
      <c r="E199">
        <v>800000</v>
      </c>
      <c r="F199">
        <v>1</v>
      </c>
      <c r="G199" s="1" t="s">
        <v>252</v>
      </c>
      <c r="I199" t="s">
        <v>253</v>
      </c>
      <c r="L199" s="2">
        <v>42479</v>
      </c>
      <c r="M199" s="2">
        <v>42541</v>
      </c>
      <c r="N199" s="3">
        <v>42479.563414351855</v>
      </c>
      <c r="O199" t="s">
        <v>21</v>
      </c>
      <c r="P199" t="s">
        <v>25</v>
      </c>
    </row>
    <row r="200" spans="1:16" ht="144" x14ac:dyDescent="0.2">
      <c r="A200" t="str">
        <f>HYPERLINK("https://www.grants.gov/view-opportunity.html?oppId=283128","RFA-FD-16-037")</f>
        <v>RFA-FD-16-037</v>
      </c>
      <c r="B200" t="s">
        <v>255</v>
      </c>
      <c r="C200" t="s">
        <v>17</v>
      </c>
      <c r="D200" t="s">
        <v>18</v>
      </c>
      <c r="E200">
        <v>800000</v>
      </c>
      <c r="F200">
        <v>1</v>
      </c>
      <c r="G200" s="1" t="s">
        <v>252</v>
      </c>
      <c r="I200" t="s">
        <v>253</v>
      </c>
      <c r="L200" s="2">
        <v>42479</v>
      </c>
      <c r="M200" s="2">
        <v>42541</v>
      </c>
      <c r="N200" s="3">
        <v>42479.55091435185</v>
      </c>
      <c r="O200" t="s">
        <v>21</v>
      </c>
      <c r="P200" t="s">
        <v>25</v>
      </c>
    </row>
    <row r="201" spans="1:16" ht="144" x14ac:dyDescent="0.2">
      <c r="A201" t="str">
        <f>HYPERLINK("https://www.grants.gov/view-opportunity.html?oppId=283041","RFA-FD-16-043")</f>
        <v>RFA-FD-16-043</v>
      </c>
      <c r="B201" t="s">
        <v>256</v>
      </c>
      <c r="C201" t="s">
        <v>17</v>
      </c>
      <c r="D201" t="s">
        <v>18</v>
      </c>
      <c r="E201">
        <v>2000000</v>
      </c>
      <c r="F201">
        <v>5</v>
      </c>
      <c r="G201" s="1" t="s">
        <v>145</v>
      </c>
      <c r="I201" t="s">
        <v>146</v>
      </c>
      <c r="L201" s="2">
        <v>42475</v>
      </c>
      <c r="M201" s="2">
        <v>43388</v>
      </c>
      <c r="N201" s="3">
        <v>43082.653622685182</v>
      </c>
      <c r="O201" t="s">
        <v>36</v>
      </c>
      <c r="P201" t="s">
        <v>25</v>
      </c>
    </row>
    <row r="202" spans="1:16" ht="144" x14ac:dyDescent="0.2">
      <c r="A202" t="str">
        <f>HYPERLINK("https://www.grants.gov/view-opportunity.html?oppId=283029","RFA-FD-16-039")</f>
        <v>RFA-FD-16-039</v>
      </c>
      <c r="B202" t="s">
        <v>257</v>
      </c>
      <c r="C202" t="s">
        <v>17</v>
      </c>
      <c r="D202" t="s">
        <v>18</v>
      </c>
      <c r="E202">
        <v>200000</v>
      </c>
      <c r="F202">
        <v>20</v>
      </c>
      <c r="G202" s="1" t="s">
        <v>258</v>
      </c>
      <c r="I202" t="s">
        <v>259</v>
      </c>
      <c r="L202" s="2">
        <v>42474</v>
      </c>
      <c r="M202" s="2">
        <v>42871</v>
      </c>
      <c r="N202" s="3">
        <v>42474.761967592596</v>
      </c>
      <c r="O202" t="s">
        <v>21</v>
      </c>
      <c r="P202" t="s">
        <v>25</v>
      </c>
    </row>
    <row r="203" spans="1:16" ht="144" x14ac:dyDescent="0.2">
      <c r="A203" t="str">
        <f>HYPERLINK("https://www.grants.gov/view-opportunity.html?oppId=283028","RFA-FD-16-017")</f>
        <v>RFA-FD-16-017</v>
      </c>
      <c r="B203" t="s">
        <v>260</v>
      </c>
      <c r="C203" t="s">
        <v>17</v>
      </c>
      <c r="D203" t="s">
        <v>18</v>
      </c>
      <c r="E203">
        <v>2943750</v>
      </c>
      <c r="F203">
        <v>1</v>
      </c>
      <c r="G203" s="1" t="s">
        <v>261</v>
      </c>
      <c r="I203" t="s">
        <v>262</v>
      </c>
      <c r="L203" s="2">
        <v>42474</v>
      </c>
      <c r="M203" s="2">
        <v>42552</v>
      </c>
      <c r="N203" s="3">
        <v>42523.523634259262</v>
      </c>
      <c r="O203" t="s">
        <v>24</v>
      </c>
      <c r="P203" t="s">
        <v>25</v>
      </c>
    </row>
    <row r="204" spans="1:16" ht="144" x14ac:dyDescent="0.2">
      <c r="A204" t="str">
        <f>HYPERLINK("https://www.grants.gov/view-opportunity.html?oppId=283027","RFA-FD-16-040")</f>
        <v>RFA-FD-16-040</v>
      </c>
      <c r="B204" t="s">
        <v>263</v>
      </c>
      <c r="C204" t="s">
        <v>17</v>
      </c>
      <c r="D204" t="s">
        <v>18</v>
      </c>
      <c r="E204">
        <v>750000</v>
      </c>
      <c r="F204">
        <v>5</v>
      </c>
      <c r="G204" s="1" t="s">
        <v>264</v>
      </c>
      <c r="I204" t="s">
        <v>262</v>
      </c>
      <c r="L204" s="2">
        <v>42474</v>
      </c>
      <c r="M204" s="2">
        <v>42552</v>
      </c>
      <c r="N204" s="3">
        <v>42523.521550925929</v>
      </c>
      <c r="O204" t="s">
        <v>36</v>
      </c>
      <c r="P204" t="s">
        <v>25</v>
      </c>
    </row>
    <row r="205" spans="1:16" ht="112" x14ac:dyDescent="0.2">
      <c r="A205" t="str">
        <f>HYPERLINK("https://www.grants.gov/view-opportunity.html?oppId=282915","RFA-FD-16-045")</f>
        <v>RFA-FD-16-045</v>
      </c>
      <c r="B205" t="s">
        <v>265</v>
      </c>
      <c r="C205" t="s">
        <v>17</v>
      </c>
      <c r="D205" t="s">
        <v>18</v>
      </c>
      <c r="E205">
        <v>300000</v>
      </c>
      <c r="F205">
        <v>1</v>
      </c>
      <c r="G205" s="1" t="s">
        <v>266</v>
      </c>
      <c r="I205" t="s">
        <v>262</v>
      </c>
      <c r="L205" s="2">
        <v>42471</v>
      </c>
      <c r="M205" s="2">
        <v>42538</v>
      </c>
      <c r="N205" s="3">
        <v>42471.591099537036</v>
      </c>
      <c r="O205" t="s">
        <v>21</v>
      </c>
      <c r="P205" t="s">
        <v>25</v>
      </c>
    </row>
    <row r="206" spans="1:16" ht="80" x14ac:dyDescent="0.2">
      <c r="A206" t="str">
        <f>HYPERLINK("https://www.grants.gov/view-opportunity.html?oppId=282894","RFA-FD-16-030")</f>
        <v>RFA-FD-16-030</v>
      </c>
      <c r="B206" t="s">
        <v>267</v>
      </c>
      <c r="C206" t="s">
        <v>17</v>
      </c>
      <c r="D206" t="s">
        <v>18</v>
      </c>
      <c r="E206">
        <v>1000000</v>
      </c>
      <c r="F206">
        <v>1</v>
      </c>
      <c r="G206" s="1" t="s">
        <v>268</v>
      </c>
      <c r="I206" t="s">
        <v>269</v>
      </c>
      <c r="L206" s="2">
        <v>42471</v>
      </c>
      <c r="M206" s="2">
        <v>42545</v>
      </c>
      <c r="N206" s="3">
        <v>42543.760671296295</v>
      </c>
      <c r="O206" t="s">
        <v>24</v>
      </c>
      <c r="P206" t="s">
        <v>25</v>
      </c>
    </row>
    <row r="207" spans="1:16" ht="112" x14ac:dyDescent="0.2">
      <c r="A207" t="str">
        <f>HYPERLINK("https://www.grants.gov/view-opportunity.html?oppId=282852","RFA-FD-16-041")</f>
        <v>RFA-FD-16-041</v>
      </c>
      <c r="B207" t="s">
        <v>270</v>
      </c>
      <c r="C207" t="s">
        <v>17</v>
      </c>
      <c r="D207" t="s">
        <v>18</v>
      </c>
      <c r="E207">
        <v>175000</v>
      </c>
      <c r="F207">
        <v>1</v>
      </c>
      <c r="G207" s="1" t="s">
        <v>271</v>
      </c>
      <c r="I207" t="s">
        <v>259</v>
      </c>
      <c r="L207" s="2">
        <v>42467</v>
      </c>
      <c r="M207" s="2">
        <v>42559</v>
      </c>
      <c r="N207" s="3">
        <v>42556.572974537034</v>
      </c>
      <c r="O207" t="s">
        <v>24</v>
      </c>
      <c r="P207" t="s">
        <v>25</v>
      </c>
    </row>
    <row r="208" spans="1:16" ht="144" x14ac:dyDescent="0.2">
      <c r="A208" t="str">
        <f>HYPERLINK("https://www.grants.gov/view-opportunity.html?oppId=282776","RFA-FD-16-019")</f>
        <v>RFA-FD-16-019</v>
      </c>
      <c r="B208" t="s">
        <v>272</v>
      </c>
      <c r="C208" t="s">
        <v>17</v>
      </c>
      <c r="D208" t="s">
        <v>18</v>
      </c>
      <c r="E208">
        <v>800000</v>
      </c>
      <c r="F208">
        <v>1</v>
      </c>
      <c r="G208" s="1" t="s">
        <v>203</v>
      </c>
      <c r="I208" t="s">
        <v>204</v>
      </c>
      <c r="L208" s="2">
        <v>42465</v>
      </c>
      <c r="M208" s="2">
        <v>42534</v>
      </c>
      <c r="N208" s="3">
        <v>42465.927141203705</v>
      </c>
      <c r="O208" t="s">
        <v>21</v>
      </c>
      <c r="P208" t="s">
        <v>25</v>
      </c>
    </row>
    <row r="209" spans="1:16" ht="144" x14ac:dyDescent="0.2">
      <c r="A209" t="str">
        <f>HYPERLINK("https://www.grants.gov/view-opportunity.html?oppId=282697","RFA-FD-16-018")</f>
        <v>RFA-FD-16-018</v>
      </c>
      <c r="B209" t="s">
        <v>273</v>
      </c>
      <c r="C209" t="s">
        <v>17</v>
      </c>
      <c r="D209" t="s">
        <v>18</v>
      </c>
      <c r="E209">
        <v>600000</v>
      </c>
      <c r="F209">
        <v>3</v>
      </c>
      <c r="G209" s="1" t="s">
        <v>252</v>
      </c>
      <c r="I209" t="s">
        <v>253</v>
      </c>
      <c r="L209" s="2">
        <v>42461</v>
      </c>
      <c r="M209" s="2">
        <v>42524</v>
      </c>
      <c r="N209" s="3">
        <v>42461.652094907404</v>
      </c>
      <c r="O209" t="s">
        <v>21</v>
      </c>
      <c r="P209" t="s">
        <v>25</v>
      </c>
    </row>
    <row r="210" spans="1:16" ht="144" x14ac:dyDescent="0.2">
      <c r="A210" t="str">
        <f>HYPERLINK("https://www.grants.gov/view-opportunity.html?oppId=282682","RFA-FD-16-008")</f>
        <v>RFA-FD-16-008</v>
      </c>
      <c r="B210" t="s">
        <v>274</v>
      </c>
      <c r="C210" t="s">
        <v>17</v>
      </c>
      <c r="D210" t="s">
        <v>18</v>
      </c>
      <c r="E210">
        <v>250000</v>
      </c>
      <c r="F210">
        <v>1</v>
      </c>
      <c r="G210" s="1" t="s">
        <v>252</v>
      </c>
      <c r="I210" t="s">
        <v>253</v>
      </c>
      <c r="L210" s="2">
        <v>42461</v>
      </c>
      <c r="M210" s="2">
        <v>42524</v>
      </c>
      <c r="N210" s="3">
        <v>42461.490983796299</v>
      </c>
      <c r="O210" t="s">
        <v>21</v>
      </c>
      <c r="P210" t="s">
        <v>25</v>
      </c>
    </row>
    <row r="211" spans="1:16" ht="144" x14ac:dyDescent="0.2">
      <c r="A211" t="str">
        <f>HYPERLINK("https://www.grants.gov/view-opportunity.html?oppId=282717","RFA-FD-16-028")</f>
        <v>RFA-FD-16-028</v>
      </c>
      <c r="B211" t="s">
        <v>275</v>
      </c>
      <c r="C211" t="s">
        <v>17</v>
      </c>
      <c r="D211" t="s">
        <v>18</v>
      </c>
      <c r="E211">
        <v>1000000</v>
      </c>
      <c r="F211">
        <v>2</v>
      </c>
      <c r="G211" s="1" t="s">
        <v>252</v>
      </c>
      <c r="I211" t="s">
        <v>253</v>
      </c>
      <c r="L211" s="2">
        <v>42461</v>
      </c>
      <c r="M211" s="2">
        <v>42524</v>
      </c>
      <c r="N211" s="3">
        <v>42461.665289351855</v>
      </c>
      <c r="O211" t="s">
        <v>21</v>
      </c>
      <c r="P211" t="s">
        <v>25</v>
      </c>
    </row>
    <row r="212" spans="1:16" ht="144" x14ac:dyDescent="0.2">
      <c r="A212" t="str">
        <f>HYPERLINK("https://www.grants.gov/view-opportunity.html?oppId=282700","RFA-FD-16-029")</f>
        <v>RFA-FD-16-029</v>
      </c>
      <c r="B212" t="s">
        <v>276</v>
      </c>
      <c r="C212" t="s">
        <v>17</v>
      </c>
      <c r="D212" t="s">
        <v>18</v>
      </c>
      <c r="E212">
        <v>500000</v>
      </c>
      <c r="F212">
        <v>2</v>
      </c>
      <c r="G212" s="1" t="s">
        <v>252</v>
      </c>
      <c r="I212" t="s">
        <v>253</v>
      </c>
      <c r="L212" s="2">
        <v>42461</v>
      </c>
      <c r="M212" s="2">
        <v>42524</v>
      </c>
      <c r="N212" s="3">
        <v>42461.676400462966</v>
      </c>
      <c r="O212" t="s">
        <v>21</v>
      </c>
      <c r="P212" t="s">
        <v>25</v>
      </c>
    </row>
    <row r="213" spans="1:16" ht="144" x14ac:dyDescent="0.2">
      <c r="A213" t="str">
        <f>HYPERLINK("https://www.grants.gov/view-opportunity.html?oppId=282718","RFA-FD-16-033")</f>
        <v>RFA-FD-16-033</v>
      </c>
      <c r="B213" t="s">
        <v>277</v>
      </c>
      <c r="C213" t="s">
        <v>17</v>
      </c>
      <c r="D213" t="s">
        <v>18</v>
      </c>
      <c r="E213">
        <v>300000</v>
      </c>
      <c r="F213">
        <v>1</v>
      </c>
      <c r="G213" s="1" t="s">
        <v>252</v>
      </c>
      <c r="I213" t="s">
        <v>253</v>
      </c>
      <c r="L213" s="2">
        <v>42461</v>
      </c>
      <c r="M213" s="2">
        <v>42524</v>
      </c>
      <c r="N213" s="3">
        <v>42461.692372685182</v>
      </c>
      <c r="O213" t="s">
        <v>21</v>
      </c>
      <c r="P213" t="s">
        <v>25</v>
      </c>
    </row>
    <row r="214" spans="1:16" ht="144" x14ac:dyDescent="0.2">
      <c r="A214" t="str">
        <f>HYPERLINK("https://www.grants.gov/view-opportunity.html?oppId=282696","RFA-FD-16-025")</f>
        <v>RFA-FD-16-025</v>
      </c>
      <c r="B214" t="s">
        <v>278</v>
      </c>
      <c r="C214" t="s">
        <v>17</v>
      </c>
      <c r="D214" t="s">
        <v>18</v>
      </c>
      <c r="E214">
        <v>500000</v>
      </c>
      <c r="F214">
        <v>2</v>
      </c>
      <c r="G214" s="1" t="s">
        <v>252</v>
      </c>
      <c r="I214" t="s">
        <v>253</v>
      </c>
      <c r="L214" s="2">
        <v>42461</v>
      </c>
      <c r="M214" s="2">
        <v>42524</v>
      </c>
      <c r="N214" s="3">
        <v>42461.63890046296</v>
      </c>
      <c r="O214" t="s">
        <v>21</v>
      </c>
      <c r="P214" t="s">
        <v>25</v>
      </c>
    </row>
    <row r="215" spans="1:16" ht="144" x14ac:dyDescent="0.2">
      <c r="A215" t="str">
        <f>HYPERLINK("https://www.grants.gov/view-opportunity.html?oppId=282704","RFA-FD-16-010")</f>
        <v>RFA-FD-16-010</v>
      </c>
      <c r="B215" t="s">
        <v>279</v>
      </c>
      <c r="C215" t="s">
        <v>17</v>
      </c>
      <c r="D215" t="s">
        <v>18</v>
      </c>
      <c r="E215">
        <v>250000</v>
      </c>
      <c r="F215">
        <v>1</v>
      </c>
      <c r="G215" s="1" t="s">
        <v>252</v>
      </c>
      <c r="I215" t="s">
        <v>253</v>
      </c>
      <c r="L215" s="2">
        <v>42461</v>
      </c>
      <c r="M215" s="2">
        <v>42521</v>
      </c>
      <c r="N215" s="3">
        <v>42461.507650462961</v>
      </c>
      <c r="O215" t="s">
        <v>21</v>
      </c>
      <c r="P215" t="s">
        <v>25</v>
      </c>
    </row>
    <row r="216" spans="1:16" ht="144" x14ac:dyDescent="0.2">
      <c r="A216" t="str">
        <f>HYPERLINK("https://www.grants.gov/view-opportunity.html?oppId=282710","RFA-FD-16-020")</f>
        <v>RFA-FD-16-020</v>
      </c>
      <c r="B216" t="s">
        <v>280</v>
      </c>
      <c r="C216" t="s">
        <v>17</v>
      </c>
      <c r="D216" t="s">
        <v>18</v>
      </c>
      <c r="E216">
        <v>675000</v>
      </c>
      <c r="F216">
        <v>3</v>
      </c>
      <c r="G216" s="1" t="s">
        <v>252</v>
      </c>
      <c r="I216" t="s">
        <v>253</v>
      </c>
      <c r="L216" s="2">
        <v>42461</v>
      </c>
      <c r="M216" s="2">
        <v>42524</v>
      </c>
      <c r="N216" s="3">
        <v>42461.539594907408</v>
      </c>
      <c r="O216" t="s">
        <v>21</v>
      </c>
      <c r="P216" t="s">
        <v>25</v>
      </c>
    </row>
    <row r="217" spans="1:16" ht="144" x14ac:dyDescent="0.2">
      <c r="A217" t="str">
        <f>HYPERLINK("https://www.grants.gov/view-opportunity.html?oppId=282689","RFA-FD-16-011")</f>
        <v>RFA-FD-16-011</v>
      </c>
      <c r="B217" t="s">
        <v>281</v>
      </c>
      <c r="C217" t="s">
        <v>17</v>
      </c>
      <c r="D217" t="s">
        <v>18</v>
      </c>
      <c r="E217">
        <v>400000</v>
      </c>
      <c r="F217">
        <v>2</v>
      </c>
      <c r="G217" s="1" t="s">
        <v>252</v>
      </c>
      <c r="I217" t="s">
        <v>253</v>
      </c>
      <c r="L217" s="2">
        <v>42461</v>
      </c>
      <c r="M217" s="2">
        <v>42524</v>
      </c>
      <c r="N217" s="3">
        <v>42461.524317129632</v>
      </c>
      <c r="O217" t="s">
        <v>21</v>
      </c>
      <c r="P217" t="s">
        <v>25</v>
      </c>
    </row>
    <row r="218" spans="1:16" ht="144" x14ac:dyDescent="0.2">
      <c r="A218" t="str">
        <f>HYPERLINK("https://www.grants.gov/view-opportunity.html?oppId=282596","RFA-FD-16-016")</f>
        <v>RFA-FD-16-016</v>
      </c>
      <c r="B218" t="s">
        <v>282</v>
      </c>
      <c r="C218" t="s">
        <v>17</v>
      </c>
      <c r="D218" t="s">
        <v>18</v>
      </c>
      <c r="E218">
        <v>2420000</v>
      </c>
      <c r="F218">
        <v>1</v>
      </c>
      <c r="G218" s="1" t="s">
        <v>145</v>
      </c>
      <c r="I218" t="s">
        <v>146</v>
      </c>
      <c r="L218" s="2">
        <v>42458</v>
      </c>
      <c r="M218" s="2">
        <v>42521</v>
      </c>
      <c r="N218" s="3">
        <v>42458.567696759259</v>
      </c>
      <c r="O218" t="s">
        <v>21</v>
      </c>
      <c r="P218" t="s">
        <v>25</v>
      </c>
    </row>
    <row r="219" spans="1:16" ht="144" x14ac:dyDescent="0.2">
      <c r="A219" t="str">
        <f>HYPERLINK("https://www.grants.gov/view-opportunity.html?oppId=282491","RFA-FD-16-034")</f>
        <v>RFA-FD-16-034</v>
      </c>
      <c r="B219" t="s">
        <v>283</v>
      </c>
      <c r="C219" t="s">
        <v>17</v>
      </c>
      <c r="D219" t="s">
        <v>18</v>
      </c>
      <c r="E219">
        <v>1000000</v>
      </c>
      <c r="F219">
        <v>1</v>
      </c>
      <c r="G219" s="1" t="s">
        <v>203</v>
      </c>
      <c r="I219" t="s">
        <v>204</v>
      </c>
      <c r="L219" s="2">
        <v>42453</v>
      </c>
      <c r="M219" s="2">
        <v>42541</v>
      </c>
      <c r="N219" s="3">
        <v>42534.592511574076</v>
      </c>
      <c r="O219" t="s">
        <v>36</v>
      </c>
      <c r="P219" t="s">
        <v>25</v>
      </c>
    </row>
    <row r="220" spans="1:16" ht="144" x14ac:dyDescent="0.2">
      <c r="A220" t="str">
        <f>HYPERLINK("https://www.grants.gov/view-opportunity.html?oppId=282331","RFA-FD-16-026")</f>
        <v>RFA-FD-16-026</v>
      </c>
      <c r="B220" t="s">
        <v>284</v>
      </c>
      <c r="C220" t="s">
        <v>17</v>
      </c>
      <c r="D220" t="s">
        <v>18</v>
      </c>
      <c r="E220">
        <v>500000</v>
      </c>
      <c r="F220">
        <v>2</v>
      </c>
      <c r="G220" s="1" t="s">
        <v>252</v>
      </c>
      <c r="I220" t="s">
        <v>253</v>
      </c>
      <c r="L220" s="2">
        <v>42447</v>
      </c>
      <c r="M220" s="2">
        <v>42506</v>
      </c>
      <c r="N220" s="3">
        <v>42447.509236111109</v>
      </c>
      <c r="O220" t="s">
        <v>21</v>
      </c>
      <c r="P220" t="s">
        <v>25</v>
      </c>
    </row>
    <row r="221" spans="1:16" ht="144" x14ac:dyDescent="0.2">
      <c r="A221" t="str">
        <f>HYPERLINK("https://www.grants.gov/view-opportunity.html?oppId=282340","RFA-FD-16-024")</f>
        <v>RFA-FD-16-024</v>
      </c>
      <c r="B221" t="s">
        <v>285</v>
      </c>
      <c r="C221" t="s">
        <v>17</v>
      </c>
      <c r="D221" t="s">
        <v>18</v>
      </c>
      <c r="E221">
        <v>200000</v>
      </c>
      <c r="F221">
        <v>1</v>
      </c>
      <c r="G221" s="1" t="s">
        <v>252</v>
      </c>
      <c r="I221" t="s">
        <v>253</v>
      </c>
      <c r="L221" s="2">
        <v>42447</v>
      </c>
      <c r="M221" s="2">
        <v>42506</v>
      </c>
      <c r="N221" s="3">
        <v>42447.479375000003</v>
      </c>
      <c r="O221" t="s">
        <v>21</v>
      </c>
      <c r="P221" t="s">
        <v>25</v>
      </c>
    </row>
    <row r="222" spans="1:16" ht="144" x14ac:dyDescent="0.2">
      <c r="A222" t="str">
        <f>HYPERLINK("https://www.grants.gov/view-opportunity.html?oppId=282325","RFA-FD-16-012")</f>
        <v>RFA-FD-16-012</v>
      </c>
      <c r="B222" t="s">
        <v>286</v>
      </c>
      <c r="C222" t="s">
        <v>17</v>
      </c>
      <c r="D222" t="s">
        <v>18</v>
      </c>
      <c r="E222">
        <v>250000</v>
      </c>
      <c r="F222">
        <v>1</v>
      </c>
      <c r="G222" s="1" t="s">
        <v>252</v>
      </c>
      <c r="I222" t="s">
        <v>253</v>
      </c>
      <c r="L222" s="2">
        <v>42446</v>
      </c>
      <c r="M222" s="2">
        <v>42510</v>
      </c>
      <c r="N222" s="3">
        <v>42446.695335648146</v>
      </c>
      <c r="O222" t="s">
        <v>21</v>
      </c>
      <c r="P222" t="s">
        <v>25</v>
      </c>
    </row>
    <row r="223" spans="1:16" ht="144" x14ac:dyDescent="0.2">
      <c r="A223" t="str">
        <f>HYPERLINK("https://www.grants.gov/view-opportunity.html?oppId=282326","RFA-FD-16-015")</f>
        <v>RFA-FD-16-015</v>
      </c>
      <c r="B223" t="s">
        <v>287</v>
      </c>
      <c r="C223" t="s">
        <v>17</v>
      </c>
      <c r="D223" t="s">
        <v>18</v>
      </c>
      <c r="E223">
        <v>225000</v>
      </c>
      <c r="F223">
        <v>1</v>
      </c>
      <c r="G223" s="1" t="s">
        <v>252</v>
      </c>
      <c r="I223" t="s">
        <v>288</v>
      </c>
      <c r="L223" s="2">
        <v>42446</v>
      </c>
      <c r="M223" s="2">
        <v>42513</v>
      </c>
      <c r="N223" s="3">
        <v>42446.723807870374</v>
      </c>
      <c r="O223" t="s">
        <v>21</v>
      </c>
      <c r="P223" t="s">
        <v>25</v>
      </c>
    </row>
    <row r="224" spans="1:16" ht="112" x14ac:dyDescent="0.2">
      <c r="A224" t="str">
        <f>HYPERLINK("https://www.grants.gov/view-opportunity.html?oppId=282310","PAR-16-137")</f>
        <v>PAR-16-137</v>
      </c>
      <c r="B224" t="s">
        <v>289</v>
      </c>
      <c r="C224" t="s">
        <v>17</v>
      </c>
      <c r="D224" t="s">
        <v>18</v>
      </c>
      <c r="E224">
        <v>19000000</v>
      </c>
      <c r="F224">
        <v>55</v>
      </c>
      <c r="G224" s="1" t="s">
        <v>290</v>
      </c>
      <c r="I224" t="s">
        <v>146</v>
      </c>
      <c r="L224" s="2">
        <v>42446</v>
      </c>
      <c r="M224" s="2">
        <v>43558</v>
      </c>
      <c r="N224" s="3">
        <v>42765.468402777777</v>
      </c>
      <c r="O224" t="s">
        <v>28</v>
      </c>
      <c r="P224" t="s">
        <v>25</v>
      </c>
    </row>
    <row r="225" spans="1:16" ht="144" x14ac:dyDescent="0.2">
      <c r="A225" t="str">
        <f>HYPERLINK("https://www.grants.gov/view-opportunity.html?oppId=282260","RFA-FD-16-046")</f>
        <v>RFA-FD-16-046</v>
      </c>
      <c r="B225" t="s">
        <v>291</v>
      </c>
      <c r="C225" t="s">
        <v>17</v>
      </c>
      <c r="D225" t="s">
        <v>18</v>
      </c>
      <c r="E225">
        <v>300000</v>
      </c>
      <c r="F225">
        <v>2</v>
      </c>
      <c r="G225" s="1" t="s">
        <v>203</v>
      </c>
      <c r="I225" t="s">
        <v>204</v>
      </c>
      <c r="L225" s="2">
        <v>42445</v>
      </c>
      <c r="M225" s="2">
        <v>42514</v>
      </c>
      <c r="N225" s="3">
        <v>42445.402962962966</v>
      </c>
      <c r="O225" t="s">
        <v>21</v>
      </c>
      <c r="P225" t="s">
        <v>25</v>
      </c>
    </row>
    <row r="226" spans="1:16" ht="144" x14ac:dyDescent="0.2">
      <c r="A226" t="str">
        <f>HYPERLINK("https://www.grants.gov/view-opportunity.html?oppId=282254","PAR-16-132")</f>
        <v>PAR-16-132</v>
      </c>
      <c r="B226" t="s">
        <v>292</v>
      </c>
      <c r="C226" t="s">
        <v>17</v>
      </c>
      <c r="D226" t="s">
        <v>18</v>
      </c>
      <c r="E226">
        <v>99000</v>
      </c>
      <c r="F226">
        <v>1</v>
      </c>
      <c r="G226" s="1" t="s">
        <v>203</v>
      </c>
      <c r="I226" t="s">
        <v>204</v>
      </c>
      <c r="L226" s="2">
        <v>42445</v>
      </c>
      <c r="M226" s="2">
        <v>43221</v>
      </c>
      <c r="N226" s="3">
        <v>42445.611296296294</v>
      </c>
      <c r="O226" t="s">
        <v>24</v>
      </c>
      <c r="P226" t="s">
        <v>25</v>
      </c>
    </row>
    <row r="227" spans="1:16" ht="144" x14ac:dyDescent="0.2">
      <c r="A227" t="str">
        <f>HYPERLINK("https://www.grants.gov/view-opportunity.html?oppId=282207","RFA-FD-16-022")</f>
        <v>RFA-FD-16-022</v>
      </c>
      <c r="B227" t="s">
        <v>293</v>
      </c>
      <c r="C227" t="s">
        <v>17</v>
      </c>
      <c r="D227" t="s">
        <v>18</v>
      </c>
      <c r="E227">
        <v>2500000</v>
      </c>
      <c r="F227">
        <v>5</v>
      </c>
      <c r="G227" s="1" t="s">
        <v>145</v>
      </c>
      <c r="I227" t="s">
        <v>146</v>
      </c>
      <c r="L227" s="2">
        <v>42443</v>
      </c>
      <c r="M227" s="2">
        <v>42506</v>
      </c>
      <c r="N227" s="3">
        <v>42443.622384259259</v>
      </c>
      <c r="O227" t="s">
        <v>21</v>
      </c>
      <c r="P227" t="s">
        <v>25</v>
      </c>
    </row>
    <row r="228" spans="1:16" ht="144" x14ac:dyDescent="0.2">
      <c r="A228" t="str">
        <f>HYPERLINK("https://www.grants.gov/view-opportunity.html?oppId=282204","RFA-FD-16-023")</f>
        <v>RFA-FD-16-023</v>
      </c>
      <c r="B228" t="s">
        <v>294</v>
      </c>
      <c r="C228" t="s">
        <v>17</v>
      </c>
      <c r="D228" t="s">
        <v>18</v>
      </c>
      <c r="E228">
        <v>900000</v>
      </c>
      <c r="F228">
        <v>2</v>
      </c>
      <c r="G228" s="1" t="s">
        <v>145</v>
      </c>
      <c r="I228" t="s">
        <v>146</v>
      </c>
      <c r="L228" s="2">
        <v>42443</v>
      </c>
      <c r="M228" s="2">
        <v>42506</v>
      </c>
      <c r="N228" s="3">
        <v>42443.607800925929</v>
      </c>
      <c r="O228" t="s">
        <v>21</v>
      </c>
      <c r="P228" t="s">
        <v>25</v>
      </c>
    </row>
    <row r="229" spans="1:16" ht="144" x14ac:dyDescent="0.2">
      <c r="A229" t="str">
        <f>HYPERLINK("https://www.grants.gov/view-opportunity.html?oppId=282206","RFA-FD-16-032")</f>
        <v>RFA-FD-16-032</v>
      </c>
      <c r="B229" t="s">
        <v>295</v>
      </c>
      <c r="C229" t="s">
        <v>17</v>
      </c>
      <c r="D229" t="s">
        <v>18</v>
      </c>
      <c r="E229">
        <v>900000</v>
      </c>
      <c r="F229">
        <v>3</v>
      </c>
      <c r="G229" s="1" t="s">
        <v>145</v>
      </c>
      <c r="I229" t="s">
        <v>146</v>
      </c>
      <c r="L229" s="2">
        <v>42443</v>
      </c>
      <c r="M229" s="2">
        <v>42506</v>
      </c>
      <c r="N229" s="3">
        <v>42443.613356481481</v>
      </c>
      <c r="O229" t="s">
        <v>21</v>
      </c>
      <c r="P229" t="s">
        <v>25</v>
      </c>
    </row>
    <row r="230" spans="1:16" ht="144" x14ac:dyDescent="0.2">
      <c r="A230" t="str">
        <f>HYPERLINK("https://www.grants.gov/view-opportunity.html?oppId=282183","RFA-FD-16-021")</f>
        <v>RFA-FD-16-021</v>
      </c>
      <c r="B230" t="s">
        <v>296</v>
      </c>
      <c r="C230" t="s">
        <v>17</v>
      </c>
      <c r="D230" t="s">
        <v>18</v>
      </c>
      <c r="E230">
        <v>500000</v>
      </c>
      <c r="F230">
        <v>4</v>
      </c>
      <c r="G230" s="1" t="s">
        <v>145</v>
      </c>
      <c r="I230" t="s">
        <v>146</v>
      </c>
      <c r="L230" s="2">
        <v>42443</v>
      </c>
      <c r="M230" s="2">
        <v>42506</v>
      </c>
      <c r="N230" s="3">
        <v>42443.470995370371</v>
      </c>
      <c r="O230" t="s">
        <v>21</v>
      </c>
      <c r="P230" t="s">
        <v>25</v>
      </c>
    </row>
    <row r="231" spans="1:16" ht="144" x14ac:dyDescent="0.2">
      <c r="A231" t="str">
        <f>HYPERLINK("https://www.grants.gov/view-opportunity.html?oppId=282010","RFA-FD-16-013")</f>
        <v>RFA-FD-16-013</v>
      </c>
      <c r="B231" t="s">
        <v>297</v>
      </c>
      <c r="C231" t="s">
        <v>17</v>
      </c>
      <c r="D231" t="s">
        <v>18</v>
      </c>
      <c r="E231">
        <v>125000</v>
      </c>
      <c r="F231">
        <v>1</v>
      </c>
      <c r="G231" s="1" t="s">
        <v>203</v>
      </c>
      <c r="I231" t="s">
        <v>204</v>
      </c>
      <c r="L231" s="2">
        <v>42436</v>
      </c>
      <c r="M231" s="2">
        <v>42522</v>
      </c>
      <c r="N231" s="3">
        <v>42506.491157407407</v>
      </c>
      <c r="O231" t="s">
        <v>36</v>
      </c>
      <c r="P231" t="s">
        <v>25</v>
      </c>
    </row>
    <row r="232" spans="1:16" ht="144" x14ac:dyDescent="0.2">
      <c r="A232" t="str">
        <f>HYPERLINK("https://www.grants.gov/view-opportunity.html?oppId=281831","RFA-FD-16-014")</f>
        <v>RFA-FD-16-014</v>
      </c>
      <c r="B232" t="s">
        <v>298</v>
      </c>
      <c r="C232" t="s">
        <v>17</v>
      </c>
      <c r="D232" t="s">
        <v>18</v>
      </c>
      <c r="E232">
        <v>3500000</v>
      </c>
      <c r="F232">
        <v>1</v>
      </c>
      <c r="G232" s="1" t="s">
        <v>203</v>
      </c>
      <c r="I232" t="s">
        <v>204</v>
      </c>
      <c r="L232" s="2">
        <v>42429</v>
      </c>
      <c r="M232" s="2">
        <v>42489</v>
      </c>
      <c r="N232" s="3">
        <v>42429.47047453704</v>
      </c>
      <c r="O232" t="s">
        <v>21</v>
      </c>
      <c r="P232" t="s">
        <v>25</v>
      </c>
    </row>
    <row r="233" spans="1:16" ht="144" x14ac:dyDescent="0.2">
      <c r="A233" t="str">
        <f>HYPERLINK("https://www.grants.gov/view-opportunity.html?oppId=281542","PAR-16-099")</f>
        <v>PAR-16-099</v>
      </c>
      <c r="B233" t="s">
        <v>299</v>
      </c>
      <c r="C233" t="s">
        <v>17</v>
      </c>
      <c r="D233" t="s">
        <v>18</v>
      </c>
      <c r="E233">
        <v>5000000</v>
      </c>
      <c r="F233">
        <v>30</v>
      </c>
      <c r="G233" s="1" t="s">
        <v>198</v>
      </c>
      <c r="I233" t="s">
        <v>244</v>
      </c>
      <c r="L233" s="2">
        <v>42416</v>
      </c>
      <c r="M233" s="2">
        <v>43952</v>
      </c>
      <c r="N233" s="3">
        <v>43509.440428240741</v>
      </c>
      <c r="O233" t="s">
        <v>24</v>
      </c>
      <c r="P233" t="s">
        <v>25</v>
      </c>
    </row>
    <row r="234" spans="1:16" ht="144" x14ac:dyDescent="0.2">
      <c r="A234" t="str">
        <f>HYPERLINK("https://www.grants.gov/view-opportunity.html?oppId=281417","RFA-FD-16-006")</f>
        <v>RFA-FD-16-006</v>
      </c>
      <c r="B234" t="s">
        <v>300</v>
      </c>
      <c r="C234" t="s">
        <v>17</v>
      </c>
      <c r="D234" t="s">
        <v>18</v>
      </c>
      <c r="E234">
        <v>500000</v>
      </c>
      <c r="F234">
        <v>1</v>
      </c>
      <c r="G234" s="1" t="s">
        <v>203</v>
      </c>
      <c r="I234" t="s">
        <v>204</v>
      </c>
      <c r="L234" s="2">
        <v>42408</v>
      </c>
      <c r="M234" s="2">
        <v>42468</v>
      </c>
      <c r="N234" s="3">
        <v>42408.489675925928</v>
      </c>
      <c r="O234" t="s">
        <v>21</v>
      </c>
      <c r="P234" t="s">
        <v>25</v>
      </c>
    </row>
    <row r="235" spans="1:16" ht="80" x14ac:dyDescent="0.2">
      <c r="A235" t="str">
        <f>HYPERLINK("https://www.grants.gov/view-opportunity.html?oppId=281240","RFA-FD-16-001")</f>
        <v>RFA-FD-16-001</v>
      </c>
      <c r="B235" t="s">
        <v>301</v>
      </c>
      <c r="C235" t="s">
        <v>17</v>
      </c>
      <c r="D235" t="s">
        <v>18</v>
      </c>
      <c r="E235">
        <v>750000</v>
      </c>
      <c r="F235">
        <v>1</v>
      </c>
      <c r="G235" s="1" t="s">
        <v>268</v>
      </c>
      <c r="I235" t="s">
        <v>269</v>
      </c>
      <c r="L235" s="2">
        <v>42398</v>
      </c>
      <c r="M235" s="2">
        <v>42481</v>
      </c>
      <c r="N235" s="3">
        <v>42405.487557870372</v>
      </c>
      <c r="O235" t="s">
        <v>24</v>
      </c>
      <c r="P235" t="s">
        <v>25</v>
      </c>
    </row>
    <row r="236" spans="1:16" ht="96" x14ac:dyDescent="0.2">
      <c r="A236" t="str">
        <f>HYPERLINK("https://www.grants.gov/view-opportunity.html?oppId=278714","RFA-FD-16-005")</f>
        <v>RFA-FD-16-005</v>
      </c>
      <c r="B236" t="s">
        <v>302</v>
      </c>
      <c r="C236" t="s">
        <v>17</v>
      </c>
      <c r="D236" t="s">
        <v>18</v>
      </c>
      <c r="E236">
        <v>950000</v>
      </c>
      <c r="F236">
        <v>2</v>
      </c>
      <c r="G236" s="1" t="s">
        <v>303</v>
      </c>
      <c r="I236" t="s">
        <v>259</v>
      </c>
      <c r="L236" s="2">
        <v>42243</v>
      </c>
      <c r="M236" s="2">
        <v>42311</v>
      </c>
      <c r="N236" s="3">
        <v>42243.730868055558</v>
      </c>
      <c r="O236" t="s">
        <v>21</v>
      </c>
      <c r="P236" t="s">
        <v>25</v>
      </c>
    </row>
    <row r="237" spans="1:16" ht="96" x14ac:dyDescent="0.2">
      <c r="A237" t="str">
        <f>HYPERLINK("https://www.grants.gov/view-opportunity.html?oppId=278211","RFA-FD-16-003")</f>
        <v>RFA-FD-16-003</v>
      </c>
      <c r="B237" t="s">
        <v>304</v>
      </c>
      <c r="C237" t="s">
        <v>17</v>
      </c>
      <c r="D237" t="s">
        <v>18</v>
      </c>
      <c r="E237">
        <v>2000000</v>
      </c>
      <c r="F237">
        <v>2</v>
      </c>
      <c r="G237" s="1" t="s">
        <v>305</v>
      </c>
      <c r="I237" t="s">
        <v>269</v>
      </c>
      <c r="L237" s="2">
        <v>42216</v>
      </c>
      <c r="M237" s="2">
        <v>42293</v>
      </c>
      <c r="N237" s="3">
        <v>42216.635081018518</v>
      </c>
      <c r="O237" t="s">
        <v>21</v>
      </c>
      <c r="P237" t="s">
        <v>25</v>
      </c>
    </row>
    <row r="238" spans="1:16" ht="96" x14ac:dyDescent="0.2">
      <c r="A238" t="str">
        <f>HYPERLINK("https://www.grants.gov/view-opportunity.html?oppId=278213","RFA-FD-16-004")</f>
        <v>RFA-FD-16-004</v>
      </c>
      <c r="B238" t="s">
        <v>306</v>
      </c>
      <c r="C238" t="s">
        <v>17</v>
      </c>
      <c r="D238" t="s">
        <v>18</v>
      </c>
      <c r="E238">
        <v>1000000</v>
      </c>
      <c r="F238">
        <v>2</v>
      </c>
      <c r="G238" s="1" t="s">
        <v>305</v>
      </c>
      <c r="I238" t="s">
        <v>269</v>
      </c>
      <c r="L238" s="2">
        <v>42216</v>
      </c>
      <c r="M238" s="2">
        <v>42293</v>
      </c>
      <c r="N238" s="3">
        <v>42216.63994212963</v>
      </c>
      <c r="O238" t="s">
        <v>21</v>
      </c>
      <c r="P238" t="s">
        <v>25</v>
      </c>
    </row>
    <row r="239" spans="1:16" ht="112" x14ac:dyDescent="0.2">
      <c r="A239" t="str">
        <f>HYPERLINK("https://www.grants.gov/view-opportunity.html?oppId=278015","RFA-FD-15-035")</f>
        <v>RFA-FD-15-035</v>
      </c>
      <c r="B239" t="s">
        <v>307</v>
      </c>
      <c r="C239" t="s">
        <v>17</v>
      </c>
      <c r="D239" t="s">
        <v>18</v>
      </c>
      <c r="E239">
        <v>5000000</v>
      </c>
      <c r="F239">
        <v>1</v>
      </c>
      <c r="G239" s="1" t="s">
        <v>308</v>
      </c>
      <c r="I239" t="s">
        <v>259</v>
      </c>
      <c r="L239" s="2">
        <v>42207</v>
      </c>
      <c r="M239" s="2">
        <v>42240</v>
      </c>
      <c r="N239" s="3">
        <v>42207.666921296295</v>
      </c>
      <c r="O239" t="s">
        <v>24</v>
      </c>
      <c r="P239" t="s">
        <v>25</v>
      </c>
    </row>
    <row r="240" spans="1:16" ht="112" x14ac:dyDescent="0.2">
      <c r="A240" t="str">
        <f>HYPERLINK("https://www.grants.gov/view-opportunity.html?oppId=278004","RFA-FD-15-038")</f>
        <v>RFA-FD-15-038</v>
      </c>
      <c r="B240" t="s">
        <v>309</v>
      </c>
      <c r="C240" t="s">
        <v>17</v>
      </c>
      <c r="D240" t="s">
        <v>18</v>
      </c>
      <c r="E240">
        <v>250000</v>
      </c>
      <c r="F240">
        <v>1</v>
      </c>
      <c r="G240" s="1" t="s">
        <v>310</v>
      </c>
      <c r="I240" t="s">
        <v>311</v>
      </c>
      <c r="L240" s="2">
        <v>42206</v>
      </c>
      <c r="M240" s="2">
        <v>42240</v>
      </c>
      <c r="N240" s="3">
        <v>42234.448819444442</v>
      </c>
      <c r="O240" t="s">
        <v>36</v>
      </c>
      <c r="P240" t="s">
        <v>25</v>
      </c>
    </row>
    <row r="241" spans="1:16" ht="144" x14ac:dyDescent="0.2">
      <c r="A241" t="str">
        <f>HYPERLINK("https://www.grants.gov/view-opportunity.html?oppId=277668","RFA-FD-15-041")</f>
        <v>RFA-FD-15-041</v>
      </c>
      <c r="B241" t="s">
        <v>312</v>
      </c>
      <c r="C241" t="s">
        <v>17</v>
      </c>
      <c r="D241" t="s">
        <v>18</v>
      </c>
      <c r="E241">
        <v>2000000</v>
      </c>
      <c r="F241">
        <v>2</v>
      </c>
      <c r="G241" s="1" t="s">
        <v>145</v>
      </c>
      <c r="I241" t="s">
        <v>146</v>
      </c>
      <c r="L241" s="2">
        <v>42191</v>
      </c>
      <c r="M241" s="2">
        <v>42215</v>
      </c>
      <c r="N241" s="3">
        <v>42191.426458333335</v>
      </c>
      <c r="O241" t="s">
        <v>21</v>
      </c>
      <c r="P241" t="s">
        <v>25</v>
      </c>
    </row>
    <row r="242" spans="1:16" ht="144" x14ac:dyDescent="0.2">
      <c r="A242" t="str">
        <f>HYPERLINK("https://www.grants.gov/view-opportunity.html?oppId=277310","RFA-FD-15-039")</f>
        <v>RFA-FD-15-039</v>
      </c>
      <c r="B242" t="s">
        <v>313</v>
      </c>
      <c r="C242" t="s">
        <v>17</v>
      </c>
      <c r="D242" t="s">
        <v>18</v>
      </c>
      <c r="E242">
        <v>1000000</v>
      </c>
      <c r="F242">
        <v>1</v>
      </c>
      <c r="G242" s="1" t="s">
        <v>145</v>
      </c>
      <c r="I242" t="s">
        <v>146</v>
      </c>
      <c r="L242" s="2">
        <v>42174</v>
      </c>
      <c r="M242" s="2">
        <v>42214</v>
      </c>
      <c r="N242" s="3">
        <v>42174.462719907409</v>
      </c>
      <c r="O242" t="s">
        <v>21</v>
      </c>
      <c r="P242" t="s">
        <v>25</v>
      </c>
    </row>
    <row r="243" spans="1:16" ht="144" x14ac:dyDescent="0.2">
      <c r="A243" t="str">
        <f>HYPERLINK("https://www.grants.gov/view-opportunity.html?oppId=276933","RFA-FD-15-011")</f>
        <v>RFA-FD-15-011</v>
      </c>
      <c r="B243" t="s">
        <v>314</v>
      </c>
      <c r="C243" t="s">
        <v>17</v>
      </c>
      <c r="D243" t="s">
        <v>18</v>
      </c>
      <c r="E243">
        <v>452700</v>
      </c>
      <c r="F243">
        <v>1</v>
      </c>
      <c r="G243" s="1" t="s">
        <v>315</v>
      </c>
      <c r="I243" t="s">
        <v>316</v>
      </c>
      <c r="L243" s="2">
        <v>42153</v>
      </c>
      <c r="M243" s="2">
        <v>42187</v>
      </c>
      <c r="N243" s="3">
        <v>42153.625335648147</v>
      </c>
      <c r="O243" t="s">
        <v>21</v>
      </c>
      <c r="P243" t="s">
        <v>25</v>
      </c>
    </row>
    <row r="244" spans="1:16" ht="144" x14ac:dyDescent="0.2">
      <c r="A244" t="str">
        <f>HYPERLINK("https://www.grants.gov/view-opportunity.html?oppId=276859","RFA-FD-15-023")</f>
        <v>RFA-FD-15-023</v>
      </c>
      <c r="B244" t="s">
        <v>317</v>
      </c>
      <c r="C244" t="s">
        <v>17</v>
      </c>
      <c r="D244" t="s">
        <v>18</v>
      </c>
      <c r="E244">
        <v>3000000</v>
      </c>
      <c r="F244">
        <v>10</v>
      </c>
      <c r="G244" s="1" t="s">
        <v>315</v>
      </c>
      <c r="I244" t="s">
        <v>318</v>
      </c>
      <c r="L244" s="2">
        <v>42151</v>
      </c>
      <c r="M244" s="2">
        <v>42187</v>
      </c>
      <c r="N244" s="3">
        <v>42151.523923611108</v>
      </c>
      <c r="O244" t="s">
        <v>21</v>
      </c>
      <c r="P244" t="s">
        <v>25</v>
      </c>
    </row>
    <row r="245" spans="1:16" ht="144" x14ac:dyDescent="0.2">
      <c r="A245" t="str">
        <f>HYPERLINK("https://www.grants.gov/view-opportunity.html?oppId=276832","RFA-FD-15-012")</f>
        <v>RFA-FD-15-012</v>
      </c>
      <c r="B245" t="s">
        <v>319</v>
      </c>
      <c r="C245" t="s">
        <v>17</v>
      </c>
      <c r="D245" t="s">
        <v>18</v>
      </c>
      <c r="E245">
        <v>700000</v>
      </c>
      <c r="F245">
        <v>1</v>
      </c>
      <c r="G245" s="1" t="s">
        <v>320</v>
      </c>
      <c r="I245" t="s">
        <v>311</v>
      </c>
      <c r="L245" s="2">
        <v>42151</v>
      </c>
      <c r="M245" s="2">
        <v>42205</v>
      </c>
      <c r="N245" s="3">
        <v>42151.553784722222</v>
      </c>
      <c r="O245" t="s">
        <v>21</v>
      </c>
      <c r="P245" t="s">
        <v>25</v>
      </c>
    </row>
    <row r="246" spans="1:16" ht="96" x14ac:dyDescent="0.2">
      <c r="A246" t="str">
        <f>HYPERLINK("https://www.grants.gov/view-opportunity.html?oppId=276822","RFA-FD-15-026")</f>
        <v>RFA-FD-15-026</v>
      </c>
      <c r="B246" t="s">
        <v>321</v>
      </c>
      <c r="C246" t="s">
        <v>17</v>
      </c>
      <c r="D246" t="s">
        <v>18</v>
      </c>
      <c r="E246">
        <v>3000000</v>
      </c>
      <c r="F246">
        <v>1</v>
      </c>
      <c r="G246" s="1" t="s">
        <v>305</v>
      </c>
      <c r="I246" t="s">
        <v>269</v>
      </c>
      <c r="L246" s="2">
        <v>42150</v>
      </c>
      <c r="M246" s="2">
        <v>42277</v>
      </c>
      <c r="N246" s="3">
        <v>42198.67931712963</v>
      </c>
      <c r="O246" t="s">
        <v>24</v>
      </c>
      <c r="P246" t="s">
        <v>25</v>
      </c>
    </row>
    <row r="247" spans="1:16" ht="144" x14ac:dyDescent="0.2">
      <c r="A247" t="str">
        <f>HYPERLINK("https://www.grants.gov/view-opportunity.html?oppId=276770","RFA-FD-15-029")</f>
        <v>RFA-FD-15-029</v>
      </c>
      <c r="B247" t="s">
        <v>322</v>
      </c>
      <c r="C247" t="s">
        <v>17</v>
      </c>
      <c r="D247" t="s">
        <v>18</v>
      </c>
      <c r="E247">
        <v>278000</v>
      </c>
      <c r="F247">
        <v>1</v>
      </c>
      <c r="G247" s="1" t="s">
        <v>320</v>
      </c>
      <c r="I247" t="s">
        <v>311</v>
      </c>
      <c r="L247" s="2">
        <v>42146</v>
      </c>
      <c r="M247" s="2">
        <v>42206</v>
      </c>
      <c r="N247" s="3">
        <v>42146.444004629629</v>
      </c>
      <c r="O247" t="s">
        <v>21</v>
      </c>
      <c r="P247" t="s">
        <v>25</v>
      </c>
    </row>
    <row r="248" spans="1:16" ht="96" x14ac:dyDescent="0.2">
      <c r="A248" t="str">
        <f>HYPERLINK("https://www.grants.gov/view-opportunity.html?oppId=276649","RFA-FD-15-014")</f>
        <v>RFA-FD-15-014</v>
      </c>
      <c r="B248" t="s">
        <v>323</v>
      </c>
      <c r="C248" t="s">
        <v>17</v>
      </c>
      <c r="D248" t="s">
        <v>18</v>
      </c>
      <c r="E248">
        <v>500000</v>
      </c>
      <c r="F248">
        <v>1</v>
      </c>
      <c r="G248" s="1" t="s">
        <v>305</v>
      </c>
      <c r="I248" t="s">
        <v>269</v>
      </c>
      <c r="L248" s="2">
        <v>42142</v>
      </c>
      <c r="M248" s="2">
        <v>42356</v>
      </c>
      <c r="N248" s="3">
        <v>42333.42528935185</v>
      </c>
      <c r="O248" t="s">
        <v>28</v>
      </c>
      <c r="P248" t="s">
        <v>25</v>
      </c>
    </row>
    <row r="249" spans="1:16" ht="128" x14ac:dyDescent="0.2">
      <c r="A249" t="str">
        <f>HYPERLINK("https://www.grants.gov/view-opportunity.html?oppId=276597","RFA-FD-15-040")</f>
        <v>RFA-FD-15-040</v>
      </c>
      <c r="B249" t="s">
        <v>324</v>
      </c>
      <c r="C249" t="s">
        <v>17</v>
      </c>
      <c r="D249" t="s">
        <v>18</v>
      </c>
      <c r="E249">
        <v>1000000</v>
      </c>
      <c r="F249">
        <v>1</v>
      </c>
      <c r="G249" s="1" t="s">
        <v>325</v>
      </c>
      <c r="I249" t="s">
        <v>326</v>
      </c>
      <c r="L249" s="2">
        <v>42138</v>
      </c>
      <c r="M249" s="2">
        <v>42202</v>
      </c>
      <c r="N249" s="3">
        <v>42195.457754629628</v>
      </c>
      <c r="O249" t="s">
        <v>24</v>
      </c>
      <c r="P249" t="s">
        <v>25</v>
      </c>
    </row>
    <row r="250" spans="1:16" ht="96" x14ac:dyDescent="0.2">
      <c r="A250" t="str">
        <f>HYPERLINK("https://www.grants.gov/view-opportunity.html?oppId=276601","RFA-FD-15-036")</f>
        <v>RFA-FD-15-036</v>
      </c>
      <c r="B250" t="s">
        <v>306</v>
      </c>
      <c r="C250" t="s">
        <v>17</v>
      </c>
      <c r="D250" t="s">
        <v>18</v>
      </c>
      <c r="E250">
        <v>1000000</v>
      </c>
      <c r="F250">
        <v>2</v>
      </c>
      <c r="G250" s="1" t="s">
        <v>305</v>
      </c>
      <c r="I250" t="s">
        <v>269</v>
      </c>
      <c r="L250" s="2">
        <v>42138</v>
      </c>
      <c r="M250" s="2">
        <v>42187</v>
      </c>
      <c r="N250" s="3">
        <v>42167.445277777777</v>
      </c>
      <c r="O250" t="s">
        <v>24</v>
      </c>
      <c r="P250" t="s">
        <v>25</v>
      </c>
    </row>
    <row r="251" spans="1:16" ht="144" x14ac:dyDescent="0.2">
      <c r="A251" t="str">
        <f>HYPERLINK("https://www.grants.gov/view-opportunity.html?oppId=276522","RFA-FD-15-020")</f>
        <v>RFA-FD-15-020</v>
      </c>
      <c r="B251" t="s">
        <v>327</v>
      </c>
      <c r="C251" t="s">
        <v>17</v>
      </c>
      <c r="D251" t="s">
        <v>18</v>
      </c>
      <c r="E251">
        <v>5400000</v>
      </c>
      <c r="F251">
        <v>18</v>
      </c>
      <c r="G251" s="1" t="s">
        <v>145</v>
      </c>
      <c r="I251" t="s">
        <v>146</v>
      </c>
      <c r="L251" s="2">
        <v>42135</v>
      </c>
      <c r="M251" s="2">
        <v>42437</v>
      </c>
      <c r="N251" s="3">
        <v>42135.673738425925</v>
      </c>
      <c r="O251" t="s">
        <v>21</v>
      </c>
      <c r="P251" t="s">
        <v>25</v>
      </c>
    </row>
    <row r="252" spans="1:16" ht="144" x14ac:dyDescent="0.2">
      <c r="A252" t="str">
        <f>HYPERLINK("https://www.grants.gov/view-opportunity.html?oppId=276497","RFA-FD-15-021")</f>
        <v>RFA-FD-15-021</v>
      </c>
      <c r="B252" t="s">
        <v>328</v>
      </c>
      <c r="C252" t="s">
        <v>17</v>
      </c>
      <c r="D252" t="s">
        <v>18</v>
      </c>
      <c r="E252">
        <v>12600000</v>
      </c>
      <c r="F252">
        <v>24</v>
      </c>
      <c r="G252" s="1" t="s">
        <v>145</v>
      </c>
      <c r="I252" t="s">
        <v>146</v>
      </c>
      <c r="L252" s="2">
        <v>42135</v>
      </c>
      <c r="M252" s="2">
        <v>42200</v>
      </c>
      <c r="N252" s="3">
        <v>42135.575127314813</v>
      </c>
      <c r="O252" t="s">
        <v>21</v>
      </c>
      <c r="P252" t="s">
        <v>25</v>
      </c>
    </row>
    <row r="253" spans="1:16" ht="144" x14ac:dyDescent="0.2">
      <c r="A253" t="str">
        <f>HYPERLINK("https://www.grants.gov/view-opportunity.html?oppId=276469","RFA-FD-15-018")</f>
        <v>RFA-FD-15-018</v>
      </c>
      <c r="B253" t="s">
        <v>329</v>
      </c>
      <c r="C253" t="s">
        <v>17</v>
      </c>
      <c r="D253" t="s">
        <v>18</v>
      </c>
      <c r="E253">
        <v>1495000</v>
      </c>
      <c r="F253">
        <v>22</v>
      </c>
      <c r="G253" s="1" t="s">
        <v>145</v>
      </c>
      <c r="I253" t="s">
        <v>146</v>
      </c>
      <c r="L253" s="2">
        <v>42132</v>
      </c>
      <c r="M253" s="2">
        <v>42200</v>
      </c>
      <c r="N253" s="3">
        <v>42132.488287037035</v>
      </c>
      <c r="O253" t="s">
        <v>21</v>
      </c>
      <c r="P253" t="s">
        <v>25</v>
      </c>
    </row>
    <row r="254" spans="1:16" ht="144" x14ac:dyDescent="0.2">
      <c r="A254" t="str">
        <f>HYPERLINK("https://www.grants.gov/view-opportunity.html?oppId=276449","RFA-FD-15-025")</f>
        <v>RFA-FD-15-025</v>
      </c>
      <c r="B254" t="s">
        <v>296</v>
      </c>
      <c r="C254" t="s">
        <v>17</v>
      </c>
      <c r="D254" t="s">
        <v>18</v>
      </c>
      <c r="E254">
        <v>800000</v>
      </c>
      <c r="F254">
        <v>7</v>
      </c>
      <c r="G254" s="1" t="s">
        <v>145</v>
      </c>
      <c r="I254" t="s">
        <v>146</v>
      </c>
      <c r="L254" s="2">
        <v>42132</v>
      </c>
      <c r="M254" s="2">
        <v>42209</v>
      </c>
      <c r="N254" s="3">
        <v>42177.592615740738</v>
      </c>
      <c r="O254" t="s">
        <v>24</v>
      </c>
      <c r="P254" t="s">
        <v>25</v>
      </c>
    </row>
    <row r="255" spans="1:16" ht="144" x14ac:dyDescent="0.2">
      <c r="A255" t="str">
        <f>HYPERLINK("https://www.grants.gov/view-opportunity.html?oppId=276447","RFA-FD-15-024")</f>
        <v>RFA-FD-15-024</v>
      </c>
      <c r="B255" t="s">
        <v>330</v>
      </c>
      <c r="C255" t="s">
        <v>17</v>
      </c>
      <c r="D255" t="s">
        <v>18</v>
      </c>
      <c r="E255">
        <v>680000</v>
      </c>
      <c r="F255">
        <v>1</v>
      </c>
      <c r="G255" s="1" t="s">
        <v>145</v>
      </c>
      <c r="I255" t="s">
        <v>146</v>
      </c>
      <c r="L255" s="2">
        <v>42132</v>
      </c>
      <c r="M255" s="2">
        <v>42200</v>
      </c>
      <c r="N255" s="3">
        <v>42132.563287037039</v>
      </c>
      <c r="O255" t="s">
        <v>21</v>
      </c>
      <c r="P255" t="s">
        <v>25</v>
      </c>
    </row>
    <row r="256" spans="1:16" ht="144" x14ac:dyDescent="0.2">
      <c r="A256" t="str">
        <f>HYPERLINK("https://www.grants.gov/view-opportunity.html?oppId=276406","RFA-FD-15-022")</f>
        <v>RFA-FD-15-022</v>
      </c>
      <c r="B256" t="s">
        <v>331</v>
      </c>
      <c r="C256" t="s">
        <v>17</v>
      </c>
      <c r="D256" t="s">
        <v>18</v>
      </c>
      <c r="E256">
        <v>200000</v>
      </c>
      <c r="F256">
        <v>2</v>
      </c>
      <c r="G256" s="1" t="s">
        <v>332</v>
      </c>
      <c r="I256" t="s">
        <v>146</v>
      </c>
      <c r="L256" s="2">
        <v>42130</v>
      </c>
      <c r="M256" s="2">
        <v>43557</v>
      </c>
      <c r="N256" s="3">
        <v>42423.438460648147</v>
      </c>
      <c r="O256" t="s">
        <v>24</v>
      </c>
      <c r="P256" t="s">
        <v>25</v>
      </c>
    </row>
    <row r="257" spans="1:16" ht="96" x14ac:dyDescent="0.2">
      <c r="A257" t="str">
        <f>HYPERLINK("https://www.grants.gov/view-opportunity.html?oppId=276357","RFA-FD-15-027")</f>
        <v>RFA-FD-15-027</v>
      </c>
      <c r="B257" t="s">
        <v>333</v>
      </c>
      <c r="C257" t="s">
        <v>17</v>
      </c>
      <c r="D257" t="s">
        <v>18</v>
      </c>
      <c r="E257">
        <v>200000</v>
      </c>
      <c r="F257">
        <v>1</v>
      </c>
      <c r="G257" s="1" t="s">
        <v>305</v>
      </c>
      <c r="I257" t="s">
        <v>269</v>
      </c>
      <c r="L257" s="2">
        <v>42129</v>
      </c>
      <c r="M257" s="2">
        <v>42192</v>
      </c>
      <c r="N257" s="3">
        <v>42191.451458333337</v>
      </c>
      <c r="O257" t="s">
        <v>24</v>
      </c>
      <c r="P257" t="s">
        <v>25</v>
      </c>
    </row>
    <row r="258" spans="1:16" ht="112" x14ac:dyDescent="0.2">
      <c r="A258" t="str">
        <f>HYPERLINK("https://www.grants.gov/view-opportunity.html?oppId=276289","RFA-FD-15-033")</f>
        <v>RFA-FD-15-033</v>
      </c>
      <c r="B258" t="s">
        <v>334</v>
      </c>
      <c r="C258" t="s">
        <v>17</v>
      </c>
      <c r="D258" t="s">
        <v>18</v>
      </c>
      <c r="E258">
        <v>675000</v>
      </c>
      <c r="F258">
        <v>3</v>
      </c>
      <c r="G258" s="1" t="s">
        <v>310</v>
      </c>
      <c r="I258" t="s">
        <v>311</v>
      </c>
      <c r="L258" s="2">
        <v>42125</v>
      </c>
      <c r="M258" s="2">
        <v>42202</v>
      </c>
      <c r="N258" s="3">
        <v>42137.570983796293</v>
      </c>
      <c r="O258" t="s">
        <v>24</v>
      </c>
      <c r="P258" t="s">
        <v>25</v>
      </c>
    </row>
    <row r="259" spans="1:16" ht="144" x14ac:dyDescent="0.2">
      <c r="A259" t="str">
        <f>HYPERLINK("https://www.grants.gov/view-opportunity.html?oppId=276240","RFA-FD-15-037")</f>
        <v>RFA-FD-15-037</v>
      </c>
      <c r="B259" t="s">
        <v>335</v>
      </c>
      <c r="C259" t="s">
        <v>17</v>
      </c>
      <c r="D259" t="s">
        <v>18</v>
      </c>
      <c r="E259">
        <v>1</v>
      </c>
      <c r="F259">
        <v>1</v>
      </c>
      <c r="G259" s="1" t="s">
        <v>145</v>
      </c>
      <c r="I259" t="s">
        <v>146</v>
      </c>
      <c r="L259" s="2">
        <v>42123</v>
      </c>
      <c r="M259" s="2">
        <v>42195</v>
      </c>
      <c r="N259" s="3">
        <v>42123.676724537036</v>
      </c>
      <c r="O259" t="s">
        <v>21</v>
      </c>
      <c r="P259" t="s">
        <v>25</v>
      </c>
    </row>
    <row r="260" spans="1:16" ht="80" x14ac:dyDescent="0.2">
      <c r="A260" t="str">
        <f>HYPERLINK("https://www.grants.gov/view-opportunity.html?oppId=276228","RFA-FD-15-031")</f>
        <v>RFA-FD-15-031</v>
      </c>
      <c r="B260" t="s">
        <v>304</v>
      </c>
      <c r="C260" t="s">
        <v>17</v>
      </c>
      <c r="D260" t="s">
        <v>18</v>
      </c>
      <c r="E260">
        <v>2000000</v>
      </c>
      <c r="F260">
        <v>2</v>
      </c>
      <c r="G260" s="1" t="s">
        <v>336</v>
      </c>
      <c r="I260" t="s">
        <v>269</v>
      </c>
      <c r="L260" s="2">
        <v>42123</v>
      </c>
      <c r="M260" s="2">
        <v>42192</v>
      </c>
      <c r="N260" s="3">
        <v>42167.44458333333</v>
      </c>
      <c r="O260" t="s">
        <v>24</v>
      </c>
      <c r="P260" t="s">
        <v>25</v>
      </c>
    </row>
    <row r="261" spans="1:16" ht="144" x14ac:dyDescent="0.2">
      <c r="A261" t="str">
        <f>HYPERLINK("https://www.grants.gov/view-opportunity.html?oppId=276031","RFA-FD-15-019")</f>
        <v>RFA-FD-15-019</v>
      </c>
      <c r="B261" t="s">
        <v>337</v>
      </c>
      <c r="C261" t="s">
        <v>17</v>
      </c>
      <c r="D261" t="s">
        <v>18</v>
      </c>
      <c r="E261">
        <v>1200000</v>
      </c>
      <c r="F261">
        <v>5</v>
      </c>
      <c r="G261" s="1" t="s">
        <v>332</v>
      </c>
      <c r="I261" t="s">
        <v>146</v>
      </c>
      <c r="L261" s="2">
        <v>42114</v>
      </c>
      <c r="M261" s="2">
        <v>42184</v>
      </c>
      <c r="N261" s="3">
        <v>42114.639120370368</v>
      </c>
      <c r="O261" t="s">
        <v>21</v>
      </c>
      <c r="P261" t="s">
        <v>25</v>
      </c>
    </row>
    <row r="262" spans="1:16" ht="96" x14ac:dyDescent="0.2">
      <c r="A262" t="str">
        <f>HYPERLINK("https://www.grants.gov/view-opportunity.html?oppId=276023","PAR-15-187")</f>
        <v>PAR-15-187</v>
      </c>
      <c r="B262" t="s">
        <v>338</v>
      </c>
      <c r="C262" t="s">
        <v>17</v>
      </c>
      <c r="D262" t="s">
        <v>18</v>
      </c>
      <c r="E262">
        <v>6000000</v>
      </c>
      <c r="F262">
        <v>2</v>
      </c>
      <c r="G262" s="1" t="s">
        <v>305</v>
      </c>
      <c r="I262" t="s">
        <v>269</v>
      </c>
      <c r="L262" s="2">
        <v>42114</v>
      </c>
      <c r="M262" s="2">
        <v>43585</v>
      </c>
      <c r="N262" s="3">
        <v>42167.443888888891</v>
      </c>
      <c r="O262" t="s">
        <v>24</v>
      </c>
      <c r="P262" t="s">
        <v>25</v>
      </c>
    </row>
    <row r="263" spans="1:16" ht="96" x14ac:dyDescent="0.2">
      <c r="A263" t="str">
        <f>HYPERLINK("https://www.grants.gov/view-opportunity.html?oppId=276024","RFA-FD-15-015")</f>
        <v>RFA-FD-15-015</v>
      </c>
      <c r="B263" t="s">
        <v>339</v>
      </c>
      <c r="C263" t="s">
        <v>17</v>
      </c>
      <c r="D263" t="s">
        <v>18</v>
      </c>
      <c r="E263">
        <v>500000</v>
      </c>
      <c r="F263">
        <v>1</v>
      </c>
      <c r="G263" s="1" t="s">
        <v>305</v>
      </c>
      <c r="I263" t="s">
        <v>269</v>
      </c>
      <c r="L263" s="2">
        <v>42114</v>
      </c>
      <c r="M263" s="2">
        <v>42184</v>
      </c>
      <c r="N263" s="3">
        <v>42114.575925925928</v>
      </c>
      <c r="O263" t="s">
        <v>21</v>
      </c>
      <c r="P263" t="s">
        <v>25</v>
      </c>
    </row>
    <row r="264" spans="1:16" ht="144" x14ac:dyDescent="0.2">
      <c r="A264" t="str">
        <f>HYPERLINK("https://www.grants.gov/view-opportunity.html?oppId=275869","RFA-FD-15-010")</f>
        <v>RFA-FD-15-010</v>
      </c>
      <c r="B264" t="s">
        <v>340</v>
      </c>
      <c r="C264" t="s">
        <v>17</v>
      </c>
      <c r="D264" t="s">
        <v>18</v>
      </c>
      <c r="E264">
        <v>1000000</v>
      </c>
      <c r="F264">
        <v>1</v>
      </c>
      <c r="G264" s="1" t="s">
        <v>320</v>
      </c>
      <c r="I264" t="s">
        <v>311</v>
      </c>
      <c r="L264" s="2">
        <v>42109</v>
      </c>
      <c r="M264" s="2">
        <v>42170</v>
      </c>
      <c r="N264" s="3">
        <v>42109.568229166667</v>
      </c>
      <c r="O264" t="s">
        <v>24</v>
      </c>
      <c r="P264" t="s">
        <v>25</v>
      </c>
    </row>
    <row r="265" spans="1:16" ht="112" x14ac:dyDescent="0.2">
      <c r="A265" t="str">
        <f>HYPERLINK("https://www.grants.gov/view-opportunity.html?oppId=275462","RFA-FD-15-009")</f>
        <v>RFA-FD-15-009</v>
      </c>
      <c r="B265" t="s">
        <v>341</v>
      </c>
      <c r="C265" t="s">
        <v>17</v>
      </c>
      <c r="D265" t="s">
        <v>18</v>
      </c>
      <c r="E265">
        <v>500000</v>
      </c>
      <c r="F265">
        <v>2</v>
      </c>
      <c r="G265" s="1" t="s">
        <v>310</v>
      </c>
      <c r="I265" t="s">
        <v>342</v>
      </c>
      <c r="L265" s="2">
        <v>42089</v>
      </c>
      <c r="M265" s="2">
        <v>42156</v>
      </c>
      <c r="N265" s="3">
        <v>42089.664884259262</v>
      </c>
      <c r="O265" t="s">
        <v>21</v>
      </c>
      <c r="P265" t="s">
        <v>25</v>
      </c>
    </row>
    <row r="266" spans="1:16" ht="96" x14ac:dyDescent="0.2">
      <c r="A266" t="str">
        <f>HYPERLINK("https://www.grants.gov/view-opportunity.html?oppId=275419","RFA-FD-15-013")</f>
        <v>RFA-FD-15-013</v>
      </c>
      <c r="B266" t="s">
        <v>343</v>
      </c>
      <c r="C266" t="s">
        <v>17</v>
      </c>
      <c r="D266" t="s">
        <v>18</v>
      </c>
      <c r="E266">
        <v>250000</v>
      </c>
      <c r="F266">
        <v>1</v>
      </c>
      <c r="G266" s="1" t="s">
        <v>305</v>
      </c>
      <c r="I266" t="s">
        <v>269</v>
      </c>
      <c r="L266" s="2">
        <v>42088</v>
      </c>
      <c r="M266" s="2">
        <v>42158</v>
      </c>
      <c r="N266" s="3">
        <v>42088.573206018518</v>
      </c>
      <c r="O266" t="s">
        <v>21</v>
      </c>
      <c r="P266" t="s">
        <v>25</v>
      </c>
    </row>
    <row r="267" spans="1:16" ht="96" x14ac:dyDescent="0.2">
      <c r="A267" t="str">
        <f>HYPERLINK("https://www.grants.gov/view-opportunity.html?oppId=275352","RFA-FD-15-032")</f>
        <v>RFA-FD-15-032</v>
      </c>
      <c r="B267" t="s">
        <v>344</v>
      </c>
      <c r="C267" t="s">
        <v>17</v>
      </c>
      <c r="D267" t="s">
        <v>18</v>
      </c>
      <c r="E267">
        <v>250000</v>
      </c>
      <c r="F267">
        <v>1</v>
      </c>
      <c r="G267" s="1" t="s">
        <v>305</v>
      </c>
      <c r="I267" t="s">
        <v>269</v>
      </c>
      <c r="L267" s="2">
        <v>42087</v>
      </c>
      <c r="M267" s="2">
        <v>42153</v>
      </c>
      <c r="N267" s="3">
        <v>42087.421805555554</v>
      </c>
      <c r="O267" t="s">
        <v>21</v>
      </c>
      <c r="P267" t="s">
        <v>25</v>
      </c>
    </row>
    <row r="268" spans="1:16" ht="96" x14ac:dyDescent="0.2">
      <c r="A268" t="str">
        <f>HYPERLINK("https://www.grants.gov/view-opportunity.html?oppId=275307","RFA-FD-15-016")</f>
        <v>RFA-FD-15-016</v>
      </c>
      <c r="B268" t="s">
        <v>345</v>
      </c>
      <c r="C268" t="s">
        <v>17</v>
      </c>
      <c r="D268" t="s">
        <v>18</v>
      </c>
      <c r="E268">
        <v>800000</v>
      </c>
      <c r="F268">
        <v>1</v>
      </c>
      <c r="G268" s="1" t="s">
        <v>305</v>
      </c>
      <c r="I268" t="s">
        <v>269</v>
      </c>
      <c r="L268" s="2">
        <v>42083</v>
      </c>
      <c r="M268" s="2">
        <v>42153</v>
      </c>
      <c r="N268" s="3">
        <v>42145.561354166668</v>
      </c>
      <c r="O268" t="s">
        <v>24</v>
      </c>
      <c r="P268" t="s">
        <v>25</v>
      </c>
    </row>
    <row r="269" spans="1:16" ht="160" x14ac:dyDescent="0.2">
      <c r="A269" t="str">
        <f>HYPERLINK("https://www.grants.gov/view-opportunity.html?oppId=275082","RFA-FD-15-004")</f>
        <v>RFA-FD-15-004</v>
      </c>
      <c r="B269" t="s">
        <v>346</v>
      </c>
      <c r="C269" t="s">
        <v>17</v>
      </c>
      <c r="D269" t="s">
        <v>18</v>
      </c>
      <c r="E269">
        <v>3000000</v>
      </c>
      <c r="F269">
        <v>10</v>
      </c>
      <c r="G269" s="1" t="s">
        <v>347</v>
      </c>
      <c r="I269" t="s">
        <v>318</v>
      </c>
      <c r="L269" s="2">
        <v>42074</v>
      </c>
      <c r="M269" s="2">
        <v>43113</v>
      </c>
      <c r="N269" s="3">
        <v>42172.61478009259</v>
      </c>
      <c r="O269" t="s">
        <v>36</v>
      </c>
      <c r="P269" t="s">
        <v>25</v>
      </c>
    </row>
    <row r="270" spans="1:16" ht="144" x14ac:dyDescent="0.2">
      <c r="A270" t="str">
        <f>HYPERLINK("https://www.grants.gov/view-opportunity.html?oppId=274858","RFA-FD-15-005")</f>
        <v>RFA-FD-15-005</v>
      </c>
      <c r="B270" t="s">
        <v>348</v>
      </c>
      <c r="C270" t="s">
        <v>17</v>
      </c>
      <c r="D270" t="s">
        <v>18</v>
      </c>
      <c r="E270">
        <v>35000</v>
      </c>
      <c r="F270">
        <v>1</v>
      </c>
      <c r="G270" s="1" t="s">
        <v>320</v>
      </c>
      <c r="I270" t="s">
        <v>311</v>
      </c>
      <c r="L270" s="2">
        <v>42062</v>
      </c>
      <c r="M270" s="2">
        <v>42096</v>
      </c>
      <c r="N270" s="3">
        <v>42174.468969907408</v>
      </c>
      <c r="O270" t="s">
        <v>24</v>
      </c>
      <c r="P270" t="s">
        <v>25</v>
      </c>
    </row>
    <row r="271" spans="1:16" ht="80" x14ac:dyDescent="0.2">
      <c r="A271" t="str">
        <f>HYPERLINK("https://www.grants.gov/view-opportunity.html?oppId=274613","RFA-FD-15-008")</f>
        <v>RFA-FD-15-008</v>
      </c>
      <c r="B271" t="s">
        <v>349</v>
      </c>
      <c r="C271" t="s">
        <v>17</v>
      </c>
      <c r="D271" t="s">
        <v>18</v>
      </c>
      <c r="E271">
        <v>600000</v>
      </c>
      <c r="F271">
        <v>3</v>
      </c>
      <c r="G271" s="1" t="s">
        <v>336</v>
      </c>
      <c r="I271" t="s">
        <v>269</v>
      </c>
      <c r="L271" s="2">
        <v>42052</v>
      </c>
      <c r="M271" s="2">
        <v>42121</v>
      </c>
      <c r="N271" s="3">
        <v>42052.456446759257</v>
      </c>
      <c r="O271" t="s">
        <v>21</v>
      </c>
      <c r="P271" t="s">
        <v>25</v>
      </c>
    </row>
    <row r="272" spans="1:16" ht="96" x14ac:dyDescent="0.2">
      <c r="A272" t="str">
        <f>HYPERLINK("https://www.grants.gov/view-opportunity.html?oppId=274612","RFA-FD-15-007")</f>
        <v>RFA-FD-15-007</v>
      </c>
      <c r="B272" t="s">
        <v>350</v>
      </c>
      <c r="C272" t="s">
        <v>17</v>
      </c>
      <c r="D272" t="s">
        <v>18</v>
      </c>
      <c r="E272">
        <v>250000</v>
      </c>
      <c r="F272">
        <v>2</v>
      </c>
      <c r="G272" s="1" t="s">
        <v>305</v>
      </c>
      <c r="I272" t="s">
        <v>269</v>
      </c>
      <c r="L272" s="2">
        <v>42052</v>
      </c>
      <c r="M272" s="2">
        <v>42121</v>
      </c>
      <c r="N272" s="3">
        <v>42052.452280092592</v>
      </c>
      <c r="O272" t="s">
        <v>21</v>
      </c>
      <c r="P272" t="s">
        <v>25</v>
      </c>
    </row>
    <row r="273" spans="1:16" ht="80" x14ac:dyDescent="0.2">
      <c r="A273" t="str">
        <f>HYPERLINK("https://www.grants.gov/view-opportunity.html?oppId=274611","RFA-FD-15-006")</f>
        <v>RFA-FD-15-006</v>
      </c>
      <c r="B273" t="s">
        <v>351</v>
      </c>
      <c r="C273" t="s">
        <v>17</v>
      </c>
      <c r="D273" t="s">
        <v>18</v>
      </c>
      <c r="E273">
        <v>125000</v>
      </c>
      <c r="F273">
        <v>1</v>
      </c>
      <c r="G273" s="1" t="s">
        <v>336</v>
      </c>
      <c r="I273" t="s">
        <v>269</v>
      </c>
      <c r="L273" s="2">
        <v>42052</v>
      </c>
      <c r="M273" s="2">
        <v>42121</v>
      </c>
      <c r="N273" s="3">
        <v>42052.439085648148</v>
      </c>
      <c r="O273" t="s">
        <v>21</v>
      </c>
      <c r="P273" t="s">
        <v>25</v>
      </c>
    </row>
    <row r="274" spans="1:16" ht="144" x14ac:dyDescent="0.2">
      <c r="A274" t="str">
        <f>HYPERLINK("https://www.grants.gov/view-opportunity.html?oppId=271376","RFA-FD-15-003")</f>
        <v>RFA-FD-15-003</v>
      </c>
      <c r="B274" t="s">
        <v>352</v>
      </c>
      <c r="C274" t="s">
        <v>17</v>
      </c>
      <c r="D274" t="s">
        <v>18</v>
      </c>
      <c r="E274">
        <v>600000</v>
      </c>
      <c r="F274">
        <v>1</v>
      </c>
      <c r="G274" s="1" t="s">
        <v>353</v>
      </c>
      <c r="I274" t="s">
        <v>354</v>
      </c>
      <c r="L274" s="2">
        <v>42017</v>
      </c>
      <c r="M274" s="2">
        <v>42094</v>
      </c>
      <c r="N274" s="3">
        <v>42095.669456018521</v>
      </c>
      <c r="O274" t="s">
        <v>36</v>
      </c>
      <c r="P274" t="s">
        <v>25</v>
      </c>
    </row>
    <row r="275" spans="1:16" ht="144" x14ac:dyDescent="0.2">
      <c r="A275" t="str">
        <f>HYPERLINK("https://www.grants.gov/view-opportunity.html?oppId=269013","RFA-FD-15-001")</f>
        <v>RFA-FD-15-001</v>
      </c>
      <c r="B275" t="s">
        <v>355</v>
      </c>
      <c r="C275" t="s">
        <v>17</v>
      </c>
      <c r="D275" t="s">
        <v>18</v>
      </c>
      <c r="E275">
        <v>14100000</v>
      </c>
      <c r="F275">
        <v>10</v>
      </c>
      <c r="G275" s="1" t="s">
        <v>356</v>
      </c>
      <c r="I275" t="s">
        <v>146</v>
      </c>
      <c r="L275" s="2">
        <v>41982</v>
      </c>
      <c r="M275" s="2">
        <v>43391</v>
      </c>
      <c r="N275" s="3">
        <v>42662.431469907409</v>
      </c>
      <c r="O275" t="s">
        <v>24</v>
      </c>
      <c r="P275" t="s">
        <v>25</v>
      </c>
    </row>
    <row r="276" spans="1:16" ht="144" x14ac:dyDescent="0.2">
      <c r="A276" t="str">
        <f>HYPERLINK("https://www.grants.gov/view-opportunity.html?oppId=260090","RFA-FD-14-085")</f>
        <v>RFA-FD-14-085</v>
      </c>
      <c r="B276" t="s">
        <v>357</v>
      </c>
      <c r="C276" t="s">
        <v>17</v>
      </c>
      <c r="D276" t="s">
        <v>18</v>
      </c>
      <c r="E276">
        <v>3000000</v>
      </c>
      <c r="F276">
        <v>1</v>
      </c>
      <c r="G276" s="1" t="s">
        <v>315</v>
      </c>
      <c r="I276" t="s">
        <v>358</v>
      </c>
      <c r="L276" s="2">
        <v>41843</v>
      </c>
      <c r="M276" s="2">
        <v>41877</v>
      </c>
      <c r="N276" s="3">
        <v>41843.387766203705</v>
      </c>
      <c r="O276" t="s">
        <v>21</v>
      </c>
      <c r="P276" t="s">
        <v>25</v>
      </c>
    </row>
    <row r="277" spans="1:16" ht="144" x14ac:dyDescent="0.2">
      <c r="A277" t="str">
        <f>HYPERLINK("https://www.grants.gov/view-opportunity.html?oppId=259290","RFA-FD-14-087")</f>
        <v>RFA-FD-14-087</v>
      </c>
      <c r="B277" t="s">
        <v>359</v>
      </c>
      <c r="C277" t="s">
        <v>17</v>
      </c>
      <c r="D277" t="s">
        <v>18</v>
      </c>
      <c r="E277">
        <v>3200000</v>
      </c>
      <c r="F277">
        <v>1</v>
      </c>
      <c r="G277" s="1" t="s">
        <v>315</v>
      </c>
      <c r="I277" t="s">
        <v>358</v>
      </c>
      <c r="L277" s="2">
        <v>41834</v>
      </c>
      <c r="M277" s="2">
        <v>41844</v>
      </c>
      <c r="N277" s="3">
        <v>41843.42596064815</v>
      </c>
      <c r="O277" t="s">
        <v>24</v>
      </c>
      <c r="P277" t="s">
        <v>25</v>
      </c>
    </row>
    <row r="278" spans="1:16" ht="144" x14ac:dyDescent="0.2">
      <c r="A278" t="str">
        <f>HYPERLINK("https://www.grants.gov/view-opportunity.html?oppId=259293","RFA-FD-15-002")</f>
        <v>RFA-FD-15-002</v>
      </c>
      <c r="B278" t="s">
        <v>360</v>
      </c>
      <c r="C278" t="s">
        <v>17</v>
      </c>
      <c r="D278" t="s">
        <v>18</v>
      </c>
      <c r="E278">
        <v>10000000</v>
      </c>
      <c r="F278">
        <v>1</v>
      </c>
      <c r="G278" s="1" t="s">
        <v>315</v>
      </c>
      <c r="I278" t="s">
        <v>358</v>
      </c>
      <c r="L278" s="2">
        <v>41831</v>
      </c>
      <c r="M278" s="2">
        <v>41860</v>
      </c>
      <c r="N278" s="3">
        <v>41843.429432870369</v>
      </c>
      <c r="O278" t="s">
        <v>24</v>
      </c>
      <c r="P278" t="s">
        <v>25</v>
      </c>
    </row>
    <row r="279" spans="1:16" ht="144" x14ac:dyDescent="0.2">
      <c r="A279" t="str">
        <f>HYPERLINK("https://www.grants.gov/view-opportunity.html?oppId=258034","RFA-FD-14-089")</f>
        <v>RFA-FD-14-089</v>
      </c>
      <c r="B279" t="s">
        <v>361</v>
      </c>
      <c r="C279" t="s">
        <v>17</v>
      </c>
      <c r="D279" t="s">
        <v>18</v>
      </c>
      <c r="E279">
        <v>10500000</v>
      </c>
      <c r="F279">
        <v>1</v>
      </c>
      <c r="G279" s="1" t="s">
        <v>145</v>
      </c>
      <c r="I279" t="s">
        <v>146</v>
      </c>
      <c r="L279" s="2">
        <v>41809</v>
      </c>
      <c r="M279" s="2">
        <v>41848</v>
      </c>
      <c r="N279" s="3">
        <v>41822.639606481483</v>
      </c>
      <c r="O279" t="s">
        <v>24</v>
      </c>
      <c r="P279" t="s">
        <v>25</v>
      </c>
    </row>
    <row r="280" spans="1:16" ht="96" x14ac:dyDescent="0.2">
      <c r="A280" t="str">
        <f>HYPERLINK("https://www.grants.gov/view-opportunity.html?oppId=257134","RFA-FD-14-081")</f>
        <v>RFA-FD-14-081</v>
      </c>
      <c r="B280" t="s">
        <v>362</v>
      </c>
      <c r="C280" t="s">
        <v>17</v>
      </c>
      <c r="D280" t="s">
        <v>18</v>
      </c>
      <c r="E280">
        <v>100000</v>
      </c>
      <c r="F280">
        <v>1</v>
      </c>
      <c r="G280" s="1" t="s">
        <v>305</v>
      </c>
      <c r="I280" t="s">
        <v>269</v>
      </c>
      <c r="L280" s="2">
        <v>41800</v>
      </c>
      <c r="M280" s="2">
        <v>41835</v>
      </c>
      <c r="N280" s="3">
        <v>41800.41678240741</v>
      </c>
      <c r="O280" t="s">
        <v>21</v>
      </c>
      <c r="P280" t="s">
        <v>25</v>
      </c>
    </row>
    <row r="281" spans="1:16" ht="96" x14ac:dyDescent="0.2">
      <c r="A281" t="str">
        <f>HYPERLINK("https://www.grants.gov/view-opportunity.html?oppId=257188","RFA-FD-14-018")</f>
        <v>RFA-FD-14-018</v>
      </c>
      <c r="B281" t="s">
        <v>363</v>
      </c>
      <c r="C281" t="s">
        <v>17</v>
      </c>
      <c r="D281" t="s">
        <v>18</v>
      </c>
      <c r="E281">
        <v>500000</v>
      </c>
      <c r="F281">
        <v>1</v>
      </c>
      <c r="G281" s="1" t="s">
        <v>305</v>
      </c>
      <c r="I281" t="s">
        <v>269</v>
      </c>
      <c r="L281" s="2">
        <v>41800</v>
      </c>
      <c r="M281" s="2">
        <v>41820</v>
      </c>
      <c r="N281" s="3">
        <v>41800.518865740742</v>
      </c>
      <c r="O281" t="s">
        <v>21</v>
      </c>
      <c r="P281" t="s">
        <v>25</v>
      </c>
    </row>
    <row r="282" spans="1:16" ht="96" x14ac:dyDescent="0.2">
      <c r="A282" t="str">
        <f>HYPERLINK("https://www.grants.gov/view-opportunity.html?oppId=257068","RFA-FD-14-080")</f>
        <v>RFA-FD-14-080</v>
      </c>
      <c r="B282" t="s">
        <v>364</v>
      </c>
      <c r="C282" t="s">
        <v>17</v>
      </c>
      <c r="D282" t="s">
        <v>18</v>
      </c>
      <c r="E282">
        <v>100000</v>
      </c>
      <c r="F282">
        <v>1</v>
      </c>
      <c r="G282" s="1" t="s">
        <v>305</v>
      </c>
      <c r="I282" t="s">
        <v>269</v>
      </c>
      <c r="L282" s="2">
        <v>41799</v>
      </c>
      <c r="M282" s="2">
        <v>41835</v>
      </c>
      <c r="N282" s="3">
        <v>41799.638298611113</v>
      </c>
      <c r="O282" t="s">
        <v>21</v>
      </c>
      <c r="P282" t="s">
        <v>25</v>
      </c>
    </row>
    <row r="283" spans="1:16" ht="80" x14ac:dyDescent="0.2">
      <c r="A283" t="str">
        <f>HYPERLINK("https://www.grants.gov/view-opportunity.html?oppId=256720","RFA-FD-14-088")</f>
        <v>RFA-FD-14-088</v>
      </c>
      <c r="B283" t="s">
        <v>365</v>
      </c>
      <c r="C283" t="s">
        <v>17</v>
      </c>
      <c r="D283" t="s">
        <v>18</v>
      </c>
      <c r="E283">
        <v>325000</v>
      </c>
      <c r="F283">
        <v>1</v>
      </c>
      <c r="G283" s="1" t="s">
        <v>336</v>
      </c>
      <c r="I283" t="s">
        <v>269</v>
      </c>
      <c r="L283" s="2">
        <v>41794</v>
      </c>
      <c r="M283" s="2">
        <v>41835</v>
      </c>
      <c r="N283" s="3">
        <v>41794.620185185187</v>
      </c>
      <c r="O283" t="s">
        <v>21</v>
      </c>
      <c r="P283" t="s">
        <v>25</v>
      </c>
    </row>
    <row r="284" spans="1:16" ht="80" x14ac:dyDescent="0.2">
      <c r="A284" t="str">
        <f>HYPERLINK("https://www.grants.gov/view-opportunity.html?oppId=256108","RFA-FD-14-017")</f>
        <v>RFA-FD-14-017</v>
      </c>
      <c r="B284" t="s">
        <v>366</v>
      </c>
      <c r="C284" t="s">
        <v>17</v>
      </c>
      <c r="D284" t="s">
        <v>18</v>
      </c>
      <c r="E284">
        <v>7500000</v>
      </c>
      <c r="F284">
        <v>1</v>
      </c>
      <c r="G284" s="1" t="s">
        <v>336</v>
      </c>
      <c r="I284" t="s">
        <v>269</v>
      </c>
      <c r="L284" s="2">
        <v>41786</v>
      </c>
      <c r="M284" s="2">
        <v>41820</v>
      </c>
      <c r="N284" s="3">
        <v>41786.828784722224</v>
      </c>
      <c r="O284" t="s">
        <v>24</v>
      </c>
      <c r="P284" t="s">
        <v>25</v>
      </c>
    </row>
    <row r="285" spans="1:16" ht="80" x14ac:dyDescent="0.2">
      <c r="A285" t="str">
        <f>HYPERLINK("https://www.grants.gov/view-opportunity.html?oppId=255528","RFA-FD-14-082")</f>
        <v>RFA-FD-14-082</v>
      </c>
      <c r="B285" t="s">
        <v>367</v>
      </c>
      <c r="C285" t="s">
        <v>17</v>
      </c>
      <c r="D285" t="s">
        <v>18</v>
      </c>
      <c r="E285">
        <v>600000</v>
      </c>
      <c r="F285">
        <v>1</v>
      </c>
      <c r="G285" s="1" t="s">
        <v>336</v>
      </c>
      <c r="I285" t="s">
        <v>269</v>
      </c>
      <c r="L285" s="2">
        <v>41778</v>
      </c>
      <c r="M285" s="2">
        <v>41820</v>
      </c>
      <c r="N285" s="3">
        <v>41778.857164351852</v>
      </c>
      <c r="O285" t="s">
        <v>21</v>
      </c>
      <c r="P285" t="s">
        <v>25</v>
      </c>
    </row>
    <row r="286" spans="1:16" ht="96" x14ac:dyDescent="0.2">
      <c r="A286" t="str">
        <f>HYPERLINK("https://www.grants.gov/view-opportunity.html?oppId=255529","RFA-FD-14-083")</f>
        <v>RFA-FD-14-083</v>
      </c>
      <c r="B286" t="s">
        <v>368</v>
      </c>
      <c r="C286" t="s">
        <v>17</v>
      </c>
      <c r="D286" t="s">
        <v>18</v>
      </c>
      <c r="E286">
        <v>400000</v>
      </c>
      <c r="F286">
        <v>2</v>
      </c>
      <c r="G286" s="1" t="s">
        <v>305</v>
      </c>
      <c r="I286" t="s">
        <v>269</v>
      </c>
      <c r="L286" s="2">
        <v>41778</v>
      </c>
      <c r="M286" s="2">
        <v>41827</v>
      </c>
      <c r="N286" s="3">
        <v>41808.584930555553</v>
      </c>
      <c r="O286" t="s">
        <v>24</v>
      </c>
      <c r="P286" t="s">
        <v>25</v>
      </c>
    </row>
    <row r="287" spans="1:16" ht="176" x14ac:dyDescent="0.2">
      <c r="A287" t="str">
        <f>HYPERLINK("https://www.grants.gov/view-opportunity.html?oppId=254499","RFA-FD-14-004")</f>
        <v>RFA-FD-14-004</v>
      </c>
      <c r="B287" t="s">
        <v>369</v>
      </c>
      <c r="C287" t="s">
        <v>17</v>
      </c>
      <c r="D287" t="s">
        <v>18</v>
      </c>
      <c r="E287">
        <v>1000000</v>
      </c>
      <c r="F287">
        <v>4</v>
      </c>
      <c r="G287" s="1" t="s">
        <v>370</v>
      </c>
      <c r="I287" t="s">
        <v>371</v>
      </c>
      <c r="L287" s="2">
        <v>41758</v>
      </c>
      <c r="M287" s="2">
        <v>41806</v>
      </c>
      <c r="N287" s="3">
        <v>41775.713379629633</v>
      </c>
      <c r="O287" t="s">
        <v>24</v>
      </c>
      <c r="P287" t="s">
        <v>25</v>
      </c>
    </row>
    <row r="288" spans="1:16" ht="144" x14ac:dyDescent="0.2">
      <c r="A288" t="str">
        <f>HYPERLINK("https://www.grants.gov/view-opportunity.html?oppId=254468","RFA-FD-14-013")</f>
        <v>RFA-FD-14-013</v>
      </c>
      <c r="B288" t="s">
        <v>372</v>
      </c>
      <c r="C288" t="s">
        <v>17</v>
      </c>
      <c r="D288" t="s">
        <v>18</v>
      </c>
      <c r="E288">
        <v>400000</v>
      </c>
      <c r="F288">
        <v>2</v>
      </c>
      <c r="G288" s="1" t="s">
        <v>373</v>
      </c>
      <c r="I288" t="s">
        <v>259</v>
      </c>
      <c r="L288" s="2">
        <v>41758</v>
      </c>
      <c r="M288" s="2">
        <v>41811</v>
      </c>
      <c r="N288" s="3">
        <v>41758.433668981481</v>
      </c>
      <c r="O288" t="s">
        <v>21</v>
      </c>
      <c r="P288" t="s">
        <v>25</v>
      </c>
    </row>
    <row r="289" spans="1:16" ht="144" x14ac:dyDescent="0.2">
      <c r="A289" t="str">
        <f>HYPERLINK("https://www.grants.gov/view-opportunity.html?oppId=254474","RFA-FD-14-015")</f>
        <v>RFA-FD-14-015</v>
      </c>
      <c r="B289" t="s">
        <v>374</v>
      </c>
      <c r="C289" t="s">
        <v>17</v>
      </c>
      <c r="D289" t="s">
        <v>18</v>
      </c>
      <c r="E289">
        <v>1000000</v>
      </c>
      <c r="F289">
        <v>1</v>
      </c>
      <c r="G289" s="1" t="s">
        <v>373</v>
      </c>
      <c r="I289" t="s">
        <v>259</v>
      </c>
      <c r="L289" s="2">
        <v>41758</v>
      </c>
      <c r="M289" s="2">
        <v>41801</v>
      </c>
      <c r="N289" s="3">
        <v>41758.494085648148</v>
      </c>
      <c r="O289" t="s">
        <v>21</v>
      </c>
      <c r="P289" t="s">
        <v>25</v>
      </c>
    </row>
    <row r="290" spans="1:16" ht="144" x14ac:dyDescent="0.2">
      <c r="A290" t="str">
        <f>HYPERLINK("https://www.grants.gov/view-opportunity.html?oppId=254473","RFA-FD-14-014")</f>
        <v>RFA-FD-14-014</v>
      </c>
      <c r="B290" t="s">
        <v>375</v>
      </c>
      <c r="C290" t="s">
        <v>17</v>
      </c>
      <c r="D290" t="s">
        <v>18</v>
      </c>
      <c r="E290">
        <v>400000</v>
      </c>
      <c r="F290">
        <v>2</v>
      </c>
      <c r="G290" s="1" t="s">
        <v>373</v>
      </c>
      <c r="I290" t="s">
        <v>259</v>
      </c>
      <c r="L290" s="2">
        <v>41758</v>
      </c>
      <c r="M290" s="2">
        <v>41811</v>
      </c>
      <c r="N290" s="3">
        <v>41758.469085648147</v>
      </c>
      <c r="O290" t="s">
        <v>21</v>
      </c>
      <c r="P290" t="s">
        <v>25</v>
      </c>
    </row>
    <row r="291" spans="1:16" ht="176" x14ac:dyDescent="0.2">
      <c r="A291" t="str">
        <f>HYPERLINK("https://www.grants.gov/view-opportunity.html?oppId=254080","RFA-FD-14-021")</f>
        <v>RFA-FD-14-021</v>
      </c>
      <c r="B291" t="s">
        <v>376</v>
      </c>
      <c r="C291" t="s">
        <v>17</v>
      </c>
      <c r="D291" t="s">
        <v>18</v>
      </c>
      <c r="E291">
        <v>2000000</v>
      </c>
      <c r="F291">
        <v>1</v>
      </c>
      <c r="G291" s="1" t="s">
        <v>370</v>
      </c>
      <c r="I291" t="s">
        <v>371</v>
      </c>
      <c r="L291" s="2">
        <v>41747</v>
      </c>
      <c r="M291" s="2">
        <v>41811</v>
      </c>
      <c r="N291" s="3">
        <v>41747.448819444442</v>
      </c>
      <c r="O291" t="s">
        <v>21</v>
      </c>
      <c r="P291" t="s">
        <v>25</v>
      </c>
    </row>
    <row r="292" spans="1:16" ht="144" x14ac:dyDescent="0.2">
      <c r="A292" t="str">
        <f>HYPERLINK("https://www.grants.gov/view-opportunity.html?oppId=254037","RFA-FD-14-025")</f>
        <v>RFA-FD-14-025</v>
      </c>
      <c r="B292" t="s">
        <v>377</v>
      </c>
      <c r="C292" t="s">
        <v>17</v>
      </c>
      <c r="D292" t="s">
        <v>18</v>
      </c>
      <c r="E292">
        <v>500000</v>
      </c>
      <c r="F292">
        <v>1</v>
      </c>
      <c r="G292" s="1" t="s">
        <v>373</v>
      </c>
      <c r="I292" t="s">
        <v>259</v>
      </c>
      <c r="L292" s="2">
        <v>41747</v>
      </c>
      <c r="M292" s="2">
        <v>41792</v>
      </c>
      <c r="N292" s="3">
        <v>41746.404363425929</v>
      </c>
      <c r="O292" t="s">
        <v>21</v>
      </c>
      <c r="P292" t="s">
        <v>25</v>
      </c>
    </row>
    <row r="293" spans="1:16" ht="176" x14ac:dyDescent="0.2">
      <c r="A293" t="str">
        <f>HYPERLINK("https://www.grants.gov/view-opportunity.html?oppId=254083","RFA-FD-14-020")</f>
        <v>RFA-FD-14-020</v>
      </c>
      <c r="B293" t="s">
        <v>378</v>
      </c>
      <c r="C293" t="s">
        <v>17</v>
      </c>
      <c r="D293" t="s">
        <v>18</v>
      </c>
      <c r="E293">
        <v>4000000</v>
      </c>
      <c r="F293">
        <v>1</v>
      </c>
      <c r="G293" s="1" t="s">
        <v>370</v>
      </c>
      <c r="I293" t="s">
        <v>371</v>
      </c>
      <c r="L293" s="2">
        <v>41747</v>
      </c>
      <c r="M293" s="2">
        <v>41811</v>
      </c>
      <c r="N293" s="3">
        <v>41747.481458333335</v>
      </c>
      <c r="O293" t="s">
        <v>21</v>
      </c>
      <c r="P293" t="s">
        <v>25</v>
      </c>
    </row>
    <row r="294" spans="1:16" ht="176" x14ac:dyDescent="0.2">
      <c r="A294" t="str">
        <f>HYPERLINK("https://www.grants.gov/view-opportunity.html?oppId=254076","RFA-FD-14-019")</f>
        <v>RFA-FD-14-019</v>
      </c>
      <c r="B294" t="s">
        <v>379</v>
      </c>
      <c r="C294" t="s">
        <v>17</v>
      </c>
      <c r="D294" t="s">
        <v>18</v>
      </c>
      <c r="E294">
        <v>15000000</v>
      </c>
      <c r="F294">
        <v>1</v>
      </c>
      <c r="G294" s="1" t="s">
        <v>370</v>
      </c>
      <c r="I294" t="s">
        <v>371</v>
      </c>
      <c r="L294" s="2">
        <v>41747</v>
      </c>
      <c r="M294" s="2">
        <v>41809</v>
      </c>
      <c r="N294" s="3">
        <v>41747.434930555559</v>
      </c>
      <c r="O294" t="s">
        <v>21</v>
      </c>
      <c r="P294" t="s">
        <v>25</v>
      </c>
    </row>
    <row r="295" spans="1:16" ht="176" x14ac:dyDescent="0.2">
      <c r="A295" t="str">
        <f>HYPERLINK("https://www.grants.gov/view-opportunity.html?oppId=254082","RFA-FD-14-024")</f>
        <v>RFA-FD-14-024</v>
      </c>
      <c r="B295" t="s">
        <v>380</v>
      </c>
      <c r="C295" t="s">
        <v>17</v>
      </c>
      <c r="D295" t="s">
        <v>18</v>
      </c>
      <c r="E295">
        <v>3000000</v>
      </c>
      <c r="F295">
        <v>1</v>
      </c>
      <c r="G295" s="1" t="s">
        <v>370</v>
      </c>
      <c r="I295" t="s">
        <v>371</v>
      </c>
      <c r="L295" s="2">
        <v>41747</v>
      </c>
      <c r="M295" s="2">
        <v>41792</v>
      </c>
      <c r="N295" s="3">
        <v>41747.464791666665</v>
      </c>
      <c r="O295" t="s">
        <v>21</v>
      </c>
      <c r="P295" t="s">
        <v>25</v>
      </c>
    </row>
    <row r="296" spans="1:16" ht="176" x14ac:dyDescent="0.2">
      <c r="A296" t="str">
        <f>HYPERLINK("https://www.grants.gov/view-opportunity.html?oppId=254081","RFA-FD-14-023")</f>
        <v>RFA-FD-14-023</v>
      </c>
      <c r="B296" t="s">
        <v>381</v>
      </c>
      <c r="C296" t="s">
        <v>17</v>
      </c>
      <c r="D296" t="s">
        <v>18</v>
      </c>
      <c r="E296">
        <v>1500000</v>
      </c>
      <c r="F296">
        <v>1</v>
      </c>
      <c r="G296" s="1" t="s">
        <v>370</v>
      </c>
      <c r="I296" t="s">
        <v>371</v>
      </c>
      <c r="L296" s="2">
        <v>41747</v>
      </c>
      <c r="M296" s="2">
        <v>41809</v>
      </c>
      <c r="N296" s="3">
        <v>41747.459236111114</v>
      </c>
      <c r="O296" t="s">
        <v>21</v>
      </c>
      <c r="P296" t="s">
        <v>25</v>
      </c>
    </row>
    <row r="297" spans="1:16" ht="160" x14ac:dyDescent="0.2">
      <c r="A297" t="str">
        <f>HYPERLINK("https://www.grants.gov/view-opportunity.html?oppId=253189","RFA-FD-14-008")</f>
        <v>RFA-FD-14-008</v>
      </c>
      <c r="B297" t="s">
        <v>382</v>
      </c>
      <c r="C297" t="s">
        <v>17</v>
      </c>
      <c r="D297" t="s">
        <v>18</v>
      </c>
      <c r="E297">
        <v>700000</v>
      </c>
      <c r="F297">
        <v>5</v>
      </c>
      <c r="G297" s="1" t="s">
        <v>383</v>
      </c>
      <c r="I297" t="s">
        <v>371</v>
      </c>
      <c r="L297" s="2">
        <v>41729</v>
      </c>
      <c r="M297" s="2">
        <v>41761</v>
      </c>
      <c r="N297" s="3">
        <v>41736.716053240743</v>
      </c>
      <c r="O297" t="s">
        <v>28</v>
      </c>
      <c r="P297" t="s">
        <v>25</v>
      </c>
    </row>
    <row r="298" spans="1:16" ht="160" x14ac:dyDescent="0.2">
      <c r="A298" t="str">
        <f>HYPERLINK("https://www.grants.gov/view-opportunity.html?oppId=253191","RFA-FD-14-009")</f>
        <v>RFA-FD-14-009</v>
      </c>
      <c r="B298" t="s">
        <v>384</v>
      </c>
      <c r="C298" t="s">
        <v>17</v>
      </c>
      <c r="D298" t="s">
        <v>18</v>
      </c>
      <c r="E298">
        <v>500000</v>
      </c>
      <c r="F298">
        <v>5</v>
      </c>
      <c r="G298" s="1" t="s">
        <v>383</v>
      </c>
      <c r="I298" t="s">
        <v>371</v>
      </c>
      <c r="L298" s="2">
        <v>41729</v>
      </c>
      <c r="M298" s="2">
        <v>41767</v>
      </c>
      <c r="N298" s="3">
        <v>41730.614594907405</v>
      </c>
      <c r="O298" t="s">
        <v>24</v>
      </c>
      <c r="P298" t="s">
        <v>25</v>
      </c>
    </row>
    <row r="299" spans="1:16" ht="160" x14ac:dyDescent="0.2">
      <c r="A299" t="str">
        <f>HYPERLINK("https://www.grants.gov/view-opportunity.html?oppId=253193","RFA-FD-14-022")</f>
        <v>RFA-FD-14-022</v>
      </c>
      <c r="B299" t="s">
        <v>385</v>
      </c>
      <c r="C299" t="s">
        <v>17</v>
      </c>
      <c r="D299" t="s">
        <v>18</v>
      </c>
      <c r="E299">
        <v>1000000</v>
      </c>
      <c r="F299">
        <v>5</v>
      </c>
      <c r="G299" s="1" t="s">
        <v>383</v>
      </c>
      <c r="I299" t="s">
        <v>371</v>
      </c>
      <c r="L299" s="2">
        <v>41729</v>
      </c>
      <c r="M299" s="2">
        <v>41793</v>
      </c>
      <c r="N299" s="3">
        <v>41730.664594907408</v>
      </c>
      <c r="O299" t="s">
        <v>24</v>
      </c>
      <c r="P299" t="s">
        <v>25</v>
      </c>
    </row>
    <row r="300" spans="1:16" ht="160" x14ac:dyDescent="0.2">
      <c r="A300" t="str">
        <f>HYPERLINK("https://www.grants.gov/view-opportunity.html?oppId=253194","RFA-FD-14-003")</f>
        <v>RFA-FD-14-003</v>
      </c>
      <c r="B300" t="s">
        <v>386</v>
      </c>
      <c r="C300" t="s">
        <v>17</v>
      </c>
      <c r="D300" t="s">
        <v>18</v>
      </c>
      <c r="E300">
        <v>600000</v>
      </c>
      <c r="F300">
        <v>5</v>
      </c>
      <c r="G300" s="1" t="s">
        <v>383</v>
      </c>
      <c r="I300" t="s">
        <v>371</v>
      </c>
      <c r="L300" s="2">
        <v>41729</v>
      </c>
      <c r="M300" s="2">
        <v>41792</v>
      </c>
      <c r="N300" s="3">
        <v>41728.619791666664</v>
      </c>
      <c r="O300" t="s">
        <v>21</v>
      </c>
      <c r="P300" t="s">
        <v>25</v>
      </c>
    </row>
    <row r="301" spans="1:16" ht="160" x14ac:dyDescent="0.2">
      <c r="A301" t="str">
        <f>HYPERLINK("https://www.grants.gov/view-opportunity.html?oppId=253192","RFA-FD-14-016")</f>
        <v>RFA-FD-14-016</v>
      </c>
      <c r="B301" t="s">
        <v>387</v>
      </c>
      <c r="C301" t="s">
        <v>17</v>
      </c>
      <c r="D301" t="s">
        <v>18</v>
      </c>
      <c r="E301">
        <v>500000</v>
      </c>
      <c r="F301">
        <v>5</v>
      </c>
      <c r="G301" s="1" t="s">
        <v>388</v>
      </c>
      <c r="I301" t="s">
        <v>371</v>
      </c>
      <c r="L301" s="2">
        <v>41729</v>
      </c>
      <c r="M301" s="2">
        <v>41806</v>
      </c>
      <c r="N301" s="3">
        <v>41799.593159722222</v>
      </c>
      <c r="O301" t="s">
        <v>178</v>
      </c>
      <c r="P301" t="s">
        <v>25</v>
      </c>
    </row>
    <row r="302" spans="1:16" ht="160" x14ac:dyDescent="0.2">
      <c r="A302" t="str">
        <f>HYPERLINK("https://www.grants.gov/view-opportunity.html?oppId=253190","RFA-FD14-007")</f>
        <v>RFA-FD14-007</v>
      </c>
      <c r="B302" t="s">
        <v>389</v>
      </c>
      <c r="C302" t="s">
        <v>17</v>
      </c>
      <c r="D302" t="s">
        <v>18</v>
      </c>
      <c r="E302">
        <v>1000000</v>
      </c>
      <c r="F302">
        <v>5</v>
      </c>
      <c r="G302" s="1" t="s">
        <v>383</v>
      </c>
      <c r="I302" t="s">
        <v>371</v>
      </c>
      <c r="L302" s="2">
        <v>41729</v>
      </c>
      <c r="M302" s="2">
        <v>41761</v>
      </c>
      <c r="N302" s="3">
        <v>41736.722303240742</v>
      </c>
      <c r="O302" t="s">
        <v>36</v>
      </c>
      <c r="P302" t="s">
        <v>25</v>
      </c>
    </row>
    <row r="303" spans="1:16" ht="160" x14ac:dyDescent="0.2">
      <c r="A303" t="str">
        <f>HYPERLINK("https://www.grants.gov/view-opportunity.html?oppId=253188","RFA-FD-14-010")</f>
        <v>RFA-FD-14-010</v>
      </c>
      <c r="B303" t="s">
        <v>390</v>
      </c>
      <c r="C303" t="s">
        <v>17</v>
      </c>
      <c r="D303" t="s">
        <v>18</v>
      </c>
      <c r="E303">
        <v>1250000</v>
      </c>
      <c r="F303">
        <v>5</v>
      </c>
      <c r="G303" s="1" t="s">
        <v>383</v>
      </c>
      <c r="I303" t="s">
        <v>371</v>
      </c>
      <c r="L303" s="2">
        <v>41729</v>
      </c>
      <c r="M303" s="2">
        <v>41799</v>
      </c>
      <c r="N303" s="3">
        <v>41792.666689814818</v>
      </c>
      <c r="O303" t="s">
        <v>36</v>
      </c>
      <c r="P303" t="s">
        <v>25</v>
      </c>
    </row>
    <row r="304" spans="1:16" ht="160" x14ac:dyDescent="0.2">
      <c r="A304" t="str">
        <f>HYPERLINK("https://www.grants.gov/view-opportunity.html?oppId=253186","RFA-FD-14-012")</f>
        <v>RFA-FD-14-012</v>
      </c>
      <c r="B304" t="s">
        <v>391</v>
      </c>
      <c r="C304" t="s">
        <v>17</v>
      </c>
      <c r="D304" t="s">
        <v>18</v>
      </c>
      <c r="E304">
        <v>1000000</v>
      </c>
      <c r="F304">
        <v>5</v>
      </c>
      <c r="G304" s="1" t="s">
        <v>383</v>
      </c>
      <c r="I304" t="s">
        <v>371</v>
      </c>
      <c r="L304" s="2">
        <v>41726</v>
      </c>
      <c r="M304" s="2">
        <v>41792</v>
      </c>
      <c r="N304" s="3">
        <v>41730.711122685185</v>
      </c>
      <c r="O304" t="s">
        <v>24</v>
      </c>
      <c r="P304" t="s">
        <v>25</v>
      </c>
    </row>
    <row r="305" spans="1:16" ht="160" x14ac:dyDescent="0.2">
      <c r="A305" t="str">
        <f>HYPERLINK("https://www.grants.gov/view-opportunity.html?oppId=253187","RFA-FD-14-011")</f>
        <v>RFA-FD-14-011</v>
      </c>
      <c r="B305" t="s">
        <v>392</v>
      </c>
      <c r="C305" t="s">
        <v>17</v>
      </c>
      <c r="D305" t="s">
        <v>18</v>
      </c>
      <c r="E305">
        <v>1250000</v>
      </c>
      <c r="F305">
        <v>5</v>
      </c>
      <c r="G305" s="1" t="s">
        <v>383</v>
      </c>
      <c r="I305" t="s">
        <v>371</v>
      </c>
      <c r="L305" s="2">
        <v>41726</v>
      </c>
      <c r="M305" s="2">
        <v>41792</v>
      </c>
      <c r="N305" s="3">
        <v>41730.705567129633</v>
      </c>
      <c r="O305" t="s">
        <v>24</v>
      </c>
      <c r="P305" t="s">
        <v>25</v>
      </c>
    </row>
    <row r="306" spans="1:16" ht="80" x14ac:dyDescent="0.2">
      <c r="A306" t="str">
        <f>HYPERLINK("https://www.grants.gov/view-opportunity.html?oppId=250023","RFA-FD-14-002")</f>
        <v>RFA-FD-14-002</v>
      </c>
      <c r="B306" t="s">
        <v>365</v>
      </c>
      <c r="C306" t="s">
        <v>17</v>
      </c>
      <c r="D306" t="s">
        <v>18</v>
      </c>
      <c r="E306">
        <v>225000</v>
      </c>
      <c r="F306">
        <v>1</v>
      </c>
      <c r="G306" s="1" t="s">
        <v>336</v>
      </c>
      <c r="I306" t="s">
        <v>269</v>
      </c>
      <c r="L306" s="2">
        <v>41653</v>
      </c>
      <c r="M306" s="2">
        <v>41712</v>
      </c>
      <c r="N306" s="3">
        <v>41691.409270833334</v>
      </c>
      <c r="O306" t="s">
        <v>24</v>
      </c>
      <c r="P306" t="s">
        <v>25</v>
      </c>
    </row>
    <row r="307" spans="1:16" ht="80" x14ac:dyDescent="0.2">
      <c r="A307" t="str">
        <f>HYPERLINK("https://www.grants.gov/view-opportunity.html?oppId=243834","RFA-FD-14-001")</f>
        <v>RFA-FD-14-001</v>
      </c>
      <c r="B307" t="s">
        <v>393</v>
      </c>
      <c r="C307" t="s">
        <v>17</v>
      </c>
      <c r="D307" t="s">
        <v>18</v>
      </c>
      <c r="E307">
        <v>6700000</v>
      </c>
      <c r="F307">
        <v>1</v>
      </c>
      <c r="G307" s="1" t="s">
        <v>336</v>
      </c>
      <c r="I307" t="s">
        <v>269</v>
      </c>
      <c r="L307" s="2">
        <v>41544</v>
      </c>
      <c r="M307" s="2">
        <v>41593</v>
      </c>
      <c r="N307" s="3">
        <v>41544.461423611108</v>
      </c>
      <c r="O307" t="s">
        <v>21</v>
      </c>
      <c r="P307"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grants-gov-opp-search--20230113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Tharp</cp:lastModifiedBy>
  <dcterms:created xsi:type="dcterms:W3CDTF">2023-01-13T22:02:07Z</dcterms:created>
  <dcterms:modified xsi:type="dcterms:W3CDTF">2023-01-15T14:04:18Z</dcterms:modified>
</cp:coreProperties>
</file>